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8"/>
  <workbookPr filterPrivacy="1"/>
  <xr:revisionPtr revIDLastSave="0" documentId="13_ncr:1_{9A891AB5-E9CF-45FD-B617-0052178BCEE3}" xr6:coauthVersionLast="36" xr6:coauthVersionMax="36" xr10:uidLastSave="{00000000-0000-0000-0000-000000000000}"/>
  <bookViews>
    <workbookView xWindow="0" yWindow="0" windowWidth="22260" windowHeight="12645" activeTab="1" xr2:uid="{00000000-000D-0000-FFFF-FFFF00000000}"/>
  </bookViews>
  <sheets>
    <sheet name="Summary" sheetId="1" r:id="rId1"/>
    <sheet name="DOR" sheetId="5" r:id="rId2"/>
    <sheet name="Portfolio Volatility" sheetId="4" r:id="rId3"/>
    <sheet name="Data" sheetId="2" r:id="rId4"/>
  </sheets>
  <externalReferences>
    <externalReference r:id="rId5"/>
  </externalReferences>
  <definedNames>
    <definedName name="DonnéesExternes_1" localSheetId="3" hidden="1">Data!$G$2:$H$2257</definedName>
    <definedName name="DonnéesExternes_10" localSheetId="3" hidden="1">Data!$AE$2:$AF$3</definedName>
    <definedName name="DonnéesExternes_11" localSheetId="3" hidden="1">Data!$AH$2:$AI$966</definedName>
    <definedName name="DonnéesExternes_12" localSheetId="3" hidden="1">Data!$AK$2:$AL$1992</definedName>
    <definedName name="DonnéesExternes_13" localSheetId="3" hidden="1">Data!$AN$2:$AO$2257</definedName>
    <definedName name="DonnéesExternes_14" localSheetId="3" hidden="1">Data!$AQ$2:$AR$583</definedName>
    <definedName name="DonnéesExternes_15" localSheetId="3" hidden="1">Data!$AT$2:$AU$3</definedName>
    <definedName name="DonnéesExternes_16" localSheetId="3" hidden="1">Data!$AW$2:$AX$3</definedName>
    <definedName name="DonnéesExternes_17" localSheetId="3" hidden="1">Data!$AZ$2:$BA$3</definedName>
    <definedName name="DonnéesExternes_18" localSheetId="3" hidden="1">Data!$BC$2:$BD$3</definedName>
    <definedName name="DonnéesExternes_19" localSheetId="3" hidden="1">Data!$BF$2:$BG$3</definedName>
    <definedName name="DonnéesExternes_2" localSheetId="3" hidden="1">Data!$A$2:$B$2789</definedName>
    <definedName name="DonnéesExternes_3" localSheetId="3" hidden="1">Data!$J$2:$K$1028</definedName>
    <definedName name="DonnéesExternes_4" localSheetId="3" hidden="1">Data!$M$2:$N$1847</definedName>
    <definedName name="DonnéesExternes_5" localSheetId="3" hidden="1">Data!$P$2:$Q$2257</definedName>
    <definedName name="DonnéesExternes_6" localSheetId="3" hidden="1">Data!$S$2:$T$1403</definedName>
    <definedName name="DonnéesExternes_7" localSheetId="3" hidden="1">Data!$V$2:$W$419</definedName>
    <definedName name="DonnéesExternes_8" localSheetId="3" hidden="1">Data!$Y$2:$Z$1419</definedName>
    <definedName name="DonnéesExternes_9" localSheetId="3" hidden="1">Data!$AB$2:$AC$3</definedName>
    <definedName name="LastRow">Summary!$M$4</definedName>
    <definedName name="LongTickers">Summary!$B$3:$B$11</definedName>
    <definedName name="ShortTickers">Summary!$B$15:$B$23</definedName>
    <definedName name="solver_adj" localSheetId="2" hidden="1">'Portfolio Volatility'!$U$9:$U$13</definedName>
    <definedName name="solver_cvg" localSheetId="2" hidden="1">0.0001</definedName>
    <definedName name="solver_drv" localSheetId="2" hidden="1">1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lhs1" localSheetId="2" hidden="1">'Portfolio Volatility'!$U$27</definedName>
    <definedName name="solver_lhs2" localSheetId="2" hidden="1">'Portfolio Volatility'!#REF!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2</definedName>
    <definedName name="solver_nod" localSheetId="2" hidden="1">2147483647</definedName>
    <definedName name="solver_num" localSheetId="2" hidden="1">1</definedName>
    <definedName name="solver_nwt" localSheetId="2" hidden="1">1</definedName>
    <definedName name="solver_opt" localSheetId="2" hidden="1">'Portfolio Volatility'!$B$36</definedName>
    <definedName name="solver_pre" localSheetId="2" hidden="1">0.000001</definedName>
    <definedName name="solver_rbv" localSheetId="2" hidden="1">1</definedName>
    <definedName name="solver_rel1" localSheetId="2" hidden="1">2</definedName>
    <definedName name="solver_rel2" localSheetId="2" hidden="1">2</definedName>
    <definedName name="solver_rhs1" localSheetId="2" hidden="1">5000</definedName>
    <definedName name="solver_rhs2" localSheetId="2" hidden="1">60000</definedName>
    <definedName name="solver_rlx" localSheetId="2" hidden="1">2</definedName>
    <definedName name="solver_rsd" localSheetId="2" hidden="1">0</definedName>
    <definedName name="solver_scl" localSheetId="2" hidden="1">1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3</definedName>
    <definedName name="solver_val" localSheetId="2" hidden="1">0.1</definedName>
    <definedName name="solver_ver" localSheetId="2" hidden="1">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7" i="1" l="1"/>
  <c r="C13" i="5"/>
  <c r="C12" i="5"/>
  <c r="C11" i="5"/>
  <c r="C9" i="5"/>
  <c r="C8" i="5"/>
  <c r="C7" i="5"/>
  <c r="C6" i="5"/>
  <c r="C5" i="5"/>
  <c r="C4" i="5"/>
  <c r="B28" i="5" l="1"/>
  <c r="B27" i="5"/>
  <c r="B23" i="5"/>
  <c r="B24" i="5"/>
  <c r="B25" i="5"/>
  <c r="B26" i="5"/>
  <c r="B22" i="5"/>
  <c r="B21" i="5"/>
  <c r="B20" i="5"/>
  <c r="B19" i="5"/>
  <c r="B18" i="5"/>
  <c r="B17" i="5"/>
  <c r="B16" i="5"/>
  <c r="C29" i="5"/>
  <c r="C27" i="5"/>
  <c r="C26" i="5"/>
  <c r="C23" i="5"/>
  <c r="C22" i="5"/>
  <c r="C20" i="5"/>
  <c r="C19" i="5"/>
  <c r="C18" i="5"/>
  <c r="C17" i="5"/>
  <c r="E17" i="5" l="1"/>
  <c r="E18" i="5"/>
  <c r="E19" i="5"/>
  <c r="E20" i="5"/>
  <c r="E22" i="5"/>
  <c r="E23" i="5"/>
  <c r="E26" i="5"/>
  <c r="E27" i="5"/>
  <c r="E29" i="5"/>
  <c r="D16" i="5"/>
  <c r="D24" i="5"/>
  <c r="D19" i="5"/>
  <c r="D25" i="5"/>
  <c r="D18" i="5"/>
  <c r="D17" i="5"/>
  <c r="C28" i="5"/>
  <c r="C25" i="5"/>
  <c r="C24" i="5"/>
  <c r="C21" i="5"/>
  <c r="C16" i="5"/>
  <c r="E21" i="5" l="1"/>
  <c r="E24" i="5"/>
  <c r="E25" i="5"/>
  <c r="E28" i="5"/>
  <c r="E16" i="5"/>
  <c r="C10" i="5"/>
  <c r="D21" i="5" l="1"/>
  <c r="D20" i="5"/>
  <c r="D23" i="5"/>
  <c r="D22" i="5"/>
  <c r="D28" i="5" l="1"/>
  <c r="D29" i="5"/>
  <c r="D27" i="5"/>
  <c r="D26" i="5"/>
  <c r="F16" i="5" l="1"/>
  <c r="F17" i="5" l="1"/>
  <c r="F18" i="5" s="1"/>
  <c r="F19" i="5" s="1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D23" i="1"/>
  <c r="D22" i="1"/>
  <c r="D21" i="1"/>
  <c r="D20" i="1"/>
  <c r="D19" i="1"/>
  <c r="D18" i="1"/>
  <c r="D17" i="1"/>
  <c r="D16" i="1"/>
  <c r="D15" i="1"/>
  <c r="D11" i="1"/>
  <c r="D10" i="1"/>
  <c r="D9" i="1"/>
  <c r="D8" i="1"/>
  <c r="D7" i="1"/>
  <c r="D6" i="1"/>
  <c r="D5" i="1"/>
  <c r="D3" i="1"/>
  <c r="D4" i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D3" i="2"/>
  <c r="AG3" i="2"/>
  <c r="AJ3" i="2"/>
  <c r="AJ4" i="2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7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452" i="2"/>
  <c r="AJ453" i="2"/>
  <c r="AJ454" i="2"/>
  <c r="AJ455" i="2"/>
  <c r="AJ456" i="2"/>
  <c r="AJ457" i="2"/>
  <c r="AJ458" i="2"/>
  <c r="AJ459" i="2"/>
  <c r="AJ460" i="2"/>
  <c r="AJ461" i="2"/>
  <c r="AJ462" i="2"/>
  <c r="AJ463" i="2"/>
  <c r="AJ464" i="2"/>
  <c r="AJ465" i="2"/>
  <c r="AJ466" i="2"/>
  <c r="AJ467" i="2"/>
  <c r="AJ468" i="2"/>
  <c r="AJ469" i="2"/>
  <c r="AJ470" i="2"/>
  <c r="AJ471" i="2"/>
  <c r="AJ472" i="2"/>
  <c r="AJ473" i="2"/>
  <c r="AJ474" i="2"/>
  <c r="AJ475" i="2"/>
  <c r="AJ476" i="2"/>
  <c r="AJ477" i="2"/>
  <c r="AJ478" i="2"/>
  <c r="AJ479" i="2"/>
  <c r="AJ480" i="2"/>
  <c r="AJ481" i="2"/>
  <c r="AJ482" i="2"/>
  <c r="AJ483" i="2"/>
  <c r="AJ484" i="2"/>
  <c r="AJ485" i="2"/>
  <c r="AJ486" i="2"/>
  <c r="AJ487" i="2"/>
  <c r="AJ488" i="2"/>
  <c r="AJ489" i="2"/>
  <c r="AJ490" i="2"/>
  <c r="AJ491" i="2"/>
  <c r="AJ492" i="2"/>
  <c r="AJ493" i="2"/>
  <c r="AJ494" i="2"/>
  <c r="AJ495" i="2"/>
  <c r="AJ496" i="2"/>
  <c r="AJ497" i="2"/>
  <c r="AJ498" i="2"/>
  <c r="AJ499" i="2"/>
  <c r="AJ500" i="2"/>
  <c r="AJ501" i="2"/>
  <c r="AJ502" i="2"/>
  <c r="AJ503" i="2"/>
  <c r="AJ504" i="2"/>
  <c r="AJ505" i="2"/>
  <c r="AJ506" i="2"/>
  <c r="AJ507" i="2"/>
  <c r="AJ508" i="2"/>
  <c r="AJ509" i="2"/>
  <c r="AJ510" i="2"/>
  <c r="AJ511" i="2"/>
  <c r="AJ512" i="2"/>
  <c r="AJ513" i="2"/>
  <c r="AJ514" i="2"/>
  <c r="AJ515" i="2"/>
  <c r="AJ516" i="2"/>
  <c r="AJ517" i="2"/>
  <c r="AJ518" i="2"/>
  <c r="AJ519" i="2"/>
  <c r="AJ520" i="2"/>
  <c r="AJ521" i="2"/>
  <c r="AJ522" i="2"/>
  <c r="AJ523" i="2"/>
  <c r="AJ524" i="2"/>
  <c r="AJ525" i="2"/>
  <c r="AJ526" i="2"/>
  <c r="AJ527" i="2"/>
  <c r="AJ528" i="2"/>
  <c r="AJ529" i="2"/>
  <c r="AJ530" i="2"/>
  <c r="AJ531" i="2"/>
  <c r="AJ532" i="2"/>
  <c r="AJ533" i="2"/>
  <c r="AJ534" i="2"/>
  <c r="AJ535" i="2"/>
  <c r="AJ536" i="2"/>
  <c r="AJ537" i="2"/>
  <c r="AJ538" i="2"/>
  <c r="AJ539" i="2"/>
  <c r="AJ540" i="2"/>
  <c r="AJ541" i="2"/>
  <c r="AJ542" i="2"/>
  <c r="AJ543" i="2"/>
  <c r="AJ544" i="2"/>
  <c r="AJ545" i="2"/>
  <c r="AJ546" i="2"/>
  <c r="AJ547" i="2"/>
  <c r="AJ548" i="2"/>
  <c r="AJ549" i="2"/>
  <c r="AJ550" i="2"/>
  <c r="AJ551" i="2"/>
  <c r="AJ552" i="2"/>
  <c r="AJ553" i="2"/>
  <c r="AJ554" i="2"/>
  <c r="AJ555" i="2"/>
  <c r="AJ556" i="2"/>
  <c r="AJ557" i="2"/>
  <c r="AJ558" i="2"/>
  <c r="AJ559" i="2"/>
  <c r="AJ560" i="2"/>
  <c r="AJ561" i="2"/>
  <c r="AJ562" i="2"/>
  <c r="AJ563" i="2"/>
  <c r="AJ564" i="2"/>
  <c r="AJ565" i="2"/>
  <c r="AJ566" i="2"/>
  <c r="AJ567" i="2"/>
  <c r="AJ568" i="2"/>
  <c r="AJ569" i="2"/>
  <c r="AJ570" i="2"/>
  <c r="AJ571" i="2"/>
  <c r="AJ572" i="2"/>
  <c r="AJ573" i="2"/>
  <c r="AJ574" i="2"/>
  <c r="AJ575" i="2"/>
  <c r="AJ576" i="2"/>
  <c r="AJ577" i="2"/>
  <c r="AJ578" i="2"/>
  <c r="AJ579" i="2"/>
  <c r="AJ580" i="2"/>
  <c r="AJ581" i="2"/>
  <c r="AJ582" i="2"/>
  <c r="AJ583" i="2"/>
  <c r="AJ584" i="2"/>
  <c r="AJ585" i="2"/>
  <c r="AJ586" i="2"/>
  <c r="AJ587" i="2"/>
  <c r="AJ588" i="2"/>
  <c r="AJ589" i="2"/>
  <c r="AJ590" i="2"/>
  <c r="AJ591" i="2"/>
  <c r="AJ592" i="2"/>
  <c r="AJ593" i="2"/>
  <c r="AJ594" i="2"/>
  <c r="AJ595" i="2"/>
  <c r="AJ596" i="2"/>
  <c r="AJ597" i="2"/>
  <c r="AJ598" i="2"/>
  <c r="AJ599" i="2"/>
  <c r="AJ600" i="2"/>
  <c r="AJ601" i="2"/>
  <c r="AJ602" i="2"/>
  <c r="AJ603" i="2"/>
  <c r="AJ604" i="2"/>
  <c r="AJ605" i="2"/>
  <c r="AJ606" i="2"/>
  <c r="AJ607" i="2"/>
  <c r="AJ608" i="2"/>
  <c r="AJ609" i="2"/>
  <c r="AJ610" i="2"/>
  <c r="AJ611" i="2"/>
  <c r="AJ612" i="2"/>
  <c r="AJ613" i="2"/>
  <c r="AJ614" i="2"/>
  <c r="AJ615" i="2"/>
  <c r="AJ616" i="2"/>
  <c r="AJ617" i="2"/>
  <c r="AJ618" i="2"/>
  <c r="AJ619" i="2"/>
  <c r="AJ620" i="2"/>
  <c r="AJ621" i="2"/>
  <c r="AJ622" i="2"/>
  <c r="AJ623" i="2"/>
  <c r="AJ624" i="2"/>
  <c r="AJ625" i="2"/>
  <c r="AJ626" i="2"/>
  <c r="AJ627" i="2"/>
  <c r="AJ628" i="2"/>
  <c r="AJ629" i="2"/>
  <c r="AJ630" i="2"/>
  <c r="AJ631" i="2"/>
  <c r="AJ632" i="2"/>
  <c r="AJ633" i="2"/>
  <c r="AJ634" i="2"/>
  <c r="AJ635" i="2"/>
  <c r="AJ636" i="2"/>
  <c r="AJ637" i="2"/>
  <c r="AJ638" i="2"/>
  <c r="AJ639" i="2"/>
  <c r="AJ640" i="2"/>
  <c r="AJ641" i="2"/>
  <c r="AJ642" i="2"/>
  <c r="AJ643" i="2"/>
  <c r="AJ644" i="2"/>
  <c r="AJ645" i="2"/>
  <c r="AJ646" i="2"/>
  <c r="AJ647" i="2"/>
  <c r="AJ648" i="2"/>
  <c r="AJ649" i="2"/>
  <c r="AJ650" i="2"/>
  <c r="AJ651" i="2"/>
  <c r="AJ652" i="2"/>
  <c r="AJ653" i="2"/>
  <c r="AJ654" i="2"/>
  <c r="AJ655" i="2"/>
  <c r="AJ656" i="2"/>
  <c r="AJ657" i="2"/>
  <c r="AJ658" i="2"/>
  <c r="AJ659" i="2"/>
  <c r="AJ660" i="2"/>
  <c r="AJ661" i="2"/>
  <c r="AJ662" i="2"/>
  <c r="AJ663" i="2"/>
  <c r="AJ664" i="2"/>
  <c r="AJ665" i="2"/>
  <c r="AJ666" i="2"/>
  <c r="AJ667" i="2"/>
  <c r="AJ668" i="2"/>
  <c r="AJ669" i="2"/>
  <c r="AJ670" i="2"/>
  <c r="AJ671" i="2"/>
  <c r="AJ672" i="2"/>
  <c r="AJ673" i="2"/>
  <c r="AJ674" i="2"/>
  <c r="AJ675" i="2"/>
  <c r="AJ676" i="2"/>
  <c r="AJ677" i="2"/>
  <c r="AJ678" i="2"/>
  <c r="AJ679" i="2"/>
  <c r="AJ680" i="2"/>
  <c r="AJ681" i="2"/>
  <c r="AJ682" i="2"/>
  <c r="AJ683" i="2"/>
  <c r="AJ684" i="2"/>
  <c r="AJ685" i="2"/>
  <c r="AJ686" i="2"/>
  <c r="AJ687" i="2"/>
  <c r="AJ688" i="2"/>
  <c r="AJ689" i="2"/>
  <c r="AJ690" i="2"/>
  <c r="AJ691" i="2"/>
  <c r="AJ692" i="2"/>
  <c r="AJ693" i="2"/>
  <c r="AJ694" i="2"/>
  <c r="AJ695" i="2"/>
  <c r="AJ696" i="2"/>
  <c r="AJ697" i="2"/>
  <c r="AJ698" i="2"/>
  <c r="AJ699" i="2"/>
  <c r="AJ700" i="2"/>
  <c r="AJ701" i="2"/>
  <c r="AJ702" i="2"/>
  <c r="AJ703" i="2"/>
  <c r="AJ704" i="2"/>
  <c r="AJ705" i="2"/>
  <c r="AJ706" i="2"/>
  <c r="AJ707" i="2"/>
  <c r="AJ708" i="2"/>
  <c r="AJ709" i="2"/>
  <c r="AJ710" i="2"/>
  <c r="AJ711" i="2"/>
  <c r="AJ712" i="2"/>
  <c r="AJ713" i="2"/>
  <c r="AJ714" i="2"/>
  <c r="AJ715" i="2"/>
  <c r="AJ716" i="2"/>
  <c r="AJ717" i="2"/>
  <c r="AJ718" i="2"/>
  <c r="AJ719" i="2"/>
  <c r="AJ720" i="2"/>
  <c r="AJ721" i="2"/>
  <c r="AJ722" i="2"/>
  <c r="AJ723" i="2"/>
  <c r="AJ724" i="2"/>
  <c r="AJ725" i="2"/>
  <c r="AJ726" i="2"/>
  <c r="AJ727" i="2"/>
  <c r="AJ728" i="2"/>
  <c r="AJ729" i="2"/>
  <c r="AJ730" i="2"/>
  <c r="AJ731" i="2"/>
  <c r="AJ732" i="2"/>
  <c r="AJ733" i="2"/>
  <c r="AJ734" i="2"/>
  <c r="AJ735" i="2"/>
  <c r="AJ736" i="2"/>
  <c r="AJ737" i="2"/>
  <c r="AJ738" i="2"/>
  <c r="AJ739" i="2"/>
  <c r="AJ740" i="2"/>
  <c r="AJ741" i="2"/>
  <c r="AJ742" i="2"/>
  <c r="AJ743" i="2"/>
  <c r="AJ744" i="2"/>
  <c r="AJ745" i="2"/>
  <c r="AJ746" i="2"/>
  <c r="AJ747" i="2"/>
  <c r="AJ748" i="2"/>
  <c r="AJ749" i="2"/>
  <c r="AJ750" i="2"/>
  <c r="AJ751" i="2"/>
  <c r="AJ752" i="2"/>
  <c r="AJ753" i="2"/>
  <c r="AJ754" i="2"/>
  <c r="AJ755" i="2"/>
  <c r="AJ756" i="2"/>
  <c r="AJ757" i="2"/>
  <c r="AJ758" i="2"/>
  <c r="AJ759" i="2"/>
  <c r="AJ760" i="2"/>
  <c r="AJ761" i="2"/>
  <c r="AJ762" i="2"/>
  <c r="AJ763" i="2"/>
  <c r="AJ764" i="2"/>
  <c r="AJ765" i="2"/>
  <c r="AJ766" i="2"/>
  <c r="AJ767" i="2"/>
  <c r="AJ768" i="2"/>
  <c r="AJ769" i="2"/>
  <c r="AJ770" i="2"/>
  <c r="AJ771" i="2"/>
  <c r="AJ772" i="2"/>
  <c r="AJ773" i="2"/>
  <c r="AJ774" i="2"/>
  <c r="AJ775" i="2"/>
  <c r="AJ776" i="2"/>
  <c r="AJ777" i="2"/>
  <c r="AJ778" i="2"/>
  <c r="AJ779" i="2"/>
  <c r="AJ780" i="2"/>
  <c r="AJ781" i="2"/>
  <c r="AJ782" i="2"/>
  <c r="AJ783" i="2"/>
  <c r="AJ784" i="2"/>
  <c r="AJ785" i="2"/>
  <c r="AJ786" i="2"/>
  <c r="AJ787" i="2"/>
  <c r="AJ788" i="2"/>
  <c r="AJ789" i="2"/>
  <c r="AJ790" i="2"/>
  <c r="AJ791" i="2"/>
  <c r="AJ792" i="2"/>
  <c r="AJ793" i="2"/>
  <c r="AJ794" i="2"/>
  <c r="AJ795" i="2"/>
  <c r="AJ796" i="2"/>
  <c r="AJ797" i="2"/>
  <c r="AJ798" i="2"/>
  <c r="AJ799" i="2"/>
  <c r="AJ800" i="2"/>
  <c r="AJ801" i="2"/>
  <c r="AJ802" i="2"/>
  <c r="AJ803" i="2"/>
  <c r="AJ804" i="2"/>
  <c r="AJ805" i="2"/>
  <c r="AJ806" i="2"/>
  <c r="AJ807" i="2"/>
  <c r="AJ808" i="2"/>
  <c r="AJ809" i="2"/>
  <c r="AJ810" i="2"/>
  <c r="AJ811" i="2"/>
  <c r="AJ812" i="2"/>
  <c r="AJ813" i="2"/>
  <c r="AJ814" i="2"/>
  <c r="AJ815" i="2"/>
  <c r="AJ816" i="2"/>
  <c r="AJ817" i="2"/>
  <c r="AJ818" i="2"/>
  <c r="AJ819" i="2"/>
  <c r="AJ820" i="2"/>
  <c r="AJ821" i="2"/>
  <c r="AJ822" i="2"/>
  <c r="AJ823" i="2"/>
  <c r="AJ824" i="2"/>
  <c r="AJ825" i="2"/>
  <c r="AJ826" i="2"/>
  <c r="AJ827" i="2"/>
  <c r="AJ828" i="2"/>
  <c r="AJ829" i="2"/>
  <c r="AJ830" i="2"/>
  <c r="AJ831" i="2"/>
  <c r="AJ832" i="2"/>
  <c r="AJ833" i="2"/>
  <c r="AJ834" i="2"/>
  <c r="AJ835" i="2"/>
  <c r="AJ836" i="2"/>
  <c r="AJ837" i="2"/>
  <c r="AJ838" i="2"/>
  <c r="AJ839" i="2"/>
  <c r="AJ840" i="2"/>
  <c r="AJ841" i="2"/>
  <c r="AJ842" i="2"/>
  <c r="AJ843" i="2"/>
  <c r="AJ844" i="2"/>
  <c r="AJ845" i="2"/>
  <c r="AJ846" i="2"/>
  <c r="AJ847" i="2"/>
  <c r="AJ848" i="2"/>
  <c r="AJ849" i="2"/>
  <c r="AJ850" i="2"/>
  <c r="AJ851" i="2"/>
  <c r="AJ852" i="2"/>
  <c r="AJ853" i="2"/>
  <c r="AJ854" i="2"/>
  <c r="AJ855" i="2"/>
  <c r="AJ856" i="2"/>
  <c r="AJ857" i="2"/>
  <c r="AJ858" i="2"/>
  <c r="AJ859" i="2"/>
  <c r="AJ860" i="2"/>
  <c r="AJ861" i="2"/>
  <c r="AJ862" i="2"/>
  <c r="AJ863" i="2"/>
  <c r="AJ864" i="2"/>
  <c r="AJ865" i="2"/>
  <c r="AJ866" i="2"/>
  <c r="AJ867" i="2"/>
  <c r="AJ868" i="2"/>
  <c r="AJ869" i="2"/>
  <c r="AJ870" i="2"/>
  <c r="AJ871" i="2"/>
  <c r="AJ872" i="2"/>
  <c r="AJ873" i="2"/>
  <c r="AJ874" i="2"/>
  <c r="AJ875" i="2"/>
  <c r="AJ876" i="2"/>
  <c r="AJ877" i="2"/>
  <c r="AJ878" i="2"/>
  <c r="AJ879" i="2"/>
  <c r="AJ880" i="2"/>
  <c r="AJ881" i="2"/>
  <c r="AJ882" i="2"/>
  <c r="AJ883" i="2"/>
  <c r="AJ884" i="2"/>
  <c r="AJ885" i="2"/>
  <c r="AJ886" i="2"/>
  <c r="AJ887" i="2"/>
  <c r="AJ888" i="2"/>
  <c r="AJ889" i="2"/>
  <c r="AJ890" i="2"/>
  <c r="AJ891" i="2"/>
  <c r="AJ892" i="2"/>
  <c r="AJ893" i="2"/>
  <c r="AJ894" i="2"/>
  <c r="AJ895" i="2"/>
  <c r="AJ896" i="2"/>
  <c r="AJ897" i="2"/>
  <c r="AJ898" i="2"/>
  <c r="AJ899" i="2"/>
  <c r="AJ900" i="2"/>
  <c r="AJ901" i="2"/>
  <c r="AJ902" i="2"/>
  <c r="AJ903" i="2"/>
  <c r="AJ904" i="2"/>
  <c r="AJ905" i="2"/>
  <c r="AJ906" i="2"/>
  <c r="AJ907" i="2"/>
  <c r="AJ908" i="2"/>
  <c r="AJ909" i="2"/>
  <c r="AJ910" i="2"/>
  <c r="AJ911" i="2"/>
  <c r="AJ912" i="2"/>
  <c r="AJ913" i="2"/>
  <c r="AJ914" i="2"/>
  <c r="AJ915" i="2"/>
  <c r="AJ916" i="2"/>
  <c r="AJ917" i="2"/>
  <c r="AJ918" i="2"/>
  <c r="AJ919" i="2"/>
  <c r="AJ920" i="2"/>
  <c r="AJ921" i="2"/>
  <c r="AJ922" i="2"/>
  <c r="AJ923" i="2"/>
  <c r="AJ924" i="2"/>
  <c r="AJ925" i="2"/>
  <c r="AJ926" i="2"/>
  <c r="AJ927" i="2"/>
  <c r="AJ928" i="2"/>
  <c r="AJ929" i="2"/>
  <c r="AJ930" i="2"/>
  <c r="AJ931" i="2"/>
  <c r="AJ932" i="2"/>
  <c r="AJ933" i="2"/>
  <c r="AJ934" i="2"/>
  <c r="AJ935" i="2"/>
  <c r="AJ936" i="2"/>
  <c r="AJ937" i="2"/>
  <c r="AJ938" i="2"/>
  <c r="AJ939" i="2"/>
  <c r="AJ940" i="2"/>
  <c r="AJ941" i="2"/>
  <c r="AJ942" i="2"/>
  <c r="AJ943" i="2"/>
  <c r="AJ944" i="2"/>
  <c r="AJ945" i="2"/>
  <c r="AJ946" i="2"/>
  <c r="AJ947" i="2"/>
  <c r="AJ948" i="2"/>
  <c r="AJ949" i="2"/>
  <c r="AJ950" i="2"/>
  <c r="AJ951" i="2"/>
  <c r="AJ952" i="2"/>
  <c r="AJ953" i="2"/>
  <c r="AJ954" i="2"/>
  <c r="AJ955" i="2"/>
  <c r="AJ956" i="2"/>
  <c r="AJ957" i="2"/>
  <c r="AJ958" i="2"/>
  <c r="AJ959" i="2"/>
  <c r="AJ960" i="2"/>
  <c r="AJ961" i="2"/>
  <c r="AJ962" i="2"/>
  <c r="AJ963" i="2"/>
  <c r="AJ964" i="2"/>
  <c r="AJ965" i="2"/>
  <c r="AJ966" i="2"/>
  <c r="AM3" i="2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167" i="2"/>
  <c r="AM168" i="2"/>
  <c r="AM169" i="2"/>
  <c r="AM170" i="2"/>
  <c r="AM171" i="2"/>
  <c r="AM172" i="2"/>
  <c r="AM173" i="2"/>
  <c r="AM174" i="2"/>
  <c r="AM175" i="2"/>
  <c r="AM176" i="2"/>
  <c r="AM177" i="2"/>
  <c r="AM178" i="2"/>
  <c r="AM179" i="2"/>
  <c r="AM180" i="2"/>
  <c r="AM181" i="2"/>
  <c r="AM182" i="2"/>
  <c r="AM183" i="2"/>
  <c r="AM184" i="2"/>
  <c r="AM185" i="2"/>
  <c r="AM186" i="2"/>
  <c r="AM187" i="2"/>
  <c r="AM188" i="2"/>
  <c r="AM189" i="2"/>
  <c r="AM190" i="2"/>
  <c r="AM191" i="2"/>
  <c r="AM192" i="2"/>
  <c r="AM193" i="2"/>
  <c r="AM194" i="2"/>
  <c r="AM195" i="2"/>
  <c r="AM196" i="2"/>
  <c r="AM197" i="2"/>
  <c r="AM198" i="2"/>
  <c r="AM199" i="2"/>
  <c r="AM200" i="2"/>
  <c r="AM201" i="2"/>
  <c r="AM202" i="2"/>
  <c r="AM203" i="2"/>
  <c r="AM204" i="2"/>
  <c r="AM205" i="2"/>
  <c r="AM206" i="2"/>
  <c r="AM207" i="2"/>
  <c r="AM208" i="2"/>
  <c r="AM209" i="2"/>
  <c r="AM210" i="2"/>
  <c r="AM211" i="2"/>
  <c r="AM212" i="2"/>
  <c r="AM213" i="2"/>
  <c r="AM214" i="2"/>
  <c r="AM215" i="2"/>
  <c r="AM216" i="2"/>
  <c r="AM217" i="2"/>
  <c r="AM218" i="2"/>
  <c r="AM219" i="2"/>
  <c r="AM220" i="2"/>
  <c r="AM221" i="2"/>
  <c r="AM222" i="2"/>
  <c r="AM223" i="2"/>
  <c r="AM224" i="2"/>
  <c r="AM225" i="2"/>
  <c r="AM226" i="2"/>
  <c r="AM227" i="2"/>
  <c r="AM228" i="2"/>
  <c r="AM229" i="2"/>
  <c r="AM230" i="2"/>
  <c r="AM231" i="2"/>
  <c r="AM232" i="2"/>
  <c r="AM233" i="2"/>
  <c r="AM234" i="2"/>
  <c r="AM235" i="2"/>
  <c r="AM236" i="2"/>
  <c r="AM237" i="2"/>
  <c r="AM238" i="2"/>
  <c r="AM239" i="2"/>
  <c r="AM240" i="2"/>
  <c r="AM241" i="2"/>
  <c r="AM242" i="2"/>
  <c r="AM243" i="2"/>
  <c r="AM244" i="2"/>
  <c r="AM245" i="2"/>
  <c r="AM246" i="2"/>
  <c r="AM247" i="2"/>
  <c r="AM248" i="2"/>
  <c r="AM249" i="2"/>
  <c r="AM250" i="2"/>
  <c r="AM251" i="2"/>
  <c r="AM252" i="2"/>
  <c r="AM253" i="2"/>
  <c r="AM254" i="2"/>
  <c r="AM255" i="2"/>
  <c r="AM256" i="2"/>
  <c r="AM257" i="2"/>
  <c r="AM258" i="2"/>
  <c r="AM259" i="2"/>
  <c r="AM260" i="2"/>
  <c r="AM261" i="2"/>
  <c r="AM262" i="2"/>
  <c r="AM263" i="2"/>
  <c r="AM264" i="2"/>
  <c r="AM265" i="2"/>
  <c r="AM266" i="2"/>
  <c r="AM267" i="2"/>
  <c r="AM268" i="2"/>
  <c r="AM269" i="2"/>
  <c r="AM270" i="2"/>
  <c r="AM271" i="2"/>
  <c r="AM272" i="2"/>
  <c r="AM273" i="2"/>
  <c r="AM274" i="2"/>
  <c r="AM275" i="2"/>
  <c r="AM276" i="2"/>
  <c r="AM277" i="2"/>
  <c r="AM278" i="2"/>
  <c r="AM279" i="2"/>
  <c r="AM280" i="2"/>
  <c r="AM281" i="2"/>
  <c r="AM282" i="2"/>
  <c r="AM283" i="2"/>
  <c r="AM284" i="2"/>
  <c r="AM285" i="2"/>
  <c r="AM286" i="2"/>
  <c r="AM287" i="2"/>
  <c r="AM288" i="2"/>
  <c r="AM289" i="2"/>
  <c r="AM290" i="2"/>
  <c r="AM291" i="2"/>
  <c r="AM292" i="2"/>
  <c r="AM293" i="2"/>
  <c r="AM294" i="2"/>
  <c r="AM295" i="2"/>
  <c r="AM296" i="2"/>
  <c r="AM297" i="2"/>
  <c r="AM298" i="2"/>
  <c r="AM299" i="2"/>
  <c r="AM300" i="2"/>
  <c r="AM301" i="2"/>
  <c r="AM302" i="2"/>
  <c r="AM303" i="2"/>
  <c r="AM304" i="2"/>
  <c r="AM305" i="2"/>
  <c r="AM306" i="2"/>
  <c r="AM307" i="2"/>
  <c r="AM308" i="2"/>
  <c r="AM309" i="2"/>
  <c r="AM310" i="2"/>
  <c r="AM311" i="2"/>
  <c r="AM312" i="2"/>
  <c r="AM313" i="2"/>
  <c r="AM314" i="2"/>
  <c r="AM315" i="2"/>
  <c r="AM316" i="2"/>
  <c r="AM317" i="2"/>
  <c r="AM318" i="2"/>
  <c r="AM319" i="2"/>
  <c r="AM320" i="2"/>
  <c r="AM321" i="2"/>
  <c r="AM322" i="2"/>
  <c r="AM323" i="2"/>
  <c r="AM324" i="2"/>
  <c r="AM325" i="2"/>
  <c r="AM326" i="2"/>
  <c r="AM327" i="2"/>
  <c r="AM328" i="2"/>
  <c r="AM329" i="2"/>
  <c r="AM330" i="2"/>
  <c r="AM331" i="2"/>
  <c r="AM332" i="2"/>
  <c r="AM333" i="2"/>
  <c r="AM334" i="2"/>
  <c r="AM335" i="2"/>
  <c r="AM336" i="2"/>
  <c r="AM337" i="2"/>
  <c r="AM338" i="2"/>
  <c r="AM339" i="2"/>
  <c r="AM340" i="2"/>
  <c r="AM341" i="2"/>
  <c r="AM342" i="2"/>
  <c r="AM343" i="2"/>
  <c r="AM344" i="2"/>
  <c r="AM345" i="2"/>
  <c r="AM346" i="2"/>
  <c r="AM347" i="2"/>
  <c r="AM348" i="2"/>
  <c r="AM349" i="2"/>
  <c r="AM350" i="2"/>
  <c r="AM351" i="2"/>
  <c r="AM352" i="2"/>
  <c r="AM353" i="2"/>
  <c r="AM354" i="2"/>
  <c r="AM355" i="2"/>
  <c r="AM356" i="2"/>
  <c r="AM357" i="2"/>
  <c r="AM358" i="2"/>
  <c r="AM359" i="2"/>
  <c r="AM360" i="2"/>
  <c r="AM361" i="2"/>
  <c r="AM362" i="2"/>
  <c r="AM363" i="2"/>
  <c r="AM364" i="2"/>
  <c r="AM365" i="2"/>
  <c r="AM366" i="2"/>
  <c r="AM367" i="2"/>
  <c r="AM368" i="2"/>
  <c r="AM369" i="2"/>
  <c r="AM370" i="2"/>
  <c r="AM371" i="2"/>
  <c r="AM372" i="2"/>
  <c r="AM373" i="2"/>
  <c r="AM374" i="2"/>
  <c r="AM375" i="2"/>
  <c r="AM376" i="2"/>
  <c r="AM377" i="2"/>
  <c r="AM378" i="2"/>
  <c r="AM379" i="2"/>
  <c r="AM380" i="2"/>
  <c r="AM381" i="2"/>
  <c r="AM382" i="2"/>
  <c r="AM383" i="2"/>
  <c r="AM384" i="2"/>
  <c r="AM385" i="2"/>
  <c r="AM386" i="2"/>
  <c r="AM387" i="2"/>
  <c r="AM388" i="2"/>
  <c r="AM389" i="2"/>
  <c r="AM390" i="2"/>
  <c r="AM391" i="2"/>
  <c r="AM392" i="2"/>
  <c r="AM393" i="2"/>
  <c r="AM394" i="2"/>
  <c r="AM395" i="2"/>
  <c r="AM396" i="2"/>
  <c r="AM397" i="2"/>
  <c r="AM398" i="2"/>
  <c r="AM399" i="2"/>
  <c r="AM400" i="2"/>
  <c r="AM401" i="2"/>
  <c r="AM402" i="2"/>
  <c r="AM403" i="2"/>
  <c r="AM404" i="2"/>
  <c r="AM405" i="2"/>
  <c r="AM406" i="2"/>
  <c r="AM407" i="2"/>
  <c r="AM408" i="2"/>
  <c r="AM409" i="2"/>
  <c r="AM410" i="2"/>
  <c r="AM411" i="2"/>
  <c r="AM412" i="2"/>
  <c r="AM413" i="2"/>
  <c r="AM414" i="2"/>
  <c r="AM415" i="2"/>
  <c r="AM416" i="2"/>
  <c r="AM417" i="2"/>
  <c r="AM418" i="2"/>
  <c r="AM419" i="2"/>
  <c r="AM420" i="2"/>
  <c r="AM421" i="2"/>
  <c r="AM422" i="2"/>
  <c r="AM423" i="2"/>
  <c r="AM424" i="2"/>
  <c r="AM425" i="2"/>
  <c r="AM426" i="2"/>
  <c r="AM427" i="2"/>
  <c r="AM428" i="2"/>
  <c r="AM429" i="2"/>
  <c r="AM430" i="2"/>
  <c r="AM431" i="2"/>
  <c r="AM432" i="2"/>
  <c r="AM433" i="2"/>
  <c r="AM434" i="2"/>
  <c r="AM435" i="2"/>
  <c r="AM436" i="2"/>
  <c r="AM437" i="2"/>
  <c r="AM438" i="2"/>
  <c r="AM439" i="2"/>
  <c r="AM440" i="2"/>
  <c r="AM441" i="2"/>
  <c r="AM442" i="2"/>
  <c r="AM443" i="2"/>
  <c r="AM444" i="2"/>
  <c r="AM445" i="2"/>
  <c r="AM446" i="2"/>
  <c r="AM447" i="2"/>
  <c r="AM448" i="2"/>
  <c r="AM449" i="2"/>
  <c r="AM450" i="2"/>
  <c r="AM451" i="2"/>
  <c r="AM452" i="2"/>
  <c r="AM453" i="2"/>
  <c r="AM454" i="2"/>
  <c r="AM455" i="2"/>
  <c r="AM456" i="2"/>
  <c r="AM457" i="2"/>
  <c r="AM458" i="2"/>
  <c r="AM459" i="2"/>
  <c r="AM460" i="2"/>
  <c r="AM461" i="2"/>
  <c r="AM462" i="2"/>
  <c r="AM463" i="2"/>
  <c r="AM464" i="2"/>
  <c r="AM465" i="2"/>
  <c r="AM466" i="2"/>
  <c r="AM467" i="2"/>
  <c r="AM468" i="2"/>
  <c r="AM469" i="2"/>
  <c r="AM470" i="2"/>
  <c r="AM471" i="2"/>
  <c r="AM472" i="2"/>
  <c r="AM473" i="2"/>
  <c r="AM474" i="2"/>
  <c r="AM475" i="2"/>
  <c r="AM476" i="2"/>
  <c r="AM477" i="2"/>
  <c r="AM478" i="2"/>
  <c r="AM479" i="2"/>
  <c r="AM480" i="2"/>
  <c r="AM481" i="2"/>
  <c r="AM482" i="2"/>
  <c r="AM483" i="2"/>
  <c r="AM484" i="2"/>
  <c r="AM485" i="2"/>
  <c r="AM486" i="2"/>
  <c r="AM487" i="2"/>
  <c r="AM488" i="2"/>
  <c r="AM489" i="2"/>
  <c r="AM490" i="2"/>
  <c r="AM491" i="2"/>
  <c r="AM492" i="2"/>
  <c r="AM493" i="2"/>
  <c r="AM494" i="2"/>
  <c r="AM495" i="2"/>
  <c r="AM496" i="2"/>
  <c r="AM497" i="2"/>
  <c r="AM498" i="2"/>
  <c r="AM499" i="2"/>
  <c r="AM500" i="2"/>
  <c r="AM501" i="2"/>
  <c r="AM502" i="2"/>
  <c r="AM503" i="2"/>
  <c r="AM504" i="2"/>
  <c r="AM505" i="2"/>
  <c r="AM506" i="2"/>
  <c r="AM507" i="2"/>
  <c r="AM508" i="2"/>
  <c r="AM509" i="2"/>
  <c r="AM510" i="2"/>
  <c r="AM511" i="2"/>
  <c r="AM512" i="2"/>
  <c r="AM513" i="2"/>
  <c r="AM514" i="2"/>
  <c r="AM515" i="2"/>
  <c r="AM516" i="2"/>
  <c r="AM517" i="2"/>
  <c r="AM518" i="2"/>
  <c r="AM519" i="2"/>
  <c r="AM520" i="2"/>
  <c r="AM521" i="2"/>
  <c r="AM522" i="2"/>
  <c r="AM523" i="2"/>
  <c r="AM524" i="2"/>
  <c r="AM525" i="2"/>
  <c r="AM526" i="2"/>
  <c r="AM527" i="2"/>
  <c r="AM528" i="2"/>
  <c r="AM529" i="2"/>
  <c r="AM530" i="2"/>
  <c r="AM531" i="2"/>
  <c r="AM532" i="2"/>
  <c r="AM533" i="2"/>
  <c r="AM534" i="2"/>
  <c r="AM535" i="2"/>
  <c r="AM536" i="2"/>
  <c r="AM537" i="2"/>
  <c r="AM538" i="2"/>
  <c r="AM539" i="2"/>
  <c r="AM540" i="2"/>
  <c r="AM541" i="2"/>
  <c r="AM542" i="2"/>
  <c r="AM543" i="2"/>
  <c r="AM544" i="2"/>
  <c r="AM545" i="2"/>
  <c r="AM546" i="2"/>
  <c r="AM547" i="2"/>
  <c r="AM548" i="2"/>
  <c r="AM549" i="2"/>
  <c r="AM550" i="2"/>
  <c r="AM551" i="2"/>
  <c r="AM552" i="2"/>
  <c r="AM553" i="2"/>
  <c r="AM554" i="2"/>
  <c r="AM555" i="2"/>
  <c r="AM556" i="2"/>
  <c r="AM557" i="2"/>
  <c r="AM558" i="2"/>
  <c r="AM559" i="2"/>
  <c r="AM560" i="2"/>
  <c r="AM561" i="2"/>
  <c r="AM562" i="2"/>
  <c r="AM563" i="2"/>
  <c r="AM564" i="2"/>
  <c r="AM565" i="2"/>
  <c r="AM566" i="2"/>
  <c r="AM567" i="2"/>
  <c r="AM568" i="2"/>
  <c r="AM569" i="2"/>
  <c r="AM570" i="2"/>
  <c r="AM571" i="2"/>
  <c r="AM572" i="2"/>
  <c r="AM573" i="2"/>
  <c r="AM574" i="2"/>
  <c r="AM575" i="2"/>
  <c r="AM576" i="2"/>
  <c r="AM577" i="2"/>
  <c r="AM578" i="2"/>
  <c r="AM579" i="2"/>
  <c r="AM580" i="2"/>
  <c r="AM581" i="2"/>
  <c r="AM582" i="2"/>
  <c r="AM583" i="2"/>
  <c r="AM584" i="2"/>
  <c r="AM585" i="2"/>
  <c r="AM586" i="2"/>
  <c r="AM587" i="2"/>
  <c r="AM588" i="2"/>
  <c r="AM589" i="2"/>
  <c r="AM590" i="2"/>
  <c r="AM591" i="2"/>
  <c r="AM592" i="2"/>
  <c r="AM593" i="2"/>
  <c r="AM594" i="2"/>
  <c r="AM595" i="2"/>
  <c r="AM596" i="2"/>
  <c r="AM597" i="2"/>
  <c r="AM598" i="2"/>
  <c r="AM599" i="2"/>
  <c r="AM600" i="2"/>
  <c r="AM601" i="2"/>
  <c r="AM602" i="2"/>
  <c r="AM603" i="2"/>
  <c r="AM604" i="2"/>
  <c r="AM605" i="2"/>
  <c r="AM606" i="2"/>
  <c r="AM607" i="2"/>
  <c r="AM608" i="2"/>
  <c r="AM609" i="2"/>
  <c r="AM610" i="2"/>
  <c r="AM611" i="2"/>
  <c r="AM612" i="2"/>
  <c r="AM613" i="2"/>
  <c r="AM614" i="2"/>
  <c r="AM615" i="2"/>
  <c r="AM616" i="2"/>
  <c r="AM617" i="2"/>
  <c r="AM618" i="2"/>
  <c r="AM619" i="2"/>
  <c r="AM620" i="2"/>
  <c r="AM621" i="2"/>
  <c r="AM622" i="2"/>
  <c r="AM623" i="2"/>
  <c r="AM624" i="2"/>
  <c r="AM625" i="2"/>
  <c r="AM626" i="2"/>
  <c r="AM627" i="2"/>
  <c r="AM628" i="2"/>
  <c r="AM629" i="2"/>
  <c r="AM630" i="2"/>
  <c r="AM631" i="2"/>
  <c r="AM632" i="2"/>
  <c r="AM633" i="2"/>
  <c r="AM634" i="2"/>
  <c r="AM635" i="2"/>
  <c r="AM636" i="2"/>
  <c r="AM637" i="2"/>
  <c r="AM638" i="2"/>
  <c r="AM639" i="2"/>
  <c r="AM640" i="2"/>
  <c r="AM641" i="2"/>
  <c r="AM642" i="2"/>
  <c r="AM643" i="2"/>
  <c r="AM644" i="2"/>
  <c r="AM645" i="2"/>
  <c r="AM646" i="2"/>
  <c r="AM647" i="2"/>
  <c r="AM648" i="2"/>
  <c r="AM649" i="2"/>
  <c r="AM650" i="2"/>
  <c r="AM651" i="2"/>
  <c r="AM652" i="2"/>
  <c r="AM653" i="2"/>
  <c r="AM654" i="2"/>
  <c r="AM655" i="2"/>
  <c r="AM656" i="2"/>
  <c r="AM657" i="2"/>
  <c r="AM658" i="2"/>
  <c r="AM659" i="2"/>
  <c r="AM660" i="2"/>
  <c r="AM661" i="2"/>
  <c r="AM662" i="2"/>
  <c r="AM663" i="2"/>
  <c r="AM664" i="2"/>
  <c r="AM665" i="2"/>
  <c r="AM666" i="2"/>
  <c r="AM667" i="2"/>
  <c r="AM668" i="2"/>
  <c r="AM669" i="2"/>
  <c r="AM670" i="2"/>
  <c r="AM671" i="2"/>
  <c r="AM672" i="2"/>
  <c r="AM673" i="2"/>
  <c r="AM674" i="2"/>
  <c r="AM675" i="2"/>
  <c r="AM676" i="2"/>
  <c r="AM677" i="2"/>
  <c r="AM678" i="2"/>
  <c r="AM679" i="2"/>
  <c r="AM680" i="2"/>
  <c r="AM681" i="2"/>
  <c r="AM682" i="2"/>
  <c r="AM683" i="2"/>
  <c r="AM684" i="2"/>
  <c r="AM685" i="2"/>
  <c r="AM686" i="2"/>
  <c r="AM687" i="2"/>
  <c r="AM688" i="2"/>
  <c r="AM689" i="2"/>
  <c r="AM690" i="2"/>
  <c r="AM691" i="2"/>
  <c r="AM692" i="2"/>
  <c r="AM693" i="2"/>
  <c r="AM694" i="2"/>
  <c r="AM695" i="2"/>
  <c r="AM696" i="2"/>
  <c r="AM697" i="2"/>
  <c r="AM698" i="2"/>
  <c r="AM699" i="2"/>
  <c r="AM700" i="2"/>
  <c r="AM701" i="2"/>
  <c r="AM702" i="2"/>
  <c r="AM703" i="2"/>
  <c r="AM704" i="2"/>
  <c r="AM705" i="2"/>
  <c r="AM706" i="2"/>
  <c r="AM707" i="2"/>
  <c r="AM708" i="2"/>
  <c r="AM709" i="2"/>
  <c r="AM710" i="2"/>
  <c r="AM711" i="2"/>
  <c r="AM712" i="2"/>
  <c r="AM713" i="2"/>
  <c r="AM714" i="2"/>
  <c r="AM715" i="2"/>
  <c r="AM716" i="2"/>
  <c r="AM717" i="2"/>
  <c r="AM718" i="2"/>
  <c r="AM719" i="2"/>
  <c r="AM720" i="2"/>
  <c r="AM721" i="2"/>
  <c r="AM722" i="2"/>
  <c r="AM723" i="2"/>
  <c r="AM724" i="2"/>
  <c r="AM725" i="2"/>
  <c r="AM726" i="2"/>
  <c r="AM727" i="2"/>
  <c r="AM728" i="2"/>
  <c r="AM729" i="2"/>
  <c r="AM730" i="2"/>
  <c r="AM731" i="2"/>
  <c r="AM732" i="2"/>
  <c r="AM733" i="2"/>
  <c r="AM734" i="2"/>
  <c r="AM735" i="2"/>
  <c r="AM736" i="2"/>
  <c r="AM737" i="2"/>
  <c r="AM738" i="2"/>
  <c r="AM739" i="2"/>
  <c r="AM740" i="2"/>
  <c r="AM741" i="2"/>
  <c r="AM742" i="2"/>
  <c r="AM743" i="2"/>
  <c r="AM744" i="2"/>
  <c r="AM745" i="2"/>
  <c r="AM746" i="2"/>
  <c r="AM747" i="2"/>
  <c r="AM748" i="2"/>
  <c r="AM749" i="2"/>
  <c r="AM750" i="2"/>
  <c r="AM751" i="2"/>
  <c r="AM752" i="2"/>
  <c r="AM753" i="2"/>
  <c r="AM754" i="2"/>
  <c r="AM755" i="2"/>
  <c r="AM756" i="2"/>
  <c r="AM757" i="2"/>
  <c r="AM758" i="2"/>
  <c r="AM759" i="2"/>
  <c r="AM760" i="2"/>
  <c r="AM761" i="2"/>
  <c r="AM762" i="2"/>
  <c r="AM763" i="2"/>
  <c r="AM764" i="2"/>
  <c r="AM765" i="2"/>
  <c r="AM766" i="2"/>
  <c r="AM767" i="2"/>
  <c r="AM768" i="2"/>
  <c r="AM769" i="2"/>
  <c r="AM770" i="2"/>
  <c r="AM771" i="2"/>
  <c r="AM772" i="2"/>
  <c r="AM773" i="2"/>
  <c r="AM774" i="2"/>
  <c r="AM775" i="2"/>
  <c r="AM776" i="2"/>
  <c r="AM777" i="2"/>
  <c r="AM778" i="2"/>
  <c r="AM779" i="2"/>
  <c r="AM780" i="2"/>
  <c r="AM781" i="2"/>
  <c r="AM782" i="2"/>
  <c r="AM783" i="2"/>
  <c r="AM784" i="2"/>
  <c r="AM785" i="2"/>
  <c r="AM786" i="2"/>
  <c r="AM787" i="2"/>
  <c r="AM788" i="2"/>
  <c r="AM789" i="2"/>
  <c r="AM790" i="2"/>
  <c r="AM791" i="2"/>
  <c r="AM792" i="2"/>
  <c r="AM793" i="2"/>
  <c r="AM794" i="2"/>
  <c r="AM795" i="2"/>
  <c r="AM796" i="2"/>
  <c r="AM797" i="2"/>
  <c r="AM798" i="2"/>
  <c r="AM799" i="2"/>
  <c r="AM800" i="2"/>
  <c r="AM801" i="2"/>
  <c r="AM802" i="2"/>
  <c r="AM803" i="2"/>
  <c r="AM804" i="2"/>
  <c r="AM805" i="2"/>
  <c r="AM806" i="2"/>
  <c r="AM807" i="2"/>
  <c r="AM808" i="2"/>
  <c r="AM809" i="2"/>
  <c r="AM810" i="2"/>
  <c r="AM811" i="2"/>
  <c r="AM812" i="2"/>
  <c r="AM813" i="2"/>
  <c r="AM814" i="2"/>
  <c r="AM815" i="2"/>
  <c r="AM816" i="2"/>
  <c r="AM817" i="2"/>
  <c r="AM818" i="2"/>
  <c r="AM819" i="2"/>
  <c r="AM820" i="2"/>
  <c r="AM821" i="2"/>
  <c r="AM822" i="2"/>
  <c r="AM823" i="2"/>
  <c r="AM824" i="2"/>
  <c r="AM825" i="2"/>
  <c r="AM826" i="2"/>
  <c r="AM827" i="2"/>
  <c r="AM828" i="2"/>
  <c r="AM829" i="2"/>
  <c r="AM830" i="2"/>
  <c r="AM831" i="2"/>
  <c r="AM832" i="2"/>
  <c r="AM833" i="2"/>
  <c r="AM834" i="2"/>
  <c r="AM835" i="2"/>
  <c r="AM836" i="2"/>
  <c r="AM837" i="2"/>
  <c r="AM838" i="2"/>
  <c r="AM839" i="2"/>
  <c r="AM840" i="2"/>
  <c r="AM841" i="2"/>
  <c r="AM842" i="2"/>
  <c r="AM843" i="2"/>
  <c r="AM844" i="2"/>
  <c r="AM845" i="2"/>
  <c r="AM846" i="2"/>
  <c r="AM847" i="2"/>
  <c r="AM848" i="2"/>
  <c r="AM849" i="2"/>
  <c r="AM850" i="2"/>
  <c r="AM851" i="2"/>
  <c r="AM852" i="2"/>
  <c r="AM853" i="2"/>
  <c r="AM854" i="2"/>
  <c r="AM855" i="2"/>
  <c r="AM856" i="2"/>
  <c r="AM857" i="2"/>
  <c r="AM858" i="2"/>
  <c r="AM859" i="2"/>
  <c r="AM860" i="2"/>
  <c r="AM861" i="2"/>
  <c r="AM862" i="2"/>
  <c r="AM863" i="2"/>
  <c r="AM864" i="2"/>
  <c r="AM865" i="2"/>
  <c r="AM866" i="2"/>
  <c r="AM867" i="2"/>
  <c r="AM868" i="2"/>
  <c r="AM869" i="2"/>
  <c r="AM870" i="2"/>
  <c r="AM871" i="2"/>
  <c r="AM872" i="2"/>
  <c r="AM873" i="2"/>
  <c r="AM874" i="2"/>
  <c r="AM875" i="2"/>
  <c r="AM876" i="2"/>
  <c r="AM877" i="2"/>
  <c r="AM878" i="2"/>
  <c r="AM879" i="2"/>
  <c r="AM880" i="2"/>
  <c r="AM881" i="2"/>
  <c r="AM882" i="2"/>
  <c r="AM883" i="2"/>
  <c r="AM884" i="2"/>
  <c r="AM885" i="2"/>
  <c r="AM886" i="2"/>
  <c r="AM887" i="2"/>
  <c r="AM888" i="2"/>
  <c r="AM889" i="2"/>
  <c r="AM890" i="2"/>
  <c r="AM891" i="2"/>
  <c r="AM892" i="2"/>
  <c r="AM893" i="2"/>
  <c r="AM894" i="2"/>
  <c r="AM895" i="2"/>
  <c r="AM896" i="2"/>
  <c r="AM897" i="2"/>
  <c r="AM898" i="2"/>
  <c r="AM899" i="2"/>
  <c r="AM900" i="2"/>
  <c r="AM901" i="2"/>
  <c r="AM902" i="2"/>
  <c r="AM903" i="2"/>
  <c r="AM904" i="2"/>
  <c r="AM905" i="2"/>
  <c r="AM906" i="2"/>
  <c r="AM907" i="2"/>
  <c r="AM908" i="2"/>
  <c r="AM909" i="2"/>
  <c r="AM910" i="2"/>
  <c r="AM911" i="2"/>
  <c r="AM912" i="2"/>
  <c r="AM913" i="2"/>
  <c r="AM914" i="2"/>
  <c r="AM915" i="2"/>
  <c r="AM916" i="2"/>
  <c r="AM917" i="2"/>
  <c r="AM918" i="2"/>
  <c r="AM919" i="2"/>
  <c r="AM920" i="2"/>
  <c r="AM921" i="2"/>
  <c r="AM922" i="2"/>
  <c r="AM923" i="2"/>
  <c r="AM924" i="2"/>
  <c r="AM925" i="2"/>
  <c r="AM926" i="2"/>
  <c r="AM927" i="2"/>
  <c r="AM928" i="2"/>
  <c r="AM929" i="2"/>
  <c r="AM930" i="2"/>
  <c r="AM931" i="2"/>
  <c r="AM932" i="2"/>
  <c r="AM933" i="2"/>
  <c r="AM934" i="2"/>
  <c r="AM935" i="2"/>
  <c r="AM936" i="2"/>
  <c r="AM937" i="2"/>
  <c r="AM938" i="2"/>
  <c r="AM939" i="2"/>
  <c r="AM940" i="2"/>
  <c r="AM941" i="2"/>
  <c r="AM942" i="2"/>
  <c r="AM943" i="2"/>
  <c r="AM944" i="2"/>
  <c r="AM945" i="2"/>
  <c r="AM946" i="2"/>
  <c r="AM947" i="2"/>
  <c r="AM948" i="2"/>
  <c r="AM949" i="2"/>
  <c r="AM950" i="2"/>
  <c r="AM951" i="2"/>
  <c r="AM952" i="2"/>
  <c r="AM953" i="2"/>
  <c r="AM954" i="2"/>
  <c r="AM955" i="2"/>
  <c r="AM956" i="2"/>
  <c r="AM957" i="2"/>
  <c r="AM958" i="2"/>
  <c r="AM959" i="2"/>
  <c r="AM960" i="2"/>
  <c r="AM961" i="2"/>
  <c r="AM962" i="2"/>
  <c r="AM963" i="2"/>
  <c r="AM964" i="2"/>
  <c r="AM965" i="2"/>
  <c r="AM966" i="2"/>
  <c r="AM967" i="2"/>
  <c r="AM968" i="2"/>
  <c r="AM969" i="2"/>
  <c r="AM970" i="2"/>
  <c r="AM971" i="2"/>
  <c r="AM972" i="2"/>
  <c r="AM973" i="2"/>
  <c r="AM974" i="2"/>
  <c r="AM975" i="2"/>
  <c r="AM976" i="2"/>
  <c r="AM977" i="2"/>
  <c r="AM978" i="2"/>
  <c r="AM979" i="2"/>
  <c r="AM980" i="2"/>
  <c r="AM981" i="2"/>
  <c r="AM982" i="2"/>
  <c r="AM983" i="2"/>
  <c r="AM984" i="2"/>
  <c r="AM985" i="2"/>
  <c r="AM986" i="2"/>
  <c r="AM987" i="2"/>
  <c r="AM988" i="2"/>
  <c r="AM989" i="2"/>
  <c r="AM990" i="2"/>
  <c r="AM991" i="2"/>
  <c r="AM992" i="2"/>
  <c r="AM993" i="2"/>
  <c r="AM994" i="2"/>
  <c r="AM995" i="2"/>
  <c r="AM996" i="2"/>
  <c r="AM997" i="2"/>
  <c r="AM998" i="2"/>
  <c r="AM999" i="2"/>
  <c r="AM1000" i="2"/>
  <c r="AM1001" i="2"/>
  <c r="AM1002" i="2"/>
  <c r="AM1003" i="2"/>
  <c r="AM1004" i="2"/>
  <c r="AM1005" i="2"/>
  <c r="AM1006" i="2"/>
  <c r="AM1007" i="2"/>
  <c r="AM1008" i="2"/>
  <c r="AM1009" i="2"/>
  <c r="AM1010" i="2"/>
  <c r="AM1011" i="2"/>
  <c r="AM1012" i="2"/>
  <c r="AM1013" i="2"/>
  <c r="AM1014" i="2"/>
  <c r="AM1015" i="2"/>
  <c r="AM1016" i="2"/>
  <c r="AM1017" i="2"/>
  <c r="AM1018" i="2"/>
  <c r="AM1019" i="2"/>
  <c r="AM1020" i="2"/>
  <c r="AM1021" i="2"/>
  <c r="AM1022" i="2"/>
  <c r="AM1023" i="2"/>
  <c r="AM1024" i="2"/>
  <c r="AM1025" i="2"/>
  <c r="AM1026" i="2"/>
  <c r="AM1027" i="2"/>
  <c r="AM1028" i="2"/>
  <c r="AM1029" i="2"/>
  <c r="AM1030" i="2"/>
  <c r="AM1031" i="2"/>
  <c r="AM1032" i="2"/>
  <c r="AM1033" i="2"/>
  <c r="AM1034" i="2"/>
  <c r="AM1035" i="2"/>
  <c r="AM1036" i="2"/>
  <c r="AM1037" i="2"/>
  <c r="AM1038" i="2"/>
  <c r="AM1039" i="2"/>
  <c r="AM1040" i="2"/>
  <c r="AM1041" i="2"/>
  <c r="AM1042" i="2"/>
  <c r="AM1043" i="2"/>
  <c r="AM1044" i="2"/>
  <c r="AM1045" i="2"/>
  <c r="AM1046" i="2"/>
  <c r="AM1047" i="2"/>
  <c r="AM1048" i="2"/>
  <c r="AM1049" i="2"/>
  <c r="AM1050" i="2"/>
  <c r="AM1051" i="2"/>
  <c r="AM1052" i="2"/>
  <c r="AM1053" i="2"/>
  <c r="AM1054" i="2"/>
  <c r="AM1055" i="2"/>
  <c r="AM1056" i="2"/>
  <c r="AM1057" i="2"/>
  <c r="AM1058" i="2"/>
  <c r="AM1059" i="2"/>
  <c r="AM1060" i="2"/>
  <c r="AM1061" i="2"/>
  <c r="AM1062" i="2"/>
  <c r="AM1063" i="2"/>
  <c r="AM1064" i="2"/>
  <c r="AM1065" i="2"/>
  <c r="AM1066" i="2"/>
  <c r="AM1067" i="2"/>
  <c r="AM1068" i="2"/>
  <c r="AM1069" i="2"/>
  <c r="AM1070" i="2"/>
  <c r="AM1071" i="2"/>
  <c r="AM1072" i="2"/>
  <c r="AM1073" i="2"/>
  <c r="AM1074" i="2"/>
  <c r="AM1075" i="2"/>
  <c r="AM1076" i="2"/>
  <c r="AM1077" i="2"/>
  <c r="AM1078" i="2"/>
  <c r="AM1079" i="2"/>
  <c r="AM1080" i="2"/>
  <c r="AM1081" i="2"/>
  <c r="AM1082" i="2"/>
  <c r="AM1083" i="2"/>
  <c r="AM1084" i="2"/>
  <c r="AM1085" i="2"/>
  <c r="AM1086" i="2"/>
  <c r="AM1087" i="2"/>
  <c r="AM1088" i="2"/>
  <c r="AM1089" i="2"/>
  <c r="AM1090" i="2"/>
  <c r="AM1091" i="2"/>
  <c r="AM1092" i="2"/>
  <c r="AM1093" i="2"/>
  <c r="AM1094" i="2"/>
  <c r="AM1095" i="2"/>
  <c r="AM1096" i="2"/>
  <c r="AM1097" i="2"/>
  <c r="AM1098" i="2"/>
  <c r="AM1099" i="2"/>
  <c r="AM1100" i="2"/>
  <c r="AM1101" i="2"/>
  <c r="AM1102" i="2"/>
  <c r="AM1103" i="2"/>
  <c r="AM1104" i="2"/>
  <c r="AM1105" i="2"/>
  <c r="AM1106" i="2"/>
  <c r="AM1107" i="2"/>
  <c r="AM1108" i="2"/>
  <c r="AM1109" i="2"/>
  <c r="AM1110" i="2"/>
  <c r="AM1111" i="2"/>
  <c r="AM1112" i="2"/>
  <c r="AM1113" i="2"/>
  <c r="AM1114" i="2"/>
  <c r="AM1115" i="2"/>
  <c r="AM1116" i="2"/>
  <c r="AM1117" i="2"/>
  <c r="AM1118" i="2"/>
  <c r="AM1119" i="2"/>
  <c r="AM1120" i="2"/>
  <c r="AM1121" i="2"/>
  <c r="AM1122" i="2"/>
  <c r="AM1123" i="2"/>
  <c r="AM1124" i="2"/>
  <c r="AM1125" i="2"/>
  <c r="AM1126" i="2"/>
  <c r="AM1127" i="2"/>
  <c r="AM1128" i="2"/>
  <c r="AM1129" i="2"/>
  <c r="AM1130" i="2"/>
  <c r="AM1131" i="2"/>
  <c r="AM1132" i="2"/>
  <c r="AM1133" i="2"/>
  <c r="AM1134" i="2"/>
  <c r="AM1135" i="2"/>
  <c r="AM1136" i="2"/>
  <c r="AM1137" i="2"/>
  <c r="AM1138" i="2"/>
  <c r="AM1139" i="2"/>
  <c r="AM1140" i="2"/>
  <c r="AM1141" i="2"/>
  <c r="AM1142" i="2"/>
  <c r="AM1143" i="2"/>
  <c r="AM1144" i="2"/>
  <c r="AM1145" i="2"/>
  <c r="AM1146" i="2"/>
  <c r="AM1147" i="2"/>
  <c r="AM1148" i="2"/>
  <c r="AM1149" i="2"/>
  <c r="AM1150" i="2"/>
  <c r="AM1151" i="2"/>
  <c r="AM1152" i="2"/>
  <c r="AM1153" i="2"/>
  <c r="AM1154" i="2"/>
  <c r="AM1155" i="2"/>
  <c r="AM1156" i="2"/>
  <c r="AM1157" i="2"/>
  <c r="AM1158" i="2"/>
  <c r="AM1159" i="2"/>
  <c r="AM1160" i="2"/>
  <c r="AM1161" i="2"/>
  <c r="AM1162" i="2"/>
  <c r="AM1163" i="2"/>
  <c r="AM1164" i="2"/>
  <c r="AM1165" i="2"/>
  <c r="AM1166" i="2"/>
  <c r="AM1167" i="2"/>
  <c r="AM1168" i="2"/>
  <c r="AM1169" i="2"/>
  <c r="AM1170" i="2"/>
  <c r="AM1171" i="2"/>
  <c r="AM1172" i="2"/>
  <c r="AM1173" i="2"/>
  <c r="AM1174" i="2"/>
  <c r="AM1175" i="2"/>
  <c r="AM1176" i="2"/>
  <c r="AM1177" i="2"/>
  <c r="AM1178" i="2"/>
  <c r="AM1179" i="2"/>
  <c r="AM1180" i="2"/>
  <c r="AM1181" i="2"/>
  <c r="AM1182" i="2"/>
  <c r="AM1183" i="2"/>
  <c r="AM1184" i="2"/>
  <c r="AM1185" i="2"/>
  <c r="AM1186" i="2"/>
  <c r="AM1187" i="2"/>
  <c r="AM1188" i="2"/>
  <c r="AM1189" i="2"/>
  <c r="AM1190" i="2"/>
  <c r="AM1191" i="2"/>
  <c r="AM1192" i="2"/>
  <c r="AM1193" i="2"/>
  <c r="AM1194" i="2"/>
  <c r="AM1195" i="2"/>
  <c r="AM1196" i="2"/>
  <c r="AM1197" i="2"/>
  <c r="AM1198" i="2"/>
  <c r="AM1199" i="2"/>
  <c r="AM1200" i="2"/>
  <c r="AM1201" i="2"/>
  <c r="AM1202" i="2"/>
  <c r="AM1203" i="2"/>
  <c r="AM1204" i="2"/>
  <c r="AM1205" i="2"/>
  <c r="AM1206" i="2"/>
  <c r="AM1207" i="2"/>
  <c r="AM1208" i="2"/>
  <c r="AM1209" i="2"/>
  <c r="AM1210" i="2"/>
  <c r="AM1211" i="2"/>
  <c r="AM1212" i="2"/>
  <c r="AM1213" i="2"/>
  <c r="AM1214" i="2"/>
  <c r="AM1215" i="2"/>
  <c r="AM1216" i="2"/>
  <c r="AM1217" i="2"/>
  <c r="AM1218" i="2"/>
  <c r="AM1219" i="2"/>
  <c r="AM1220" i="2"/>
  <c r="AM1221" i="2"/>
  <c r="AM1222" i="2"/>
  <c r="AM1223" i="2"/>
  <c r="AM1224" i="2"/>
  <c r="AM1225" i="2"/>
  <c r="AM1226" i="2"/>
  <c r="AM1227" i="2"/>
  <c r="AM1228" i="2"/>
  <c r="AM1229" i="2"/>
  <c r="AM1230" i="2"/>
  <c r="AM1231" i="2"/>
  <c r="AM1232" i="2"/>
  <c r="AM1233" i="2"/>
  <c r="AM1234" i="2"/>
  <c r="AM1235" i="2"/>
  <c r="AM1236" i="2"/>
  <c r="AM1237" i="2"/>
  <c r="AM1238" i="2"/>
  <c r="AM1239" i="2"/>
  <c r="AM1240" i="2"/>
  <c r="AM1241" i="2"/>
  <c r="AM1242" i="2"/>
  <c r="AM1243" i="2"/>
  <c r="AM1244" i="2"/>
  <c r="AM1245" i="2"/>
  <c r="AM1246" i="2"/>
  <c r="AM1247" i="2"/>
  <c r="AM1248" i="2"/>
  <c r="AM1249" i="2"/>
  <c r="AM1250" i="2"/>
  <c r="AM1251" i="2"/>
  <c r="AM1252" i="2"/>
  <c r="AM1253" i="2"/>
  <c r="AM1254" i="2"/>
  <c r="AM1255" i="2"/>
  <c r="AM1256" i="2"/>
  <c r="AM1257" i="2"/>
  <c r="AM1258" i="2"/>
  <c r="AM1259" i="2"/>
  <c r="AM1260" i="2"/>
  <c r="AM1261" i="2"/>
  <c r="AM1262" i="2"/>
  <c r="AM1263" i="2"/>
  <c r="AM1264" i="2"/>
  <c r="AM1265" i="2"/>
  <c r="AM1266" i="2"/>
  <c r="AM1267" i="2"/>
  <c r="AM1268" i="2"/>
  <c r="AM1269" i="2"/>
  <c r="AM1270" i="2"/>
  <c r="AM1271" i="2"/>
  <c r="AM1272" i="2"/>
  <c r="AM1273" i="2"/>
  <c r="AM1274" i="2"/>
  <c r="AM1275" i="2"/>
  <c r="AM1276" i="2"/>
  <c r="AM1277" i="2"/>
  <c r="AM1278" i="2"/>
  <c r="AM1279" i="2"/>
  <c r="AM1280" i="2"/>
  <c r="AM1281" i="2"/>
  <c r="AM1282" i="2"/>
  <c r="AM1283" i="2"/>
  <c r="AM1284" i="2"/>
  <c r="AM1285" i="2"/>
  <c r="AM1286" i="2"/>
  <c r="AM1287" i="2"/>
  <c r="AM1288" i="2"/>
  <c r="AM1289" i="2"/>
  <c r="AM1290" i="2"/>
  <c r="AM1291" i="2"/>
  <c r="AM1292" i="2"/>
  <c r="AM1293" i="2"/>
  <c r="AM1294" i="2"/>
  <c r="AM1295" i="2"/>
  <c r="AM1296" i="2"/>
  <c r="AM1297" i="2"/>
  <c r="AM1298" i="2"/>
  <c r="AM1299" i="2"/>
  <c r="AM1300" i="2"/>
  <c r="AM1301" i="2"/>
  <c r="AM1302" i="2"/>
  <c r="AM1303" i="2"/>
  <c r="AM1304" i="2"/>
  <c r="AM1305" i="2"/>
  <c r="AM1306" i="2"/>
  <c r="AM1307" i="2"/>
  <c r="AM1308" i="2"/>
  <c r="AM1309" i="2"/>
  <c r="AM1310" i="2"/>
  <c r="AM1311" i="2"/>
  <c r="AM1312" i="2"/>
  <c r="AM1313" i="2"/>
  <c r="AM1314" i="2"/>
  <c r="AM1315" i="2"/>
  <c r="AM1316" i="2"/>
  <c r="AM1317" i="2"/>
  <c r="AM1318" i="2"/>
  <c r="AM1319" i="2"/>
  <c r="AM1320" i="2"/>
  <c r="AM1321" i="2"/>
  <c r="AM1322" i="2"/>
  <c r="AM1323" i="2"/>
  <c r="AM1324" i="2"/>
  <c r="AM1325" i="2"/>
  <c r="AM1326" i="2"/>
  <c r="AM1327" i="2"/>
  <c r="AM1328" i="2"/>
  <c r="AM1329" i="2"/>
  <c r="AM1330" i="2"/>
  <c r="AM1331" i="2"/>
  <c r="AM1332" i="2"/>
  <c r="AM1333" i="2"/>
  <c r="AM1334" i="2"/>
  <c r="AM1335" i="2"/>
  <c r="AM1336" i="2"/>
  <c r="AM1337" i="2"/>
  <c r="AM1338" i="2"/>
  <c r="AM1339" i="2"/>
  <c r="AM1340" i="2"/>
  <c r="AM1341" i="2"/>
  <c r="AM1342" i="2"/>
  <c r="AM1343" i="2"/>
  <c r="AM1344" i="2"/>
  <c r="AM1345" i="2"/>
  <c r="AM1346" i="2"/>
  <c r="AM1347" i="2"/>
  <c r="AM1348" i="2"/>
  <c r="AM1349" i="2"/>
  <c r="AM1350" i="2"/>
  <c r="AM1351" i="2"/>
  <c r="AM1352" i="2"/>
  <c r="AM1353" i="2"/>
  <c r="AM1354" i="2"/>
  <c r="AM1355" i="2"/>
  <c r="AM1356" i="2"/>
  <c r="AM1357" i="2"/>
  <c r="AM1358" i="2"/>
  <c r="AM1359" i="2"/>
  <c r="AM1360" i="2"/>
  <c r="AM1361" i="2"/>
  <c r="AM1362" i="2"/>
  <c r="AM1363" i="2"/>
  <c r="AM1364" i="2"/>
  <c r="AM1365" i="2"/>
  <c r="AM1366" i="2"/>
  <c r="AM1367" i="2"/>
  <c r="AM1368" i="2"/>
  <c r="AM1369" i="2"/>
  <c r="AM1370" i="2"/>
  <c r="AM1371" i="2"/>
  <c r="AM1372" i="2"/>
  <c r="AM1373" i="2"/>
  <c r="AM1374" i="2"/>
  <c r="AM1375" i="2"/>
  <c r="AM1376" i="2"/>
  <c r="AM1377" i="2"/>
  <c r="AM1378" i="2"/>
  <c r="AM1379" i="2"/>
  <c r="AM1380" i="2"/>
  <c r="AM1381" i="2"/>
  <c r="AM1382" i="2"/>
  <c r="AM1383" i="2"/>
  <c r="AM1384" i="2"/>
  <c r="AM1385" i="2"/>
  <c r="AM1386" i="2"/>
  <c r="AM1387" i="2"/>
  <c r="AM1388" i="2"/>
  <c r="AM1389" i="2"/>
  <c r="AM1390" i="2"/>
  <c r="AM1391" i="2"/>
  <c r="AM1392" i="2"/>
  <c r="AM1393" i="2"/>
  <c r="AM1394" i="2"/>
  <c r="AM1395" i="2"/>
  <c r="AM1396" i="2"/>
  <c r="AM1397" i="2"/>
  <c r="AM1398" i="2"/>
  <c r="AM1399" i="2"/>
  <c r="AM1400" i="2"/>
  <c r="AM1401" i="2"/>
  <c r="AM1402" i="2"/>
  <c r="AM1403" i="2"/>
  <c r="AM1404" i="2"/>
  <c r="AM1405" i="2"/>
  <c r="AM1406" i="2"/>
  <c r="AM1407" i="2"/>
  <c r="AM1408" i="2"/>
  <c r="AM1409" i="2"/>
  <c r="AM1410" i="2"/>
  <c r="AM1411" i="2"/>
  <c r="AM1412" i="2"/>
  <c r="AM1413" i="2"/>
  <c r="AM1414" i="2"/>
  <c r="AM1415" i="2"/>
  <c r="AM1416" i="2"/>
  <c r="AM1417" i="2"/>
  <c r="AM1418" i="2"/>
  <c r="AM1419" i="2"/>
  <c r="AM1420" i="2"/>
  <c r="AM1421" i="2"/>
  <c r="AM1422" i="2"/>
  <c r="AM1423" i="2"/>
  <c r="AM1424" i="2"/>
  <c r="AM1425" i="2"/>
  <c r="AM1426" i="2"/>
  <c r="AM1427" i="2"/>
  <c r="AM1428" i="2"/>
  <c r="AM1429" i="2"/>
  <c r="AM1430" i="2"/>
  <c r="AM1431" i="2"/>
  <c r="AM1432" i="2"/>
  <c r="AM1433" i="2"/>
  <c r="AM1434" i="2"/>
  <c r="AM1435" i="2"/>
  <c r="AM1436" i="2"/>
  <c r="AM1437" i="2"/>
  <c r="AM1438" i="2"/>
  <c r="AM1439" i="2"/>
  <c r="AM1440" i="2"/>
  <c r="AM1441" i="2"/>
  <c r="AM1442" i="2"/>
  <c r="AM1443" i="2"/>
  <c r="AM1444" i="2"/>
  <c r="AM1445" i="2"/>
  <c r="AM1446" i="2"/>
  <c r="AM1447" i="2"/>
  <c r="AM1448" i="2"/>
  <c r="AM1449" i="2"/>
  <c r="AM1450" i="2"/>
  <c r="AM1451" i="2"/>
  <c r="AM1452" i="2"/>
  <c r="AM1453" i="2"/>
  <c r="AM1454" i="2"/>
  <c r="AM1455" i="2"/>
  <c r="AM1456" i="2"/>
  <c r="AM1457" i="2"/>
  <c r="AM1458" i="2"/>
  <c r="AM1459" i="2"/>
  <c r="AM1460" i="2"/>
  <c r="AM1461" i="2"/>
  <c r="AM1462" i="2"/>
  <c r="AM1463" i="2"/>
  <c r="AM1464" i="2"/>
  <c r="AM1465" i="2"/>
  <c r="AM1466" i="2"/>
  <c r="AM1467" i="2"/>
  <c r="AM1468" i="2"/>
  <c r="AM1469" i="2"/>
  <c r="AM1470" i="2"/>
  <c r="AM1471" i="2"/>
  <c r="AM1472" i="2"/>
  <c r="AM1473" i="2"/>
  <c r="AM1474" i="2"/>
  <c r="AM1475" i="2"/>
  <c r="AM1476" i="2"/>
  <c r="AM1477" i="2"/>
  <c r="AM1478" i="2"/>
  <c r="AM1479" i="2"/>
  <c r="AM1480" i="2"/>
  <c r="AM1481" i="2"/>
  <c r="AM1482" i="2"/>
  <c r="AM1483" i="2"/>
  <c r="AM1484" i="2"/>
  <c r="AM1485" i="2"/>
  <c r="AM1486" i="2"/>
  <c r="AM1487" i="2"/>
  <c r="AM1488" i="2"/>
  <c r="AM1489" i="2"/>
  <c r="AM1490" i="2"/>
  <c r="AM1491" i="2"/>
  <c r="AM1492" i="2"/>
  <c r="AM1493" i="2"/>
  <c r="AM1494" i="2"/>
  <c r="AM1495" i="2"/>
  <c r="AM1496" i="2"/>
  <c r="AM1497" i="2"/>
  <c r="AM1498" i="2"/>
  <c r="AM1499" i="2"/>
  <c r="AM1500" i="2"/>
  <c r="AM1501" i="2"/>
  <c r="AM1502" i="2"/>
  <c r="AM1503" i="2"/>
  <c r="AM1504" i="2"/>
  <c r="AM1505" i="2"/>
  <c r="AM1506" i="2"/>
  <c r="AM1507" i="2"/>
  <c r="AM1508" i="2"/>
  <c r="AM1509" i="2"/>
  <c r="AM1510" i="2"/>
  <c r="AM1511" i="2"/>
  <c r="AM1512" i="2"/>
  <c r="AM1513" i="2"/>
  <c r="AM1514" i="2"/>
  <c r="AM1515" i="2"/>
  <c r="AM1516" i="2"/>
  <c r="AM1517" i="2"/>
  <c r="AM1518" i="2"/>
  <c r="AM1519" i="2"/>
  <c r="AM1520" i="2"/>
  <c r="AM1521" i="2"/>
  <c r="AM1522" i="2"/>
  <c r="AM1523" i="2"/>
  <c r="AM1524" i="2"/>
  <c r="AM1525" i="2"/>
  <c r="AM1526" i="2"/>
  <c r="AM1527" i="2"/>
  <c r="AM1528" i="2"/>
  <c r="AM1529" i="2"/>
  <c r="AM1530" i="2"/>
  <c r="AM1531" i="2"/>
  <c r="AM1532" i="2"/>
  <c r="AM1533" i="2"/>
  <c r="AM1534" i="2"/>
  <c r="AM1535" i="2"/>
  <c r="AM1536" i="2"/>
  <c r="AM1537" i="2"/>
  <c r="AM1538" i="2"/>
  <c r="AM1539" i="2"/>
  <c r="AM1540" i="2"/>
  <c r="AM1541" i="2"/>
  <c r="AM1542" i="2"/>
  <c r="AM1543" i="2"/>
  <c r="AM1544" i="2"/>
  <c r="AM1545" i="2"/>
  <c r="AM1546" i="2"/>
  <c r="AM1547" i="2"/>
  <c r="AM1548" i="2"/>
  <c r="AM1549" i="2"/>
  <c r="AM1550" i="2"/>
  <c r="AM1551" i="2"/>
  <c r="AM1552" i="2"/>
  <c r="AM1553" i="2"/>
  <c r="AM1554" i="2"/>
  <c r="AM1555" i="2"/>
  <c r="AM1556" i="2"/>
  <c r="AM1557" i="2"/>
  <c r="AM1558" i="2"/>
  <c r="AM1559" i="2"/>
  <c r="AM1560" i="2"/>
  <c r="AM1561" i="2"/>
  <c r="AM1562" i="2"/>
  <c r="AM1563" i="2"/>
  <c r="AM1564" i="2"/>
  <c r="AM1565" i="2"/>
  <c r="AM1566" i="2"/>
  <c r="AM1567" i="2"/>
  <c r="AM1568" i="2"/>
  <c r="AM1569" i="2"/>
  <c r="AM1570" i="2"/>
  <c r="AM1571" i="2"/>
  <c r="AM1572" i="2"/>
  <c r="AM1573" i="2"/>
  <c r="AM1574" i="2"/>
  <c r="AM1575" i="2"/>
  <c r="AM1576" i="2"/>
  <c r="AM1577" i="2"/>
  <c r="AM1578" i="2"/>
  <c r="AM1579" i="2"/>
  <c r="AM1580" i="2"/>
  <c r="AM1581" i="2"/>
  <c r="AM1582" i="2"/>
  <c r="AM1583" i="2"/>
  <c r="AM1584" i="2"/>
  <c r="AM1585" i="2"/>
  <c r="AM1586" i="2"/>
  <c r="AM1587" i="2"/>
  <c r="AM1588" i="2"/>
  <c r="AM1589" i="2"/>
  <c r="AM1590" i="2"/>
  <c r="AM1591" i="2"/>
  <c r="AM1592" i="2"/>
  <c r="AM1593" i="2"/>
  <c r="AM1594" i="2"/>
  <c r="AM1595" i="2"/>
  <c r="AM1596" i="2"/>
  <c r="AM1597" i="2"/>
  <c r="AM1598" i="2"/>
  <c r="AM1599" i="2"/>
  <c r="AM1600" i="2"/>
  <c r="AM1601" i="2"/>
  <c r="AM1602" i="2"/>
  <c r="AM1603" i="2"/>
  <c r="AM1604" i="2"/>
  <c r="AM1605" i="2"/>
  <c r="AM1606" i="2"/>
  <c r="AM1607" i="2"/>
  <c r="AM1608" i="2"/>
  <c r="AM1609" i="2"/>
  <c r="AM1610" i="2"/>
  <c r="AM1611" i="2"/>
  <c r="AM1612" i="2"/>
  <c r="AM1613" i="2"/>
  <c r="AM1614" i="2"/>
  <c r="AM1615" i="2"/>
  <c r="AM1616" i="2"/>
  <c r="AM1617" i="2"/>
  <c r="AM1618" i="2"/>
  <c r="AM1619" i="2"/>
  <c r="AM1620" i="2"/>
  <c r="AM1621" i="2"/>
  <c r="AM1622" i="2"/>
  <c r="AM1623" i="2"/>
  <c r="AM1624" i="2"/>
  <c r="AM1625" i="2"/>
  <c r="AM1626" i="2"/>
  <c r="AM1627" i="2"/>
  <c r="AM1628" i="2"/>
  <c r="AM1629" i="2"/>
  <c r="AM1630" i="2"/>
  <c r="AM1631" i="2"/>
  <c r="AM1632" i="2"/>
  <c r="AM1633" i="2"/>
  <c r="AM1634" i="2"/>
  <c r="AM1635" i="2"/>
  <c r="AM1636" i="2"/>
  <c r="AM1637" i="2"/>
  <c r="AM1638" i="2"/>
  <c r="AM1639" i="2"/>
  <c r="AM1640" i="2"/>
  <c r="AM1641" i="2"/>
  <c r="AM1642" i="2"/>
  <c r="AM1643" i="2"/>
  <c r="AM1644" i="2"/>
  <c r="AM1645" i="2"/>
  <c r="AM1646" i="2"/>
  <c r="AM1647" i="2"/>
  <c r="AM1648" i="2"/>
  <c r="AM1649" i="2"/>
  <c r="AM1650" i="2"/>
  <c r="AM1651" i="2"/>
  <c r="AM1652" i="2"/>
  <c r="AM1653" i="2"/>
  <c r="AM1654" i="2"/>
  <c r="AM1655" i="2"/>
  <c r="AM1656" i="2"/>
  <c r="AM1657" i="2"/>
  <c r="AM1658" i="2"/>
  <c r="AM1659" i="2"/>
  <c r="AM1660" i="2"/>
  <c r="AM1661" i="2"/>
  <c r="AM1662" i="2"/>
  <c r="AM1663" i="2"/>
  <c r="AM1664" i="2"/>
  <c r="AM1665" i="2"/>
  <c r="AM1666" i="2"/>
  <c r="AM1667" i="2"/>
  <c r="AM1668" i="2"/>
  <c r="AM1669" i="2"/>
  <c r="AM1670" i="2"/>
  <c r="AM1671" i="2"/>
  <c r="AM1672" i="2"/>
  <c r="AM1673" i="2"/>
  <c r="AM1674" i="2"/>
  <c r="AM1675" i="2"/>
  <c r="AM1676" i="2"/>
  <c r="AM1677" i="2"/>
  <c r="AM1678" i="2"/>
  <c r="AM1679" i="2"/>
  <c r="AM1680" i="2"/>
  <c r="AM1681" i="2"/>
  <c r="AM1682" i="2"/>
  <c r="AM1683" i="2"/>
  <c r="AM1684" i="2"/>
  <c r="AM1685" i="2"/>
  <c r="AM1686" i="2"/>
  <c r="AM1687" i="2"/>
  <c r="AM1688" i="2"/>
  <c r="AM1689" i="2"/>
  <c r="AM1690" i="2"/>
  <c r="AM1691" i="2"/>
  <c r="AM1692" i="2"/>
  <c r="AM1693" i="2"/>
  <c r="AM1694" i="2"/>
  <c r="AM1695" i="2"/>
  <c r="AM1696" i="2"/>
  <c r="AM1697" i="2"/>
  <c r="AM1698" i="2"/>
  <c r="AM1699" i="2"/>
  <c r="AM1700" i="2"/>
  <c r="AM1701" i="2"/>
  <c r="AM1702" i="2"/>
  <c r="AM1703" i="2"/>
  <c r="AM1704" i="2"/>
  <c r="AM1705" i="2"/>
  <c r="AM1706" i="2"/>
  <c r="AM1707" i="2"/>
  <c r="AM1708" i="2"/>
  <c r="AM1709" i="2"/>
  <c r="AM1710" i="2"/>
  <c r="AM1711" i="2"/>
  <c r="AM1712" i="2"/>
  <c r="AM1713" i="2"/>
  <c r="AM1714" i="2"/>
  <c r="AM1715" i="2"/>
  <c r="AM1716" i="2"/>
  <c r="AM1717" i="2"/>
  <c r="AM1718" i="2"/>
  <c r="AM1719" i="2"/>
  <c r="AM1720" i="2"/>
  <c r="AM1721" i="2"/>
  <c r="AM1722" i="2"/>
  <c r="AM1723" i="2"/>
  <c r="AM1724" i="2"/>
  <c r="AM1725" i="2"/>
  <c r="AM1726" i="2"/>
  <c r="AM1727" i="2"/>
  <c r="AM1728" i="2"/>
  <c r="AM1729" i="2"/>
  <c r="AM1730" i="2"/>
  <c r="AM1731" i="2"/>
  <c r="AM1732" i="2"/>
  <c r="AM1733" i="2"/>
  <c r="AM1734" i="2"/>
  <c r="AM1735" i="2"/>
  <c r="AM1736" i="2"/>
  <c r="AM1737" i="2"/>
  <c r="AM1738" i="2"/>
  <c r="AM1739" i="2"/>
  <c r="AM1740" i="2"/>
  <c r="AM1741" i="2"/>
  <c r="AM1742" i="2"/>
  <c r="AM1743" i="2"/>
  <c r="AM1744" i="2"/>
  <c r="AM1745" i="2"/>
  <c r="AM1746" i="2"/>
  <c r="AM1747" i="2"/>
  <c r="AM1748" i="2"/>
  <c r="AM1749" i="2"/>
  <c r="AM1750" i="2"/>
  <c r="AM1751" i="2"/>
  <c r="AM1752" i="2"/>
  <c r="AM1753" i="2"/>
  <c r="AM1754" i="2"/>
  <c r="AM1755" i="2"/>
  <c r="AM1756" i="2"/>
  <c r="AM1757" i="2"/>
  <c r="AM1758" i="2"/>
  <c r="AM1759" i="2"/>
  <c r="AM1760" i="2"/>
  <c r="AM1761" i="2"/>
  <c r="AM1762" i="2"/>
  <c r="AM1763" i="2"/>
  <c r="AM1764" i="2"/>
  <c r="AM1765" i="2"/>
  <c r="AM1766" i="2"/>
  <c r="AM1767" i="2"/>
  <c r="AM1768" i="2"/>
  <c r="AM1769" i="2"/>
  <c r="AM1770" i="2"/>
  <c r="AM1771" i="2"/>
  <c r="AM1772" i="2"/>
  <c r="AM1773" i="2"/>
  <c r="AM1774" i="2"/>
  <c r="AM1775" i="2"/>
  <c r="AM1776" i="2"/>
  <c r="AM1777" i="2"/>
  <c r="AM1778" i="2"/>
  <c r="AM1779" i="2"/>
  <c r="AM1780" i="2"/>
  <c r="AM1781" i="2"/>
  <c r="AM1782" i="2"/>
  <c r="AM1783" i="2"/>
  <c r="AM1784" i="2"/>
  <c r="AM1785" i="2"/>
  <c r="AM1786" i="2"/>
  <c r="AM1787" i="2"/>
  <c r="AM1788" i="2"/>
  <c r="AM1789" i="2"/>
  <c r="AM1790" i="2"/>
  <c r="AM1791" i="2"/>
  <c r="AM1792" i="2"/>
  <c r="AM1793" i="2"/>
  <c r="AM1794" i="2"/>
  <c r="AM1795" i="2"/>
  <c r="AM1796" i="2"/>
  <c r="AM1797" i="2"/>
  <c r="AM1798" i="2"/>
  <c r="AM1799" i="2"/>
  <c r="AM1800" i="2"/>
  <c r="AM1801" i="2"/>
  <c r="AM1802" i="2"/>
  <c r="AM1803" i="2"/>
  <c r="AM1804" i="2"/>
  <c r="AM1805" i="2"/>
  <c r="AM1806" i="2"/>
  <c r="AM1807" i="2"/>
  <c r="AM1808" i="2"/>
  <c r="AM1809" i="2"/>
  <c r="AM1810" i="2"/>
  <c r="AM1811" i="2"/>
  <c r="AM1812" i="2"/>
  <c r="AM1813" i="2"/>
  <c r="AM1814" i="2"/>
  <c r="AM1815" i="2"/>
  <c r="AM1816" i="2"/>
  <c r="AM1817" i="2"/>
  <c r="AM1818" i="2"/>
  <c r="AM1819" i="2"/>
  <c r="AM1820" i="2"/>
  <c r="AM1821" i="2"/>
  <c r="AM1822" i="2"/>
  <c r="AM1823" i="2"/>
  <c r="AM1824" i="2"/>
  <c r="AM1825" i="2"/>
  <c r="AM1826" i="2"/>
  <c r="AM1827" i="2"/>
  <c r="AM1828" i="2"/>
  <c r="AM1829" i="2"/>
  <c r="AM1830" i="2"/>
  <c r="AM1831" i="2"/>
  <c r="AM1832" i="2"/>
  <c r="AM1833" i="2"/>
  <c r="AM1834" i="2"/>
  <c r="AM1835" i="2"/>
  <c r="AM1836" i="2"/>
  <c r="AM1837" i="2"/>
  <c r="AM1838" i="2"/>
  <c r="AM1839" i="2"/>
  <c r="AM1840" i="2"/>
  <c r="AM1841" i="2"/>
  <c r="AM1842" i="2"/>
  <c r="AM1843" i="2"/>
  <c r="AM1844" i="2"/>
  <c r="AM1845" i="2"/>
  <c r="AM1846" i="2"/>
  <c r="AM1847" i="2"/>
  <c r="AM1848" i="2"/>
  <c r="AM1849" i="2"/>
  <c r="AM1850" i="2"/>
  <c r="AM1851" i="2"/>
  <c r="AM1852" i="2"/>
  <c r="AM1853" i="2"/>
  <c r="AM1854" i="2"/>
  <c r="AM1855" i="2"/>
  <c r="AM1856" i="2"/>
  <c r="AM1857" i="2"/>
  <c r="AM1858" i="2"/>
  <c r="AM1859" i="2"/>
  <c r="AM1860" i="2"/>
  <c r="AM1861" i="2"/>
  <c r="AM1862" i="2"/>
  <c r="AM1863" i="2"/>
  <c r="AM1864" i="2"/>
  <c r="AM1865" i="2"/>
  <c r="AM1866" i="2"/>
  <c r="AM1867" i="2"/>
  <c r="AM1868" i="2"/>
  <c r="AM1869" i="2"/>
  <c r="AM1870" i="2"/>
  <c r="AM1871" i="2"/>
  <c r="AM1872" i="2"/>
  <c r="AM1873" i="2"/>
  <c r="AM1874" i="2"/>
  <c r="AM1875" i="2"/>
  <c r="AM1876" i="2"/>
  <c r="AM1877" i="2"/>
  <c r="AM1878" i="2"/>
  <c r="AM1879" i="2"/>
  <c r="AM1880" i="2"/>
  <c r="AM1881" i="2"/>
  <c r="AM1882" i="2"/>
  <c r="AM1883" i="2"/>
  <c r="AM1884" i="2"/>
  <c r="AM1885" i="2"/>
  <c r="AM1886" i="2"/>
  <c r="AM1887" i="2"/>
  <c r="AM1888" i="2"/>
  <c r="AM1889" i="2"/>
  <c r="AM1890" i="2"/>
  <c r="AM1891" i="2"/>
  <c r="AM1892" i="2"/>
  <c r="AM1893" i="2"/>
  <c r="AM1894" i="2"/>
  <c r="AM1895" i="2"/>
  <c r="AM1896" i="2"/>
  <c r="AM1897" i="2"/>
  <c r="AM1898" i="2"/>
  <c r="AM1899" i="2"/>
  <c r="AM1900" i="2"/>
  <c r="AM1901" i="2"/>
  <c r="AM1902" i="2"/>
  <c r="AM1903" i="2"/>
  <c r="AM1904" i="2"/>
  <c r="AM1905" i="2"/>
  <c r="AM1906" i="2"/>
  <c r="AM1907" i="2"/>
  <c r="AM1908" i="2"/>
  <c r="AM1909" i="2"/>
  <c r="AM1910" i="2"/>
  <c r="AM1911" i="2"/>
  <c r="AM1912" i="2"/>
  <c r="AM1913" i="2"/>
  <c r="AM1914" i="2"/>
  <c r="AM1915" i="2"/>
  <c r="AM1916" i="2"/>
  <c r="AM1917" i="2"/>
  <c r="AM1918" i="2"/>
  <c r="AM1919" i="2"/>
  <c r="AM1920" i="2"/>
  <c r="AM1921" i="2"/>
  <c r="AM1922" i="2"/>
  <c r="AM1923" i="2"/>
  <c r="AM1924" i="2"/>
  <c r="AM1925" i="2"/>
  <c r="AM1926" i="2"/>
  <c r="AM1927" i="2"/>
  <c r="AM1928" i="2"/>
  <c r="AM1929" i="2"/>
  <c r="AM1930" i="2"/>
  <c r="AM1931" i="2"/>
  <c r="AM1932" i="2"/>
  <c r="AM1933" i="2"/>
  <c r="AM1934" i="2"/>
  <c r="AM1935" i="2"/>
  <c r="AM1936" i="2"/>
  <c r="AM1937" i="2"/>
  <c r="AM1938" i="2"/>
  <c r="AM1939" i="2"/>
  <c r="AM1940" i="2"/>
  <c r="AM1941" i="2"/>
  <c r="AM1942" i="2"/>
  <c r="AM1943" i="2"/>
  <c r="AM1944" i="2"/>
  <c r="AM1945" i="2"/>
  <c r="AM1946" i="2"/>
  <c r="AM1947" i="2"/>
  <c r="AM1948" i="2"/>
  <c r="AM1949" i="2"/>
  <c r="AM1950" i="2"/>
  <c r="AM1951" i="2"/>
  <c r="AM1952" i="2"/>
  <c r="AM1953" i="2"/>
  <c r="AM1954" i="2"/>
  <c r="AM1955" i="2"/>
  <c r="AM1956" i="2"/>
  <c r="AM1957" i="2"/>
  <c r="AM1958" i="2"/>
  <c r="AM1959" i="2"/>
  <c r="AM1960" i="2"/>
  <c r="AM1961" i="2"/>
  <c r="AM1962" i="2"/>
  <c r="AM1963" i="2"/>
  <c r="AM1964" i="2"/>
  <c r="AM1965" i="2"/>
  <c r="AM1966" i="2"/>
  <c r="AM1967" i="2"/>
  <c r="AM1968" i="2"/>
  <c r="AM1969" i="2"/>
  <c r="AM1970" i="2"/>
  <c r="AM1971" i="2"/>
  <c r="AM1972" i="2"/>
  <c r="AM1973" i="2"/>
  <c r="AM1974" i="2"/>
  <c r="AM1975" i="2"/>
  <c r="AM1976" i="2"/>
  <c r="AM1977" i="2"/>
  <c r="AM1978" i="2"/>
  <c r="AM1979" i="2"/>
  <c r="AM1980" i="2"/>
  <c r="AM1981" i="2"/>
  <c r="AM1982" i="2"/>
  <c r="AM1983" i="2"/>
  <c r="AM1984" i="2"/>
  <c r="AM1985" i="2"/>
  <c r="AM1986" i="2"/>
  <c r="AM1987" i="2"/>
  <c r="AM1988" i="2"/>
  <c r="AM1989" i="2"/>
  <c r="AM1990" i="2"/>
  <c r="AM1991" i="2"/>
  <c r="AM1992" i="2"/>
  <c r="AP3" i="2"/>
  <c r="AP4" i="2"/>
  <c r="AP5" i="2"/>
  <c r="AP6" i="2"/>
  <c r="AP7" i="2"/>
  <c r="AP8" i="2"/>
  <c r="AP9" i="2"/>
  <c r="AP10" i="2"/>
  <c r="AP11" i="2"/>
  <c r="AP12" i="2"/>
  <c r="AP13" i="2"/>
  <c r="AP14" i="2"/>
  <c r="AP15" i="2"/>
  <c r="AP16" i="2"/>
  <c r="AP17" i="2"/>
  <c r="AP18" i="2"/>
  <c r="AP19" i="2"/>
  <c r="AP20" i="2"/>
  <c r="AP21" i="2"/>
  <c r="AP22" i="2"/>
  <c r="AP23" i="2"/>
  <c r="AP24" i="2"/>
  <c r="AP25" i="2"/>
  <c r="AP26" i="2"/>
  <c r="AP27" i="2"/>
  <c r="AP28" i="2"/>
  <c r="AP29" i="2"/>
  <c r="AP30" i="2"/>
  <c r="AP31" i="2"/>
  <c r="AP32" i="2"/>
  <c r="AP33" i="2"/>
  <c r="AP34" i="2"/>
  <c r="AP35" i="2"/>
  <c r="AP36" i="2"/>
  <c r="AP37" i="2"/>
  <c r="AP38" i="2"/>
  <c r="AP39" i="2"/>
  <c r="AP40" i="2"/>
  <c r="AP41" i="2"/>
  <c r="AP42" i="2"/>
  <c r="AP43" i="2"/>
  <c r="AP44" i="2"/>
  <c r="AP45" i="2"/>
  <c r="AP46" i="2"/>
  <c r="AP47" i="2"/>
  <c r="AP48" i="2"/>
  <c r="AP49" i="2"/>
  <c r="AP50" i="2"/>
  <c r="AP51" i="2"/>
  <c r="AP52" i="2"/>
  <c r="AP53" i="2"/>
  <c r="AP54" i="2"/>
  <c r="AP55" i="2"/>
  <c r="AP56" i="2"/>
  <c r="AP57" i="2"/>
  <c r="AP58" i="2"/>
  <c r="AP59" i="2"/>
  <c r="AP60" i="2"/>
  <c r="AP61" i="2"/>
  <c r="AP62" i="2"/>
  <c r="AP63" i="2"/>
  <c r="AP64" i="2"/>
  <c r="AP65" i="2"/>
  <c r="AP66" i="2"/>
  <c r="AP67" i="2"/>
  <c r="AP68" i="2"/>
  <c r="AP69" i="2"/>
  <c r="AP70" i="2"/>
  <c r="AP71" i="2"/>
  <c r="AP72" i="2"/>
  <c r="AP73" i="2"/>
  <c r="AP74" i="2"/>
  <c r="AP75" i="2"/>
  <c r="AP76" i="2"/>
  <c r="AP77" i="2"/>
  <c r="AP78" i="2"/>
  <c r="AP79" i="2"/>
  <c r="AP80" i="2"/>
  <c r="AP81" i="2"/>
  <c r="AP82" i="2"/>
  <c r="AP83" i="2"/>
  <c r="AP84" i="2"/>
  <c r="AP85" i="2"/>
  <c r="AP86" i="2"/>
  <c r="AP87" i="2"/>
  <c r="AP88" i="2"/>
  <c r="AP89" i="2"/>
  <c r="AP90" i="2"/>
  <c r="AP91" i="2"/>
  <c r="AP92" i="2"/>
  <c r="AP93" i="2"/>
  <c r="AP94" i="2"/>
  <c r="AP95" i="2"/>
  <c r="AP96" i="2"/>
  <c r="AP97" i="2"/>
  <c r="AP98" i="2"/>
  <c r="AP99" i="2"/>
  <c r="AP100" i="2"/>
  <c r="AP101" i="2"/>
  <c r="AP102" i="2"/>
  <c r="AP103" i="2"/>
  <c r="AP104" i="2"/>
  <c r="AP105" i="2"/>
  <c r="AP106" i="2"/>
  <c r="AP107" i="2"/>
  <c r="AP108" i="2"/>
  <c r="AP109" i="2"/>
  <c r="AP110" i="2"/>
  <c r="AP111" i="2"/>
  <c r="AP112" i="2"/>
  <c r="AP113" i="2"/>
  <c r="AP114" i="2"/>
  <c r="AP115" i="2"/>
  <c r="AP116" i="2"/>
  <c r="AP117" i="2"/>
  <c r="AP118" i="2"/>
  <c r="AP119" i="2"/>
  <c r="AP120" i="2"/>
  <c r="AP121" i="2"/>
  <c r="AP122" i="2"/>
  <c r="AP123" i="2"/>
  <c r="AP124" i="2"/>
  <c r="AP125" i="2"/>
  <c r="AP126" i="2"/>
  <c r="AP127" i="2"/>
  <c r="AP128" i="2"/>
  <c r="AP129" i="2"/>
  <c r="AP130" i="2"/>
  <c r="AP131" i="2"/>
  <c r="AP132" i="2"/>
  <c r="AP133" i="2"/>
  <c r="AP134" i="2"/>
  <c r="AP135" i="2"/>
  <c r="AP136" i="2"/>
  <c r="AP137" i="2"/>
  <c r="AP138" i="2"/>
  <c r="AP139" i="2"/>
  <c r="AP140" i="2"/>
  <c r="AP141" i="2"/>
  <c r="AP142" i="2"/>
  <c r="AP143" i="2"/>
  <c r="AP144" i="2"/>
  <c r="AP145" i="2"/>
  <c r="AP146" i="2"/>
  <c r="AP147" i="2"/>
  <c r="AP148" i="2"/>
  <c r="AP149" i="2"/>
  <c r="AP150" i="2"/>
  <c r="AP151" i="2"/>
  <c r="AP152" i="2"/>
  <c r="AP153" i="2"/>
  <c r="AP154" i="2"/>
  <c r="AP155" i="2"/>
  <c r="AP156" i="2"/>
  <c r="AP157" i="2"/>
  <c r="AP158" i="2"/>
  <c r="AP159" i="2"/>
  <c r="AP160" i="2"/>
  <c r="AP161" i="2"/>
  <c r="AP162" i="2"/>
  <c r="AP163" i="2"/>
  <c r="AP164" i="2"/>
  <c r="AP165" i="2"/>
  <c r="AP166" i="2"/>
  <c r="AP167" i="2"/>
  <c r="AP168" i="2"/>
  <c r="AP169" i="2"/>
  <c r="AP170" i="2"/>
  <c r="AP171" i="2"/>
  <c r="AP172" i="2"/>
  <c r="AP173" i="2"/>
  <c r="AP174" i="2"/>
  <c r="AP175" i="2"/>
  <c r="AP176" i="2"/>
  <c r="AP177" i="2"/>
  <c r="AP178" i="2"/>
  <c r="AP179" i="2"/>
  <c r="AP180" i="2"/>
  <c r="AP181" i="2"/>
  <c r="AP182" i="2"/>
  <c r="AP183" i="2"/>
  <c r="AP184" i="2"/>
  <c r="AP185" i="2"/>
  <c r="AP186" i="2"/>
  <c r="AP187" i="2"/>
  <c r="AP188" i="2"/>
  <c r="AP189" i="2"/>
  <c r="AP190" i="2"/>
  <c r="AP191" i="2"/>
  <c r="AP192" i="2"/>
  <c r="AP193" i="2"/>
  <c r="AP194" i="2"/>
  <c r="AP195" i="2"/>
  <c r="AP196" i="2"/>
  <c r="AP197" i="2"/>
  <c r="AP198" i="2"/>
  <c r="AP199" i="2"/>
  <c r="AP200" i="2"/>
  <c r="AP201" i="2"/>
  <c r="AP202" i="2"/>
  <c r="AP203" i="2"/>
  <c r="AP204" i="2"/>
  <c r="AP205" i="2"/>
  <c r="AP206" i="2"/>
  <c r="AP207" i="2"/>
  <c r="AP208" i="2"/>
  <c r="AP209" i="2"/>
  <c r="AP210" i="2"/>
  <c r="AP211" i="2"/>
  <c r="AP212" i="2"/>
  <c r="AP213" i="2"/>
  <c r="AP214" i="2"/>
  <c r="AP215" i="2"/>
  <c r="AP216" i="2"/>
  <c r="AP217" i="2"/>
  <c r="AP218" i="2"/>
  <c r="AP219" i="2"/>
  <c r="AP220" i="2"/>
  <c r="AP221" i="2"/>
  <c r="AP222" i="2"/>
  <c r="AP223" i="2"/>
  <c r="AP224" i="2"/>
  <c r="AP225" i="2"/>
  <c r="AP226" i="2"/>
  <c r="AP227" i="2"/>
  <c r="AP228" i="2"/>
  <c r="AP229" i="2"/>
  <c r="AP230" i="2"/>
  <c r="AP231" i="2"/>
  <c r="AP232" i="2"/>
  <c r="AP233" i="2"/>
  <c r="AP234" i="2"/>
  <c r="AP235" i="2"/>
  <c r="AP236" i="2"/>
  <c r="AP237" i="2"/>
  <c r="AP238" i="2"/>
  <c r="AP239" i="2"/>
  <c r="AP240" i="2"/>
  <c r="AP241" i="2"/>
  <c r="AP242" i="2"/>
  <c r="AP243" i="2"/>
  <c r="AP244" i="2"/>
  <c r="AP245" i="2"/>
  <c r="AP246" i="2"/>
  <c r="AP247" i="2"/>
  <c r="AP248" i="2"/>
  <c r="AP249" i="2"/>
  <c r="AP250" i="2"/>
  <c r="AP251" i="2"/>
  <c r="AP252" i="2"/>
  <c r="AP253" i="2"/>
  <c r="AP254" i="2"/>
  <c r="AP255" i="2"/>
  <c r="AP256" i="2"/>
  <c r="AP257" i="2"/>
  <c r="AP258" i="2"/>
  <c r="AP259" i="2"/>
  <c r="AP260" i="2"/>
  <c r="AP261" i="2"/>
  <c r="AP262" i="2"/>
  <c r="AP263" i="2"/>
  <c r="AP264" i="2"/>
  <c r="AP265" i="2"/>
  <c r="AP266" i="2"/>
  <c r="AP267" i="2"/>
  <c r="AP268" i="2"/>
  <c r="AP269" i="2"/>
  <c r="AP270" i="2"/>
  <c r="AP271" i="2"/>
  <c r="AP272" i="2"/>
  <c r="AP273" i="2"/>
  <c r="AP274" i="2"/>
  <c r="AP275" i="2"/>
  <c r="AP276" i="2"/>
  <c r="AP277" i="2"/>
  <c r="AP278" i="2"/>
  <c r="AP279" i="2"/>
  <c r="AP280" i="2"/>
  <c r="AP281" i="2"/>
  <c r="AP282" i="2"/>
  <c r="AP283" i="2"/>
  <c r="AP284" i="2"/>
  <c r="AP285" i="2"/>
  <c r="AP286" i="2"/>
  <c r="AP287" i="2"/>
  <c r="AP288" i="2"/>
  <c r="AP289" i="2"/>
  <c r="AP290" i="2"/>
  <c r="AP291" i="2"/>
  <c r="AP292" i="2"/>
  <c r="AP293" i="2"/>
  <c r="AP294" i="2"/>
  <c r="AP295" i="2"/>
  <c r="AP296" i="2"/>
  <c r="AP297" i="2"/>
  <c r="AP298" i="2"/>
  <c r="AP299" i="2"/>
  <c r="AP300" i="2"/>
  <c r="AP301" i="2"/>
  <c r="AP302" i="2"/>
  <c r="AP303" i="2"/>
  <c r="AP304" i="2"/>
  <c r="AP305" i="2"/>
  <c r="AP306" i="2"/>
  <c r="AP307" i="2"/>
  <c r="AP308" i="2"/>
  <c r="AP309" i="2"/>
  <c r="AP310" i="2"/>
  <c r="AP311" i="2"/>
  <c r="AP312" i="2"/>
  <c r="AP313" i="2"/>
  <c r="AP314" i="2"/>
  <c r="AP315" i="2"/>
  <c r="AP316" i="2"/>
  <c r="AP317" i="2"/>
  <c r="AP318" i="2"/>
  <c r="AP319" i="2"/>
  <c r="AP320" i="2"/>
  <c r="AP321" i="2"/>
  <c r="AP322" i="2"/>
  <c r="AP323" i="2"/>
  <c r="AP324" i="2"/>
  <c r="AP325" i="2"/>
  <c r="AP326" i="2"/>
  <c r="AP327" i="2"/>
  <c r="AP328" i="2"/>
  <c r="AP329" i="2"/>
  <c r="AP330" i="2"/>
  <c r="AP331" i="2"/>
  <c r="AP332" i="2"/>
  <c r="AP333" i="2"/>
  <c r="AP334" i="2"/>
  <c r="AP335" i="2"/>
  <c r="AP336" i="2"/>
  <c r="AP337" i="2"/>
  <c r="AP338" i="2"/>
  <c r="AP339" i="2"/>
  <c r="AP340" i="2"/>
  <c r="AP341" i="2"/>
  <c r="AP342" i="2"/>
  <c r="AP343" i="2"/>
  <c r="AP344" i="2"/>
  <c r="AP345" i="2"/>
  <c r="AP346" i="2"/>
  <c r="AP347" i="2"/>
  <c r="AP348" i="2"/>
  <c r="AP349" i="2"/>
  <c r="AP350" i="2"/>
  <c r="AP351" i="2"/>
  <c r="AP352" i="2"/>
  <c r="AP353" i="2"/>
  <c r="AP354" i="2"/>
  <c r="AP355" i="2"/>
  <c r="AP356" i="2"/>
  <c r="AP357" i="2"/>
  <c r="AP358" i="2"/>
  <c r="AP359" i="2"/>
  <c r="AP360" i="2"/>
  <c r="AP361" i="2"/>
  <c r="AP362" i="2"/>
  <c r="AP363" i="2"/>
  <c r="AP364" i="2"/>
  <c r="AP365" i="2"/>
  <c r="AP366" i="2"/>
  <c r="AP367" i="2"/>
  <c r="AP368" i="2"/>
  <c r="AP369" i="2"/>
  <c r="AP370" i="2"/>
  <c r="AP371" i="2"/>
  <c r="AP372" i="2"/>
  <c r="AP373" i="2"/>
  <c r="AP374" i="2"/>
  <c r="AP375" i="2"/>
  <c r="AP376" i="2"/>
  <c r="AP377" i="2"/>
  <c r="AP378" i="2"/>
  <c r="AP379" i="2"/>
  <c r="AP380" i="2"/>
  <c r="AP381" i="2"/>
  <c r="AP382" i="2"/>
  <c r="AP383" i="2"/>
  <c r="AP384" i="2"/>
  <c r="AP385" i="2"/>
  <c r="AP386" i="2"/>
  <c r="AP387" i="2"/>
  <c r="AP388" i="2"/>
  <c r="AP389" i="2"/>
  <c r="AP390" i="2"/>
  <c r="AP391" i="2"/>
  <c r="AP392" i="2"/>
  <c r="AP393" i="2"/>
  <c r="AP394" i="2"/>
  <c r="AP395" i="2"/>
  <c r="AP396" i="2"/>
  <c r="AP397" i="2"/>
  <c r="AP398" i="2"/>
  <c r="AP399" i="2"/>
  <c r="AP400" i="2"/>
  <c r="AP401" i="2"/>
  <c r="AP402" i="2"/>
  <c r="AP403" i="2"/>
  <c r="AP404" i="2"/>
  <c r="AP405" i="2"/>
  <c r="AP406" i="2"/>
  <c r="AP407" i="2"/>
  <c r="AP408" i="2"/>
  <c r="AP409" i="2"/>
  <c r="AP410" i="2"/>
  <c r="AP411" i="2"/>
  <c r="AP412" i="2"/>
  <c r="AP413" i="2"/>
  <c r="AP414" i="2"/>
  <c r="AP415" i="2"/>
  <c r="AP416" i="2"/>
  <c r="AP417" i="2"/>
  <c r="AP418" i="2"/>
  <c r="AP419" i="2"/>
  <c r="AP420" i="2"/>
  <c r="AP421" i="2"/>
  <c r="AP422" i="2"/>
  <c r="AP423" i="2"/>
  <c r="AP424" i="2"/>
  <c r="AP425" i="2"/>
  <c r="AP426" i="2"/>
  <c r="AP427" i="2"/>
  <c r="AP428" i="2"/>
  <c r="AP429" i="2"/>
  <c r="AP430" i="2"/>
  <c r="AP431" i="2"/>
  <c r="AP432" i="2"/>
  <c r="AP433" i="2"/>
  <c r="AP434" i="2"/>
  <c r="AP435" i="2"/>
  <c r="AP436" i="2"/>
  <c r="AP437" i="2"/>
  <c r="AP438" i="2"/>
  <c r="AP439" i="2"/>
  <c r="AP440" i="2"/>
  <c r="AP441" i="2"/>
  <c r="AP442" i="2"/>
  <c r="AP443" i="2"/>
  <c r="AP444" i="2"/>
  <c r="AP445" i="2"/>
  <c r="AP446" i="2"/>
  <c r="AP447" i="2"/>
  <c r="AP448" i="2"/>
  <c r="AP449" i="2"/>
  <c r="AP450" i="2"/>
  <c r="AP451" i="2"/>
  <c r="AP452" i="2"/>
  <c r="AP453" i="2"/>
  <c r="AP454" i="2"/>
  <c r="AP455" i="2"/>
  <c r="AP456" i="2"/>
  <c r="AP457" i="2"/>
  <c r="AP458" i="2"/>
  <c r="AP459" i="2"/>
  <c r="AP460" i="2"/>
  <c r="AP461" i="2"/>
  <c r="AP462" i="2"/>
  <c r="AP463" i="2"/>
  <c r="AP464" i="2"/>
  <c r="AP465" i="2"/>
  <c r="AP466" i="2"/>
  <c r="AP467" i="2"/>
  <c r="AP468" i="2"/>
  <c r="AP469" i="2"/>
  <c r="AP470" i="2"/>
  <c r="AP471" i="2"/>
  <c r="AP472" i="2"/>
  <c r="AP473" i="2"/>
  <c r="AP474" i="2"/>
  <c r="AP475" i="2"/>
  <c r="AP476" i="2"/>
  <c r="AP477" i="2"/>
  <c r="AP478" i="2"/>
  <c r="AP479" i="2"/>
  <c r="AP480" i="2"/>
  <c r="AP481" i="2"/>
  <c r="AP482" i="2"/>
  <c r="AP483" i="2"/>
  <c r="AP484" i="2"/>
  <c r="AP485" i="2"/>
  <c r="AP486" i="2"/>
  <c r="AP487" i="2"/>
  <c r="AP488" i="2"/>
  <c r="AP489" i="2"/>
  <c r="AP490" i="2"/>
  <c r="AP491" i="2"/>
  <c r="AP492" i="2"/>
  <c r="AP493" i="2"/>
  <c r="AP494" i="2"/>
  <c r="AP495" i="2"/>
  <c r="AP496" i="2"/>
  <c r="AP497" i="2"/>
  <c r="AP498" i="2"/>
  <c r="AP499" i="2"/>
  <c r="AP500" i="2"/>
  <c r="AP501" i="2"/>
  <c r="AP502" i="2"/>
  <c r="AP503" i="2"/>
  <c r="AP504" i="2"/>
  <c r="AP505" i="2"/>
  <c r="AP506" i="2"/>
  <c r="AP507" i="2"/>
  <c r="AP508" i="2"/>
  <c r="AP509" i="2"/>
  <c r="AP510" i="2"/>
  <c r="AP511" i="2"/>
  <c r="AP512" i="2"/>
  <c r="AP513" i="2"/>
  <c r="AP514" i="2"/>
  <c r="AP515" i="2"/>
  <c r="AP516" i="2"/>
  <c r="AP517" i="2"/>
  <c r="AP518" i="2"/>
  <c r="AP519" i="2"/>
  <c r="AP520" i="2"/>
  <c r="AP521" i="2"/>
  <c r="AP522" i="2"/>
  <c r="AP523" i="2"/>
  <c r="AP524" i="2"/>
  <c r="AP525" i="2"/>
  <c r="AP526" i="2"/>
  <c r="AP527" i="2"/>
  <c r="AP528" i="2"/>
  <c r="AP529" i="2"/>
  <c r="AP530" i="2"/>
  <c r="AP531" i="2"/>
  <c r="AP532" i="2"/>
  <c r="AP533" i="2"/>
  <c r="AP534" i="2"/>
  <c r="AP535" i="2"/>
  <c r="AP536" i="2"/>
  <c r="AP537" i="2"/>
  <c r="AP538" i="2"/>
  <c r="AP539" i="2"/>
  <c r="AP540" i="2"/>
  <c r="AP541" i="2"/>
  <c r="AP542" i="2"/>
  <c r="AP543" i="2"/>
  <c r="AP544" i="2"/>
  <c r="AP545" i="2"/>
  <c r="AP546" i="2"/>
  <c r="AP547" i="2"/>
  <c r="AP548" i="2"/>
  <c r="AP549" i="2"/>
  <c r="AP550" i="2"/>
  <c r="AP551" i="2"/>
  <c r="AP552" i="2"/>
  <c r="AP553" i="2"/>
  <c r="AP554" i="2"/>
  <c r="AP555" i="2"/>
  <c r="AP556" i="2"/>
  <c r="AP557" i="2"/>
  <c r="AP558" i="2"/>
  <c r="AP559" i="2"/>
  <c r="AP560" i="2"/>
  <c r="AP561" i="2"/>
  <c r="AP562" i="2"/>
  <c r="AP563" i="2"/>
  <c r="AP564" i="2"/>
  <c r="AP565" i="2"/>
  <c r="AP566" i="2"/>
  <c r="AP567" i="2"/>
  <c r="AP568" i="2"/>
  <c r="AP569" i="2"/>
  <c r="AP570" i="2"/>
  <c r="AP571" i="2"/>
  <c r="AP572" i="2"/>
  <c r="AP573" i="2"/>
  <c r="AP574" i="2"/>
  <c r="AP575" i="2"/>
  <c r="AP576" i="2"/>
  <c r="AP577" i="2"/>
  <c r="AP578" i="2"/>
  <c r="AP579" i="2"/>
  <c r="AP580" i="2"/>
  <c r="AP581" i="2"/>
  <c r="AP582" i="2"/>
  <c r="AP583" i="2"/>
  <c r="AP584" i="2"/>
  <c r="AP585" i="2"/>
  <c r="AP586" i="2"/>
  <c r="AP587" i="2"/>
  <c r="AP588" i="2"/>
  <c r="AP589" i="2"/>
  <c r="AP590" i="2"/>
  <c r="AP591" i="2"/>
  <c r="AP592" i="2"/>
  <c r="AP593" i="2"/>
  <c r="AP594" i="2"/>
  <c r="AP595" i="2"/>
  <c r="AP596" i="2"/>
  <c r="AP597" i="2"/>
  <c r="AP598" i="2"/>
  <c r="AP599" i="2"/>
  <c r="AP600" i="2"/>
  <c r="AP601" i="2"/>
  <c r="AP602" i="2"/>
  <c r="AP603" i="2"/>
  <c r="AP604" i="2"/>
  <c r="AP605" i="2"/>
  <c r="AP606" i="2"/>
  <c r="AP607" i="2"/>
  <c r="AP608" i="2"/>
  <c r="AP609" i="2"/>
  <c r="AP610" i="2"/>
  <c r="AP611" i="2"/>
  <c r="AP612" i="2"/>
  <c r="AP613" i="2"/>
  <c r="AP614" i="2"/>
  <c r="AP615" i="2"/>
  <c r="AP616" i="2"/>
  <c r="AP617" i="2"/>
  <c r="AP618" i="2"/>
  <c r="AP619" i="2"/>
  <c r="AP620" i="2"/>
  <c r="AP621" i="2"/>
  <c r="AP622" i="2"/>
  <c r="AP623" i="2"/>
  <c r="AP624" i="2"/>
  <c r="AP625" i="2"/>
  <c r="AP626" i="2"/>
  <c r="AP627" i="2"/>
  <c r="AP628" i="2"/>
  <c r="AP629" i="2"/>
  <c r="AP630" i="2"/>
  <c r="AP631" i="2"/>
  <c r="AP632" i="2"/>
  <c r="AP633" i="2"/>
  <c r="AP634" i="2"/>
  <c r="AP635" i="2"/>
  <c r="AP636" i="2"/>
  <c r="AP637" i="2"/>
  <c r="AP638" i="2"/>
  <c r="AP639" i="2"/>
  <c r="AP640" i="2"/>
  <c r="AP641" i="2"/>
  <c r="AP642" i="2"/>
  <c r="AP643" i="2"/>
  <c r="AP644" i="2"/>
  <c r="AP645" i="2"/>
  <c r="AP646" i="2"/>
  <c r="AP647" i="2"/>
  <c r="AP648" i="2"/>
  <c r="AP649" i="2"/>
  <c r="AP650" i="2"/>
  <c r="AP651" i="2"/>
  <c r="AP652" i="2"/>
  <c r="AP653" i="2"/>
  <c r="AP654" i="2"/>
  <c r="AP655" i="2"/>
  <c r="AP656" i="2"/>
  <c r="AP657" i="2"/>
  <c r="AP658" i="2"/>
  <c r="AP659" i="2"/>
  <c r="AP660" i="2"/>
  <c r="AP661" i="2"/>
  <c r="AP662" i="2"/>
  <c r="AP663" i="2"/>
  <c r="AP664" i="2"/>
  <c r="AP665" i="2"/>
  <c r="AP666" i="2"/>
  <c r="AP667" i="2"/>
  <c r="AP668" i="2"/>
  <c r="AP669" i="2"/>
  <c r="AP670" i="2"/>
  <c r="AP671" i="2"/>
  <c r="AP672" i="2"/>
  <c r="AP673" i="2"/>
  <c r="AP674" i="2"/>
  <c r="AP675" i="2"/>
  <c r="AP676" i="2"/>
  <c r="AP677" i="2"/>
  <c r="AP678" i="2"/>
  <c r="AP679" i="2"/>
  <c r="AP680" i="2"/>
  <c r="AP681" i="2"/>
  <c r="AP682" i="2"/>
  <c r="AP683" i="2"/>
  <c r="AP684" i="2"/>
  <c r="AP685" i="2"/>
  <c r="AP686" i="2"/>
  <c r="AP687" i="2"/>
  <c r="AP688" i="2"/>
  <c r="AP689" i="2"/>
  <c r="AP690" i="2"/>
  <c r="AP691" i="2"/>
  <c r="AP692" i="2"/>
  <c r="AP693" i="2"/>
  <c r="AP694" i="2"/>
  <c r="AP695" i="2"/>
  <c r="AP696" i="2"/>
  <c r="AP697" i="2"/>
  <c r="AP698" i="2"/>
  <c r="AP699" i="2"/>
  <c r="AP700" i="2"/>
  <c r="AP701" i="2"/>
  <c r="AP702" i="2"/>
  <c r="AP703" i="2"/>
  <c r="AP704" i="2"/>
  <c r="AP705" i="2"/>
  <c r="AP706" i="2"/>
  <c r="AP707" i="2"/>
  <c r="AP708" i="2"/>
  <c r="AP709" i="2"/>
  <c r="AP710" i="2"/>
  <c r="AP711" i="2"/>
  <c r="AP712" i="2"/>
  <c r="AP713" i="2"/>
  <c r="AP714" i="2"/>
  <c r="AP715" i="2"/>
  <c r="AP716" i="2"/>
  <c r="AP717" i="2"/>
  <c r="AP718" i="2"/>
  <c r="AP719" i="2"/>
  <c r="AP720" i="2"/>
  <c r="AP721" i="2"/>
  <c r="AP722" i="2"/>
  <c r="AP723" i="2"/>
  <c r="AP724" i="2"/>
  <c r="AP725" i="2"/>
  <c r="AP726" i="2"/>
  <c r="AP727" i="2"/>
  <c r="AP728" i="2"/>
  <c r="AP729" i="2"/>
  <c r="AP730" i="2"/>
  <c r="AP731" i="2"/>
  <c r="AP732" i="2"/>
  <c r="AP733" i="2"/>
  <c r="AP734" i="2"/>
  <c r="AP735" i="2"/>
  <c r="AP736" i="2"/>
  <c r="AP737" i="2"/>
  <c r="AP738" i="2"/>
  <c r="AP739" i="2"/>
  <c r="AP740" i="2"/>
  <c r="AP741" i="2"/>
  <c r="AP742" i="2"/>
  <c r="AP743" i="2"/>
  <c r="AP744" i="2"/>
  <c r="AP745" i="2"/>
  <c r="AP746" i="2"/>
  <c r="AP747" i="2"/>
  <c r="AP748" i="2"/>
  <c r="AP749" i="2"/>
  <c r="AP750" i="2"/>
  <c r="AP751" i="2"/>
  <c r="AP752" i="2"/>
  <c r="AP753" i="2"/>
  <c r="AP754" i="2"/>
  <c r="AP755" i="2"/>
  <c r="AP756" i="2"/>
  <c r="AP757" i="2"/>
  <c r="AP758" i="2"/>
  <c r="AP759" i="2"/>
  <c r="AP760" i="2"/>
  <c r="AP761" i="2"/>
  <c r="AP762" i="2"/>
  <c r="AP763" i="2"/>
  <c r="AP764" i="2"/>
  <c r="AP765" i="2"/>
  <c r="AP766" i="2"/>
  <c r="AP767" i="2"/>
  <c r="AP768" i="2"/>
  <c r="AP769" i="2"/>
  <c r="AP770" i="2"/>
  <c r="AP771" i="2"/>
  <c r="AP772" i="2"/>
  <c r="AP773" i="2"/>
  <c r="AP774" i="2"/>
  <c r="AP775" i="2"/>
  <c r="AP776" i="2"/>
  <c r="AP777" i="2"/>
  <c r="AP778" i="2"/>
  <c r="AP779" i="2"/>
  <c r="AP780" i="2"/>
  <c r="AP781" i="2"/>
  <c r="AP782" i="2"/>
  <c r="AP783" i="2"/>
  <c r="AP784" i="2"/>
  <c r="AP785" i="2"/>
  <c r="AP786" i="2"/>
  <c r="AP787" i="2"/>
  <c r="AP788" i="2"/>
  <c r="AP789" i="2"/>
  <c r="AP790" i="2"/>
  <c r="AP791" i="2"/>
  <c r="AP792" i="2"/>
  <c r="AP793" i="2"/>
  <c r="AP794" i="2"/>
  <c r="AP795" i="2"/>
  <c r="AP796" i="2"/>
  <c r="AP797" i="2"/>
  <c r="AP798" i="2"/>
  <c r="AP799" i="2"/>
  <c r="AP800" i="2"/>
  <c r="AP801" i="2"/>
  <c r="AP802" i="2"/>
  <c r="AP803" i="2"/>
  <c r="AP804" i="2"/>
  <c r="AP805" i="2"/>
  <c r="AP806" i="2"/>
  <c r="AP807" i="2"/>
  <c r="AP808" i="2"/>
  <c r="AP809" i="2"/>
  <c r="AP810" i="2"/>
  <c r="AP811" i="2"/>
  <c r="AP812" i="2"/>
  <c r="AP813" i="2"/>
  <c r="AP814" i="2"/>
  <c r="AP815" i="2"/>
  <c r="AP816" i="2"/>
  <c r="AP817" i="2"/>
  <c r="AP818" i="2"/>
  <c r="AP819" i="2"/>
  <c r="AP820" i="2"/>
  <c r="AP821" i="2"/>
  <c r="AP822" i="2"/>
  <c r="AP823" i="2"/>
  <c r="AP824" i="2"/>
  <c r="AP825" i="2"/>
  <c r="AP826" i="2"/>
  <c r="AP827" i="2"/>
  <c r="AP828" i="2"/>
  <c r="AP829" i="2"/>
  <c r="AP830" i="2"/>
  <c r="AP831" i="2"/>
  <c r="AP832" i="2"/>
  <c r="AP833" i="2"/>
  <c r="AP834" i="2"/>
  <c r="AP835" i="2"/>
  <c r="AP836" i="2"/>
  <c r="AP837" i="2"/>
  <c r="AP838" i="2"/>
  <c r="AP839" i="2"/>
  <c r="AP840" i="2"/>
  <c r="AP841" i="2"/>
  <c r="AP842" i="2"/>
  <c r="AP843" i="2"/>
  <c r="AP844" i="2"/>
  <c r="AP845" i="2"/>
  <c r="AP846" i="2"/>
  <c r="AP847" i="2"/>
  <c r="AP848" i="2"/>
  <c r="AP849" i="2"/>
  <c r="AP850" i="2"/>
  <c r="AP851" i="2"/>
  <c r="AP852" i="2"/>
  <c r="AP853" i="2"/>
  <c r="AP854" i="2"/>
  <c r="AP855" i="2"/>
  <c r="AP856" i="2"/>
  <c r="AP857" i="2"/>
  <c r="AP858" i="2"/>
  <c r="AP859" i="2"/>
  <c r="AP860" i="2"/>
  <c r="AP861" i="2"/>
  <c r="AP862" i="2"/>
  <c r="AP863" i="2"/>
  <c r="AP864" i="2"/>
  <c r="AP865" i="2"/>
  <c r="AP866" i="2"/>
  <c r="AP867" i="2"/>
  <c r="AP868" i="2"/>
  <c r="AP869" i="2"/>
  <c r="AP870" i="2"/>
  <c r="AP871" i="2"/>
  <c r="AP872" i="2"/>
  <c r="AP873" i="2"/>
  <c r="AP874" i="2"/>
  <c r="AP875" i="2"/>
  <c r="AP876" i="2"/>
  <c r="AP877" i="2"/>
  <c r="AP878" i="2"/>
  <c r="AP879" i="2"/>
  <c r="AP880" i="2"/>
  <c r="AP881" i="2"/>
  <c r="AP882" i="2"/>
  <c r="AP883" i="2"/>
  <c r="AP884" i="2"/>
  <c r="AP885" i="2"/>
  <c r="AP886" i="2"/>
  <c r="AP887" i="2"/>
  <c r="AP888" i="2"/>
  <c r="AP889" i="2"/>
  <c r="AP890" i="2"/>
  <c r="AP891" i="2"/>
  <c r="AP892" i="2"/>
  <c r="AP893" i="2"/>
  <c r="AP894" i="2"/>
  <c r="AP895" i="2"/>
  <c r="AP896" i="2"/>
  <c r="AP897" i="2"/>
  <c r="AP898" i="2"/>
  <c r="AP899" i="2"/>
  <c r="AP900" i="2"/>
  <c r="AP901" i="2"/>
  <c r="AP902" i="2"/>
  <c r="AP903" i="2"/>
  <c r="AP904" i="2"/>
  <c r="AP905" i="2"/>
  <c r="AP906" i="2"/>
  <c r="AP907" i="2"/>
  <c r="AP908" i="2"/>
  <c r="AP909" i="2"/>
  <c r="AP910" i="2"/>
  <c r="AP911" i="2"/>
  <c r="AP912" i="2"/>
  <c r="AP913" i="2"/>
  <c r="AP914" i="2"/>
  <c r="AP915" i="2"/>
  <c r="AP916" i="2"/>
  <c r="AP917" i="2"/>
  <c r="AP918" i="2"/>
  <c r="AP919" i="2"/>
  <c r="AP920" i="2"/>
  <c r="AP921" i="2"/>
  <c r="AP922" i="2"/>
  <c r="AP923" i="2"/>
  <c r="AP924" i="2"/>
  <c r="AP925" i="2"/>
  <c r="AP926" i="2"/>
  <c r="AP927" i="2"/>
  <c r="AP928" i="2"/>
  <c r="AP929" i="2"/>
  <c r="AP930" i="2"/>
  <c r="AP931" i="2"/>
  <c r="AP932" i="2"/>
  <c r="AP933" i="2"/>
  <c r="AP934" i="2"/>
  <c r="AP935" i="2"/>
  <c r="AP936" i="2"/>
  <c r="AP937" i="2"/>
  <c r="AP938" i="2"/>
  <c r="AP939" i="2"/>
  <c r="AP940" i="2"/>
  <c r="AP941" i="2"/>
  <c r="AP942" i="2"/>
  <c r="AP943" i="2"/>
  <c r="AP944" i="2"/>
  <c r="AP945" i="2"/>
  <c r="AP946" i="2"/>
  <c r="AP947" i="2"/>
  <c r="AP948" i="2"/>
  <c r="AP949" i="2"/>
  <c r="AP950" i="2"/>
  <c r="AP951" i="2"/>
  <c r="AP952" i="2"/>
  <c r="AP953" i="2"/>
  <c r="AP954" i="2"/>
  <c r="AP955" i="2"/>
  <c r="AP956" i="2"/>
  <c r="AP957" i="2"/>
  <c r="AP958" i="2"/>
  <c r="AP959" i="2"/>
  <c r="AP960" i="2"/>
  <c r="AP961" i="2"/>
  <c r="AP962" i="2"/>
  <c r="AP963" i="2"/>
  <c r="AP964" i="2"/>
  <c r="AP965" i="2"/>
  <c r="AP966" i="2"/>
  <c r="AP967" i="2"/>
  <c r="AP968" i="2"/>
  <c r="AP969" i="2"/>
  <c r="AP970" i="2"/>
  <c r="AP971" i="2"/>
  <c r="AP972" i="2"/>
  <c r="AP973" i="2"/>
  <c r="AP974" i="2"/>
  <c r="AP975" i="2"/>
  <c r="AP976" i="2"/>
  <c r="AP977" i="2"/>
  <c r="AP978" i="2"/>
  <c r="AP979" i="2"/>
  <c r="AP980" i="2"/>
  <c r="AP981" i="2"/>
  <c r="AP982" i="2"/>
  <c r="AP983" i="2"/>
  <c r="AP984" i="2"/>
  <c r="AP985" i="2"/>
  <c r="AP986" i="2"/>
  <c r="AP987" i="2"/>
  <c r="AP988" i="2"/>
  <c r="AP989" i="2"/>
  <c r="AP990" i="2"/>
  <c r="AP991" i="2"/>
  <c r="AP992" i="2"/>
  <c r="AP993" i="2"/>
  <c r="AP994" i="2"/>
  <c r="AP995" i="2"/>
  <c r="AP996" i="2"/>
  <c r="AP997" i="2"/>
  <c r="AP998" i="2"/>
  <c r="AP999" i="2"/>
  <c r="AP1000" i="2"/>
  <c r="AP1001" i="2"/>
  <c r="AP1002" i="2"/>
  <c r="AP1003" i="2"/>
  <c r="AP1004" i="2"/>
  <c r="AP1005" i="2"/>
  <c r="AP1006" i="2"/>
  <c r="AP1007" i="2"/>
  <c r="AP1008" i="2"/>
  <c r="AP1009" i="2"/>
  <c r="AP1010" i="2"/>
  <c r="AP1011" i="2"/>
  <c r="AP1012" i="2"/>
  <c r="AP1013" i="2"/>
  <c r="AP1014" i="2"/>
  <c r="AP1015" i="2"/>
  <c r="AP1016" i="2"/>
  <c r="AP1017" i="2"/>
  <c r="AP1018" i="2"/>
  <c r="AP1019" i="2"/>
  <c r="AP1020" i="2"/>
  <c r="AP1021" i="2"/>
  <c r="AP1022" i="2"/>
  <c r="AP1023" i="2"/>
  <c r="AP1024" i="2"/>
  <c r="AP1025" i="2"/>
  <c r="AP1026" i="2"/>
  <c r="AP1027" i="2"/>
  <c r="AP1028" i="2"/>
  <c r="AP1029" i="2"/>
  <c r="AP1030" i="2"/>
  <c r="AP1031" i="2"/>
  <c r="AP1032" i="2"/>
  <c r="AP1033" i="2"/>
  <c r="AP1034" i="2"/>
  <c r="AP1035" i="2"/>
  <c r="AP1036" i="2"/>
  <c r="AP1037" i="2"/>
  <c r="AP1038" i="2"/>
  <c r="AP1039" i="2"/>
  <c r="AP1040" i="2"/>
  <c r="AP1041" i="2"/>
  <c r="AP1042" i="2"/>
  <c r="AP1043" i="2"/>
  <c r="AP1044" i="2"/>
  <c r="AP1045" i="2"/>
  <c r="AP1046" i="2"/>
  <c r="AP1047" i="2"/>
  <c r="AP1048" i="2"/>
  <c r="AP1049" i="2"/>
  <c r="AP1050" i="2"/>
  <c r="AP1051" i="2"/>
  <c r="AP1052" i="2"/>
  <c r="AP1053" i="2"/>
  <c r="AP1054" i="2"/>
  <c r="AP1055" i="2"/>
  <c r="AP1056" i="2"/>
  <c r="AP1057" i="2"/>
  <c r="AP1058" i="2"/>
  <c r="AP1059" i="2"/>
  <c r="AP1060" i="2"/>
  <c r="AP1061" i="2"/>
  <c r="AP1062" i="2"/>
  <c r="AP1063" i="2"/>
  <c r="AP1064" i="2"/>
  <c r="AP1065" i="2"/>
  <c r="AP1066" i="2"/>
  <c r="AP1067" i="2"/>
  <c r="AP1068" i="2"/>
  <c r="AP1069" i="2"/>
  <c r="AP1070" i="2"/>
  <c r="AP1071" i="2"/>
  <c r="AP1072" i="2"/>
  <c r="AP1073" i="2"/>
  <c r="AP1074" i="2"/>
  <c r="AP1075" i="2"/>
  <c r="AP1076" i="2"/>
  <c r="AP1077" i="2"/>
  <c r="AP1078" i="2"/>
  <c r="AP1079" i="2"/>
  <c r="AP1080" i="2"/>
  <c r="AP1081" i="2"/>
  <c r="AP1082" i="2"/>
  <c r="AP1083" i="2"/>
  <c r="AP1084" i="2"/>
  <c r="AP1085" i="2"/>
  <c r="AP1086" i="2"/>
  <c r="AP1087" i="2"/>
  <c r="AP1088" i="2"/>
  <c r="AP1089" i="2"/>
  <c r="AP1090" i="2"/>
  <c r="AP1091" i="2"/>
  <c r="AP1092" i="2"/>
  <c r="AP1093" i="2"/>
  <c r="AP1094" i="2"/>
  <c r="AP1095" i="2"/>
  <c r="AP1096" i="2"/>
  <c r="AP1097" i="2"/>
  <c r="AP1098" i="2"/>
  <c r="AP1099" i="2"/>
  <c r="AP1100" i="2"/>
  <c r="AP1101" i="2"/>
  <c r="AP1102" i="2"/>
  <c r="AP1103" i="2"/>
  <c r="AP1104" i="2"/>
  <c r="AP1105" i="2"/>
  <c r="AP1106" i="2"/>
  <c r="AP1107" i="2"/>
  <c r="AP1108" i="2"/>
  <c r="AP1109" i="2"/>
  <c r="AP1110" i="2"/>
  <c r="AP1111" i="2"/>
  <c r="AP1112" i="2"/>
  <c r="AP1113" i="2"/>
  <c r="AP1114" i="2"/>
  <c r="AP1115" i="2"/>
  <c r="AP1116" i="2"/>
  <c r="AP1117" i="2"/>
  <c r="AP1118" i="2"/>
  <c r="AP1119" i="2"/>
  <c r="AP1120" i="2"/>
  <c r="AP1121" i="2"/>
  <c r="AP1122" i="2"/>
  <c r="AP1123" i="2"/>
  <c r="AP1124" i="2"/>
  <c r="AP1125" i="2"/>
  <c r="AP1126" i="2"/>
  <c r="AP1127" i="2"/>
  <c r="AP1128" i="2"/>
  <c r="AP1129" i="2"/>
  <c r="AP1130" i="2"/>
  <c r="AP1131" i="2"/>
  <c r="AP1132" i="2"/>
  <c r="AP1133" i="2"/>
  <c r="AP1134" i="2"/>
  <c r="AP1135" i="2"/>
  <c r="AP1136" i="2"/>
  <c r="AP1137" i="2"/>
  <c r="AP1138" i="2"/>
  <c r="AP1139" i="2"/>
  <c r="AP1140" i="2"/>
  <c r="AP1141" i="2"/>
  <c r="AP1142" i="2"/>
  <c r="AP1143" i="2"/>
  <c r="AP1144" i="2"/>
  <c r="AP1145" i="2"/>
  <c r="AP1146" i="2"/>
  <c r="AP1147" i="2"/>
  <c r="AP1148" i="2"/>
  <c r="AP1149" i="2"/>
  <c r="AP1150" i="2"/>
  <c r="AP1151" i="2"/>
  <c r="AP1152" i="2"/>
  <c r="AP1153" i="2"/>
  <c r="AP1154" i="2"/>
  <c r="AP1155" i="2"/>
  <c r="AP1156" i="2"/>
  <c r="AP1157" i="2"/>
  <c r="AP1158" i="2"/>
  <c r="AP1159" i="2"/>
  <c r="AP1160" i="2"/>
  <c r="AP1161" i="2"/>
  <c r="AP1162" i="2"/>
  <c r="AP1163" i="2"/>
  <c r="AP1164" i="2"/>
  <c r="AP1165" i="2"/>
  <c r="AP1166" i="2"/>
  <c r="AP1167" i="2"/>
  <c r="AP1168" i="2"/>
  <c r="AP1169" i="2"/>
  <c r="AP1170" i="2"/>
  <c r="AP1171" i="2"/>
  <c r="AP1172" i="2"/>
  <c r="AP1173" i="2"/>
  <c r="AP1174" i="2"/>
  <c r="AP1175" i="2"/>
  <c r="AP1176" i="2"/>
  <c r="AP1177" i="2"/>
  <c r="AP1178" i="2"/>
  <c r="AP1179" i="2"/>
  <c r="AP1180" i="2"/>
  <c r="AP1181" i="2"/>
  <c r="AP1182" i="2"/>
  <c r="AP1183" i="2"/>
  <c r="AP1184" i="2"/>
  <c r="AP1185" i="2"/>
  <c r="AP1186" i="2"/>
  <c r="AP1187" i="2"/>
  <c r="AP1188" i="2"/>
  <c r="AP1189" i="2"/>
  <c r="AP1190" i="2"/>
  <c r="AP1191" i="2"/>
  <c r="AP1192" i="2"/>
  <c r="AP1193" i="2"/>
  <c r="AP1194" i="2"/>
  <c r="AP1195" i="2"/>
  <c r="AP1196" i="2"/>
  <c r="AP1197" i="2"/>
  <c r="AP1198" i="2"/>
  <c r="AP1199" i="2"/>
  <c r="AP1200" i="2"/>
  <c r="AP1201" i="2"/>
  <c r="AP1202" i="2"/>
  <c r="AP1203" i="2"/>
  <c r="AP1204" i="2"/>
  <c r="AP1205" i="2"/>
  <c r="AP1206" i="2"/>
  <c r="AP1207" i="2"/>
  <c r="AP1208" i="2"/>
  <c r="AP1209" i="2"/>
  <c r="AP1210" i="2"/>
  <c r="AP1211" i="2"/>
  <c r="AP1212" i="2"/>
  <c r="AP1213" i="2"/>
  <c r="AP1214" i="2"/>
  <c r="AP1215" i="2"/>
  <c r="AP1216" i="2"/>
  <c r="AP1217" i="2"/>
  <c r="AP1218" i="2"/>
  <c r="AP1219" i="2"/>
  <c r="AP1220" i="2"/>
  <c r="AP1221" i="2"/>
  <c r="AP1222" i="2"/>
  <c r="AP1223" i="2"/>
  <c r="AP1224" i="2"/>
  <c r="AP1225" i="2"/>
  <c r="AP1226" i="2"/>
  <c r="AP1227" i="2"/>
  <c r="AP1228" i="2"/>
  <c r="AP1229" i="2"/>
  <c r="AP1230" i="2"/>
  <c r="AP1231" i="2"/>
  <c r="AP1232" i="2"/>
  <c r="AP1233" i="2"/>
  <c r="AP1234" i="2"/>
  <c r="AP1235" i="2"/>
  <c r="AP1236" i="2"/>
  <c r="AP1237" i="2"/>
  <c r="AP1238" i="2"/>
  <c r="AP1239" i="2"/>
  <c r="AP1240" i="2"/>
  <c r="AP1241" i="2"/>
  <c r="AP1242" i="2"/>
  <c r="AP1243" i="2"/>
  <c r="AP1244" i="2"/>
  <c r="AP1245" i="2"/>
  <c r="AP1246" i="2"/>
  <c r="AP1247" i="2"/>
  <c r="AP1248" i="2"/>
  <c r="AP1249" i="2"/>
  <c r="AP1250" i="2"/>
  <c r="AP1251" i="2"/>
  <c r="AP1252" i="2"/>
  <c r="AP1253" i="2"/>
  <c r="AP1254" i="2"/>
  <c r="AP1255" i="2"/>
  <c r="AP1256" i="2"/>
  <c r="AP1257" i="2"/>
  <c r="AP1258" i="2"/>
  <c r="AP1259" i="2"/>
  <c r="AP1260" i="2"/>
  <c r="AP1261" i="2"/>
  <c r="AP1262" i="2"/>
  <c r="AP1263" i="2"/>
  <c r="AP1264" i="2"/>
  <c r="AP1265" i="2"/>
  <c r="AP1266" i="2"/>
  <c r="AP1267" i="2"/>
  <c r="AP1268" i="2"/>
  <c r="AP1269" i="2"/>
  <c r="AP1270" i="2"/>
  <c r="AP1271" i="2"/>
  <c r="AP1272" i="2"/>
  <c r="AP1273" i="2"/>
  <c r="AP1274" i="2"/>
  <c r="AP1275" i="2"/>
  <c r="AP1276" i="2"/>
  <c r="AP1277" i="2"/>
  <c r="AP1278" i="2"/>
  <c r="AP1279" i="2"/>
  <c r="AP1280" i="2"/>
  <c r="AP1281" i="2"/>
  <c r="AP1282" i="2"/>
  <c r="AP1283" i="2"/>
  <c r="AP1284" i="2"/>
  <c r="AP1285" i="2"/>
  <c r="AP1286" i="2"/>
  <c r="AP1287" i="2"/>
  <c r="AP1288" i="2"/>
  <c r="AP1289" i="2"/>
  <c r="AP1290" i="2"/>
  <c r="AP1291" i="2"/>
  <c r="AP1292" i="2"/>
  <c r="AP1293" i="2"/>
  <c r="AP1294" i="2"/>
  <c r="AP1295" i="2"/>
  <c r="AP1296" i="2"/>
  <c r="AP1297" i="2"/>
  <c r="AP1298" i="2"/>
  <c r="AP1299" i="2"/>
  <c r="AP1300" i="2"/>
  <c r="AP1301" i="2"/>
  <c r="AP1302" i="2"/>
  <c r="AP1303" i="2"/>
  <c r="AP1304" i="2"/>
  <c r="AP1305" i="2"/>
  <c r="AP1306" i="2"/>
  <c r="AP1307" i="2"/>
  <c r="AP1308" i="2"/>
  <c r="AP1309" i="2"/>
  <c r="AP1310" i="2"/>
  <c r="AP1311" i="2"/>
  <c r="AP1312" i="2"/>
  <c r="AP1313" i="2"/>
  <c r="AP1314" i="2"/>
  <c r="AP1315" i="2"/>
  <c r="AP1316" i="2"/>
  <c r="AP1317" i="2"/>
  <c r="AP1318" i="2"/>
  <c r="AP1319" i="2"/>
  <c r="AP1320" i="2"/>
  <c r="AP1321" i="2"/>
  <c r="AP1322" i="2"/>
  <c r="AP1323" i="2"/>
  <c r="AP1324" i="2"/>
  <c r="AP1325" i="2"/>
  <c r="AP1326" i="2"/>
  <c r="AP1327" i="2"/>
  <c r="AP1328" i="2"/>
  <c r="AP1329" i="2"/>
  <c r="AP1330" i="2"/>
  <c r="AP1331" i="2"/>
  <c r="AP1332" i="2"/>
  <c r="AP1333" i="2"/>
  <c r="AP1334" i="2"/>
  <c r="AP1335" i="2"/>
  <c r="AP1336" i="2"/>
  <c r="AP1337" i="2"/>
  <c r="AP1338" i="2"/>
  <c r="AP1339" i="2"/>
  <c r="AP1340" i="2"/>
  <c r="AP1341" i="2"/>
  <c r="AP1342" i="2"/>
  <c r="AP1343" i="2"/>
  <c r="AP1344" i="2"/>
  <c r="AP1345" i="2"/>
  <c r="AP1346" i="2"/>
  <c r="AP1347" i="2"/>
  <c r="AP1348" i="2"/>
  <c r="AP1349" i="2"/>
  <c r="AP1350" i="2"/>
  <c r="AP1351" i="2"/>
  <c r="AP1352" i="2"/>
  <c r="AP1353" i="2"/>
  <c r="AP1354" i="2"/>
  <c r="AP1355" i="2"/>
  <c r="AP1356" i="2"/>
  <c r="AP1357" i="2"/>
  <c r="AP1358" i="2"/>
  <c r="AP1359" i="2"/>
  <c r="AP1360" i="2"/>
  <c r="AP1361" i="2"/>
  <c r="AP1362" i="2"/>
  <c r="AP1363" i="2"/>
  <c r="AP1364" i="2"/>
  <c r="AP1365" i="2"/>
  <c r="AP1366" i="2"/>
  <c r="AP1367" i="2"/>
  <c r="AP1368" i="2"/>
  <c r="AP1369" i="2"/>
  <c r="AP1370" i="2"/>
  <c r="AP1371" i="2"/>
  <c r="AP1372" i="2"/>
  <c r="AP1373" i="2"/>
  <c r="AP1374" i="2"/>
  <c r="AP1375" i="2"/>
  <c r="AP1376" i="2"/>
  <c r="AP1377" i="2"/>
  <c r="AP1378" i="2"/>
  <c r="AP1379" i="2"/>
  <c r="AP1380" i="2"/>
  <c r="AP1381" i="2"/>
  <c r="AP1382" i="2"/>
  <c r="AP1383" i="2"/>
  <c r="AP1384" i="2"/>
  <c r="AP1385" i="2"/>
  <c r="AP1386" i="2"/>
  <c r="AP1387" i="2"/>
  <c r="AP1388" i="2"/>
  <c r="AP1389" i="2"/>
  <c r="AP1390" i="2"/>
  <c r="AP1391" i="2"/>
  <c r="AP1392" i="2"/>
  <c r="AP1393" i="2"/>
  <c r="AP1394" i="2"/>
  <c r="AP1395" i="2"/>
  <c r="AP1396" i="2"/>
  <c r="AP1397" i="2"/>
  <c r="AP1398" i="2"/>
  <c r="AP1399" i="2"/>
  <c r="AP1400" i="2"/>
  <c r="AP1401" i="2"/>
  <c r="AP1402" i="2"/>
  <c r="AP1403" i="2"/>
  <c r="AP1404" i="2"/>
  <c r="AP1405" i="2"/>
  <c r="AP1406" i="2"/>
  <c r="AP1407" i="2"/>
  <c r="AP1408" i="2"/>
  <c r="AP1409" i="2"/>
  <c r="AP1410" i="2"/>
  <c r="AP1411" i="2"/>
  <c r="AP1412" i="2"/>
  <c r="AP1413" i="2"/>
  <c r="AP1414" i="2"/>
  <c r="AP1415" i="2"/>
  <c r="AP1416" i="2"/>
  <c r="AP1417" i="2"/>
  <c r="AP1418" i="2"/>
  <c r="AP1419" i="2"/>
  <c r="AP1420" i="2"/>
  <c r="AP1421" i="2"/>
  <c r="AP1422" i="2"/>
  <c r="AP1423" i="2"/>
  <c r="AP1424" i="2"/>
  <c r="AP1425" i="2"/>
  <c r="AP1426" i="2"/>
  <c r="AP1427" i="2"/>
  <c r="AP1428" i="2"/>
  <c r="AP1429" i="2"/>
  <c r="AP1430" i="2"/>
  <c r="AP1431" i="2"/>
  <c r="AP1432" i="2"/>
  <c r="AP1433" i="2"/>
  <c r="AP1434" i="2"/>
  <c r="AP1435" i="2"/>
  <c r="AP1436" i="2"/>
  <c r="AP1437" i="2"/>
  <c r="AP1438" i="2"/>
  <c r="AP1439" i="2"/>
  <c r="AP1440" i="2"/>
  <c r="AP1441" i="2"/>
  <c r="AP1442" i="2"/>
  <c r="AP1443" i="2"/>
  <c r="AP1444" i="2"/>
  <c r="AP1445" i="2"/>
  <c r="AP1446" i="2"/>
  <c r="AP1447" i="2"/>
  <c r="AP1448" i="2"/>
  <c r="AP1449" i="2"/>
  <c r="AP1450" i="2"/>
  <c r="AP1451" i="2"/>
  <c r="AP1452" i="2"/>
  <c r="AP1453" i="2"/>
  <c r="AP1454" i="2"/>
  <c r="AP1455" i="2"/>
  <c r="AP1456" i="2"/>
  <c r="AP1457" i="2"/>
  <c r="AP1458" i="2"/>
  <c r="AP1459" i="2"/>
  <c r="AP1460" i="2"/>
  <c r="AP1461" i="2"/>
  <c r="AP1462" i="2"/>
  <c r="AP1463" i="2"/>
  <c r="AP1464" i="2"/>
  <c r="AP1465" i="2"/>
  <c r="AP1466" i="2"/>
  <c r="AP1467" i="2"/>
  <c r="AP1468" i="2"/>
  <c r="AP1469" i="2"/>
  <c r="AP1470" i="2"/>
  <c r="AP1471" i="2"/>
  <c r="AP1472" i="2"/>
  <c r="AP1473" i="2"/>
  <c r="AP1474" i="2"/>
  <c r="AP1475" i="2"/>
  <c r="AP1476" i="2"/>
  <c r="AP1477" i="2"/>
  <c r="AP1478" i="2"/>
  <c r="AP1479" i="2"/>
  <c r="AP1480" i="2"/>
  <c r="AP1481" i="2"/>
  <c r="AP1482" i="2"/>
  <c r="AP1483" i="2"/>
  <c r="AP1484" i="2"/>
  <c r="AP1485" i="2"/>
  <c r="AP1486" i="2"/>
  <c r="AP1487" i="2"/>
  <c r="AP1488" i="2"/>
  <c r="AP1489" i="2"/>
  <c r="AP1490" i="2"/>
  <c r="AP1491" i="2"/>
  <c r="AP1492" i="2"/>
  <c r="AP1493" i="2"/>
  <c r="AP1494" i="2"/>
  <c r="AP1495" i="2"/>
  <c r="AP1496" i="2"/>
  <c r="AP1497" i="2"/>
  <c r="AP1498" i="2"/>
  <c r="AP1499" i="2"/>
  <c r="AP1500" i="2"/>
  <c r="AP1501" i="2"/>
  <c r="AP1502" i="2"/>
  <c r="AP1503" i="2"/>
  <c r="AP1504" i="2"/>
  <c r="AP1505" i="2"/>
  <c r="AP1506" i="2"/>
  <c r="AP1507" i="2"/>
  <c r="AP1508" i="2"/>
  <c r="AP1509" i="2"/>
  <c r="AP1510" i="2"/>
  <c r="AP1511" i="2"/>
  <c r="AP1512" i="2"/>
  <c r="AP1513" i="2"/>
  <c r="AP1514" i="2"/>
  <c r="AP1515" i="2"/>
  <c r="AP1516" i="2"/>
  <c r="AP1517" i="2"/>
  <c r="AP1518" i="2"/>
  <c r="AP1519" i="2"/>
  <c r="AP1520" i="2"/>
  <c r="AP1521" i="2"/>
  <c r="AP1522" i="2"/>
  <c r="AP1523" i="2"/>
  <c r="AP1524" i="2"/>
  <c r="AP1525" i="2"/>
  <c r="AP1526" i="2"/>
  <c r="AP1527" i="2"/>
  <c r="AP1528" i="2"/>
  <c r="AP1529" i="2"/>
  <c r="AP1530" i="2"/>
  <c r="AP1531" i="2"/>
  <c r="AP1532" i="2"/>
  <c r="AP1533" i="2"/>
  <c r="AP1534" i="2"/>
  <c r="AP1535" i="2"/>
  <c r="AP1536" i="2"/>
  <c r="AP1537" i="2"/>
  <c r="AP1538" i="2"/>
  <c r="AP1539" i="2"/>
  <c r="AP1540" i="2"/>
  <c r="AP1541" i="2"/>
  <c r="AP1542" i="2"/>
  <c r="AP1543" i="2"/>
  <c r="AP1544" i="2"/>
  <c r="AP1545" i="2"/>
  <c r="AP1546" i="2"/>
  <c r="AP1547" i="2"/>
  <c r="AP1548" i="2"/>
  <c r="AP1549" i="2"/>
  <c r="AP1550" i="2"/>
  <c r="AP1551" i="2"/>
  <c r="AP1552" i="2"/>
  <c r="AP1553" i="2"/>
  <c r="AP1554" i="2"/>
  <c r="AP1555" i="2"/>
  <c r="AP1556" i="2"/>
  <c r="AP1557" i="2"/>
  <c r="AP1558" i="2"/>
  <c r="AP1559" i="2"/>
  <c r="AP1560" i="2"/>
  <c r="AP1561" i="2"/>
  <c r="AP1562" i="2"/>
  <c r="AP1563" i="2"/>
  <c r="AP1564" i="2"/>
  <c r="AP1565" i="2"/>
  <c r="AP1566" i="2"/>
  <c r="AP1567" i="2"/>
  <c r="AP1568" i="2"/>
  <c r="AP1569" i="2"/>
  <c r="AP1570" i="2"/>
  <c r="AP1571" i="2"/>
  <c r="AP1572" i="2"/>
  <c r="AP1573" i="2"/>
  <c r="AP1574" i="2"/>
  <c r="AP1575" i="2"/>
  <c r="AP1576" i="2"/>
  <c r="AP1577" i="2"/>
  <c r="AP1578" i="2"/>
  <c r="AP1579" i="2"/>
  <c r="AP1580" i="2"/>
  <c r="AP1581" i="2"/>
  <c r="AP1582" i="2"/>
  <c r="AP1583" i="2"/>
  <c r="AP1584" i="2"/>
  <c r="AP1585" i="2"/>
  <c r="AP1586" i="2"/>
  <c r="AP1587" i="2"/>
  <c r="AP1588" i="2"/>
  <c r="AP1589" i="2"/>
  <c r="AP1590" i="2"/>
  <c r="AP1591" i="2"/>
  <c r="AP1592" i="2"/>
  <c r="AP1593" i="2"/>
  <c r="AP1594" i="2"/>
  <c r="AP1595" i="2"/>
  <c r="AP1596" i="2"/>
  <c r="AP1597" i="2"/>
  <c r="AP1598" i="2"/>
  <c r="AP1599" i="2"/>
  <c r="AP1600" i="2"/>
  <c r="AP1601" i="2"/>
  <c r="AP1602" i="2"/>
  <c r="AP1603" i="2"/>
  <c r="AP1604" i="2"/>
  <c r="AP1605" i="2"/>
  <c r="AP1606" i="2"/>
  <c r="AP1607" i="2"/>
  <c r="AP1608" i="2"/>
  <c r="AP1609" i="2"/>
  <c r="AP1610" i="2"/>
  <c r="AP1611" i="2"/>
  <c r="AP1612" i="2"/>
  <c r="AP1613" i="2"/>
  <c r="AP1614" i="2"/>
  <c r="AP1615" i="2"/>
  <c r="AP1616" i="2"/>
  <c r="AP1617" i="2"/>
  <c r="AP1618" i="2"/>
  <c r="AP1619" i="2"/>
  <c r="AP1620" i="2"/>
  <c r="AP1621" i="2"/>
  <c r="AP1622" i="2"/>
  <c r="AP1623" i="2"/>
  <c r="AP1624" i="2"/>
  <c r="AP1625" i="2"/>
  <c r="AP1626" i="2"/>
  <c r="AP1627" i="2"/>
  <c r="AP1628" i="2"/>
  <c r="AP1629" i="2"/>
  <c r="AP1630" i="2"/>
  <c r="AP1631" i="2"/>
  <c r="AP1632" i="2"/>
  <c r="AP1633" i="2"/>
  <c r="AP1634" i="2"/>
  <c r="AP1635" i="2"/>
  <c r="AP1636" i="2"/>
  <c r="AP1637" i="2"/>
  <c r="AP1638" i="2"/>
  <c r="AP1639" i="2"/>
  <c r="AP1640" i="2"/>
  <c r="AP1641" i="2"/>
  <c r="AP1642" i="2"/>
  <c r="AP1643" i="2"/>
  <c r="AP1644" i="2"/>
  <c r="AP1645" i="2"/>
  <c r="AP1646" i="2"/>
  <c r="AP1647" i="2"/>
  <c r="AP1648" i="2"/>
  <c r="AP1649" i="2"/>
  <c r="AP1650" i="2"/>
  <c r="AP1651" i="2"/>
  <c r="AP1652" i="2"/>
  <c r="AP1653" i="2"/>
  <c r="AP1654" i="2"/>
  <c r="AP1655" i="2"/>
  <c r="AP1656" i="2"/>
  <c r="AP1657" i="2"/>
  <c r="AP1658" i="2"/>
  <c r="AP1659" i="2"/>
  <c r="AP1660" i="2"/>
  <c r="AP1661" i="2"/>
  <c r="AP1662" i="2"/>
  <c r="AP1663" i="2"/>
  <c r="AP1664" i="2"/>
  <c r="AP1665" i="2"/>
  <c r="AP1666" i="2"/>
  <c r="AP1667" i="2"/>
  <c r="AP1668" i="2"/>
  <c r="AP1669" i="2"/>
  <c r="AP1670" i="2"/>
  <c r="AP1671" i="2"/>
  <c r="AP1672" i="2"/>
  <c r="AP1673" i="2"/>
  <c r="AP1674" i="2"/>
  <c r="AP1675" i="2"/>
  <c r="AP1676" i="2"/>
  <c r="AP1677" i="2"/>
  <c r="AP1678" i="2"/>
  <c r="AP1679" i="2"/>
  <c r="AP1680" i="2"/>
  <c r="AP1681" i="2"/>
  <c r="AP1682" i="2"/>
  <c r="AP1683" i="2"/>
  <c r="AP1684" i="2"/>
  <c r="AP1685" i="2"/>
  <c r="AP1686" i="2"/>
  <c r="AP1687" i="2"/>
  <c r="AP1688" i="2"/>
  <c r="AP1689" i="2"/>
  <c r="AP1690" i="2"/>
  <c r="AP1691" i="2"/>
  <c r="AP1692" i="2"/>
  <c r="AP1693" i="2"/>
  <c r="AP1694" i="2"/>
  <c r="AP1695" i="2"/>
  <c r="AP1696" i="2"/>
  <c r="AP1697" i="2"/>
  <c r="AP1698" i="2"/>
  <c r="AP1699" i="2"/>
  <c r="AP1700" i="2"/>
  <c r="AP1701" i="2"/>
  <c r="AP1702" i="2"/>
  <c r="AP1703" i="2"/>
  <c r="AP1704" i="2"/>
  <c r="AP1705" i="2"/>
  <c r="AP1706" i="2"/>
  <c r="AP1707" i="2"/>
  <c r="AP1708" i="2"/>
  <c r="AP1709" i="2"/>
  <c r="AP1710" i="2"/>
  <c r="AP1711" i="2"/>
  <c r="AP1712" i="2"/>
  <c r="AP1713" i="2"/>
  <c r="AP1714" i="2"/>
  <c r="AP1715" i="2"/>
  <c r="AP1716" i="2"/>
  <c r="AP1717" i="2"/>
  <c r="AP1718" i="2"/>
  <c r="AP1719" i="2"/>
  <c r="AP1720" i="2"/>
  <c r="AP1721" i="2"/>
  <c r="AP1722" i="2"/>
  <c r="AP1723" i="2"/>
  <c r="AP1724" i="2"/>
  <c r="AP1725" i="2"/>
  <c r="AP1726" i="2"/>
  <c r="AP1727" i="2"/>
  <c r="AP1728" i="2"/>
  <c r="AP1729" i="2"/>
  <c r="AP1730" i="2"/>
  <c r="AP1731" i="2"/>
  <c r="AP1732" i="2"/>
  <c r="AP1733" i="2"/>
  <c r="AP1734" i="2"/>
  <c r="AP1735" i="2"/>
  <c r="AP1736" i="2"/>
  <c r="AP1737" i="2"/>
  <c r="AP1738" i="2"/>
  <c r="AP1739" i="2"/>
  <c r="AP1740" i="2"/>
  <c r="AP1741" i="2"/>
  <c r="AP1742" i="2"/>
  <c r="AP1743" i="2"/>
  <c r="AP1744" i="2"/>
  <c r="AP1745" i="2"/>
  <c r="AP1746" i="2"/>
  <c r="AP1747" i="2"/>
  <c r="AP1748" i="2"/>
  <c r="AP1749" i="2"/>
  <c r="AP1750" i="2"/>
  <c r="AP1751" i="2"/>
  <c r="AP1752" i="2"/>
  <c r="AP1753" i="2"/>
  <c r="AP1754" i="2"/>
  <c r="AP1755" i="2"/>
  <c r="AP1756" i="2"/>
  <c r="AP1757" i="2"/>
  <c r="AP1758" i="2"/>
  <c r="AP1759" i="2"/>
  <c r="AP1760" i="2"/>
  <c r="AP1761" i="2"/>
  <c r="AP1762" i="2"/>
  <c r="AP1763" i="2"/>
  <c r="AP1764" i="2"/>
  <c r="AP1765" i="2"/>
  <c r="AP1766" i="2"/>
  <c r="AP1767" i="2"/>
  <c r="AP1768" i="2"/>
  <c r="AP1769" i="2"/>
  <c r="AP1770" i="2"/>
  <c r="AP1771" i="2"/>
  <c r="AP1772" i="2"/>
  <c r="AP1773" i="2"/>
  <c r="AP1774" i="2"/>
  <c r="AP1775" i="2"/>
  <c r="AP1776" i="2"/>
  <c r="AP1777" i="2"/>
  <c r="AP1778" i="2"/>
  <c r="AP1779" i="2"/>
  <c r="AP1780" i="2"/>
  <c r="AP1781" i="2"/>
  <c r="AP1782" i="2"/>
  <c r="AP1783" i="2"/>
  <c r="AP1784" i="2"/>
  <c r="AP1785" i="2"/>
  <c r="AP1786" i="2"/>
  <c r="AP1787" i="2"/>
  <c r="AP1788" i="2"/>
  <c r="AP1789" i="2"/>
  <c r="AP1790" i="2"/>
  <c r="AP1791" i="2"/>
  <c r="AP1792" i="2"/>
  <c r="AP1793" i="2"/>
  <c r="AP1794" i="2"/>
  <c r="AP1795" i="2"/>
  <c r="AP1796" i="2"/>
  <c r="AP1797" i="2"/>
  <c r="AP1798" i="2"/>
  <c r="AP1799" i="2"/>
  <c r="AP1800" i="2"/>
  <c r="AP1801" i="2"/>
  <c r="AP1802" i="2"/>
  <c r="AP1803" i="2"/>
  <c r="AP1804" i="2"/>
  <c r="AP1805" i="2"/>
  <c r="AP1806" i="2"/>
  <c r="AP1807" i="2"/>
  <c r="AP1808" i="2"/>
  <c r="AP1809" i="2"/>
  <c r="AP1810" i="2"/>
  <c r="AP1811" i="2"/>
  <c r="AP1812" i="2"/>
  <c r="AP1813" i="2"/>
  <c r="AP1814" i="2"/>
  <c r="AP1815" i="2"/>
  <c r="AP1816" i="2"/>
  <c r="AP1817" i="2"/>
  <c r="AP1818" i="2"/>
  <c r="AP1819" i="2"/>
  <c r="AP1820" i="2"/>
  <c r="AP1821" i="2"/>
  <c r="AP1822" i="2"/>
  <c r="AP1823" i="2"/>
  <c r="AP1824" i="2"/>
  <c r="AP1825" i="2"/>
  <c r="AP1826" i="2"/>
  <c r="AP1827" i="2"/>
  <c r="AP1828" i="2"/>
  <c r="AP1829" i="2"/>
  <c r="AP1830" i="2"/>
  <c r="AP1831" i="2"/>
  <c r="AP1832" i="2"/>
  <c r="AP1833" i="2"/>
  <c r="AP1834" i="2"/>
  <c r="AP1835" i="2"/>
  <c r="AP1836" i="2"/>
  <c r="AP1837" i="2"/>
  <c r="AP1838" i="2"/>
  <c r="AP1839" i="2"/>
  <c r="AP1840" i="2"/>
  <c r="AP1841" i="2"/>
  <c r="AP1842" i="2"/>
  <c r="AP1843" i="2"/>
  <c r="AP1844" i="2"/>
  <c r="AP1845" i="2"/>
  <c r="AP1846" i="2"/>
  <c r="AP1847" i="2"/>
  <c r="AP1848" i="2"/>
  <c r="AP1849" i="2"/>
  <c r="AP1850" i="2"/>
  <c r="AP1851" i="2"/>
  <c r="AP1852" i="2"/>
  <c r="AP1853" i="2"/>
  <c r="AP1854" i="2"/>
  <c r="AP1855" i="2"/>
  <c r="AP1856" i="2"/>
  <c r="AP1857" i="2"/>
  <c r="AP1858" i="2"/>
  <c r="AP1859" i="2"/>
  <c r="AP1860" i="2"/>
  <c r="AP1861" i="2"/>
  <c r="AP1862" i="2"/>
  <c r="AP1863" i="2"/>
  <c r="AP1864" i="2"/>
  <c r="AP1865" i="2"/>
  <c r="AP1866" i="2"/>
  <c r="AP1867" i="2"/>
  <c r="AP1868" i="2"/>
  <c r="AP1869" i="2"/>
  <c r="AP1870" i="2"/>
  <c r="AP1871" i="2"/>
  <c r="AP1872" i="2"/>
  <c r="AP1873" i="2"/>
  <c r="AP1874" i="2"/>
  <c r="AP1875" i="2"/>
  <c r="AP1876" i="2"/>
  <c r="AP1877" i="2"/>
  <c r="AP1878" i="2"/>
  <c r="AP1879" i="2"/>
  <c r="AP1880" i="2"/>
  <c r="AP1881" i="2"/>
  <c r="AP1882" i="2"/>
  <c r="AP1883" i="2"/>
  <c r="AP1884" i="2"/>
  <c r="AP1885" i="2"/>
  <c r="AP1886" i="2"/>
  <c r="AP1887" i="2"/>
  <c r="AP1888" i="2"/>
  <c r="AP1889" i="2"/>
  <c r="AP1890" i="2"/>
  <c r="AP1891" i="2"/>
  <c r="AP1892" i="2"/>
  <c r="AP1893" i="2"/>
  <c r="AP1894" i="2"/>
  <c r="AP1895" i="2"/>
  <c r="AP1896" i="2"/>
  <c r="AP1897" i="2"/>
  <c r="AP1898" i="2"/>
  <c r="AP1899" i="2"/>
  <c r="AP1900" i="2"/>
  <c r="AP1901" i="2"/>
  <c r="AP1902" i="2"/>
  <c r="AP1903" i="2"/>
  <c r="AP1904" i="2"/>
  <c r="AP1905" i="2"/>
  <c r="AP1906" i="2"/>
  <c r="AP1907" i="2"/>
  <c r="AP1908" i="2"/>
  <c r="AP1909" i="2"/>
  <c r="AP1910" i="2"/>
  <c r="AP1911" i="2"/>
  <c r="AP1912" i="2"/>
  <c r="AP1913" i="2"/>
  <c r="AP1914" i="2"/>
  <c r="AP1915" i="2"/>
  <c r="AP1916" i="2"/>
  <c r="AP1917" i="2"/>
  <c r="AP1918" i="2"/>
  <c r="AP1919" i="2"/>
  <c r="AP1920" i="2"/>
  <c r="AP1921" i="2"/>
  <c r="AP1922" i="2"/>
  <c r="AP1923" i="2"/>
  <c r="AP1924" i="2"/>
  <c r="AP1925" i="2"/>
  <c r="AP1926" i="2"/>
  <c r="AP1927" i="2"/>
  <c r="AP1928" i="2"/>
  <c r="AP1929" i="2"/>
  <c r="AP1930" i="2"/>
  <c r="AP1931" i="2"/>
  <c r="AP1932" i="2"/>
  <c r="AP1933" i="2"/>
  <c r="AP1934" i="2"/>
  <c r="AP1935" i="2"/>
  <c r="AP1936" i="2"/>
  <c r="AP1937" i="2"/>
  <c r="AP1938" i="2"/>
  <c r="AP1939" i="2"/>
  <c r="AP1940" i="2"/>
  <c r="AP1941" i="2"/>
  <c r="AP1942" i="2"/>
  <c r="AP1943" i="2"/>
  <c r="AP1944" i="2"/>
  <c r="AP1945" i="2"/>
  <c r="AP1946" i="2"/>
  <c r="AP1947" i="2"/>
  <c r="AP1948" i="2"/>
  <c r="AP1949" i="2"/>
  <c r="AP1950" i="2"/>
  <c r="AP1951" i="2"/>
  <c r="AP1952" i="2"/>
  <c r="AP1953" i="2"/>
  <c r="AP1954" i="2"/>
  <c r="AP1955" i="2"/>
  <c r="AP1956" i="2"/>
  <c r="AP1957" i="2"/>
  <c r="AP1958" i="2"/>
  <c r="AP1959" i="2"/>
  <c r="AP1960" i="2"/>
  <c r="AP1961" i="2"/>
  <c r="AP1962" i="2"/>
  <c r="AP1963" i="2"/>
  <c r="AP1964" i="2"/>
  <c r="AP1965" i="2"/>
  <c r="AP1966" i="2"/>
  <c r="AP1967" i="2"/>
  <c r="AP1968" i="2"/>
  <c r="AP1969" i="2"/>
  <c r="AP1970" i="2"/>
  <c r="AP1971" i="2"/>
  <c r="AP1972" i="2"/>
  <c r="AP1973" i="2"/>
  <c r="AP1974" i="2"/>
  <c r="AP1975" i="2"/>
  <c r="AP1976" i="2"/>
  <c r="AP1977" i="2"/>
  <c r="AP1978" i="2"/>
  <c r="AP1979" i="2"/>
  <c r="AP1980" i="2"/>
  <c r="AP1981" i="2"/>
  <c r="AP1982" i="2"/>
  <c r="AP1983" i="2"/>
  <c r="AP1984" i="2"/>
  <c r="AP1985" i="2"/>
  <c r="AP1986" i="2"/>
  <c r="AP1987" i="2"/>
  <c r="AP1988" i="2"/>
  <c r="AP1989" i="2"/>
  <c r="AP1990" i="2"/>
  <c r="AP1991" i="2"/>
  <c r="AP1992" i="2"/>
  <c r="AP1993" i="2"/>
  <c r="AP1994" i="2"/>
  <c r="AP1995" i="2"/>
  <c r="AP1996" i="2"/>
  <c r="AP1997" i="2"/>
  <c r="AP1998" i="2"/>
  <c r="AP1999" i="2"/>
  <c r="AP2000" i="2"/>
  <c r="AP2001" i="2"/>
  <c r="AP2002" i="2"/>
  <c r="AP2003" i="2"/>
  <c r="AP2004" i="2"/>
  <c r="AP2005" i="2"/>
  <c r="AP2006" i="2"/>
  <c r="AP2007" i="2"/>
  <c r="AP2008" i="2"/>
  <c r="AP2009" i="2"/>
  <c r="AP2010" i="2"/>
  <c r="AP2011" i="2"/>
  <c r="AP2012" i="2"/>
  <c r="AP2013" i="2"/>
  <c r="AP2014" i="2"/>
  <c r="AP2015" i="2"/>
  <c r="AP2016" i="2"/>
  <c r="AP2017" i="2"/>
  <c r="AP2018" i="2"/>
  <c r="AP2019" i="2"/>
  <c r="AP2020" i="2"/>
  <c r="AP2021" i="2"/>
  <c r="AP2022" i="2"/>
  <c r="AP2023" i="2"/>
  <c r="AP2024" i="2"/>
  <c r="AP2025" i="2"/>
  <c r="AP2026" i="2"/>
  <c r="AP2027" i="2"/>
  <c r="AP2028" i="2"/>
  <c r="AP2029" i="2"/>
  <c r="AP2030" i="2"/>
  <c r="AP2031" i="2"/>
  <c r="AP2032" i="2"/>
  <c r="AP2033" i="2"/>
  <c r="AP2034" i="2"/>
  <c r="AP2035" i="2"/>
  <c r="AP2036" i="2"/>
  <c r="AP2037" i="2"/>
  <c r="AP2038" i="2"/>
  <c r="AP2039" i="2"/>
  <c r="AP2040" i="2"/>
  <c r="AP2041" i="2"/>
  <c r="AP2042" i="2"/>
  <c r="AP2043" i="2"/>
  <c r="AP2044" i="2"/>
  <c r="AP2045" i="2"/>
  <c r="AP2046" i="2"/>
  <c r="AP2047" i="2"/>
  <c r="AP2048" i="2"/>
  <c r="AP2049" i="2"/>
  <c r="AP2050" i="2"/>
  <c r="AP2051" i="2"/>
  <c r="AP2052" i="2"/>
  <c r="AP2053" i="2"/>
  <c r="AP2054" i="2"/>
  <c r="AP2055" i="2"/>
  <c r="AP2056" i="2"/>
  <c r="AP2057" i="2"/>
  <c r="AP2058" i="2"/>
  <c r="AP2059" i="2"/>
  <c r="AP2060" i="2"/>
  <c r="AP2061" i="2"/>
  <c r="AP2062" i="2"/>
  <c r="AP2063" i="2"/>
  <c r="AP2064" i="2"/>
  <c r="AP2065" i="2"/>
  <c r="AP2066" i="2"/>
  <c r="AP2067" i="2"/>
  <c r="AP2068" i="2"/>
  <c r="AP2069" i="2"/>
  <c r="AP2070" i="2"/>
  <c r="AP2071" i="2"/>
  <c r="AP2072" i="2"/>
  <c r="AP2073" i="2"/>
  <c r="AP2074" i="2"/>
  <c r="AP2075" i="2"/>
  <c r="AP2076" i="2"/>
  <c r="AP2077" i="2"/>
  <c r="AP2078" i="2"/>
  <c r="AP2079" i="2"/>
  <c r="AP2080" i="2"/>
  <c r="AP2081" i="2"/>
  <c r="AP2082" i="2"/>
  <c r="AP2083" i="2"/>
  <c r="AP2084" i="2"/>
  <c r="AP2085" i="2"/>
  <c r="AP2086" i="2"/>
  <c r="AP2087" i="2"/>
  <c r="AP2088" i="2"/>
  <c r="AP2089" i="2"/>
  <c r="AP2090" i="2"/>
  <c r="AP2091" i="2"/>
  <c r="AP2092" i="2"/>
  <c r="AP2093" i="2"/>
  <c r="AP2094" i="2"/>
  <c r="AP2095" i="2"/>
  <c r="AP2096" i="2"/>
  <c r="AP2097" i="2"/>
  <c r="AP2098" i="2"/>
  <c r="AP2099" i="2"/>
  <c r="AP2100" i="2"/>
  <c r="AP2101" i="2"/>
  <c r="AP2102" i="2"/>
  <c r="AP2103" i="2"/>
  <c r="AP2104" i="2"/>
  <c r="AP2105" i="2"/>
  <c r="AP2106" i="2"/>
  <c r="AP2107" i="2"/>
  <c r="AP2108" i="2"/>
  <c r="AP2109" i="2"/>
  <c r="AP2110" i="2"/>
  <c r="AP2111" i="2"/>
  <c r="AP2112" i="2"/>
  <c r="AP2113" i="2"/>
  <c r="AP2114" i="2"/>
  <c r="AP2115" i="2"/>
  <c r="AP2116" i="2"/>
  <c r="AP2117" i="2"/>
  <c r="AP2118" i="2"/>
  <c r="AP2119" i="2"/>
  <c r="AP2120" i="2"/>
  <c r="AP2121" i="2"/>
  <c r="AP2122" i="2"/>
  <c r="AP2123" i="2"/>
  <c r="AP2124" i="2"/>
  <c r="AP2125" i="2"/>
  <c r="AP2126" i="2"/>
  <c r="AP2127" i="2"/>
  <c r="AP2128" i="2"/>
  <c r="AP2129" i="2"/>
  <c r="AP2130" i="2"/>
  <c r="AP2131" i="2"/>
  <c r="AP2132" i="2"/>
  <c r="AP2133" i="2"/>
  <c r="AP2134" i="2"/>
  <c r="AP2135" i="2"/>
  <c r="AP2136" i="2"/>
  <c r="AP2137" i="2"/>
  <c r="AP2138" i="2"/>
  <c r="AP2139" i="2"/>
  <c r="AP2140" i="2"/>
  <c r="AP2141" i="2"/>
  <c r="AP2142" i="2"/>
  <c r="AP2143" i="2"/>
  <c r="AP2144" i="2"/>
  <c r="AP2145" i="2"/>
  <c r="AP2146" i="2"/>
  <c r="AP2147" i="2"/>
  <c r="AP2148" i="2"/>
  <c r="AP2149" i="2"/>
  <c r="AP2150" i="2"/>
  <c r="AP2151" i="2"/>
  <c r="AP2152" i="2"/>
  <c r="AP2153" i="2"/>
  <c r="AP2154" i="2"/>
  <c r="AP2155" i="2"/>
  <c r="AP2156" i="2"/>
  <c r="AP2157" i="2"/>
  <c r="AP2158" i="2"/>
  <c r="AP2159" i="2"/>
  <c r="AP2160" i="2"/>
  <c r="AP2161" i="2"/>
  <c r="AP2162" i="2"/>
  <c r="AP2163" i="2"/>
  <c r="AP2164" i="2"/>
  <c r="AP2165" i="2"/>
  <c r="AP2166" i="2"/>
  <c r="AP2167" i="2"/>
  <c r="AP2168" i="2"/>
  <c r="AP2169" i="2"/>
  <c r="AP2170" i="2"/>
  <c r="AP2171" i="2"/>
  <c r="AP2172" i="2"/>
  <c r="AP2173" i="2"/>
  <c r="AP2174" i="2"/>
  <c r="AP2175" i="2"/>
  <c r="AP2176" i="2"/>
  <c r="AP2177" i="2"/>
  <c r="AP2178" i="2"/>
  <c r="AP2179" i="2"/>
  <c r="AP2180" i="2"/>
  <c r="AP2181" i="2"/>
  <c r="AP2182" i="2"/>
  <c r="AP2183" i="2"/>
  <c r="AP2184" i="2"/>
  <c r="AP2185" i="2"/>
  <c r="AP2186" i="2"/>
  <c r="AP2187" i="2"/>
  <c r="AP2188" i="2"/>
  <c r="AP2189" i="2"/>
  <c r="AP2190" i="2"/>
  <c r="AP2191" i="2"/>
  <c r="AP2192" i="2"/>
  <c r="AP2193" i="2"/>
  <c r="AP2194" i="2"/>
  <c r="AP2195" i="2"/>
  <c r="AP2196" i="2"/>
  <c r="AP2197" i="2"/>
  <c r="AP2198" i="2"/>
  <c r="AP2199" i="2"/>
  <c r="AP2200" i="2"/>
  <c r="AP2201" i="2"/>
  <c r="AP2202" i="2"/>
  <c r="AP2203" i="2"/>
  <c r="AP2204" i="2"/>
  <c r="AP2205" i="2"/>
  <c r="AP2206" i="2"/>
  <c r="AP2207" i="2"/>
  <c r="AP2208" i="2"/>
  <c r="AP2209" i="2"/>
  <c r="AP2210" i="2"/>
  <c r="AP2211" i="2"/>
  <c r="AP2212" i="2"/>
  <c r="AP2213" i="2"/>
  <c r="AP2214" i="2"/>
  <c r="AP2215" i="2"/>
  <c r="AP2216" i="2"/>
  <c r="AP2217" i="2"/>
  <c r="AP2218" i="2"/>
  <c r="AP2219" i="2"/>
  <c r="AP2220" i="2"/>
  <c r="AP2221" i="2"/>
  <c r="AP2222" i="2"/>
  <c r="AP2223" i="2"/>
  <c r="AP2224" i="2"/>
  <c r="AP2225" i="2"/>
  <c r="AP2226" i="2"/>
  <c r="AP2227" i="2"/>
  <c r="AP2228" i="2"/>
  <c r="AP2229" i="2"/>
  <c r="AP2230" i="2"/>
  <c r="AP2231" i="2"/>
  <c r="AP2232" i="2"/>
  <c r="AP2233" i="2"/>
  <c r="AP2234" i="2"/>
  <c r="AP2235" i="2"/>
  <c r="AP2236" i="2"/>
  <c r="AP2237" i="2"/>
  <c r="AP2238" i="2"/>
  <c r="AP2239" i="2"/>
  <c r="AP2240" i="2"/>
  <c r="AP2241" i="2"/>
  <c r="AP2242" i="2"/>
  <c r="AP2243" i="2"/>
  <c r="AP2244" i="2"/>
  <c r="AP2245" i="2"/>
  <c r="AP2246" i="2"/>
  <c r="AP2247" i="2"/>
  <c r="AP2248" i="2"/>
  <c r="AP2249" i="2"/>
  <c r="AP2250" i="2"/>
  <c r="AP2251" i="2"/>
  <c r="AP2252" i="2"/>
  <c r="AP2253" i="2"/>
  <c r="AP2254" i="2"/>
  <c r="AP2255" i="2"/>
  <c r="AP2256" i="2"/>
  <c r="AP2257" i="2"/>
  <c r="AS3" i="2"/>
  <c r="AS4" i="2"/>
  <c r="AS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56" i="2"/>
  <c r="AS57" i="2"/>
  <c r="AS58" i="2"/>
  <c r="AS59" i="2"/>
  <c r="AS60" i="2"/>
  <c r="AS61" i="2"/>
  <c r="AS62" i="2"/>
  <c r="AS63" i="2"/>
  <c r="AS64" i="2"/>
  <c r="AS65" i="2"/>
  <c r="AS66" i="2"/>
  <c r="AS67" i="2"/>
  <c r="AS68" i="2"/>
  <c r="AS69" i="2"/>
  <c r="AS70" i="2"/>
  <c r="AS71" i="2"/>
  <c r="AS72" i="2"/>
  <c r="AS73" i="2"/>
  <c r="AS74" i="2"/>
  <c r="AS75" i="2"/>
  <c r="AS76" i="2"/>
  <c r="AS77" i="2"/>
  <c r="AS78" i="2"/>
  <c r="AS79" i="2"/>
  <c r="AS80" i="2"/>
  <c r="AS81" i="2"/>
  <c r="AS82" i="2"/>
  <c r="AS83" i="2"/>
  <c r="AS84" i="2"/>
  <c r="AS85" i="2"/>
  <c r="AS86" i="2"/>
  <c r="AS87" i="2"/>
  <c r="AS88" i="2"/>
  <c r="AS89" i="2"/>
  <c r="AS90" i="2"/>
  <c r="AS91" i="2"/>
  <c r="AS92" i="2"/>
  <c r="AS93" i="2"/>
  <c r="AS94" i="2"/>
  <c r="AS95" i="2"/>
  <c r="AS96" i="2"/>
  <c r="AS97" i="2"/>
  <c r="AS98" i="2"/>
  <c r="AS99" i="2"/>
  <c r="AS100" i="2"/>
  <c r="AS101" i="2"/>
  <c r="AS102" i="2"/>
  <c r="AS103" i="2"/>
  <c r="AS104" i="2"/>
  <c r="AS105" i="2"/>
  <c r="AS106" i="2"/>
  <c r="AS107" i="2"/>
  <c r="AS108" i="2"/>
  <c r="AS109" i="2"/>
  <c r="AS110" i="2"/>
  <c r="AS111" i="2"/>
  <c r="AS112" i="2"/>
  <c r="AS113" i="2"/>
  <c r="AS114" i="2"/>
  <c r="AS115" i="2"/>
  <c r="AS116" i="2"/>
  <c r="AS117" i="2"/>
  <c r="AS118" i="2"/>
  <c r="AS119" i="2"/>
  <c r="AS120" i="2"/>
  <c r="AS121" i="2"/>
  <c r="AS122" i="2"/>
  <c r="AS123" i="2"/>
  <c r="AS124" i="2"/>
  <c r="AS125" i="2"/>
  <c r="AS126" i="2"/>
  <c r="AS127" i="2"/>
  <c r="AS128" i="2"/>
  <c r="AS129" i="2"/>
  <c r="AS130" i="2"/>
  <c r="AS131" i="2"/>
  <c r="AS132" i="2"/>
  <c r="AS133" i="2"/>
  <c r="AS134" i="2"/>
  <c r="AS135" i="2"/>
  <c r="AS136" i="2"/>
  <c r="AS137" i="2"/>
  <c r="AS138" i="2"/>
  <c r="AS139" i="2"/>
  <c r="AS140" i="2"/>
  <c r="AS141" i="2"/>
  <c r="AS142" i="2"/>
  <c r="AS143" i="2"/>
  <c r="AS144" i="2"/>
  <c r="AS145" i="2"/>
  <c r="AS146" i="2"/>
  <c r="AS147" i="2"/>
  <c r="AS148" i="2"/>
  <c r="AS149" i="2"/>
  <c r="AS150" i="2"/>
  <c r="AS151" i="2"/>
  <c r="AS152" i="2"/>
  <c r="AS153" i="2"/>
  <c r="AS154" i="2"/>
  <c r="AS155" i="2"/>
  <c r="AS156" i="2"/>
  <c r="AS157" i="2"/>
  <c r="AS158" i="2"/>
  <c r="AS159" i="2"/>
  <c r="AS160" i="2"/>
  <c r="AS161" i="2"/>
  <c r="AS162" i="2"/>
  <c r="AS163" i="2"/>
  <c r="AS164" i="2"/>
  <c r="AS165" i="2"/>
  <c r="AS166" i="2"/>
  <c r="AS167" i="2"/>
  <c r="AS168" i="2"/>
  <c r="AS169" i="2"/>
  <c r="AS170" i="2"/>
  <c r="AS171" i="2"/>
  <c r="AS172" i="2"/>
  <c r="AS173" i="2"/>
  <c r="AS174" i="2"/>
  <c r="AS175" i="2"/>
  <c r="AS176" i="2"/>
  <c r="AS177" i="2"/>
  <c r="AS178" i="2"/>
  <c r="AS179" i="2"/>
  <c r="AS180" i="2"/>
  <c r="AS181" i="2"/>
  <c r="AS182" i="2"/>
  <c r="AS183" i="2"/>
  <c r="AS184" i="2"/>
  <c r="AS185" i="2"/>
  <c r="AS186" i="2"/>
  <c r="AS187" i="2"/>
  <c r="AS188" i="2"/>
  <c r="AS189" i="2"/>
  <c r="AS190" i="2"/>
  <c r="AS191" i="2"/>
  <c r="AS192" i="2"/>
  <c r="AS193" i="2"/>
  <c r="AS194" i="2"/>
  <c r="AS195" i="2"/>
  <c r="AS196" i="2"/>
  <c r="AS197" i="2"/>
  <c r="AS198" i="2"/>
  <c r="AS199" i="2"/>
  <c r="AS200" i="2"/>
  <c r="AS201" i="2"/>
  <c r="AS202" i="2"/>
  <c r="AS203" i="2"/>
  <c r="AS204" i="2"/>
  <c r="AS205" i="2"/>
  <c r="AS206" i="2"/>
  <c r="AS207" i="2"/>
  <c r="AS208" i="2"/>
  <c r="AS209" i="2"/>
  <c r="AS210" i="2"/>
  <c r="AS211" i="2"/>
  <c r="AS212" i="2"/>
  <c r="AS213" i="2"/>
  <c r="AS214" i="2"/>
  <c r="AS215" i="2"/>
  <c r="AS216" i="2"/>
  <c r="AS217" i="2"/>
  <c r="AS218" i="2"/>
  <c r="AS219" i="2"/>
  <c r="AS220" i="2"/>
  <c r="AS221" i="2"/>
  <c r="AS222" i="2"/>
  <c r="AS223" i="2"/>
  <c r="AS224" i="2"/>
  <c r="AS225" i="2"/>
  <c r="AS226" i="2"/>
  <c r="AS227" i="2"/>
  <c r="AS228" i="2"/>
  <c r="AS229" i="2"/>
  <c r="AS230" i="2"/>
  <c r="AS231" i="2"/>
  <c r="AS232" i="2"/>
  <c r="AS233" i="2"/>
  <c r="AS234" i="2"/>
  <c r="AS235" i="2"/>
  <c r="AS236" i="2"/>
  <c r="AS237" i="2"/>
  <c r="AS238" i="2"/>
  <c r="AS239" i="2"/>
  <c r="AS240" i="2"/>
  <c r="AS241" i="2"/>
  <c r="AS242" i="2"/>
  <c r="AS243" i="2"/>
  <c r="AS244" i="2"/>
  <c r="AS245" i="2"/>
  <c r="AS246" i="2"/>
  <c r="AS247" i="2"/>
  <c r="AS248" i="2"/>
  <c r="AS249" i="2"/>
  <c r="AS250" i="2"/>
  <c r="AS251" i="2"/>
  <c r="AS252" i="2"/>
  <c r="AS253" i="2"/>
  <c r="AS254" i="2"/>
  <c r="AS255" i="2"/>
  <c r="AS256" i="2"/>
  <c r="AS257" i="2"/>
  <c r="AS258" i="2"/>
  <c r="AS259" i="2"/>
  <c r="AS260" i="2"/>
  <c r="AS261" i="2"/>
  <c r="AS262" i="2"/>
  <c r="AS263" i="2"/>
  <c r="AS264" i="2"/>
  <c r="AS265" i="2"/>
  <c r="AS266" i="2"/>
  <c r="AS267" i="2"/>
  <c r="AS268" i="2"/>
  <c r="AS269" i="2"/>
  <c r="AS270" i="2"/>
  <c r="AS271" i="2"/>
  <c r="AS272" i="2"/>
  <c r="AS273" i="2"/>
  <c r="AS274" i="2"/>
  <c r="AS275" i="2"/>
  <c r="AS276" i="2"/>
  <c r="AS277" i="2"/>
  <c r="AS278" i="2"/>
  <c r="AS279" i="2"/>
  <c r="AS280" i="2"/>
  <c r="AS281" i="2"/>
  <c r="AS282" i="2"/>
  <c r="AS283" i="2"/>
  <c r="AS284" i="2"/>
  <c r="AS285" i="2"/>
  <c r="AS286" i="2"/>
  <c r="AS287" i="2"/>
  <c r="AS288" i="2"/>
  <c r="AS289" i="2"/>
  <c r="AS290" i="2"/>
  <c r="AS291" i="2"/>
  <c r="AS292" i="2"/>
  <c r="AS293" i="2"/>
  <c r="AS294" i="2"/>
  <c r="AS295" i="2"/>
  <c r="AS296" i="2"/>
  <c r="AS297" i="2"/>
  <c r="AS298" i="2"/>
  <c r="AS299" i="2"/>
  <c r="AS300" i="2"/>
  <c r="AS301" i="2"/>
  <c r="AS302" i="2"/>
  <c r="AS303" i="2"/>
  <c r="AS304" i="2"/>
  <c r="AS305" i="2"/>
  <c r="AS306" i="2"/>
  <c r="AS307" i="2"/>
  <c r="AS308" i="2"/>
  <c r="AS309" i="2"/>
  <c r="AS310" i="2"/>
  <c r="AS311" i="2"/>
  <c r="AS312" i="2"/>
  <c r="AS313" i="2"/>
  <c r="AS314" i="2"/>
  <c r="AS315" i="2"/>
  <c r="AS316" i="2"/>
  <c r="AS317" i="2"/>
  <c r="AS318" i="2"/>
  <c r="AS319" i="2"/>
  <c r="AS320" i="2"/>
  <c r="AS321" i="2"/>
  <c r="AS322" i="2"/>
  <c r="AS323" i="2"/>
  <c r="AS324" i="2"/>
  <c r="AS325" i="2"/>
  <c r="AS326" i="2"/>
  <c r="AS327" i="2"/>
  <c r="AS328" i="2"/>
  <c r="AS329" i="2"/>
  <c r="AS330" i="2"/>
  <c r="AS331" i="2"/>
  <c r="AS332" i="2"/>
  <c r="AS333" i="2"/>
  <c r="AS334" i="2"/>
  <c r="AS335" i="2"/>
  <c r="AS336" i="2"/>
  <c r="AS337" i="2"/>
  <c r="AS338" i="2"/>
  <c r="AS339" i="2"/>
  <c r="AS340" i="2"/>
  <c r="AS341" i="2"/>
  <c r="AS342" i="2"/>
  <c r="AS343" i="2"/>
  <c r="AS344" i="2"/>
  <c r="AS345" i="2"/>
  <c r="AS346" i="2"/>
  <c r="AS347" i="2"/>
  <c r="AS348" i="2"/>
  <c r="AS349" i="2"/>
  <c r="AS350" i="2"/>
  <c r="AS351" i="2"/>
  <c r="AS352" i="2"/>
  <c r="AS353" i="2"/>
  <c r="AS354" i="2"/>
  <c r="AS355" i="2"/>
  <c r="AS356" i="2"/>
  <c r="AS357" i="2"/>
  <c r="AS358" i="2"/>
  <c r="AS359" i="2"/>
  <c r="AS360" i="2"/>
  <c r="AS361" i="2"/>
  <c r="AS362" i="2"/>
  <c r="AS363" i="2"/>
  <c r="AS364" i="2"/>
  <c r="AS365" i="2"/>
  <c r="AS366" i="2"/>
  <c r="AS367" i="2"/>
  <c r="AS368" i="2"/>
  <c r="AS369" i="2"/>
  <c r="AS370" i="2"/>
  <c r="AS371" i="2"/>
  <c r="AS372" i="2"/>
  <c r="AS373" i="2"/>
  <c r="AS374" i="2"/>
  <c r="AS375" i="2"/>
  <c r="AS376" i="2"/>
  <c r="AS377" i="2"/>
  <c r="AS378" i="2"/>
  <c r="AS379" i="2"/>
  <c r="AS380" i="2"/>
  <c r="AS381" i="2"/>
  <c r="AS382" i="2"/>
  <c r="AS383" i="2"/>
  <c r="AS384" i="2"/>
  <c r="AS385" i="2"/>
  <c r="AS386" i="2"/>
  <c r="AS387" i="2"/>
  <c r="AS388" i="2"/>
  <c r="AS389" i="2"/>
  <c r="AS390" i="2"/>
  <c r="AS391" i="2"/>
  <c r="AS392" i="2"/>
  <c r="AS393" i="2"/>
  <c r="AS394" i="2"/>
  <c r="AS395" i="2"/>
  <c r="AS396" i="2"/>
  <c r="AS397" i="2"/>
  <c r="AS398" i="2"/>
  <c r="AS399" i="2"/>
  <c r="AS400" i="2"/>
  <c r="AS401" i="2"/>
  <c r="AS402" i="2"/>
  <c r="AS403" i="2"/>
  <c r="AS404" i="2"/>
  <c r="AS405" i="2"/>
  <c r="AS406" i="2"/>
  <c r="AS407" i="2"/>
  <c r="AS408" i="2"/>
  <c r="AS409" i="2"/>
  <c r="AS410" i="2"/>
  <c r="AS411" i="2"/>
  <c r="AS412" i="2"/>
  <c r="AS413" i="2"/>
  <c r="AS414" i="2"/>
  <c r="AS415" i="2"/>
  <c r="AS416" i="2"/>
  <c r="AS417" i="2"/>
  <c r="AS418" i="2"/>
  <c r="AS419" i="2"/>
  <c r="AS420" i="2"/>
  <c r="AS421" i="2"/>
  <c r="AS422" i="2"/>
  <c r="AS423" i="2"/>
  <c r="AS424" i="2"/>
  <c r="AS425" i="2"/>
  <c r="AS426" i="2"/>
  <c r="AS427" i="2"/>
  <c r="AS428" i="2"/>
  <c r="AS429" i="2"/>
  <c r="AS430" i="2"/>
  <c r="AS431" i="2"/>
  <c r="AS432" i="2"/>
  <c r="AS433" i="2"/>
  <c r="AS434" i="2"/>
  <c r="AS435" i="2"/>
  <c r="AS436" i="2"/>
  <c r="AS437" i="2"/>
  <c r="AS438" i="2"/>
  <c r="AS439" i="2"/>
  <c r="AS440" i="2"/>
  <c r="AS441" i="2"/>
  <c r="AS442" i="2"/>
  <c r="AS443" i="2"/>
  <c r="AS444" i="2"/>
  <c r="AS445" i="2"/>
  <c r="AS446" i="2"/>
  <c r="AS447" i="2"/>
  <c r="AS448" i="2"/>
  <c r="AS449" i="2"/>
  <c r="AS450" i="2"/>
  <c r="AS451" i="2"/>
  <c r="AS452" i="2"/>
  <c r="AS453" i="2"/>
  <c r="AS454" i="2"/>
  <c r="AS455" i="2"/>
  <c r="AS456" i="2"/>
  <c r="AS457" i="2"/>
  <c r="AS458" i="2"/>
  <c r="AS459" i="2"/>
  <c r="AS460" i="2"/>
  <c r="AS461" i="2"/>
  <c r="AS462" i="2"/>
  <c r="AS463" i="2"/>
  <c r="AS464" i="2"/>
  <c r="AS465" i="2"/>
  <c r="AS466" i="2"/>
  <c r="AS467" i="2"/>
  <c r="AS468" i="2"/>
  <c r="AS469" i="2"/>
  <c r="AS470" i="2"/>
  <c r="AS471" i="2"/>
  <c r="AS472" i="2"/>
  <c r="AS473" i="2"/>
  <c r="AS474" i="2"/>
  <c r="AS475" i="2"/>
  <c r="AS476" i="2"/>
  <c r="AS477" i="2"/>
  <c r="AS478" i="2"/>
  <c r="AS479" i="2"/>
  <c r="AS480" i="2"/>
  <c r="AS481" i="2"/>
  <c r="AS482" i="2"/>
  <c r="AS483" i="2"/>
  <c r="AS484" i="2"/>
  <c r="AS485" i="2"/>
  <c r="AS486" i="2"/>
  <c r="AS487" i="2"/>
  <c r="AS488" i="2"/>
  <c r="AS489" i="2"/>
  <c r="AS490" i="2"/>
  <c r="AS491" i="2"/>
  <c r="AS492" i="2"/>
  <c r="AS493" i="2"/>
  <c r="AS494" i="2"/>
  <c r="AS495" i="2"/>
  <c r="AS496" i="2"/>
  <c r="AS497" i="2"/>
  <c r="AS498" i="2"/>
  <c r="AS499" i="2"/>
  <c r="AS500" i="2"/>
  <c r="AS501" i="2"/>
  <c r="AS502" i="2"/>
  <c r="AS503" i="2"/>
  <c r="AS504" i="2"/>
  <c r="AS505" i="2"/>
  <c r="AS506" i="2"/>
  <c r="AS507" i="2"/>
  <c r="AS508" i="2"/>
  <c r="AS509" i="2"/>
  <c r="AS510" i="2"/>
  <c r="AS511" i="2"/>
  <c r="AS512" i="2"/>
  <c r="AS513" i="2"/>
  <c r="AS514" i="2"/>
  <c r="AS515" i="2"/>
  <c r="AS516" i="2"/>
  <c r="AS517" i="2"/>
  <c r="AS518" i="2"/>
  <c r="AS519" i="2"/>
  <c r="AS520" i="2"/>
  <c r="AS521" i="2"/>
  <c r="AS522" i="2"/>
  <c r="AS523" i="2"/>
  <c r="AS524" i="2"/>
  <c r="AS525" i="2"/>
  <c r="AS526" i="2"/>
  <c r="AS527" i="2"/>
  <c r="AS528" i="2"/>
  <c r="AS529" i="2"/>
  <c r="AS530" i="2"/>
  <c r="AS531" i="2"/>
  <c r="AS532" i="2"/>
  <c r="AS533" i="2"/>
  <c r="AS534" i="2"/>
  <c r="AS535" i="2"/>
  <c r="AS536" i="2"/>
  <c r="AS537" i="2"/>
  <c r="AS538" i="2"/>
  <c r="AS539" i="2"/>
  <c r="AS540" i="2"/>
  <c r="AS541" i="2"/>
  <c r="AS542" i="2"/>
  <c r="AS543" i="2"/>
  <c r="AS544" i="2"/>
  <c r="AS545" i="2"/>
  <c r="AS546" i="2"/>
  <c r="AS547" i="2"/>
  <c r="AS548" i="2"/>
  <c r="AS549" i="2"/>
  <c r="AS550" i="2"/>
  <c r="AS551" i="2"/>
  <c r="AS552" i="2"/>
  <c r="AS553" i="2"/>
  <c r="AS554" i="2"/>
  <c r="AS555" i="2"/>
  <c r="AS556" i="2"/>
  <c r="AS557" i="2"/>
  <c r="AS558" i="2"/>
  <c r="AS559" i="2"/>
  <c r="AS560" i="2"/>
  <c r="AS561" i="2"/>
  <c r="AS562" i="2"/>
  <c r="AS563" i="2"/>
  <c r="AS564" i="2"/>
  <c r="AS565" i="2"/>
  <c r="AS566" i="2"/>
  <c r="AS567" i="2"/>
  <c r="AS568" i="2"/>
  <c r="AS569" i="2"/>
  <c r="AS570" i="2"/>
  <c r="AS571" i="2"/>
  <c r="AS572" i="2"/>
  <c r="AS573" i="2"/>
  <c r="AS574" i="2"/>
  <c r="AS575" i="2"/>
  <c r="AS576" i="2"/>
  <c r="AS577" i="2"/>
  <c r="AS578" i="2"/>
  <c r="AS579" i="2"/>
  <c r="AS580" i="2"/>
  <c r="AS581" i="2"/>
  <c r="AS582" i="2"/>
  <c r="AS583" i="2"/>
  <c r="AV3" i="2"/>
  <c r="AY3" i="2"/>
  <c r="BB3" i="2"/>
  <c r="BE3" i="2"/>
  <c r="BH3" i="2"/>
  <c r="M4" i="1" l="1"/>
  <c r="U59" i="4" l="1"/>
  <c r="U58" i="4"/>
  <c r="U57" i="4"/>
  <c r="U56" i="4"/>
  <c r="U55" i="4"/>
  <c r="U54" i="4"/>
  <c r="U53" i="4"/>
  <c r="U52" i="4"/>
  <c r="U51" i="4"/>
  <c r="U50" i="4"/>
  <c r="U49" i="4"/>
  <c r="U48" i="4"/>
  <c r="U47" i="4"/>
  <c r="U46" i="4"/>
  <c r="U45" i="4"/>
  <c r="U44" i="4"/>
  <c r="U43" i="4"/>
  <c r="U42" i="4"/>
  <c r="C23" i="1"/>
  <c r="C22" i="1"/>
  <c r="C21" i="1"/>
  <c r="C20" i="1"/>
  <c r="C19" i="1"/>
  <c r="C11" i="1"/>
  <c r="C10" i="1"/>
  <c r="U25" i="4" l="1"/>
  <c r="U26" i="4"/>
  <c r="B26" i="4" l="1"/>
  <c r="B25" i="4"/>
  <c r="B15" i="4"/>
  <c r="B14" i="4"/>
  <c r="B13" i="4"/>
  <c r="B10" i="4"/>
  <c r="B9" i="4"/>
  <c r="B11" i="4"/>
  <c r="B12" i="4"/>
  <c r="B20" i="4"/>
  <c r="B21" i="4"/>
  <c r="B24" i="4"/>
  <c r="B23" i="4"/>
  <c r="B22" i="4"/>
  <c r="B17" i="4"/>
  <c r="B16" i="4"/>
  <c r="B18" i="4"/>
  <c r="B19" i="4"/>
  <c r="C15" i="1" l="1"/>
  <c r="C4" i="1"/>
  <c r="C3" i="1"/>
  <c r="C9" i="1"/>
  <c r="C16" i="1"/>
  <c r="C8" i="1"/>
  <c r="C5" i="1"/>
  <c r="C18" i="1"/>
  <c r="C7" i="1"/>
  <c r="C17" i="1"/>
  <c r="C6" i="1"/>
  <c r="T8" i="4"/>
  <c r="T47" i="4" s="1"/>
  <c r="T44" i="4" l="1"/>
  <c r="T45" i="4"/>
  <c r="T51" i="4"/>
  <c r="T58" i="4"/>
  <c r="T54" i="4"/>
  <c r="T48" i="4"/>
  <c r="T52" i="4"/>
  <c r="T53" i="4"/>
  <c r="T46" i="4"/>
  <c r="T56" i="4"/>
  <c r="T43" i="4"/>
  <c r="T55" i="4"/>
  <c r="T57" i="4"/>
  <c r="T49" i="4"/>
  <c r="T50" i="4"/>
  <c r="T42" i="4"/>
  <c r="T17" i="4"/>
  <c r="T23" i="4"/>
  <c r="T21" i="4"/>
  <c r="T20" i="4"/>
  <c r="T9" i="4"/>
  <c r="T16" i="4"/>
  <c r="T26" i="4"/>
  <c r="T19" i="4"/>
  <c r="T18" i="4"/>
  <c r="T15" i="4"/>
  <c r="T10" i="4"/>
  <c r="T24" i="4"/>
  <c r="T22" i="4"/>
  <c r="T13" i="4"/>
  <c r="T12" i="4"/>
  <c r="T11" i="4"/>
  <c r="T14" i="4"/>
  <c r="T25" i="4"/>
  <c r="B48" i="4"/>
  <c r="I41" i="4" s="1"/>
  <c r="B47" i="4"/>
  <c r="H41" i="4" s="1"/>
  <c r="B46" i="4"/>
  <c r="G41" i="4" s="1"/>
  <c r="B45" i="4"/>
  <c r="F41" i="4" s="1"/>
  <c r="B44" i="4"/>
  <c r="E41" i="4" s="1"/>
  <c r="B49" i="4"/>
  <c r="J41" i="4" s="1"/>
  <c r="B43" i="4"/>
  <c r="D41" i="4" s="1"/>
  <c r="B56" i="4"/>
  <c r="Q41" i="4" s="1"/>
  <c r="B55" i="4"/>
  <c r="P41" i="4" s="1"/>
  <c r="B52" i="4"/>
  <c r="M41" i="4" s="1"/>
  <c r="B51" i="4"/>
  <c r="L41" i="4" s="1"/>
  <c r="B53" i="4"/>
  <c r="N41" i="4" s="1"/>
  <c r="B54" i="4"/>
  <c r="O41" i="4" s="1"/>
  <c r="B57" i="4"/>
  <c r="R41" i="4" s="1"/>
  <c r="B50" i="4"/>
  <c r="K41" i="4" s="1"/>
  <c r="B58" i="4"/>
  <c r="S41" i="4" s="1"/>
  <c r="B42" i="4"/>
  <c r="C8" i="4"/>
  <c r="C59" i="4" s="1"/>
  <c r="D8" i="4"/>
  <c r="E8" i="4"/>
  <c r="I8" i="4"/>
  <c r="H8" i="4"/>
  <c r="G8" i="4"/>
  <c r="F8" i="4"/>
  <c r="S8" i="4"/>
  <c r="R8" i="4"/>
  <c r="Q8" i="4"/>
  <c r="P8" i="4"/>
  <c r="O8" i="4"/>
  <c r="N8" i="4"/>
  <c r="M8" i="4"/>
  <c r="L8" i="4"/>
  <c r="J8" i="4"/>
  <c r="K8" i="4"/>
  <c r="T41" i="4"/>
  <c r="C21" i="4" l="1"/>
  <c r="C22" i="4"/>
  <c r="C23" i="4"/>
  <c r="C20" i="4"/>
  <c r="C24" i="4"/>
  <c r="S56" i="4"/>
  <c r="S48" i="4"/>
  <c r="S49" i="4"/>
  <c r="S57" i="4"/>
  <c r="S53" i="4"/>
  <c r="S45" i="4"/>
  <c r="S43" i="4"/>
  <c r="S59" i="4"/>
  <c r="S52" i="4"/>
  <c r="S47" i="4"/>
  <c r="S44" i="4"/>
  <c r="S51" i="4"/>
  <c r="S55" i="4"/>
  <c r="S50" i="4"/>
  <c r="S54" i="4"/>
  <c r="S46" i="4"/>
  <c r="F57" i="4"/>
  <c r="F53" i="4"/>
  <c r="F58" i="4"/>
  <c r="F56" i="4"/>
  <c r="F59" i="4"/>
  <c r="F54" i="4"/>
  <c r="F55" i="4"/>
  <c r="G56" i="4"/>
  <c r="G57" i="4"/>
  <c r="G53" i="4"/>
  <c r="G55" i="4"/>
  <c r="G58" i="4"/>
  <c r="G59" i="4"/>
  <c r="G54" i="4"/>
  <c r="R44" i="4"/>
  <c r="R49" i="4"/>
  <c r="R53" i="4"/>
  <c r="R46" i="4"/>
  <c r="R55" i="4"/>
  <c r="R54" i="4"/>
  <c r="R45" i="4"/>
  <c r="R47" i="4"/>
  <c r="R58" i="4"/>
  <c r="R56" i="4"/>
  <c r="R50" i="4"/>
  <c r="R43" i="4"/>
  <c r="R59" i="4"/>
  <c r="R52" i="4"/>
  <c r="R51" i="4"/>
  <c r="R48" i="4"/>
  <c r="J53" i="4"/>
  <c r="J57" i="4"/>
  <c r="J55" i="4"/>
  <c r="J54" i="4"/>
  <c r="J58" i="4"/>
  <c r="J56" i="4"/>
  <c r="J59" i="4"/>
  <c r="L56" i="4"/>
  <c r="L54" i="4"/>
  <c r="L59" i="4"/>
  <c r="L55" i="4"/>
  <c r="L57" i="4"/>
  <c r="L53" i="4"/>
  <c r="L58" i="4"/>
  <c r="M59" i="4"/>
  <c r="M54" i="4"/>
  <c r="M58" i="4"/>
  <c r="M55" i="4"/>
  <c r="M57" i="4"/>
  <c r="M56" i="4"/>
  <c r="M53" i="4"/>
  <c r="I57" i="4"/>
  <c r="I54" i="4"/>
  <c r="I58" i="4"/>
  <c r="I59" i="4"/>
  <c r="I56" i="4"/>
  <c r="I53" i="4"/>
  <c r="I55" i="4"/>
  <c r="H55" i="4"/>
  <c r="H56" i="4"/>
  <c r="H54" i="4"/>
  <c r="H58" i="4"/>
  <c r="H57" i="4"/>
  <c r="H53" i="4"/>
  <c r="H59" i="4"/>
  <c r="K57" i="4"/>
  <c r="K53" i="4"/>
  <c r="K59" i="4"/>
  <c r="K55" i="4"/>
  <c r="K54" i="4"/>
  <c r="K56" i="4"/>
  <c r="K58" i="4"/>
  <c r="N45" i="4"/>
  <c r="N50" i="4"/>
  <c r="N48" i="4"/>
  <c r="N57" i="4"/>
  <c r="N58" i="4"/>
  <c r="N51" i="4"/>
  <c r="N43" i="4"/>
  <c r="N59" i="4"/>
  <c r="N54" i="4"/>
  <c r="N46" i="4"/>
  <c r="N55" i="4"/>
  <c r="N56" i="4"/>
  <c r="N52" i="4"/>
  <c r="N44" i="4"/>
  <c r="N47" i="4"/>
  <c r="N49" i="4"/>
  <c r="O51" i="4"/>
  <c r="O56" i="4"/>
  <c r="O49" i="4"/>
  <c r="O57" i="4"/>
  <c r="O53" i="4"/>
  <c r="O44" i="4"/>
  <c r="O55" i="4"/>
  <c r="O45" i="4"/>
  <c r="O47" i="4"/>
  <c r="O58" i="4"/>
  <c r="O50" i="4"/>
  <c r="O43" i="4"/>
  <c r="O46" i="4"/>
  <c r="O59" i="4"/>
  <c r="O52" i="4"/>
  <c r="O48" i="4"/>
  <c r="P43" i="4"/>
  <c r="P51" i="4"/>
  <c r="P50" i="4"/>
  <c r="P54" i="4"/>
  <c r="P56" i="4"/>
  <c r="P48" i="4"/>
  <c r="P52" i="4"/>
  <c r="P44" i="4"/>
  <c r="P49" i="4"/>
  <c r="P46" i="4"/>
  <c r="P53" i="4"/>
  <c r="P59" i="4"/>
  <c r="P57" i="4"/>
  <c r="P45" i="4"/>
  <c r="P47" i="4"/>
  <c r="P58" i="4"/>
  <c r="E53" i="4"/>
  <c r="E57" i="4"/>
  <c r="E55" i="4"/>
  <c r="E54" i="4"/>
  <c r="E56" i="4"/>
  <c r="E58" i="4"/>
  <c r="E59" i="4"/>
  <c r="Q45" i="4"/>
  <c r="Q55" i="4"/>
  <c r="Q43" i="4"/>
  <c r="Q47" i="4"/>
  <c r="Q58" i="4"/>
  <c r="Q50" i="4"/>
  <c r="Q51" i="4"/>
  <c r="Q59" i="4"/>
  <c r="Q46" i="4"/>
  <c r="Q53" i="4"/>
  <c r="Q48" i="4"/>
  <c r="Q57" i="4"/>
  <c r="Q52" i="4"/>
  <c r="Q44" i="4"/>
  <c r="Q49" i="4"/>
  <c r="Q54" i="4"/>
  <c r="D55" i="4"/>
  <c r="D54" i="4"/>
  <c r="D59" i="4"/>
  <c r="D56" i="4"/>
  <c r="D57" i="4"/>
  <c r="D53" i="4"/>
  <c r="D58" i="4"/>
  <c r="C57" i="4"/>
  <c r="C58" i="4"/>
  <c r="C55" i="4"/>
  <c r="C56" i="4"/>
  <c r="C53" i="4"/>
  <c r="C54" i="4"/>
  <c r="S17" i="4"/>
  <c r="S42" i="4"/>
  <c r="N17" i="4"/>
  <c r="N42" i="4"/>
  <c r="O17" i="4"/>
  <c r="O42" i="4"/>
  <c r="P17" i="4"/>
  <c r="P42" i="4"/>
  <c r="Q17" i="4"/>
  <c r="Q42" i="4"/>
  <c r="R17" i="4"/>
  <c r="R42" i="4"/>
  <c r="L26" i="4"/>
  <c r="L25" i="4"/>
  <c r="G25" i="4"/>
  <c r="G26" i="4"/>
  <c r="N26" i="4"/>
  <c r="N25" i="4"/>
  <c r="H26" i="4"/>
  <c r="H25" i="4"/>
  <c r="O25" i="4"/>
  <c r="O26" i="4"/>
  <c r="I25" i="4"/>
  <c r="I26" i="4"/>
  <c r="D25" i="4"/>
  <c r="D26" i="4"/>
  <c r="Q25" i="4"/>
  <c r="Q26" i="4"/>
  <c r="K25" i="4"/>
  <c r="K26" i="4"/>
  <c r="P25" i="4"/>
  <c r="P26" i="4"/>
  <c r="R26" i="4"/>
  <c r="R25" i="4"/>
  <c r="J26" i="4"/>
  <c r="J25" i="4"/>
  <c r="S10" i="4"/>
  <c r="S13" i="4"/>
  <c r="S25" i="4"/>
  <c r="S24" i="4"/>
  <c r="S22" i="4"/>
  <c r="S26" i="4"/>
  <c r="S12" i="4"/>
  <c r="S23" i="4"/>
  <c r="S16" i="4"/>
  <c r="S11" i="4"/>
  <c r="S9" i="4"/>
  <c r="S21" i="4"/>
  <c r="S20" i="4"/>
  <c r="S14" i="4"/>
  <c r="S19" i="4"/>
  <c r="S18" i="4"/>
  <c r="S15" i="4"/>
  <c r="E26" i="4"/>
  <c r="E25" i="4"/>
  <c r="F25" i="4"/>
  <c r="F26" i="4"/>
  <c r="M25" i="4"/>
  <c r="M26" i="4"/>
  <c r="C25" i="4"/>
  <c r="C26" i="4"/>
  <c r="C41" i="4"/>
  <c r="A42" i="4"/>
  <c r="A43" i="4"/>
  <c r="L22" i="4"/>
  <c r="G21" i="4"/>
  <c r="N15" i="4"/>
  <c r="O20" i="4"/>
  <c r="O23" i="4"/>
  <c r="D22" i="4"/>
  <c r="Q13" i="4"/>
  <c r="Q11" i="4"/>
  <c r="K22" i="4"/>
  <c r="P22" i="4"/>
  <c r="R16" i="4"/>
  <c r="R18" i="4"/>
  <c r="F20" i="4"/>
  <c r="M22" i="4"/>
  <c r="G22" i="4"/>
  <c r="N20" i="4"/>
  <c r="N19" i="4"/>
  <c r="O18" i="4"/>
  <c r="O10" i="4"/>
  <c r="O14" i="4"/>
  <c r="I21" i="4"/>
  <c r="D20" i="4"/>
  <c r="Q16" i="4"/>
  <c r="Q14" i="4"/>
  <c r="K23" i="4"/>
  <c r="K20" i="4"/>
  <c r="P13" i="4"/>
  <c r="P20" i="4"/>
  <c r="R23" i="4"/>
  <c r="F24" i="4"/>
  <c r="L24" i="4"/>
  <c r="G23" i="4"/>
  <c r="G20" i="4"/>
  <c r="N10" i="4"/>
  <c r="N21" i="4"/>
  <c r="O13" i="4"/>
  <c r="I20" i="4"/>
  <c r="I22" i="4"/>
  <c r="Q10" i="4"/>
  <c r="K24" i="4"/>
  <c r="P16" i="4"/>
  <c r="P10" i="4"/>
  <c r="R11" i="4"/>
  <c r="R22" i="4"/>
  <c r="J24" i="4"/>
  <c r="M20" i="4"/>
  <c r="L20" i="4"/>
  <c r="N13" i="4"/>
  <c r="H21" i="4"/>
  <c r="O9" i="4"/>
  <c r="O21" i="4"/>
  <c r="I23" i="4"/>
  <c r="Q21" i="4"/>
  <c r="Q23" i="4"/>
  <c r="K21" i="4"/>
  <c r="P19" i="4"/>
  <c r="P24" i="4"/>
  <c r="P18" i="4"/>
  <c r="R19" i="4"/>
  <c r="R24" i="4"/>
  <c r="J23" i="4"/>
  <c r="J21" i="4"/>
  <c r="E22" i="4"/>
  <c r="F23" i="4"/>
  <c r="N18" i="4"/>
  <c r="N16" i="4"/>
  <c r="N12" i="4"/>
  <c r="O12" i="4"/>
  <c r="O15" i="4"/>
  <c r="I24" i="4"/>
  <c r="Q12" i="4"/>
  <c r="Q24" i="4"/>
  <c r="P11" i="4"/>
  <c r="P9" i="4"/>
  <c r="P14" i="4"/>
  <c r="R21" i="4"/>
  <c r="R13" i="4"/>
  <c r="J22" i="4"/>
  <c r="E20" i="4"/>
  <c r="M24" i="4"/>
  <c r="L23" i="4"/>
  <c r="N22" i="4"/>
  <c r="N11" i="4"/>
  <c r="H22" i="4"/>
  <c r="O24" i="4"/>
  <c r="O16" i="4"/>
  <c r="D24" i="4"/>
  <c r="Q15" i="4"/>
  <c r="Q9" i="4"/>
  <c r="P23" i="4"/>
  <c r="P12" i="4"/>
  <c r="R12" i="4"/>
  <c r="R10" i="4"/>
  <c r="R15" i="4"/>
  <c r="J20" i="4"/>
  <c r="L21" i="4"/>
  <c r="G24" i="4"/>
  <c r="N9" i="4"/>
  <c r="N23" i="4"/>
  <c r="H24" i="4"/>
  <c r="H20" i="4"/>
  <c r="O11" i="4"/>
  <c r="D23" i="4"/>
  <c r="Q18" i="4"/>
  <c r="P21" i="4"/>
  <c r="P15" i="4"/>
  <c r="R20" i="4"/>
  <c r="E24" i="4"/>
  <c r="F22" i="4"/>
  <c r="F21" i="4"/>
  <c r="N24" i="4"/>
  <c r="N14" i="4"/>
  <c r="H23" i="4"/>
  <c r="O22" i="4"/>
  <c r="O19" i="4"/>
  <c r="D21" i="4"/>
  <c r="Q22" i="4"/>
  <c r="Q20" i="4"/>
  <c r="Q19" i="4"/>
  <c r="R9" i="4"/>
  <c r="R14" i="4"/>
  <c r="E23" i="4"/>
  <c r="M23" i="4"/>
  <c r="E21" i="4"/>
  <c r="M21" i="4"/>
  <c r="A44" i="4" l="1"/>
  <c r="A45" i="4" l="1"/>
  <c r="A46" i="4" l="1"/>
  <c r="A47" i="4" l="1"/>
  <c r="A48" i="4" l="1"/>
  <c r="A49" i="4" l="1"/>
  <c r="A50" i="4" l="1"/>
  <c r="A51" i="4" l="1"/>
  <c r="A52" i="4" l="1"/>
  <c r="A53" i="4" l="1"/>
  <c r="A54" i="4"/>
  <c r="A55" i="4"/>
  <c r="A56" i="4"/>
  <c r="A57" i="4"/>
  <c r="A58" i="4"/>
  <c r="A59" i="4"/>
  <c r="V59" i="4" l="1"/>
  <c r="V58" i="4"/>
  <c r="F23" i="1" l="1"/>
  <c r="BF1" i="2"/>
  <c r="BC1" i="2"/>
  <c r="AZ1" i="2"/>
  <c r="AW1" i="2"/>
  <c r="AT1" i="2"/>
  <c r="AQ1" i="2"/>
  <c r="AN1" i="2"/>
  <c r="AK1" i="2"/>
  <c r="AH1" i="2"/>
  <c r="V56" i="4" l="1"/>
  <c r="V57" i="4"/>
  <c r="V54" i="4"/>
  <c r="V53" i="4"/>
  <c r="V55" i="4"/>
  <c r="AB1" i="2"/>
  <c r="Y1" i="2"/>
  <c r="V1" i="2"/>
  <c r="S1" i="2"/>
  <c r="P1" i="2"/>
  <c r="M1" i="2"/>
  <c r="J1" i="2"/>
  <c r="G1" i="2"/>
  <c r="AE1" i="2"/>
  <c r="C45" i="4"/>
  <c r="L44" i="4"/>
  <c r="E47" i="4"/>
  <c r="F48" i="4"/>
  <c r="F49" i="4"/>
  <c r="G43" i="4"/>
  <c r="D46" i="4"/>
  <c r="J47" i="4"/>
  <c r="I44" i="4"/>
  <c r="I47" i="4"/>
  <c r="H43" i="4"/>
  <c r="K45" i="4"/>
  <c r="D50" i="4"/>
  <c r="K43" i="4"/>
  <c r="L46" i="4"/>
  <c r="M48" i="4"/>
  <c r="M45" i="4"/>
  <c r="G47" i="4"/>
  <c r="J45" i="4"/>
  <c r="J51" i="4"/>
  <c r="K52" i="4"/>
  <c r="F52" i="4"/>
  <c r="C49" i="4"/>
  <c r="I43" i="4"/>
  <c r="K47" i="4"/>
  <c r="D48" i="4"/>
  <c r="E48" i="4"/>
  <c r="L49" i="4"/>
  <c r="G48" i="4"/>
  <c r="H42" i="4"/>
  <c r="I51" i="4"/>
  <c r="H44" i="4"/>
  <c r="I46" i="4"/>
  <c r="G50" i="4"/>
  <c r="D44" i="4"/>
  <c r="J52" i="4"/>
  <c r="I45" i="4"/>
  <c r="E46" i="4"/>
  <c r="F46" i="4"/>
  <c r="L45" i="4"/>
  <c r="E45" i="4"/>
  <c r="I50" i="4"/>
  <c r="J46" i="4"/>
  <c r="E52" i="4"/>
  <c r="L48" i="4"/>
  <c r="F44" i="4"/>
  <c r="J44" i="4"/>
  <c r="G45" i="4"/>
  <c r="K51" i="4"/>
  <c r="D49" i="4"/>
  <c r="F47" i="4"/>
  <c r="M50" i="4"/>
  <c r="I49" i="4"/>
  <c r="K46" i="4"/>
  <c r="D51" i="4"/>
  <c r="C44" i="4"/>
  <c r="J50" i="4"/>
  <c r="E50" i="4"/>
  <c r="K44" i="4"/>
  <c r="G51" i="4"/>
  <c r="J43" i="4"/>
  <c r="H51" i="4"/>
  <c r="D47" i="4"/>
  <c r="G52" i="4"/>
  <c r="M46" i="4"/>
  <c r="L50" i="4"/>
  <c r="D45" i="4"/>
  <c r="C43" i="4"/>
  <c r="L52" i="4"/>
  <c r="C52" i="4"/>
  <c r="L47" i="4"/>
  <c r="H48" i="4"/>
  <c r="F43" i="4"/>
  <c r="G49" i="4"/>
  <c r="E43" i="4"/>
  <c r="K49" i="4"/>
  <c r="C47" i="4"/>
  <c r="H50" i="4"/>
  <c r="G44" i="4"/>
  <c r="H46" i="4"/>
  <c r="E49" i="4"/>
  <c r="C48" i="4"/>
  <c r="M47" i="4"/>
  <c r="C51" i="4"/>
  <c r="M43" i="4"/>
  <c r="J48" i="4"/>
  <c r="M51" i="4"/>
  <c r="H49" i="4"/>
  <c r="C46" i="4"/>
  <c r="K48" i="4"/>
  <c r="E51" i="4"/>
  <c r="F50" i="4"/>
  <c r="M49" i="4"/>
  <c r="H52" i="4"/>
  <c r="F51" i="4"/>
  <c r="C50" i="4"/>
  <c r="M44" i="4"/>
  <c r="L43" i="4"/>
  <c r="I52" i="4"/>
  <c r="H45" i="4"/>
  <c r="D52" i="4"/>
  <c r="K42" i="4"/>
  <c r="I17" i="4"/>
  <c r="K17" i="4"/>
  <c r="J42" i="4"/>
  <c r="C17" i="4"/>
  <c r="G17" i="4"/>
  <c r="D17" i="4"/>
  <c r="L17" i="4"/>
  <c r="E17" i="4"/>
  <c r="M42" i="4"/>
  <c r="E42" i="4"/>
  <c r="J17" i="4"/>
  <c r="M17" i="4"/>
  <c r="F42" i="4"/>
  <c r="D42" i="4"/>
  <c r="L42" i="4"/>
  <c r="H17" i="4"/>
  <c r="I42" i="4"/>
  <c r="F17" i="4"/>
  <c r="G42" i="4"/>
  <c r="I11" i="4"/>
  <c r="D16" i="4"/>
  <c r="G19" i="4"/>
  <c r="H9" i="4"/>
  <c r="J16" i="4"/>
  <c r="M13" i="4"/>
  <c r="M11" i="4"/>
  <c r="G12" i="4"/>
  <c r="M12" i="4"/>
  <c r="C10" i="4"/>
  <c r="I14" i="4"/>
  <c r="D9" i="4"/>
  <c r="J10" i="4"/>
  <c r="J15" i="4"/>
  <c r="C11" i="4"/>
  <c r="D15" i="4"/>
  <c r="I16" i="4"/>
  <c r="I13" i="4"/>
  <c r="C15" i="4"/>
  <c r="H13" i="4"/>
  <c r="I19" i="4"/>
  <c r="L18" i="4"/>
  <c r="L16" i="4"/>
  <c r="G14" i="4"/>
  <c r="C19" i="4"/>
  <c r="D13" i="4"/>
  <c r="E10" i="4"/>
  <c r="K10" i="4"/>
  <c r="C13" i="4"/>
  <c r="J19" i="4"/>
  <c r="E15" i="4"/>
  <c r="L15" i="4"/>
  <c r="J11" i="4"/>
  <c r="F10" i="4"/>
  <c r="H16" i="4"/>
  <c r="C16" i="4"/>
  <c r="L12" i="4"/>
  <c r="H18" i="4"/>
  <c r="D19" i="4"/>
  <c r="F9" i="4"/>
  <c r="E19" i="4"/>
  <c r="I18" i="4"/>
  <c r="M15" i="4"/>
  <c r="D11" i="4"/>
  <c r="M14" i="4"/>
  <c r="M18" i="4"/>
  <c r="G13" i="4"/>
  <c r="F11" i="4"/>
  <c r="K14" i="4"/>
  <c r="E9" i="4"/>
  <c r="G11" i="4"/>
  <c r="C18" i="4"/>
  <c r="F18" i="4"/>
  <c r="E12" i="4"/>
  <c r="L19" i="4"/>
  <c r="F12" i="4"/>
  <c r="H12" i="4"/>
  <c r="K9" i="4"/>
  <c r="H11" i="4"/>
  <c r="I15" i="4"/>
  <c r="C12" i="4"/>
  <c r="C9" i="4"/>
  <c r="I12" i="4"/>
  <c r="E11" i="4"/>
  <c r="G15" i="4"/>
  <c r="D10" i="4"/>
  <c r="K15" i="4"/>
  <c r="K18" i="4"/>
  <c r="G9" i="4"/>
  <c r="J14" i="4"/>
  <c r="H19" i="4"/>
  <c r="D18" i="4"/>
  <c r="J12" i="4"/>
  <c r="H15" i="4"/>
  <c r="D14" i="4"/>
  <c r="H10" i="4"/>
  <c r="F15" i="4"/>
  <c r="L9" i="4"/>
  <c r="K19" i="4"/>
  <c r="K12" i="4"/>
  <c r="E14" i="4"/>
  <c r="H14" i="4"/>
  <c r="D12" i="4"/>
  <c r="L13" i="4"/>
  <c r="C14" i="4"/>
  <c r="I10" i="4"/>
  <c r="K13" i="4"/>
  <c r="E16" i="4"/>
  <c r="J9" i="4"/>
  <c r="J13" i="4"/>
  <c r="K11" i="4"/>
  <c r="E18" i="4"/>
  <c r="G16" i="4"/>
  <c r="M10" i="4"/>
  <c r="F19" i="4"/>
  <c r="F14" i="4"/>
  <c r="M16" i="4"/>
  <c r="I9" i="4"/>
  <c r="K16" i="4"/>
  <c r="L11" i="4"/>
  <c r="G10" i="4"/>
  <c r="J18" i="4"/>
  <c r="F13" i="4"/>
  <c r="F16" i="4"/>
  <c r="L10" i="4"/>
  <c r="E13" i="4"/>
  <c r="L14" i="4"/>
  <c r="M9" i="4"/>
  <c r="G18" i="4"/>
  <c r="M19" i="4"/>
  <c r="V60" i="4" l="1"/>
  <c r="V47" i="4"/>
  <c r="V50" i="4"/>
  <c r="V52" i="4"/>
  <c r="V51" i="4"/>
  <c r="V48" i="4"/>
  <c r="V46" i="4"/>
  <c r="V49" i="4"/>
  <c r="V43" i="4"/>
  <c r="V45" i="4"/>
  <c r="V44" i="4"/>
  <c r="V42" i="4"/>
  <c r="F33" i="4"/>
  <c r="F11" i="1"/>
  <c r="D12" i="1"/>
  <c r="F10" i="1" l="1"/>
  <c r="F9" i="1"/>
  <c r="U15" i="4" s="1"/>
  <c r="F8" i="1"/>
  <c r="U14" i="4" s="1"/>
  <c r="F7" i="1"/>
  <c r="U13" i="4" s="1"/>
  <c r="F6" i="1"/>
  <c r="U12" i="4" s="1"/>
  <c r="F5" i="1"/>
  <c r="U11" i="4" s="1"/>
  <c r="F4" i="1"/>
  <c r="U10" i="4" s="1"/>
  <c r="F3" i="1"/>
  <c r="U9" i="4" s="1"/>
  <c r="F22" i="1"/>
  <c r="F21" i="1"/>
  <c r="F20" i="1"/>
  <c r="F19" i="1"/>
  <c r="F18" i="1"/>
  <c r="F17" i="1"/>
  <c r="F16" i="1"/>
  <c r="F15" i="1"/>
  <c r="U23" i="4"/>
  <c r="U22" i="4"/>
  <c r="U21" i="4"/>
  <c r="U20" i="4"/>
  <c r="U24" i="4"/>
  <c r="U19" i="4"/>
  <c r="U16" i="4"/>
  <c r="U18" i="4"/>
  <c r="U17" i="4"/>
  <c r="U27" i="4" l="1" a="1"/>
  <c r="U27" i="4" s="1"/>
  <c r="F24" i="1"/>
  <c r="G4" i="1"/>
  <c r="G6" i="1"/>
  <c r="G8" i="1"/>
  <c r="G10" i="1"/>
  <c r="G15" i="1"/>
  <c r="G17" i="1"/>
  <c r="G19" i="1"/>
  <c r="G21" i="1"/>
  <c r="G23" i="1"/>
  <c r="G5" i="1"/>
  <c r="G9" i="1"/>
  <c r="G11" i="1"/>
  <c r="G16" i="1"/>
  <c r="G18" i="1"/>
  <c r="G20" i="1"/>
  <c r="G22" i="1"/>
  <c r="F12" i="1"/>
  <c r="G3" i="1"/>
  <c r="G7" i="1"/>
  <c r="V25" i="4" l="1"/>
  <c r="V26" i="4"/>
  <c r="G24" i="1"/>
  <c r="G12" i="1"/>
  <c r="F27" i="1"/>
  <c r="H10" i="1" l="1"/>
  <c r="I10" i="1" s="1"/>
  <c r="H6" i="1" l="1"/>
  <c r="I6" i="1" s="1"/>
  <c r="H21" i="1"/>
  <c r="I21" i="1" s="1"/>
  <c r="H11" i="1"/>
  <c r="I11" i="1" s="1"/>
  <c r="H22" i="1"/>
  <c r="I22" i="1" s="1"/>
  <c r="H8" i="1"/>
  <c r="I8" i="1" s="1"/>
  <c r="H9" i="1"/>
  <c r="I9" i="1" s="1"/>
  <c r="H19" i="1"/>
  <c r="I19" i="1" s="1"/>
  <c r="H20" i="1"/>
  <c r="I20" i="1" s="1"/>
  <c r="H7" i="1"/>
  <c r="I7" i="1" s="1"/>
  <c r="H3" i="1"/>
  <c r="I3" i="1" s="1"/>
  <c r="H4" i="1"/>
  <c r="I4" i="1" s="1"/>
  <c r="H18" i="1"/>
  <c r="I18" i="1" s="1"/>
  <c r="H15" i="1"/>
  <c r="I15" i="1" s="1"/>
  <c r="H5" i="1"/>
  <c r="I5" i="1" s="1"/>
  <c r="H23" i="1"/>
  <c r="I23" i="1" s="1"/>
  <c r="H17" i="1"/>
  <c r="I17" i="1" s="1"/>
  <c r="H16" i="1"/>
  <c r="I16" i="1" s="1"/>
  <c r="I24" i="1" l="1"/>
  <c r="I12" i="1"/>
  <c r="H12" i="1"/>
  <c r="H24" i="1"/>
  <c r="I27" i="1" l="1"/>
  <c r="H27" i="1"/>
  <c r="F36" i="4" l="1"/>
  <c r="V9" i="4" l="1"/>
  <c r="V23" i="4" l="1"/>
  <c r="V19" i="4"/>
  <c r="V16" i="4"/>
  <c r="V14" i="4"/>
  <c r="V20" i="4"/>
  <c r="V22" i="4"/>
  <c r="V13" i="4"/>
  <c r="V21" i="4"/>
  <c r="V10" i="4"/>
  <c r="V12" i="4"/>
  <c r="V17" i="4"/>
  <c r="V15" i="4"/>
  <c r="V18" i="4"/>
  <c r="V24" i="4"/>
  <c r="V11" i="4"/>
  <c r="V27" i="4" l="1" a="1"/>
  <c r="V27" i="4" s="1"/>
  <c r="B30" i="4" a="1"/>
  <c r="B30" i="4" s="1"/>
  <c r="B33" i="4" s="1"/>
  <c r="B36" i="4" s="1"/>
  <c r="M32" i="4" s="1"/>
  <c r="N32" i="4" s="1"/>
  <c r="M33" i="4" l="1"/>
  <c r="N33" i="4" s="1"/>
  <c r="M35" i="4"/>
  <c r="N35" i="4" s="1"/>
  <c r="M34" i="4"/>
  <c r="N34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C1C1BB7-907A-4604-93EE-9E6A06CB2FED}" keepAlive="1" name="Requête - ^GSPC" description="Connexion à la requête « ^GSPC » dans le classeur." type="5" refreshedVersion="6" background="1" saveData="1">
    <dbPr connection="Provider=Microsoft.Mashup.OleDb.1;Data Source=$Workbook$;Location=^GSPC;Extended Properties=&quot;&quot;" command="SELECT * FROM [^GSPC]"/>
  </connection>
  <connection id="2" xr16:uid="{F9DD3E4F-41E7-440A-B4E9-5A9A13795048}" keepAlive="1" name="Requête - GetNamedRangeValue" description="Connexion à la requête « GetNamedRangeValue » dans le classeur." type="5" refreshedVersion="0" background="1">
    <dbPr connection="Provider=Microsoft.Mashup.OleDb.1;Data Source=$Workbook$;Location=GetNamedRangeValue;Extended Properties=&quot;&quot;" command="SELECT * FROM [GetNamedRangeValue]"/>
  </connection>
  <connection id="3" xr16:uid="{D4CE3287-3617-4C0F-A504-011830619CDA}" keepAlive="1" name="Requête - Long0" description="Connexion à la requête « Long0 » dans le classeur." type="5" refreshedVersion="6" background="1" saveData="1">
    <dbPr connection="Provider=Microsoft.Mashup.OleDb.1;Data Source=$Workbook$;Location=Long0;Extended Properties=&quot;&quot;" command="SELECT * FROM [Long0]"/>
  </connection>
  <connection id="4" xr16:uid="{83E76371-D7A4-4D3B-80BB-EDD906371CA8}" keepAlive="1" name="Requête - Long1" description="Connexion à la requête « Long1 » dans le classeur." type="5" refreshedVersion="6" background="1" saveData="1">
    <dbPr connection="Provider=Microsoft.Mashup.OleDb.1;Data Source=$Workbook$;Location=Long1;Extended Properties=&quot;&quot;" command="SELECT * FROM [Long1]"/>
  </connection>
  <connection id="5" xr16:uid="{A3B98D03-1C77-4DC8-96F9-4B442021B2AC}" keepAlive="1" name="Requête - Long2" description="Connexion à la requête « Long2 » dans le classeur." type="5" refreshedVersion="6" background="1" saveData="1">
    <dbPr connection="Provider=Microsoft.Mashup.OleDb.1;Data Source=$Workbook$;Location=Long2;Extended Properties=&quot;&quot;" command="SELECT * FROM [Long2]"/>
  </connection>
  <connection id="6" xr16:uid="{BA48B5B8-443E-46C3-A80D-C9F5478FA9DA}" keepAlive="1" name="Requête - Long3" description="Connexion à la requête « Long3 » dans le classeur." type="5" refreshedVersion="6" background="1" saveData="1">
    <dbPr connection="Provider=Microsoft.Mashup.OleDb.1;Data Source=$Workbook$;Location=Long3;Extended Properties=&quot;&quot;" command="SELECT * FROM [Long3]"/>
  </connection>
  <connection id="7" xr16:uid="{E3DEC5C1-FA35-4A92-8233-05542BAFB01B}" keepAlive="1" name="Requête - Long4" description="Connexion à la requête « Long4 » dans le classeur." type="5" refreshedVersion="6" background="1" saveData="1">
    <dbPr connection="Provider=Microsoft.Mashup.OleDb.1;Data Source=$Workbook$;Location=Long4;Extended Properties=&quot;&quot;" command="SELECT * FROM [Long4]"/>
  </connection>
  <connection id="8" xr16:uid="{4D8B8A83-7892-4136-9565-931B80A00767}" keepAlive="1" name="Requête - Long5" description="Connexion à la requête « Long5 » dans le classeur." type="5" refreshedVersion="6" background="1" saveData="1">
    <dbPr connection="Provider=Microsoft.Mashup.OleDb.1;Data Source=$Workbook$;Location=Long5;Extended Properties=&quot;&quot;" command="SELECT * FROM [Long5]"/>
  </connection>
  <connection id="9" xr16:uid="{135788EC-CEDD-4C6C-A97D-A504AAC9511B}" keepAlive="1" name="Requête - Long6" description="Connexion à la requête « Long6 » dans le classeur." type="5" refreshedVersion="6" background="1" saveData="1">
    <dbPr connection="Provider=Microsoft.Mashup.OleDb.1;Data Source=$Workbook$;Location=Long6;Extended Properties=&quot;&quot;" command="SELECT * FROM [Long6]"/>
  </connection>
  <connection id="10" xr16:uid="{3AF7F3EC-2DF0-43A9-9FE4-5213E5ED8A25}" keepAlive="1" name="Requête - Long7" description="Connexion à la requête « Long7 » dans le classeur." type="5" refreshedVersion="6" background="1" saveData="1">
    <dbPr connection="Provider=Microsoft.Mashup.OleDb.1;Data Source=$Workbook$;Location=Long7;Extended Properties=&quot;&quot;" command="SELECT * FROM [Long7]"/>
  </connection>
  <connection id="11" xr16:uid="{6AF05644-8DDD-42D9-A1A0-D8A2EC3AC277}" keepAlive="1" name="Requête - Long8" description="Connexion à la requête « Long8 » dans le classeur." type="5" refreshedVersion="6" background="1" saveData="1">
    <dbPr connection="Provider=Microsoft.Mashup.OleDb.1;Data Source=$Workbook$;Location=Long8;Extended Properties=&quot;&quot;" command="SELECT * FROM [Long8]"/>
  </connection>
  <connection id="12" xr16:uid="{D62210D9-2803-4039-BCEE-31AEA4430820}" keepAlive="1" name="Requête - Short0" description="Connexion à la requête « Short0 » dans le classeur." type="5" refreshedVersion="6" background="1" saveData="1">
    <dbPr connection="Provider=Microsoft.Mashup.OleDb.1;Data Source=$Workbook$;Location=Short0;Extended Properties=&quot;&quot;" command="SELECT * FROM [Short0]"/>
  </connection>
  <connection id="13" xr16:uid="{966C29F1-0695-4685-B7E4-EEC6F5443953}" keepAlive="1" name="Requête - Short1" description="Connexion à la requête « Short1 » dans le classeur." type="5" refreshedVersion="6" background="1" saveData="1">
    <dbPr connection="Provider=Microsoft.Mashup.OleDb.1;Data Source=$Workbook$;Location=Short1;Extended Properties=&quot;&quot;" command="SELECT * FROM [Short1]"/>
  </connection>
  <connection id="14" xr16:uid="{05CAC7F8-078C-4FA8-BA9A-3FF8406C91B7}" keepAlive="1" name="Requête - Short2" description="Connexion à la requête « Short2 » dans le classeur." type="5" refreshedVersion="6" background="1" saveData="1">
    <dbPr connection="Provider=Microsoft.Mashup.OleDb.1;Data Source=$Workbook$;Location=Short2;Extended Properties=&quot;&quot;" command="SELECT * FROM [Short2]"/>
  </connection>
  <connection id="15" xr16:uid="{8391A05F-F3F5-4A9C-AAA8-E0B2089413B9}" keepAlive="1" name="Requête - Short3" description="Connexion à la requête « Short3 » dans le classeur." type="5" refreshedVersion="6" background="1" saveData="1">
    <dbPr connection="Provider=Microsoft.Mashup.OleDb.1;Data Source=$Workbook$;Location=Short3;Extended Properties=&quot;&quot;" command="SELECT * FROM [Short3]"/>
  </connection>
  <connection id="16" xr16:uid="{3D493477-A464-4057-880E-40211355E1C3}" keepAlive="1" name="Requête - Short4" description="Connexion à la requête « Short4 » dans le classeur." type="5" refreshedVersion="6" background="1" saveData="1">
    <dbPr connection="Provider=Microsoft.Mashup.OleDb.1;Data Source=$Workbook$;Location=Short4;Extended Properties=&quot;&quot;" command="SELECT * FROM [Short4]"/>
  </connection>
  <connection id="17" xr16:uid="{23A8459B-1EE6-49CA-948C-8494BD66740B}" keepAlive="1" name="Requête - Short5" description="Connexion à la requête « Short5 » dans le classeur." type="5" refreshedVersion="6" background="1" saveData="1">
    <dbPr connection="Provider=Microsoft.Mashup.OleDb.1;Data Source=$Workbook$;Location=Short5;Extended Properties=&quot;&quot;" command="SELECT * FROM [Short5]"/>
  </connection>
  <connection id="18" xr16:uid="{4A8609E4-9546-446F-BCD2-B432C8160BDB}" keepAlive="1" name="Requête - Short6" description="Connexion à la requête « Short6 » dans le classeur." type="5" refreshedVersion="6" background="1" saveData="1">
    <dbPr connection="Provider=Microsoft.Mashup.OleDb.1;Data Source=$Workbook$;Location=Short6;Extended Properties=&quot;&quot;" command="SELECT * FROM [Short6]"/>
  </connection>
  <connection id="19" xr16:uid="{0EE0F011-FB1A-4E94-AEC5-1728FEDC0CAE}" keepAlive="1" name="Requête - Short7" description="Connexion à la requête « Short7 » dans le classeur." type="5" refreshedVersion="6" background="1" saveData="1">
    <dbPr connection="Provider=Microsoft.Mashup.OleDb.1;Data Source=$Workbook$;Location=Short7;Extended Properties=&quot;&quot;" command="SELECT * FROM [Short7]"/>
  </connection>
  <connection id="20" xr16:uid="{153953BA-C7F4-42BC-BE91-AE585EAE2949}" keepAlive="1" name="Requête - Short8" description="Connexion à la requête « Short8 » dans le classeur." type="5" refreshedVersion="6" background="1" saveData="1">
    <dbPr connection="Provider=Microsoft.Mashup.OleDb.1;Data Source=$Workbook$;Location=Short8;Extended Properties=&quot;&quot;" command="SELECT * FROM [Short8]"/>
  </connection>
  <connection id="21" xr16:uid="{DA8956CE-FAF4-4E77-BD0F-EB591879FF8F}" keepAlive="1" name="Requête - YahooGetTicker" description="Connexion à la requête « YahooGetTicker » dans le classeur." type="5" refreshedVersion="6" background="1" saveData="1">
    <dbPr connection="Provider=Microsoft.Mashup.OleDb.1;Data Source=$Workbook$;Location=YahooGetTicker;Extended Properties=&quot;&quot;" command="SELECT * FROM [YahooGetTicker]"/>
  </connection>
</connections>
</file>

<file path=xl/sharedStrings.xml><?xml version="1.0" encoding="utf-8"?>
<sst xmlns="http://schemas.openxmlformats.org/spreadsheetml/2006/main" count="156" uniqueCount="74">
  <si>
    <t>Long Portfolio - Current</t>
  </si>
  <si>
    <t>Company</t>
  </si>
  <si>
    <t>Ticker</t>
  </si>
  <si>
    <t>Beta</t>
  </si>
  <si>
    <t>Current Price $</t>
  </si>
  <si>
    <t># Shares</t>
  </si>
  <si>
    <t>$ Net Exposure</t>
  </si>
  <si>
    <t>$ Gross Exposure</t>
  </si>
  <si>
    <t>Net Weight (Total Portfolio)</t>
  </si>
  <si>
    <t>Net Weighted Beta (Total Portfolio)</t>
  </si>
  <si>
    <t>Short Portfolio - Current</t>
  </si>
  <si>
    <t>Total Portfolio - Current</t>
  </si>
  <si>
    <t>Net Weight</t>
  </si>
  <si>
    <t>Portfolio Beta</t>
  </si>
  <si>
    <t>Date</t>
  </si>
  <si>
    <t>Adj Close</t>
  </si>
  <si>
    <t>S&amp;P 500</t>
  </si>
  <si>
    <t>Daily%</t>
  </si>
  <si>
    <t/>
  </si>
  <si>
    <t>BBY</t>
  </si>
  <si>
    <t>LEN</t>
  </si>
  <si>
    <t>SPLK</t>
  </si>
  <si>
    <t>VTRS</t>
  </si>
  <si>
    <t>XPO</t>
  </si>
  <si>
    <t>MOS</t>
  </si>
  <si>
    <t>WING</t>
  </si>
  <si>
    <t>OLED</t>
  </si>
  <si>
    <t xml:space="preserve">*Indicative only, does not account for weightings
</t>
  </si>
  <si>
    <t>Av Correlation</t>
  </si>
  <si>
    <t>Long = 1, Short = -1</t>
  </si>
  <si>
    <t>Match?</t>
  </si>
  <si>
    <t>Correlation Matrix</t>
  </si>
  <si>
    <t>Av Asset Std Dev (Annual)</t>
  </si>
  <si>
    <t>Portfolio Standard Dev (Annual)</t>
  </si>
  <si>
    <t>*Weekly</t>
  </si>
  <si>
    <t>Av Asset Std Dev</t>
  </si>
  <si>
    <t>Portfolio Standard Dev</t>
  </si>
  <si>
    <t>Return</t>
  </si>
  <si>
    <t>Volatility</t>
  </si>
  <si>
    <t>Gross Sharpe</t>
  </si>
  <si>
    <t>*Matrix Formula</t>
  </si>
  <si>
    <t>Scenario Analysis</t>
  </si>
  <si>
    <t>Portfolio Variance</t>
  </si>
  <si>
    <r>
      <t>*Calculate gross exposure of positions by quantity x current price
*Calculate net exposure in each asset by calculating gross exposure of the long positions in the asset - gross positions of short positions in the asset
*</t>
    </r>
    <r>
      <rPr>
        <b/>
        <sz val="11"/>
        <color rgb="FFFF0000"/>
        <rFont val="Calibri"/>
        <family val="2"/>
        <scheme val="minor"/>
      </rPr>
      <t>Net short positions will equate to a negative weighting</t>
    </r>
    <r>
      <rPr>
        <sz val="11"/>
        <rFont val="Calibri"/>
        <family val="2"/>
        <scheme val="minor"/>
      </rPr>
      <t xml:space="preserve">
*Convert all net exposures to a single currency so that weightings can be caluclated across the portfolio
</t>
    </r>
  </si>
  <si>
    <t>% Weight</t>
  </si>
  <si>
    <t>$ Net Allocation</t>
  </si>
  <si>
    <r>
      <t xml:space="preserve">This sheet has been password-protected to prevent user error. If you would like to unlock the sheet, the password is "portvol". Go to </t>
    </r>
    <r>
      <rPr>
        <b/>
        <i/>
        <sz val="11"/>
        <color theme="0"/>
        <rFont val="Calibri"/>
        <family val="2"/>
        <scheme val="minor"/>
      </rPr>
      <t>Review</t>
    </r>
    <r>
      <rPr>
        <b/>
        <sz val="11"/>
        <color theme="0"/>
        <rFont val="Calibri"/>
        <family val="2"/>
        <scheme val="minor"/>
      </rPr>
      <t xml:space="preserve"> on the ribbon, and then click on </t>
    </r>
    <r>
      <rPr>
        <b/>
        <i/>
        <sz val="11"/>
        <color theme="0"/>
        <rFont val="Calibri"/>
        <family val="2"/>
        <scheme val="minor"/>
      </rPr>
      <t xml:space="preserve">Unprotect Sheet </t>
    </r>
    <r>
      <rPr>
        <b/>
        <sz val="11"/>
        <color theme="0"/>
        <rFont val="Calibri"/>
        <family val="2"/>
        <scheme val="minor"/>
      </rPr>
      <t>and type in the password.</t>
    </r>
  </si>
  <si>
    <t>Variance-Covariance Matrix &amp; Calculations</t>
  </si>
  <si>
    <t>PORTFOLIO VOLATILITY</t>
  </si>
  <si>
    <t>Time window (in Years)</t>
  </si>
  <si>
    <t>LVS</t>
  </si>
  <si>
    <t>TTEC</t>
  </si>
  <si>
    <t>PPL</t>
  </si>
  <si>
    <t>Long Exp.</t>
  </si>
  <si>
    <t>Short Exp.</t>
  </si>
  <si>
    <t>Daily%2</t>
  </si>
  <si>
    <t>Portfolio</t>
  </si>
  <si>
    <t>Descriptive Statistics</t>
  </si>
  <si>
    <t>Mean</t>
  </si>
  <si>
    <t>Median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</si>
  <si>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</si>
  <si>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</si>
  <si>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</si>
  <si>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</si>
  <si>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</si>
  <si>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</si>
  <si>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</si>
  <si>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Count</t>
  </si>
  <si>
    <t>Frequency Table</t>
  </si>
  <si>
    <t>Intervals</t>
  </si>
  <si>
    <t>Frequency</t>
  </si>
  <si>
    <t>Probability</t>
  </si>
  <si>
    <t>Data!F3:F415</t>
  </si>
  <si>
    <t>Cum. Probability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</si>
</sst>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00000"/>
    <numFmt numFmtId="166" formatCode="0.0"/>
    <numFmt numFmtId="167" formatCode="0.00000"/>
    <numFmt numFmtId="168" formatCode="0.000%"/>
  </numFmts>
  <fonts count="17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i/>
      <sz val="1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3"/>
        <bgColor indexed="64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FFC000"/>
        <bgColor indexed="64"/>
      </patternFill>
    </fill>
  </fills>
  <borders count="4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rgb="FF7F7F7F"/>
      </right>
      <top style="medium">
        <color indexed="64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medium">
        <color indexed="64"/>
      </top>
      <bottom style="thin">
        <color rgb="FF7F7F7F"/>
      </bottom>
      <diagonal/>
    </border>
    <border>
      <left style="medium">
        <color indexed="64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thin">
        <color rgb="FF7F7F7F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rgb="FF7F7F7F"/>
      </left>
      <right style="medium">
        <color indexed="64"/>
      </right>
      <top style="thin">
        <color rgb="FF7F7F7F"/>
      </top>
      <bottom style="medium">
        <color indexed="64"/>
      </bottom>
      <diagonal/>
    </border>
    <border>
      <left/>
      <right style="thin">
        <color rgb="FF7F7F7F"/>
      </right>
      <top style="thin">
        <color rgb="FF7F7F7F"/>
      </top>
      <bottom style="medium">
        <color indexed="64"/>
      </bottom>
      <diagonal/>
    </border>
    <border>
      <left style="thin">
        <color rgb="FF7F7F7F"/>
      </left>
      <right style="medium">
        <color indexed="64"/>
      </right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medium">
        <color indexed="64"/>
      </right>
      <top style="medium">
        <color indexed="64"/>
      </top>
      <bottom style="thin">
        <color rgb="FF7F7F7F"/>
      </bottom>
      <diagonal/>
    </border>
    <border>
      <left/>
      <right style="thin">
        <color rgb="FF7F7F7F"/>
      </right>
      <top style="medium">
        <color indexed="64"/>
      </top>
      <bottom style="thin">
        <color rgb="FF7F7F7F"/>
      </bottom>
      <diagonal/>
    </border>
    <border>
      <left style="medium">
        <color indexed="64"/>
      </left>
      <right/>
      <top/>
      <bottom style="thin">
        <color rgb="FF7F7F7F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medium">
        <color indexed="64"/>
      </right>
      <top/>
      <bottom style="thin">
        <color rgb="FF7F7F7F"/>
      </bottom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 style="medium">
        <color indexed="64"/>
      </left>
      <right style="thin">
        <color rgb="FF3F3F3F"/>
      </right>
      <top style="medium">
        <color indexed="64"/>
      </top>
      <bottom style="medium">
        <color indexed="64"/>
      </bottom>
      <diagonal/>
    </border>
    <border>
      <left style="thin">
        <color rgb="FF3F3F3F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rgb="FF7F7F7F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1" fillId="2" borderId="1" applyNumberFormat="0" applyAlignment="0" applyProtection="0"/>
    <xf numFmtId="0" fontId="6" fillId="4" borderId="17" applyNumberFormat="0" applyAlignment="0" applyProtection="0"/>
    <xf numFmtId="0" fontId="7" fillId="4" borderId="1" applyNumberFormat="0" applyAlignment="0" applyProtection="0"/>
    <xf numFmtId="0" fontId="5" fillId="5" borderId="18" applyNumberFormat="0" applyFont="0" applyAlignment="0" applyProtection="0"/>
  </cellStyleXfs>
  <cellXfs count="183">
    <xf numFmtId="0" fontId="0" fillId="0" borderId="0" xfId="0"/>
    <xf numFmtId="0" fontId="3" fillId="0" borderId="4" xfId="0" applyFont="1" applyBorder="1"/>
    <xf numFmtId="0" fontId="3" fillId="0" borderId="5" xfId="0" quotePrefix="1" applyFont="1" applyBorder="1"/>
    <xf numFmtId="0" fontId="3" fillId="0" borderId="5" xfId="0" applyFont="1" applyBorder="1" applyAlignment="1">
      <alignment wrapText="1"/>
    </xf>
    <xf numFmtId="0" fontId="1" fillId="2" borderId="6" xfId="1" applyBorder="1"/>
    <xf numFmtId="0" fontId="1" fillId="2" borderId="7" xfId="1" quotePrefix="1" applyBorder="1"/>
    <xf numFmtId="4" fontId="0" fillId="0" borderId="5" xfId="0" applyNumberFormat="1" applyBorder="1"/>
    <xf numFmtId="10" fontId="0" fillId="0" borderId="5" xfId="0" applyNumberFormat="1" applyBorder="1"/>
    <xf numFmtId="0" fontId="1" fillId="2" borderId="8" xfId="1" applyBorder="1"/>
    <xf numFmtId="0" fontId="1" fillId="2" borderId="1" xfId="1" quotePrefix="1" applyBorder="1"/>
    <xf numFmtId="4" fontId="0" fillId="0" borderId="0" xfId="0" applyNumberFormat="1" applyBorder="1"/>
    <xf numFmtId="10" fontId="0" fillId="0" borderId="0" xfId="0" applyNumberFormat="1" applyBorder="1"/>
    <xf numFmtId="0" fontId="1" fillId="0" borderId="9" xfId="1" applyFill="1" applyBorder="1"/>
    <xf numFmtId="0" fontId="1" fillId="0" borderId="10" xfId="1" quotePrefix="1" applyFill="1" applyBorder="1"/>
    <xf numFmtId="2" fontId="1" fillId="0" borderId="10" xfId="1" applyNumberFormat="1" applyFill="1" applyBorder="1"/>
    <xf numFmtId="0" fontId="1" fillId="0" borderId="10" xfId="1" applyFill="1" applyBorder="1"/>
    <xf numFmtId="4" fontId="0" fillId="0" borderId="11" xfId="0" applyNumberFormat="1" applyBorder="1"/>
    <xf numFmtId="10" fontId="0" fillId="0" borderId="11" xfId="0" applyNumberFormat="1" applyBorder="1"/>
    <xf numFmtId="0" fontId="0" fillId="0" borderId="12" xfId="0" applyBorder="1"/>
    <xf numFmtId="0" fontId="0" fillId="0" borderId="11" xfId="0" applyBorder="1"/>
    <xf numFmtId="2" fontId="0" fillId="0" borderId="11" xfId="0" applyNumberFormat="1" applyBorder="1"/>
    <xf numFmtId="0" fontId="3" fillId="0" borderId="2" xfId="0" applyFont="1" applyBorder="1"/>
    <xf numFmtId="0" fontId="3" fillId="0" borderId="3" xfId="0" quotePrefix="1" applyFont="1" applyBorder="1"/>
    <xf numFmtId="0" fontId="3" fillId="0" borderId="3" xfId="0" applyFont="1" applyBorder="1" applyAlignment="1">
      <alignment wrapText="1"/>
    </xf>
    <xf numFmtId="0" fontId="0" fillId="0" borderId="2" xfId="0" applyBorder="1"/>
    <xf numFmtId="0" fontId="0" fillId="0" borderId="3" xfId="0" applyBorder="1"/>
    <xf numFmtId="4" fontId="0" fillId="0" borderId="3" xfId="0" applyNumberFormat="1" applyBorder="1"/>
    <xf numFmtId="10" fontId="0" fillId="0" borderId="3" xfId="0" applyNumberFormat="1" applyBorder="1"/>
    <xf numFmtId="2" fontId="0" fillId="0" borderId="3" xfId="0" applyNumberFormat="1" applyBorder="1"/>
    <xf numFmtId="14" fontId="0" fillId="0" borderId="0" xfId="0" applyNumberFormat="1"/>
    <xf numFmtId="0" fontId="4" fillId="0" borderId="0" xfId="0" applyFont="1"/>
    <xf numFmtId="2" fontId="1" fillId="0" borderId="7" xfId="1" applyNumberFormat="1" applyFill="1" applyBorder="1"/>
    <xf numFmtId="2" fontId="1" fillId="0" borderId="1" xfId="1" applyNumberFormat="1" applyFill="1" applyBorder="1"/>
    <xf numFmtId="10" fontId="0" fillId="0" borderId="0" xfId="0" applyNumberFormat="1"/>
    <xf numFmtId="0" fontId="0" fillId="0" borderId="15" xfId="0" applyBorder="1"/>
    <xf numFmtId="0" fontId="0" fillId="0" borderId="0" xfId="0" applyBorder="1"/>
    <xf numFmtId="10" fontId="0" fillId="0" borderId="16" xfId="0" applyNumberFormat="1" applyBorder="1"/>
    <xf numFmtId="14" fontId="0" fillId="0" borderId="15" xfId="0" applyNumberFormat="1" applyBorder="1"/>
    <xf numFmtId="0" fontId="0" fillId="0" borderId="16" xfId="0" applyBorder="1"/>
    <xf numFmtId="2" fontId="0" fillId="0" borderId="0" xfId="0" applyNumberFormat="1" applyBorder="1"/>
    <xf numFmtId="10" fontId="0" fillId="0" borderId="20" xfId="0" applyNumberFormat="1" applyBorder="1"/>
    <xf numFmtId="2" fontId="3" fillId="0" borderId="5" xfId="0" applyNumberFormat="1" applyFont="1" applyBorder="1" applyAlignment="1">
      <alignment wrapText="1"/>
    </xf>
    <xf numFmtId="2" fontId="1" fillId="0" borderId="13" xfId="1" applyNumberFormat="1" applyFill="1" applyBorder="1"/>
    <xf numFmtId="2" fontId="3" fillId="0" borderId="3" xfId="0" applyNumberFormat="1" applyFont="1" applyBorder="1" applyAlignment="1">
      <alignment wrapText="1"/>
    </xf>
    <xf numFmtId="2" fontId="0" fillId="0" borderId="0" xfId="0" applyNumberFormat="1"/>
    <xf numFmtId="165" fontId="0" fillId="0" borderId="0" xfId="0" applyNumberFormat="1"/>
    <xf numFmtId="10" fontId="7" fillId="4" borderId="22" xfId="3" applyNumberFormat="1" applyBorder="1"/>
    <xf numFmtId="10" fontId="0" fillId="7" borderId="11" xfId="0" applyNumberFormat="1" applyFill="1" applyBorder="1"/>
    <xf numFmtId="10" fontId="0" fillId="7" borderId="12" xfId="0" applyNumberFormat="1" applyFill="1" applyBorder="1"/>
    <xf numFmtId="0" fontId="0" fillId="0" borderId="0" xfId="0" applyAlignment="1">
      <alignment horizontal="center"/>
    </xf>
    <xf numFmtId="10" fontId="7" fillId="4" borderId="24" xfId="3" applyNumberFormat="1" applyBorder="1"/>
    <xf numFmtId="3" fontId="1" fillId="2" borderId="25" xfId="1" applyNumberFormat="1" applyBorder="1" applyProtection="1">
      <protection locked="0"/>
    </xf>
    <xf numFmtId="10" fontId="0" fillId="6" borderId="0" xfId="0" applyNumberFormat="1" applyFill="1" applyBorder="1"/>
    <xf numFmtId="10" fontId="0" fillId="7" borderId="0" xfId="0" applyNumberFormat="1" applyFill="1" applyBorder="1"/>
    <xf numFmtId="10" fontId="0" fillId="7" borderId="15" xfId="0" applyNumberFormat="1" applyFill="1" applyBorder="1"/>
    <xf numFmtId="0" fontId="0" fillId="0" borderId="0" xfId="0" quotePrefix="1"/>
    <xf numFmtId="10" fontId="7" fillId="4" borderId="26" xfId="3" applyNumberFormat="1" applyBorder="1"/>
    <xf numFmtId="3" fontId="1" fillId="2" borderId="27" xfId="1" applyNumberFormat="1" applyBorder="1" applyProtection="1">
      <protection locked="0"/>
    </xf>
    <xf numFmtId="10" fontId="0" fillId="7" borderId="5" xfId="0" applyNumberFormat="1" applyFill="1" applyBorder="1"/>
    <xf numFmtId="10" fontId="0" fillId="6" borderId="4" xfId="0" applyNumberFormat="1" applyFill="1" applyBorder="1"/>
    <xf numFmtId="0" fontId="1" fillId="2" borderId="28" xfId="1" applyBorder="1" applyProtection="1">
      <protection locked="0"/>
    </xf>
    <xf numFmtId="0" fontId="3" fillId="7" borderId="19" xfId="0" applyFont="1" applyFill="1" applyBorder="1"/>
    <xf numFmtId="0" fontId="3" fillId="7" borderId="2" xfId="0" applyFont="1" applyFill="1" applyBorder="1"/>
    <xf numFmtId="0" fontId="3" fillId="7" borderId="5" xfId="0" applyFont="1" applyFill="1" applyBorder="1"/>
    <xf numFmtId="0" fontId="3" fillId="0" borderId="0" xfId="0" applyFont="1"/>
    <xf numFmtId="0" fontId="0" fillId="7" borderId="20" xfId="0" applyFill="1" applyBorder="1"/>
    <xf numFmtId="0" fontId="0" fillId="7" borderId="11" xfId="0" applyFill="1" applyBorder="1"/>
    <xf numFmtId="10" fontId="10" fillId="7" borderId="11" xfId="0" applyNumberFormat="1" applyFont="1" applyFill="1" applyBorder="1"/>
    <xf numFmtId="10" fontId="11" fillId="7" borderId="12" xfId="0" applyNumberFormat="1" applyFont="1" applyFill="1" applyBorder="1"/>
    <xf numFmtId="10" fontId="10" fillId="7" borderId="20" xfId="0" applyNumberFormat="1" applyFont="1" applyFill="1" applyBorder="1"/>
    <xf numFmtId="10" fontId="10" fillId="7" borderId="29" xfId="0" applyNumberFormat="1" applyFont="1" applyFill="1" applyBorder="1"/>
    <xf numFmtId="166" fontId="10" fillId="7" borderId="12" xfId="0" applyNumberFormat="1" applyFont="1" applyFill="1" applyBorder="1"/>
    <xf numFmtId="0" fontId="0" fillId="7" borderId="16" xfId="0" applyFill="1" applyBorder="1"/>
    <xf numFmtId="0" fontId="0" fillId="7" borderId="0" xfId="0" applyFill="1" applyBorder="1"/>
    <xf numFmtId="0" fontId="12" fillId="7" borderId="0" xfId="0" applyFont="1" applyFill="1" applyBorder="1"/>
    <xf numFmtId="0" fontId="12" fillId="7" borderId="15" xfId="0" applyFont="1" applyFill="1" applyBorder="1"/>
    <xf numFmtId="10" fontId="10" fillId="7" borderId="16" xfId="0" applyNumberFormat="1" applyFont="1" applyFill="1" applyBorder="1"/>
    <xf numFmtId="10" fontId="10" fillId="7" borderId="30" xfId="0" applyNumberFormat="1" applyFont="1" applyFill="1" applyBorder="1"/>
    <xf numFmtId="166" fontId="10" fillId="7" borderId="15" xfId="0" applyNumberFormat="1" applyFont="1" applyFill="1" applyBorder="1"/>
    <xf numFmtId="0" fontId="0" fillId="7" borderId="15" xfId="0" applyFill="1" applyBorder="1"/>
    <xf numFmtId="0" fontId="10" fillId="7" borderId="0" xfId="0" applyFont="1" applyFill="1" applyBorder="1"/>
    <xf numFmtId="10" fontId="10" fillId="7" borderId="0" xfId="0" applyNumberFormat="1" applyFont="1" applyFill="1" applyBorder="1"/>
    <xf numFmtId="10" fontId="10" fillId="7" borderId="15" xfId="0" applyNumberFormat="1" applyFont="1" applyFill="1" applyBorder="1"/>
    <xf numFmtId="10" fontId="10" fillId="7" borderId="14" xfId="0" applyNumberFormat="1" applyFont="1" applyFill="1" applyBorder="1"/>
    <xf numFmtId="10" fontId="10" fillId="7" borderId="21" xfId="0" applyNumberFormat="1" applyFont="1" applyFill="1" applyBorder="1"/>
    <xf numFmtId="166" fontId="10" fillId="7" borderId="4" xfId="0" applyNumberFormat="1" applyFont="1" applyFill="1" applyBorder="1"/>
    <xf numFmtId="165" fontId="10" fillId="7" borderId="15" xfId="0" quotePrefix="1" applyNumberFormat="1" applyFont="1" applyFill="1" applyBorder="1"/>
    <xf numFmtId="0" fontId="10" fillId="7" borderId="31" xfId="0" applyFont="1" applyFill="1" applyBorder="1"/>
    <xf numFmtId="0" fontId="10" fillId="7" borderId="3" xfId="0" applyFont="1" applyFill="1" applyBorder="1"/>
    <xf numFmtId="0" fontId="12" fillId="7" borderId="2" xfId="0" applyFont="1" applyFill="1" applyBorder="1"/>
    <xf numFmtId="0" fontId="0" fillId="0" borderId="0" xfId="0" applyFont="1"/>
    <xf numFmtId="0" fontId="0" fillId="7" borderId="14" xfId="0" applyFill="1" applyBorder="1"/>
    <xf numFmtId="0" fontId="0" fillId="7" borderId="5" xfId="0" applyFill="1" applyBorder="1"/>
    <xf numFmtId="0" fontId="12" fillId="7" borderId="5" xfId="0" applyFont="1" applyFill="1" applyBorder="1"/>
    <xf numFmtId="0" fontId="12" fillId="7" borderId="4" xfId="0" applyFont="1" applyFill="1" applyBorder="1"/>
    <xf numFmtId="167" fontId="0" fillId="7" borderId="11" xfId="0" applyNumberFormat="1" applyFill="1" applyBorder="1"/>
    <xf numFmtId="167" fontId="0" fillId="7" borderId="12" xfId="0" applyNumberFormat="1" applyFill="1" applyBorder="1"/>
    <xf numFmtId="0" fontId="0" fillId="0" borderId="16" xfId="0" applyBorder="1" applyAlignment="1"/>
    <xf numFmtId="167" fontId="0" fillId="7" borderId="0" xfId="0" applyNumberFormat="1" applyFill="1" applyBorder="1"/>
    <xf numFmtId="167" fontId="0" fillId="7" borderId="15" xfId="0" applyNumberFormat="1" applyFill="1" applyBorder="1"/>
    <xf numFmtId="0" fontId="8" fillId="0" borderId="0" xfId="0" applyFont="1"/>
    <xf numFmtId="10" fontId="7" fillId="4" borderId="32" xfId="3" applyNumberFormat="1" applyBorder="1"/>
    <xf numFmtId="167" fontId="0" fillId="7" borderId="5" xfId="0" applyNumberFormat="1" applyFill="1" applyBorder="1"/>
    <xf numFmtId="167" fontId="0" fillId="7" borderId="4" xfId="0" applyNumberFormat="1" applyFill="1" applyBorder="1"/>
    <xf numFmtId="4" fontId="1" fillId="2" borderId="33" xfId="1" applyNumberFormat="1" applyBorder="1" applyProtection="1">
      <protection locked="0"/>
    </xf>
    <xf numFmtId="4" fontId="1" fillId="2" borderId="25" xfId="1" applyNumberFormat="1" applyBorder="1" applyProtection="1">
      <protection locked="0"/>
    </xf>
    <xf numFmtId="4" fontId="1" fillId="2" borderId="23" xfId="1" applyNumberFormat="1" applyBorder="1" applyProtection="1">
      <protection locked="0"/>
    </xf>
    <xf numFmtId="4" fontId="0" fillId="0" borderId="0" xfId="0" applyNumberFormat="1"/>
    <xf numFmtId="4" fontId="6" fillId="4" borderId="34" xfId="2" applyNumberFormat="1" applyBorder="1"/>
    <xf numFmtId="10" fontId="6" fillId="4" borderId="35" xfId="2" applyNumberFormat="1" applyBorder="1"/>
    <xf numFmtId="0" fontId="1" fillId="2" borderId="12" xfId="1" applyBorder="1" applyProtection="1">
      <protection locked="0"/>
    </xf>
    <xf numFmtId="1" fontId="1" fillId="2" borderId="7" xfId="1" applyNumberFormat="1" applyBorder="1"/>
    <xf numFmtId="1" fontId="1" fillId="2" borderId="1" xfId="1" applyNumberFormat="1" applyBorder="1"/>
    <xf numFmtId="0" fontId="1" fillId="2" borderId="36" xfId="1" applyBorder="1" applyProtection="1">
      <protection locked="0"/>
    </xf>
    <xf numFmtId="167" fontId="0" fillId="7" borderId="14" xfId="0" applyNumberFormat="1" applyFill="1" applyBorder="1"/>
    <xf numFmtId="167" fontId="0" fillId="7" borderId="16" xfId="0" applyNumberFormat="1" applyFill="1" applyBorder="1"/>
    <xf numFmtId="167" fontId="0" fillId="7" borderId="20" xfId="0" applyNumberFormat="1" applyFill="1" applyBorder="1"/>
    <xf numFmtId="10" fontId="0" fillId="7" borderId="14" xfId="0" applyNumberFormat="1" applyFill="1" applyBorder="1"/>
    <xf numFmtId="10" fontId="0" fillId="7" borderId="16" xfId="0" applyNumberFormat="1" applyFill="1" applyBorder="1"/>
    <xf numFmtId="10" fontId="0" fillId="6" borderId="20" xfId="0" applyNumberFormat="1" applyFill="1" applyBorder="1"/>
    <xf numFmtId="0" fontId="0" fillId="0" borderId="0" xfId="0" applyNumberFormat="1"/>
    <xf numFmtId="0" fontId="0" fillId="0" borderId="15" xfId="0" applyNumberFormat="1" applyBorder="1"/>
    <xf numFmtId="0" fontId="0" fillId="0" borderId="0" xfId="0" applyNumberFormat="1" applyBorder="1"/>
    <xf numFmtId="0" fontId="3" fillId="0" borderId="14" xfId="0" applyFont="1" applyBorder="1" applyAlignment="1">
      <alignment wrapText="1"/>
    </xf>
    <xf numFmtId="164" fontId="0" fillId="0" borderId="14" xfId="0" applyNumberFormat="1" applyBorder="1"/>
    <xf numFmtId="164" fontId="0" fillId="0" borderId="16" xfId="0" applyNumberFormat="1" applyBorder="1"/>
    <xf numFmtId="164" fontId="0" fillId="0" borderId="20" xfId="0" applyNumberFormat="1" applyBorder="1"/>
    <xf numFmtId="0" fontId="3" fillId="0" borderId="31" xfId="0" applyFont="1" applyBorder="1" applyAlignment="1">
      <alignment wrapText="1"/>
    </xf>
    <xf numFmtId="2" fontId="0" fillId="0" borderId="31" xfId="0" applyNumberFormat="1" applyBorder="1"/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31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3" borderId="20" xfId="0" applyFont="1" applyFill="1" applyBorder="1" applyAlignment="1">
      <alignment horizontal="center"/>
    </xf>
    <xf numFmtId="0" fontId="8" fillId="5" borderId="18" xfId="4" applyFont="1" applyAlignment="1">
      <alignment horizontal="left" vertical="top" wrapText="1"/>
    </xf>
    <xf numFmtId="0" fontId="9" fillId="8" borderId="4" xfId="0" applyFont="1" applyFill="1" applyBorder="1" applyAlignment="1">
      <alignment horizontal="center" vertical="center"/>
    </xf>
    <xf numFmtId="0" fontId="9" fillId="8" borderId="5" xfId="0" applyFont="1" applyFill="1" applyBorder="1" applyAlignment="1">
      <alignment horizontal="center" vertical="center"/>
    </xf>
    <xf numFmtId="0" fontId="9" fillId="8" borderId="14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/>
    </xf>
    <xf numFmtId="0" fontId="9" fillId="8" borderId="0" xfId="0" applyFont="1" applyFill="1" applyBorder="1" applyAlignment="1">
      <alignment horizontal="center" vertical="center"/>
    </xf>
    <xf numFmtId="0" fontId="9" fillId="8" borderId="16" xfId="0" applyFont="1" applyFill="1" applyBorder="1" applyAlignment="1">
      <alignment horizontal="center" vertical="center"/>
    </xf>
    <xf numFmtId="0" fontId="9" fillId="8" borderId="12" xfId="0" applyFont="1" applyFill="1" applyBorder="1" applyAlignment="1">
      <alignment horizontal="center" vertical="center"/>
    </xf>
    <xf numFmtId="0" fontId="9" fillId="8" borderId="11" xfId="0" applyFont="1" applyFill="1" applyBorder="1" applyAlignment="1">
      <alignment horizontal="center" vertical="center"/>
    </xf>
    <xf numFmtId="0" fontId="9" fillId="8" borderId="20" xfId="0" applyFont="1" applyFill="1" applyBorder="1" applyAlignment="1">
      <alignment horizontal="center" vertical="center"/>
    </xf>
    <xf numFmtId="0" fontId="12" fillId="7" borderId="4" xfId="0" applyFont="1" applyFill="1" applyBorder="1" applyAlignment="1">
      <alignment horizontal="left" wrapText="1"/>
    </xf>
    <xf numFmtId="0" fontId="12" fillId="7" borderId="12" xfId="0" applyFont="1" applyFill="1" applyBorder="1" applyAlignment="1">
      <alignment horizontal="left" wrapText="1"/>
    </xf>
    <xf numFmtId="0" fontId="12" fillId="7" borderId="21" xfId="0" applyFont="1" applyFill="1" applyBorder="1" applyAlignment="1">
      <alignment horizontal="center"/>
    </xf>
    <xf numFmtId="0" fontId="12" fillId="7" borderId="29" xfId="0" applyFont="1" applyFill="1" applyBorder="1" applyAlignment="1">
      <alignment horizontal="center"/>
    </xf>
    <xf numFmtId="0" fontId="12" fillId="7" borderId="14" xfId="0" applyFont="1" applyFill="1" applyBorder="1" applyAlignment="1">
      <alignment horizontal="center"/>
    </xf>
    <xf numFmtId="0" fontId="12" fillId="7" borderId="20" xfId="0" applyFont="1" applyFill="1" applyBorder="1" applyAlignment="1">
      <alignment horizontal="center"/>
    </xf>
    <xf numFmtId="0" fontId="2" fillId="9" borderId="2" xfId="0" applyFont="1" applyFill="1" applyBorder="1" applyAlignment="1">
      <alignment horizontal="center" vertical="center"/>
    </xf>
    <xf numFmtId="0" fontId="2" fillId="9" borderId="3" xfId="0" applyFont="1" applyFill="1" applyBorder="1" applyAlignment="1">
      <alignment horizontal="center" vertical="center"/>
    </xf>
    <xf numFmtId="0" fontId="2" fillId="9" borderId="31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10" fontId="4" fillId="0" borderId="4" xfId="0" applyNumberFormat="1" applyFont="1" applyBorder="1" applyAlignment="1">
      <alignment horizontal="center"/>
    </xf>
    <xf numFmtId="10" fontId="4" fillId="0" borderId="5" xfId="0" applyNumberFormat="1" applyFont="1" applyBorder="1" applyAlignment="1">
      <alignment horizontal="center"/>
    </xf>
    <xf numFmtId="2" fontId="4" fillId="0" borderId="5" xfId="0" applyNumberFormat="1" applyFont="1" applyBorder="1" applyAlignment="1">
      <alignment horizontal="center"/>
    </xf>
    <xf numFmtId="0" fontId="0" fillId="10" borderId="12" xfId="0" applyFill="1" applyBorder="1"/>
    <xf numFmtId="2" fontId="0" fillId="10" borderId="11" xfId="0" applyNumberFormat="1" applyFill="1" applyBorder="1"/>
    <xf numFmtId="10" fontId="0" fillId="10" borderId="20" xfId="0" applyNumberFormat="1" applyFill="1" applyBorder="1"/>
    <xf numFmtId="10" fontId="0" fillId="10" borderId="11" xfId="0" applyNumberFormat="1" applyFill="1" applyBorder="1"/>
    <xf numFmtId="0" fontId="15" fillId="7" borderId="15" xfId="0" applyFont="1" applyFill="1" applyBorder="1" applyAlignment="1">
      <alignment horizontal="left"/>
    </xf>
    <xf numFmtId="0" fontId="8" fillId="7" borderId="0" xfId="0" applyFont="1" applyFill="1" applyBorder="1"/>
    <xf numFmtId="0" fontId="8" fillId="7" borderId="16" xfId="0" applyFont="1" applyFill="1" applyBorder="1"/>
    <xf numFmtId="0" fontId="8" fillId="7" borderId="15" xfId="0" applyFont="1" applyFill="1" applyBorder="1"/>
    <xf numFmtId="168" fontId="8" fillId="7" borderId="0" xfId="0" applyNumberFormat="1" applyFont="1" applyFill="1" applyBorder="1"/>
    <xf numFmtId="168" fontId="8" fillId="7" borderId="16" xfId="0" applyNumberFormat="1" applyFont="1" applyFill="1" applyBorder="1"/>
    <xf numFmtId="2" fontId="8" fillId="7" borderId="0" xfId="0" applyNumberFormat="1" applyFont="1" applyFill="1" applyBorder="1"/>
    <xf numFmtId="2" fontId="8" fillId="7" borderId="16" xfId="0" applyNumberFormat="1" applyFont="1" applyFill="1" applyBorder="1"/>
    <xf numFmtId="0" fontId="8" fillId="7" borderId="37" xfId="0" applyFont="1" applyFill="1" applyBorder="1"/>
    <xf numFmtId="0" fontId="8" fillId="7" borderId="38" xfId="0" applyFont="1" applyFill="1" applyBorder="1"/>
    <xf numFmtId="0" fontId="8" fillId="7" borderId="39" xfId="0" applyFont="1" applyFill="1" applyBorder="1"/>
    <xf numFmtId="0" fontId="16" fillId="7" borderId="15" xfId="0" applyFont="1" applyFill="1" applyBorder="1"/>
    <xf numFmtId="0" fontId="8" fillId="7" borderId="0" xfId="0" applyFont="1" applyFill="1" applyBorder="1" applyAlignment="1">
      <alignment horizontal="center"/>
    </xf>
    <xf numFmtId="0" fontId="15" fillId="7" borderId="4" xfId="0" applyFont="1" applyFill="1" applyBorder="1" applyAlignment="1">
      <alignment horizontal="left"/>
    </xf>
    <xf numFmtId="0" fontId="15" fillId="7" borderId="5" xfId="0" applyFont="1" applyFill="1" applyBorder="1" applyAlignment="1">
      <alignment horizontal="centerContinuous"/>
    </xf>
    <xf numFmtId="0" fontId="15" fillId="7" borderId="14" xfId="0" applyFont="1" applyFill="1" applyBorder="1" applyAlignment="1">
      <alignment horizontal="centerContinuous"/>
    </xf>
    <xf numFmtId="0" fontId="0" fillId="7" borderId="12" xfId="0" applyFill="1" applyBorder="1"/>
    <xf numFmtId="0" fontId="8" fillId="7" borderId="11" xfId="0" applyFont="1" applyFill="1" applyBorder="1"/>
    <xf numFmtId="10" fontId="0" fillId="7" borderId="20" xfId="0" applyNumberFormat="1" applyFill="1" applyBorder="1"/>
  </cellXfs>
  <cellStyles count="5">
    <cellStyle name="Calcul" xfId="3" builtinId="22"/>
    <cellStyle name="Entrée" xfId="1" builtinId="20"/>
    <cellStyle name="Normal" xfId="0" builtinId="0"/>
    <cellStyle name="Note" xfId="4" builtinId="10"/>
    <cellStyle name="Sortie" xfId="2" builtinId="21"/>
  </cellStyles>
  <dxfs count="73">
    <dxf>
      <numFmt numFmtId="14" formatCode="0.00%"/>
    </dxf>
    <dxf>
      <numFmt numFmtId="2" formatCode="0.00"/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14" formatCode="0.00%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19" formatCode="dd/mm/yyyy"/>
      <border diagonalUp="0" diagonalDown="0">
        <left style="medium">
          <color indexed="64"/>
        </left>
        <right/>
        <top/>
        <bottom/>
        <vertical/>
        <horizontal/>
      </border>
    </dxf>
    <dxf>
      <numFmt numFmtId="14" formatCode="0.00%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2" formatCode="0.00"/>
    </dxf>
    <dxf>
      <numFmt numFmtId="19" formatCode="dd/mm/yyyy"/>
      <border diagonalUp="0" diagonalDown="0">
        <left style="medium">
          <color indexed="64"/>
        </left>
        <right/>
        <top/>
        <bottom/>
        <vertical/>
        <horizontal/>
      </border>
    </dxf>
    <dxf>
      <numFmt numFmtId="14" formatCode="0.00%"/>
    </dxf>
    <dxf>
      <numFmt numFmtId="19" formatCode="dd/mm/yyyy"/>
    </dxf>
    <dxf>
      <numFmt numFmtId="14" formatCode="0.00%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19" formatCode="dd/mm/yyyy"/>
      <border diagonalUp="0" diagonalDown="0">
        <left style="medium">
          <color indexed="64"/>
        </left>
        <right/>
        <top/>
        <bottom/>
        <vertical/>
        <horizontal/>
      </border>
    </dxf>
    <dxf>
      <numFmt numFmtId="14" formatCode="0.00%"/>
    </dxf>
    <dxf>
      <numFmt numFmtId="19" formatCode="dd/mm/yyyy"/>
    </dxf>
    <dxf>
      <numFmt numFmtId="14" formatCode="0.00%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19" formatCode="dd/mm/yyyy"/>
      <border diagonalUp="0" diagonalDown="0">
        <left style="medium">
          <color indexed="64"/>
        </left>
        <right/>
        <top/>
        <bottom/>
        <vertical/>
        <horizontal/>
      </border>
    </dxf>
    <dxf>
      <numFmt numFmtId="14" formatCode="0.00%"/>
    </dxf>
    <dxf>
      <numFmt numFmtId="19" formatCode="dd/mm/yyyy"/>
    </dxf>
    <dxf>
      <numFmt numFmtId="14" formatCode="0.00%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19" formatCode="dd/mm/yyyy"/>
      <border diagonalUp="0" diagonalDown="0">
        <left style="medium">
          <color indexed="64"/>
        </left>
        <right/>
        <top/>
        <bottom/>
        <vertical/>
        <horizontal/>
      </border>
    </dxf>
    <dxf>
      <numFmt numFmtId="14" formatCode="0.00%"/>
    </dxf>
    <dxf>
      <numFmt numFmtId="0" formatCode="General"/>
    </dxf>
    <dxf>
      <numFmt numFmtId="0" formatCode="General"/>
    </dxf>
    <dxf>
      <numFmt numFmtId="2" formatCode="0.00"/>
    </dxf>
    <dxf>
      <border diagonalUp="0" diagonalDown="0">
        <left style="medium">
          <color indexed="64"/>
        </left>
        <right/>
        <top/>
        <bottom/>
        <vertical/>
        <horizontal/>
      </border>
    </dxf>
    <dxf>
      <numFmt numFmtId="14" formatCode="0.00%"/>
    </dxf>
    <dxf>
      <numFmt numFmtId="2" formatCode="0.00"/>
    </dxf>
    <dxf>
      <numFmt numFmtId="19" formatCode="dd/mm/yyyy"/>
    </dxf>
    <dxf>
      <numFmt numFmtId="14" formatCode="0.00%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2" formatCode="0.00"/>
    </dxf>
    <dxf>
      <numFmt numFmtId="19" formatCode="dd/mm/yyyy"/>
      <border diagonalUp="0" diagonalDown="0">
        <left style="medium">
          <color indexed="64"/>
        </left>
        <right/>
        <top/>
        <bottom/>
        <vertical/>
        <horizontal/>
      </border>
    </dxf>
    <dxf>
      <numFmt numFmtId="14" formatCode="0.00%"/>
    </dxf>
    <dxf>
      <numFmt numFmtId="2" formatCode="0.00"/>
    </dxf>
    <dxf>
      <numFmt numFmtId="19" formatCode="dd/mm/yyyy"/>
    </dxf>
    <dxf>
      <numFmt numFmtId="14" formatCode="0.00%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2" formatCode="0.00"/>
    </dxf>
    <dxf>
      <numFmt numFmtId="19" formatCode="dd/mm/yyyy"/>
      <border diagonalUp="0" diagonalDown="0">
        <left style="medium">
          <color indexed="64"/>
        </left>
        <right/>
        <top/>
        <bottom/>
        <vertical/>
        <horizontal/>
      </border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0" formatCode="General"/>
    </dxf>
    <dxf>
      <numFmt numFmtId="0" formatCode="General"/>
      <border diagonalUp="0" diagonalDown="0">
        <left style="medium">
          <color indexed="64"/>
        </left>
        <right/>
        <top/>
        <bottom/>
        <vertical/>
        <horizontal/>
      </border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0" formatCode="General"/>
    </dxf>
    <dxf>
      <numFmt numFmtId="0" formatCode="General"/>
      <border diagonalUp="0" diagonalDown="0">
        <left style="medium">
          <color indexed="64"/>
        </left>
        <right/>
        <top/>
        <bottom/>
        <vertical/>
        <horizontal/>
      </border>
    </dxf>
    <dxf>
      <numFmt numFmtId="14" formatCode="0.00%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2" formatCode="0.00"/>
    </dxf>
    <dxf>
      <border diagonalUp="0" diagonalDown="0">
        <left style="medium">
          <color indexed="64"/>
        </left>
        <right/>
        <top/>
        <bottom/>
        <vertical/>
        <horizontal/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 outline="0">
        <left style="medium">
          <color indexed="64"/>
        </left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Probability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DOR!$D$16:$D$29</c:f>
              <c:strCache>
                <c:ptCount val="14"/>
                <c:pt idx="0">
                  <c:v>Less than -9.92%</c:v>
                </c:pt>
                <c:pt idx="1">
                  <c:v>-9.92% to -8.28%</c:v>
                </c:pt>
                <c:pt idx="2">
                  <c:v>-8.28% to -6.63%</c:v>
                </c:pt>
                <c:pt idx="3">
                  <c:v>-6.63% to -4.98%</c:v>
                </c:pt>
                <c:pt idx="4">
                  <c:v>-4.98% to -3.34%</c:v>
                </c:pt>
                <c:pt idx="5">
                  <c:v>-3.34% to -1.69%</c:v>
                </c:pt>
                <c:pt idx="6">
                  <c:v>-1.69% to -0.05%</c:v>
                </c:pt>
                <c:pt idx="7">
                  <c:v>-0.05% to 1.60%</c:v>
                </c:pt>
                <c:pt idx="8">
                  <c:v>1.60% to 3.25%</c:v>
                </c:pt>
                <c:pt idx="9">
                  <c:v>3.25% to 4.89%</c:v>
                </c:pt>
                <c:pt idx="10">
                  <c:v>4.89% to 6.54%</c:v>
                </c:pt>
                <c:pt idx="11">
                  <c:v>6.54% to 8.18%</c:v>
                </c:pt>
                <c:pt idx="12">
                  <c:v>8.18% to 9.83%</c:v>
                </c:pt>
                <c:pt idx="13">
                  <c:v>Greater than 9.83%</c:v>
                </c:pt>
              </c:strCache>
            </c:strRef>
          </c:cat>
          <c:val>
            <c:numRef>
              <c:f>DOR!$E$16:$E$29</c:f>
              <c:numCache>
                <c:formatCode>0.00%</c:formatCode>
                <c:ptCount val="14"/>
                <c:pt idx="0">
                  <c:v>2.4213075060532689E-3</c:v>
                </c:pt>
                <c:pt idx="1">
                  <c:v>4.8426150121065378E-3</c:v>
                </c:pt>
                <c:pt idx="2">
                  <c:v>7.2639225181598066E-3</c:v>
                </c:pt>
                <c:pt idx="3">
                  <c:v>3.1476997578692496E-2</c:v>
                </c:pt>
                <c:pt idx="4">
                  <c:v>8.4745762711864403E-2</c:v>
                </c:pt>
                <c:pt idx="5">
                  <c:v>0.16222760290556901</c:v>
                </c:pt>
                <c:pt idx="6">
                  <c:v>0.23728813559322035</c:v>
                </c:pt>
                <c:pt idx="7">
                  <c:v>0.19128329297820823</c:v>
                </c:pt>
                <c:pt idx="8">
                  <c:v>0.15012106537530268</c:v>
                </c:pt>
                <c:pt idx="9">
                  <c:v>6.5375302663438259E-2</c:v>
                </c:pt>
                <c:pt idx="10">
                  <c:v>3.1476997578692496E-2</c:v>
                </c:pt>
                <c:pt idx="11">
                  <c:v>7.2639225181598066E-3</c:v>
                </c:pt>
                <c:pt idx="12">
                  <c:v>1.6949152542372881E-2</c:v>
                </c:pt>
                <c:pt idx="13">
                  <c:v>7.2639225181598066E-3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6B-4A2A-AACD-81FF07FA3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374480"/>
        <c:axId val="31373648"/>
      </c:barChart>
      <c:catAx>
        <c:axId val="3137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373648"/>
        <c:crosses val="autoZero"/>
        <c:auto val="1"/>
        <c:lblAlgn val="ctr"/>
        <c:lblOffset val="100"/>
        <c:noMultiLvlLbl val="0"/>
      </c:catAx>
      <c:valAx>
        <c:axId val="3137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374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Long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Data!$A$3:$A$400</c:f>
              <c:numCache>
                <c:formatCode>m/d/yyyy</c:formatCode>
                <c:ptCount val="398"/>
                <c:pt idx="0">
                  <c:v>45076</c:v>
                </c:pt>
                <c:pt idx="1">
                  <c:v>45068</c:v>
                </c:pt>
                <c:pt idx="2">
                  <c:v>45061</c:v>
                </c:pt>
                <c:pt idx="3">
                  <c:v>45054</c:v>
                </c:pt>
                <c:pt idx="4">
                  <c:v>45047</c:v>
                </c:pt>
                <c:pt idx="5">
                  <c:v>45040</c:v>
                </c:pt>
                <c:pt idx="6">
                  <c:v>45033</c:v>
                </c:pt>
                <c:pt idx="7">
                  <c:v>45026</c:v>
                </c:pt>
                <c:pt idx="8">
                  <c:v>45019</c:v>
                </c:pt>
                <c:pt idx="9">
                  <c:v>45012</c:v>
                </c:pt>
                <c:pt idx="10">
                  <c:v>45005</c:v>
                </c:pt>
                <c:pt idx="11">
                  <c:v>44998</c:v>
                </c:pt>
                <c:pt idx="12">
                  <c:v>44991</c:v>
                </c:pt>
                <c:pt idx="13">
                  <c:v>44984</c:v>
                </c:pt>
                <c:pt idx="14">
                  <c:v>44977</c:v>
                </c:pt>
                <c:pt idx="15">
                  <c:v>44970</c:v>
                </c:pt>
                <c:pt idx="16">
                  <c:v>44963</c:v>
                </c:pt>
                <c:pt idx="17">
                  <c:v>44956</c:v>
                </c:pt>
                <c:pt idx="18">
                  <c:v>44949</c:v>
                </c:pt>
                <c:pt idx="19">
                  <c:v>44942</c:v>
                </c:pt>
                <c:pt idx="20">
                  <c:v>44935</c:v>
                </c:pt>
                <c:pt idx="21">
                  <c:v>44928</c:v>
                </c:pt>
                <c:pt idx="22">
                  <c:v>44921</c:v>
                </c:pt>
                <c:pt idx="23">
                  <c:v>44914</c:v>
                </c:pt>
                <c:pt idx="24">
                  <c:v>44907</c:v>
                </c:pt>
                <c:pt idx="25">
                  <c:v>44900</c:v>
                </c:pt>
                <c:pt idx="26">
                  <c:v>44893</c:v>
                </c:pt>
                <c:pt idx="27">
                  <c:v>44886</c:v>
                </c:pt>
                <c:pt idx="28">
                  <c:v>44879</c:v>
                </c:pt>
                <c:pt idx="29">
                  <c:v>44872</c:v>
                </c:pt>
                <c:pt idx="30">
                  <c:v>44865</c:v>
                </c:pt>
                <c:pt idx="31">
                  <c:v>44858</c:v>
                </c:pt>
                <c:pt idx="32">
                  <c:v>44851</c:v>
                </c:pt>
                <c:pt idx="33">
                  <c:v>44844</c:v>
                </c:pt>
                <c:pt idx="34">
                  <c:v>44837</c:v>
                </c:pt>
                <c:pt idx="35">
                  <c:v>44830</c:v>
                </c:pt>
                <c:pt idx="36">
                  <c:v>44823</c:v>
                </c:pt>
                <c:pt idx="37">
                  <c:v>44816</c:v>
                </c:pt>
                <c:pt idx="38">
                  <c:v>44809</c:v>
                </c:pt>
                <c:pt idx="39">
                  <c:v>44802</c:v>
                </c:pt>
                <c:pt idx="40">
                  <c:v>44795</c:v>
                </c:pt>
                <c:pt idx="41">
                  <c:v>44788</c:v>
                </c:pt>
                <c:pt idx="42">
                  <c:v>44781</c:v>
                </c:pt>
                <c:pt idx="43">
                  <c:v>44774</c:v>
                </c:pt>
                <c:pt idx="44">
                  <c:v>44767</c:v>
                </c:pt>
                <c:pt idx="45">
                  <c:v>44760</c:v>
                </c:pt>
                <c:pt idx="46">
                  <c:v>44753</c:v>
                </c:pt>
                <c:pt idx="47">
                  <c:v>44746</c:v>
                </c:pt>
                <c:pt idx="48">
                  <c:v>44739</c:v>
                </c:pt>
                <c:pt idx="49">
                  <c:v>44732</c:v>
                </c:pt>
                <c:pt idx="50">
                  <c:v>44725</c:v>
                </c:pt>
                <c:pt idx="51">
                  <c:v>44718</c:v>
                </c:pt>
                <c:pt idx="52">
                  <c:v>44711</c:v>
                </c:pt>
                <c:pt idx="53">
                  <c:v>44704</c:v>
                </c:pt>
                <c:pt idx="54">
                  <c:v>44697</c:v>
                </c:pt>
                <c:pt idx="55">
                  <c:v>44690</c:v>
                </c:pt>
                <c:pt idx="56">
                  <c:v>44683</c:v>
                </c:pt>
                <c:pt idx="57">
                  <c:v>44676</c:v>
                </c:pt>
                <c:pt idx="58">
                  <c:v>44669</c:v>
                </c:pt>
                <c:pt idx="59">
                  <c:v>44662</c:v>
                </c:pt>
                <c:pt idx="60">
                  <c:v>44655</c:v>
                </c:pt>
                <c:pt idx="61">
                  <c:v>44648</c:v>
                </c:pt>
                <c:pt idx="62">
                  <c:v>44641</c:v>
                </c:pt>
                <c:pt idx="63">
                  <c:v>44634</c:v>
                </c:pt>
                <c:pt idx="64">
                  <c:v>44627</c:v>
                </c:pt>
                <c:pt idx="65">
                  <c:v>44620</c:v>
                </c:pt>
                <c:pt idx="66">
                  <c:v>44613</c:v>
                </c:pt>
                <c:pt idx="67">
                  <c:v>44606</c:v>
                </c:pt>
                <c:pt idx="68">
                  <c:v>44599</c:v>
                </c:pt>
                <c:pt idx="69">
                  <c:v>44592</c:v>
                </c:pt>
                <c:pt idx="70">
                  <c:v>44585</c:v>
                </c:pt>
                <c:pt idx="71">
                  <c:v>44578</c:v>
                </c:pt>
                <c:pt idx="72">
                  <c:v>44571</c:v>
                </c:pt>
                <c:pt idx="73">
                  <c:v>44564</c:v>
                </c:pt>
                <c:pt idx="74">
                  <c:v>44557</c:v>
                </c:pt>
                <c:pt idx="75">
                  <c:v>44550</c:v>
                </c:pt>
                <c:pt idx="76">
                  <c:v>44543</c:v>
                </c:pt>
                <c:pt idx="77">
                  <c:v>44536</c:v>
                </c:pt>
                <c:pt idx="78">
                  <c:v>44529</c:v>
                </c:pt>
                <c:pt idx="79">
                  <c:v>44522</c:v>
                </c:pt>
                <c:pt idx="80">
                  <c:v>44515</c:v>
                </c:pt>
                <c:pt idx="81">
                  <c:v>44508</c:v>
                </c:pt>
                <c:pt idx="82">
                  <c:v>44501</c:v>
                </c:pt>
                <c:pt idx="83">
                  <c:v>44494</c:v>
                </c:pt>
                <c:pt idx="84">
                  <c:v>44487</c:v>
                </c:pt>
                <c:pt idx="85">
                  <c:v>44480</c:v>
                </c:pt>
                <c:pt idx="86">
                  <c:v>44473</c:v>
                </c:pt>
                <c:pt idx="87">
                  <c:v>44466</c:v>
                </c:pt>
                <c:pt idx="88">
                  <c:v>44459</c:v>
                </c:pt>
                <c:pt idx="89">
                  <c:v>44452</c:v>
                </c:pt>
                <c:pt idx="90">
                  <c:v>44445</c:v>
                </c:pt>
                <c:pt idx="91">
                  <c:v>44438</c:v>
                </c:pt>
                <c:pt idx="92">
                  <c:v>44431</c:v>
                </c:pt>
                <c:pt idx="93">
                  <c:v>44424</c:v>
                </c:pt>
                <c:pt idx="94">
                  <c:v>44417</c:v>
                </c:pt>
                <c:pt idx="95">
                  <c:v>44410</c:v>
                </c:pt>
                <c:pt idx="96">
                  <c:v>44403</c:v>
                </c:pt>
                <c:pt idx="97">
                  <c:v>44396</c:v>
                </c:pt>
                <c:pt idx="98">
                  <c:v>44389</c:v>
                </c:pt>
                <c:pt idx="99">
                  <c:v>44382</c:v>
                </c:pt>
                <c:pt idx="100">
                  <c:v>44375</c:v>
                </c:pt>
                <c:pt idx="101">
                  <c:v>44368</c:v>
                </c:pt>
                <c:pt idx="102">
                  <c:v>44361</c:v>
                </c:pt>
                <c:pt idx="103">
                  <c:v>44354</c:v>
                </c:pt>
                <c:pt idx="104">
                  <c:v>44347</c:v>
                </c:pt>
                <c:pt idx="105">
                  <c:v>44340</c:v>
                </c:pt>
                <c:pt idx="106">
                  <c:v>44333</c:v>
                </c:pt>
                <c:pt idx="107">
                  <c:v>44326</c:v>
                </c:pt>
                <c:pt idx="108">
                  <c:v>44319</c:v>
                </c:pt>
                <c:pt idx="109">
                  <c:v>44312</c:v>
                </c:pt>
                <c:pt idx="110">
                  <c:v>44305</c:v>
                </c:pt>
                <c:pt idx="111">
                  <c:v>44298</c:v>
                </c:pt>
                <c:pt idx="112">
                  <c:v>44291</c:v>
                </c:pt>
                <c:pt idx="113">
                  <c:v>44284</c:v>
                </c:pt>
                <c:pt idx="114">
                  <c:v>44277</c:v>
                </c:pt>
                <c:pt idx="115">
                  <c:v>44270</c:v>
                </c:pt>
                <c:pt idx="116">
                  <c:v>44263</c:v>
                </c:pt>
                <c:pt idx="117">
                  <c:v>44256</c:v>
                </c:pt>
                <c:pt idx="118">
                  <c:v>44249</c:v>
                </c:pt>
                <c:pt idx="119">
                  <c:v>44242</c:v>
                </c:pt>
                <c:pt idx="120">
                  <c:v>44235</c:v>
                </c:pt>
                <c:pt idx="121">
                  <c:v>44228</c:v>
                </c:pt>
                <c:pt idx="122">
                  <c:v>44221</c:v>
                </c:pt>
                <c:pt idx="123">
                  <c:v>44214</c:v>
                </c:pt>
                <c:pt idx="124">
                  <c:v>44207</c:v>
                </c:pt>
                <c:pt idx="125">
                  <c:v>44200</c:v>
                </c:pt>
                <c:pt idx="126">
                  <c:v>44193</c:v>
                </c:pt>
                <c:pt idx="127">
                  <c:v>44186</c:v>
                </c:pt>
                <c:pt idx="128">
                  <c:v>44179</c:v>
                </c:pt>
                <c:pt idx="129">
                  <c:v>44172</c:v>
                </c:pt>
                <c:pt idx="130">
                  <c:v>44165</c:v>
                </c:pt>
                <c:pt idx="131">
                  <c:v>44158</c:v>
                </c:pt>
                <c:pt idx="132">
                  <c:v>44151</c:v>
                </c:pt>
                <c:pt idx="133">
                  <c:v>44144</c:v>
                </c:pt>
                <c:pt idx="134">
                  <c:v>44137</c:v>
                </c:pt>
                <c:pt idx="135">
                  <c:v>44130</c:v>
                </c:pt>
                <c:pt idx="136">
                  <c:v>44123</c:v>
                </c:pt>
                <c:pt idx="137">
                  <c:v>44116</c:v>
                </c:pt>
                <c:pt idx="138">
                  <c:v>44109</c:v>
                </c:pt>
                <c:pt idx="139">
                  <c:v>44102</c:v>
                </c:pt>
                <c:pt idx="140">
                  <c:v>44095</c:v>
                </c:pt>
                <c:pt idx="141">
                  <c:v>44088</c:v>
                </c:pt>
                <c:pt idx="142">
                  <c:v>44081</c:v>
                </c:pt>
                <c:pt idx="143">
                  <c:v>44074</c:v>
                </c:pt>
                <c:pt idx="144">
                  <c:v>44067</c:v>
                </c:pt>
                <c:pt idx="145">
                  <c:v>44060</c:v>
                </c:pt>
                <c:pt idx="146">
                  <c:v>44053</c:v>
                </c:pt>
                <c:pt idx="147">
                  <c:v>44046</c:v>
                </c:pt>
                <c:pt idx="148">
                  <c:v>44039</c:v>
                </c:pt>
                <c:pt idx="149">
                  <c:v>44032</c:v>
                </c:pt>
                <c:pt idx="150">
                  <c:v>44025</c:v>
                </c:pt>
                <c:pt idx="151">
                  <c:v>44018</c:v>
                </c:pt>
                <c:pt idx="152">
                  <c:v>44011</c:v>
                </c:pt>
                <c:pt idx="153">
                  <c:v>44004</c:v>
                </c:pt>
                <c:pt idx="154">
                  <c:v>43997</c:v>
                </c:pt>
                <c:pt idx="155">
                  <c:v>43990</c:v>
                </c:pt>
                <c:pt idx="156">
                  <c:v>43983</c:v>
                </c:pt>
                <c:pt idx="157">
                  <c:v>43976</c:v>
                </c:pt>
                <c:pt idx="158">
                  <c:v>43969</c:v>
                </c:pt>
                <c:pt idx="159">
                  <c:v>43962</c:v>
                </c:pt>
                <c:pt idx="160">
                  <c:v>43955</c:v>
                </c:pt>
                <c:pt idx="161">
                  <c:v>43948</c:v>
                </c:pt>
                <c:pt idx="162">
                  <c:v>43941</c:v>
                </c:pt>
                <c:pt idx="163">
                  <c:v>43934</c:v>
                </c:pt>
                <c:pt idx="164">
                  <c:v>43927</c:v>
                </c:pt>
                <c:pt idx="165">
                  <c:v>43920</c:v>
                </c:pt>
                <c:pt idx="166">
                  <c:v>43913</c:v>
                </c:pt>
                <c:pt idx="167">
                  <c:v>43906</c:v>
                </c:pt>
                <c:pt idx="168">
                  <c:v>43899</c:v>
                </c:pt>
                <c:pt idx="169">
                  <c:v>43892</c:v>
                </c:pt>
                <c:pt idx="170">
                  <c:v>43885</c:v>
                </c:pt>
                <c:pt idx="171">
                  <c:v>43878</c:v>
                </c:pt>
                <c:pt idx="172">
                  <c:v>43871</c:v>
                </c:pt>
                <c:pt idx="173">
                  <c:v>43864</c:v>
                </c:pt>
                <c:pt idx="174">
                  <c:v>43857</c:v>
                </c:pt>
                <c:pt idx="175">
                  <c:v>43850</c:v>
                </c:pt>
                <c:pt idx="176">
                  <c:v>43843</c:v>
                </c:pt>
                <c:pt idx="177">
                  <c:v>43836</c:v>
                </c:pt>
                <c:pt idx="178">
                  <c:v>43829</c:v>
                </c:pt>
                <c:pt idx="179">
                  <c:v>43822</c:v>
                </c:pt>
                <c:pt idx="180">
                  <c:v>43815</c:v>
                </c:pt>
                <c:pt idx="181">
                  <c:v>43808</c:v>
                </c:pt>
                <c:pt idx="182">
                  <c:v>43801</c:v>
                </c:pt>
                <c:pt idx="183">
                  <c:v>43794</c:v>
                </c:pt>
                <c:pt idx="184">
                  <c:v>43787</c:v>
                </c:pt>
                <c:pt idx="185">
                  <c:v>43780</c:v>
                </c:pt>
                <c:pt idx="186">
                  <c:v>43773</c:v>
                </c:pt>
                <c:pt idx="187">
                  <c:v>43766</c:v>
                </c:pt>
                <c:pt idx="188">
                  <c:v>43759</c:v>
                </c:pt>
                <c:pt idx="189">
                  <c:v>43752</c:v>
                </c:pt>
                <c:pt idx="190">
                  <c:v>43745</c:v>
                </c:pt>
                <c:pt idx="191">
                  <c:v>43738</c:v>
                </c:pt>
                <c:pt idx="192">
                  <c:v>43731</c:v>
                </c:pt>
                <c:pt idx="193">
                  <c:v>43724</c:v>
                </c:pt>
                <c:pt idx="194">
                  <c:v>43717</c:v>
                </c:pt>
                <c:pt idx="195">
                  <c:v>43710</c:v>
                </c:pt>
                <c:pt idx="196">
                  <c:v>43703</c:v>
                </c:pt>
                <c:pt idx="197">
                  <c:v>43696</c:v>
                </c:pt>
                <c:pt idx="198">
                  <c:v>43689</c:v>
                </c:pt>
                <c:pt idx="199">
                  <c:v>43682</c:v>
                </c:pt>
                <c:pt idx="200">
                  <c:v>43675</c:v>
                </c:pt>
                <c:pt idx="201">
                  <c:v>43668</c:v>
                </c:pt>
                <c:pt idx="202">
                  <c:v>43661</c:v>
                </c:pt>
                <c:pt idx="203">
                  <c:v>43654</c:v>
                </c:pt>
                <c:pt idx="204">
                  <c:v>43647</c:v>
                </c:pt>
                <c:pt idx="205">
                  <c:v>43640</c:v>
                </c:pt>
                <c:pt idx="206">
                  <c:v>43633</c:v>
                </c:pt>
                <c:pt idx="207">
                  <c:v>43626</c:v>
                </c:pt>
                <c:pt idx="208">
                  <c:v>43619</c:v>
                </c:pt>
                <c:pt idx="209">
                  <c:v>43612</c:v>
                </c:pt>
                <c:pt idx="210">
                  <c:v>43605</c:v>
                </c:pt>
                <c:pt idx="211">
                  <c:v>43598</c:v>
                </c:pt>
                <c:pt idx="212">
                  <c:v>43591</c:v>
                </c:pt>
                <c:pt idx="213">
                  <c:v>43584</c:v>
                </c:pt>
                <c:pt idx="214">
                  <c:v>43577</c:v>
                </c:pt>
                <c:pt idx="215">
                  <c:v>43570</c:v>
                </c:pt>
                <c:pt idx="216">
                  <c:v>43563</c:v>
                </c:pt>
                <c:pt idx="217">
                  <c:v>43556</c:v>
                </c:pt>
                <c:pt idx="218">
                  <c:v>43549</c:v>
                </c:pt>
                <c:pt idx="219">
                  <c:v>43542</c:v>
                </c:pt>
                <c:pt idx="220">
                  <c:v>43535</c:v>
                </c:pt>
                <c:pt idx="221">
                  <c:v>43528</c:v>
                </c:pt>
                <c:pt idx="222">
                  <c:v>43521</c:v>
                </c:pt>
                <c:pt idx="223">
                  <c:v>43514</c:v>
                </c:pt>
                <c:pt idx="224">
                  <c:v>43507</c:v>
                </c:pt>
                <c:pt idx="225">
                  <c:v>43500</c:v>
                </c:pt>
                <c:pt idx="226">
                  <c:v>43493</c:v>
                </c:pt>
                <c:pt idx="227">
                  <c:v>43486</c:v>
                </c:pt>
                <c:pt idx="228">
                  <c:v>43479</c:v>
                </c:pt>
                <c:pt idx="229">
                  <c:v>43472</c:v>
                </c:pt>
                <c:pt idx="230">
                  <c:v>43465</c:v>
                </c:pt>
                <c:pt idx="231">
                  <c:v>43458</c:v>
                </c:pt>
                <c:pt idx="232">
                  <c:v>43451</c:v>
                </c:pt>
                <c:pt idx="233">
                  <c:v>43444</c:v>
                </c:pt>
                <c:pt idx="234">
                  <c:v>43437</c:v>
                </c:pt>
                <c:pt idx="235">
                  <c:v>43430</c:v>
                </c:pt>
                <c:pt idx="236">
                  <c:v>43423</c:v>
                </c:pt>
                <c:pt idx="237">
                  <c:v>43416</c:v>
                </c:pt>
                <c:pt idx="238">
                  <c:v>43409</c:v>
                </c:pt>
                <c:pt idx="239">
                  <c:v>43402</c:v>
                </c:pt>
                <c:pt idx="240">
                  <c:v>43395</c:v>
                </c:pt>
                <c:pt idx="241">
                  <c:v>43388</c:v>
                </c:pt>
                <c:pt idx="242">
                  <c:v>43381</c:v>
                </c:pt>
                <c:pt idx="243">
                  <c:v>43374</c:v>
                </c:pt>
                <c:pt idx="244">
                  <c:v>43367</c:v>
                </c:pt>
                <c:pt idx="245">
                  <c:v>43360</c:v>
                </c:pt>
                <c:pt idx="246">
                  <c:v>43353</c:v>
                </c:pt>
                <c:pt idx="247">
                  <c:v>43346</c:v>
                </c:pt>
                <c:pt idx="248">
                  <c:v>43339</c:v>
                </c:pt>
                <c:pt idx="249">
                  <c:v>43332</c:v>
                </c:pt>
                <c:pt idx="250">
                  <c:v>43325</c:v>
                </c:pt>
                <c:pt idx="251">
                  <c:v>43318</c:v>
                </c:pt>
                <c:pt idx="252">
                  <c:v>43311</c:v>
                </c:pt>
                <c:pt idx="253">
                  <c:v>43304</c:v>
                </c:pt>
                <c:pt idx="254">
                  <c:v>43297</c:v>
                </c:pt>
                <c:pt idx="255">
                  <c:v>43290</c:v>
                </c:pt>
                <c:pt idx="256">
                  <c:v>43283</c:v>
                </c:pt>
                <c:pt idx="257">
                  <c:v>43276</c:v>
                </c:pt>
                <c:pt idx="258">
                  <c:v>43269</c:v>
                </c:pt>
                <c:pt idx="259">
                  <c:v>43262</c:v>
                </c:pt>
                <c:pt idx="260">
                  <c:v>43255</c:v>
                </c:pt>
                <c:pt idx="261">
                  <c:v>43248</c:v>
                </c:pt>
                <c:pt idx="262">
                  <c:v>43241</c:v>
                </c:pt>
                <c:pt idx="263">
                  <c:v>43234</c:v>
                </c:pt>
                <c:pt idx="264">
                  <c:v>43227</c:v>
                </c:pt>
                <c:pt idx="265">
                  <c:v>43220</c:v>
                </c:pt>
                <c:pt idx="266">
                  <c:v>43213</c:v>
                </c:pt>
                <c:pt idx="267">
                  <c:v>43206</c:v>
                </c:pt>
                <c:pt idx="268">
                  <c:v>43199</c:v>
                </c:pt>
                <c:pt idx="269">
                  <c:v>43192</c:v>
                </c:pt>
                <c:pt idx="270">
                  <c:v>43185</c:v>
                </c:pt>
                <c:pt idx="271">
                  <c:v>43178</c:v>
                </c:pt>
                <c:pt idx="272">
                  <c:v>43171</c:v>
                </c:pt>
                <c:pt idx="273">
                  <c:v>43164</c:v>
                </c:pt>
                <c:pt idx="274">
                  <c:v>43157</c:v>
                </c:pt>
                <c:pt idx="275">
                  <c:v>43150</c:v>
                </c:pt>
                <c:pt idx="276">
                  <c:v>43143</c:v>
                </c:pt>
                <c:pt idx="277">
                  <c:v>43136</c:v>
                </c:pt>
                <c:pt idx="278">
                  <c:v>43129</c:v>
                </c:pt>
                <c:pt idx="279">
                  <c:v>43122</c:v>
                </c:pt>
                <c:pt idx="280">
                  <c:v>43115</c:v>
                </c:pt>
                <c:pt idx="281">
                  <c:v>43108</c:v>
                </c:pt>
                <c:pt idx="282">
                  <c:v>43101</c:v>
                </c:pt>
                <c:pt idx="283">
                  <c:v>43094</c:v>
                </c:pt>
                <c:pt idx="284">
                  <c:v>43087</c:v>
                </c:pt>
                <c:pt idx="285">
                  <c:v>43080</c:v>
                </c:pt>
                <c:pt idx="286">
                  <c:v>43073</c:v>
                </c:pt>
                <c:pt idx="287">
                  <c:v>43066</c:v>
                </c:pt>
                <c:pt idx="288">
                  <c:v>43059</c:v>
                </c:pt>
                <c:pt idx="289">
                  <c:v>43052</c:v>
                </c:pt>
                <c:pt idx="290">
                  <c:v>43045</c:v>
                </c:pt>
                <c:pt idx="291">
                  <c:v>43038</c:v>
                </c:pt>
                <c:pt idx="292">
                  <c:v>43031</c:v>
                </c:pt>
                <c:pt idx="293">
                  <c:v>43024</c:v>
                </c:pt>
                <c:pt idx="294">
                  <c:v>43017</c:v>
                </c:pt>
                <c:pt idx="295">
                  <c:v>43010</c:v>
                </c:pt>
                <c:pt idx="296">
                  <c:v>43003</c:v>
                </c:pt>
                <c:pt idx="297">
                  <c:v>42996</c:v>
                </c:pt>
                <c:pt idx="298">
                  <c:v>42989</c:v>
                </c:pt>
                <c:pt idx="299">
                  <c:v>42982</c:v>
                </c:pt>
                <c:pt idx="300">
                  <c:v>42975</c:v>
                </c:pt>
                <c:pt idx="301">
                  <c:v>42968</c:v>
                </c:pt>
                <c:pt idx="302">
                  <c:v>42961</c:v>
                </c:pt>
                <c:pt idx="303">
                  <c:v>42954</c:v>
                </c:pt>
                <c:pt idx="304">
                  <c:v>42947</c:v>
                </c:pt>
                <c:pt idx="305">
                  <c:v>42940</c:v>
                </c:pt>
                <c:pt idx="306">
                  <c:v>42933</c:v>
                </c:pt>
                <c:pt idx="307">
                  <c:v>42926</c:v>
                </c:pt>
                <c:pt idx="308">
                  <c:v>42919</c:v>
                </c:pt>
                <c:pt idx="309">
                  <c:v>42912</c:v>
                </c:pt>
                <c:pt idx="310">
                  <c:v>42905</c:v>
                </c:pt>
                <c:pt idx="311">
                  <c:v>42898</c:v>
                </c:pt>
                <c:pt idx="312">
                  <c:v>42891</c:v>
                </c:pt>
                <c:pt idx="313">
                  <c:v>42884</c:v>
                </c:pt>
                <c:pt idx="314">
                  <c:v>42877</c:v>
                </c:pt>
                <c:pt idx="315">
                  <c:v>42870</c:v>
                </c:pt>
                <c:pt idx="316">
                  <c:v>42863</c:v>
                </c:pt>
                <c:pt idx="317">
                  <c:v>42856</c:v>
                </c:pt>
                <c:pt idx="318">
                  <c:v>42849</c:v>
                </c:pt>
                <c:pt idx="319">
                  <c:v>42842</c:v>
                </c:pt>
                <c:pt idx="320">
                  <c:v>42835</c:v>
                </c:pt>
                <c:pt idx="321">
                  <c:v>42828</c:v>
                </c:pt>
                <c:pt idx="322">
                  <c:v>42821</c:v>
                </c:pt>
                <c:pt idx="323">
                  <c:v>42814</c:v>
                </c:pt>
                <c:pt idx="324">
                  <c:v>42807</c:v>
                </c:pt>
                <c:pt idx="325">
                  <c:v>42800</c:v>
                </c:pt>
                <c:pt idx="326">
                  <c:v>42793</c:v>
                </c:pt>
                <c:pt idx="327">
                  <c:v>42786</c:v>
                </c:pt>
                <c:pt idx="328">
                  <c:v>42779</c:v>
                </c:pt>
                <c:pt idx="329">
                  <c:v>42772</c:v>
                </c:pt>
                <c:pt idx="330">
                  <c:v>42765</c:v>
                </c:pt>
                <c:pt idx="331">
                  <c:v>42758</c:v>
                </c:pt>
                <c:pt idx="332">
                  <c:v>42751</c:v>
                </c:pt>
                <c:pt idx="333">
                  <c:v>42744</c:v>
                </c:pt>
                <c:pt idx="334">
                  <c:v>42737</c:v>
                </c:pt>
                <c:pt idx="335">
                  <c:v>42730</c:v>
                </c:pt>
                <c:pt idx="336">
                  <c:v>42723</c:v>
                </c:pt>
                <c:pt idx="337">
                  <c:v>42716</c:v>
                </c:pt>
                <c:pt idx="338">
                  <c:v>42709</c:v>
                </c:pt>
                <c:pt idx="339">
                  <c:v>42702</c:v>
                </c:pt>
                <c:pt idx="340">
                  <c:v>42695</c:v>
                </c:pt>
                <c:pt idx="341">
                  <c:v>42688</c:v>
                </c:pt>
                <c:pt idx="342">
                  <c:v>42681</c:v>
                </c:pt>
                <c:pt idx="343">
                  <c:v>42674</c:v>
                </c:pt>
                <c:pt idx="344">
                  <c:v>42667</c:v>
                </c:pt>
                <c:pt idx="345">
                  <c:v>42660</c:v>
                </c:pt>
                <c:pt idx="346">
                  <c:v>42653</c:v>
                </c:pt>
                <c:pt idx="347">
                  <c:v>42646</c:v>
                </c:pt>
                <c:pt idx="348">
                  <c:v>42639</c:v>
                </c:pt>
                <c:pt idx="349">
                  <c:v>42632</c:v>
                </c:pt>
                <c:pt idx="350">
                  <c:v>42625</c:v>
                </c:pt>
                <c:pt idx="351">
                  <c:v>42618</c:v>
                </c:pt>
                <c:pt idx="352">
                  <c:v>42611</c:v>
                </c:pt>
                <c:pt idx="353">
                  <c:v>42604</c:v>
                </c:pt>
                <c:pt idx="354">
                  <c:v>42597</c:v>
                </c:pt>
                <c:pt idx="355">
                  <c:v>42590</c:v>
                </c:pt>
                <c:pt idx="356">
                  <c:v>42583</c:v>
                </c:pt>
                <c:pt idx="357">
                  <c:v>42576</c:v>
                </c:pt>
                <c:pt idx="358">
                  <c:v>42569</c:v>
                </c:pt>
                <c:pt idx="359">
                  <c:v>42562</c:v>
                </c:pt>
                <c:pt idx="360">
                  <c:v>42555</c:v>
                </c:pt>
                <c:pt idx="361">
                  <c:v>42548</c:v>
                </c:pt>
                <c:pt idx="362">
                  <c:v>42541</c:v>
                </c:pt>
                <c:pt idx="363">
                  <c:v>42534</c:v>
                </c:pt>
                <c:pt idx="364">
                  <c:v>42527</c:v>
                </c:pt>
                <c:pt idx="365">
                  <c:v>42520</c:v>
                </c:pt>
                <c:pt idx="366">
                  <c:v>42513</c:v>
                </c:pt>
                <c:pt idx="367">
                  <c:v>42506</c:v>
                </c:pt>
                <c:pt idx="368">
                  <c:v>42499</c:v>
                </c:pt>
                <c:pt idx="369">
                  <c:v>42492</c:v>
                </c:pt>
                <c:pt idx="370">
                  <c:v>42485</c:v>
                </c:pt>
                <c:pt idx="371">
                  <c:v>42478</c:v>
                </c:pt>
                <c:pt idx="372">
                  <c:v>42471</c:v>
                </c:pt>
                <c:pt idx="373">
                  <c:v>42464</c:v>
                </c:pt>
                <c:pt idx="374">
                  <c:v>42457</c:v>
                </c:pt>
                <c:pt idx="375">
                  <c:v>42450</c:v>
                </c:pt>
                <c:pt idx="376">
                  <c:v>42443</c:v>
                </c:pt>
                <c:pt idx="377">
                  <c:v>42436</c:v>
                </c:pt>
                <c:pt idx="378">
                  <c:v>42429</c:v>
                </c:pt>
                <c:pt idx="379">
                  <c:v>42422</c:v>
                </c:pt>
                <c:pt idx="380">
                  <c:v>42415</c:v>
                </c:pt>
                <c:pt idx="381">
                  <c:v>42408</c:v>
                </c:pt>
                <c:pt idx="382">
                  <c:v>42401</c:v>
                </c:pt>
                <c:pt idx="383">
                  <c:v>42394</c:v>
                </c:pt>
                <c:pt idx="384">
                  <c:v>42387</c:v>
                </c:pt>
                <c:pt idx="385">
                  <c:v>42380</c:v>
                </c:pt>
                <c:pt idx="386">
                  <c:v>42373</c:v>
                </c:pt>
                <c:pt idx="387">
                  <c:v>42366</c:v>
                </c:pt>
                <c:pt idx="388">
                  <c:v>42359</c:v>
                </c:pt>
                <c:pt idx="389">
                  <c:v>42352</c:v>
                </c:pt>
                <c:pt idx="390">
                  <c:v>42345</c:v>
                </c:pt>
                <c:pt idx="391">
                  <c:v>42338</c:v>
                </c:pt>
                <c:pt idx="392">
                  <c:v>42331</c:v>
                </c:pt>
                <c:pt idx="393">
                  <c:v>42324</c:v>
                </c:pt>
                <c:pt idx="394">
                  <c:v>42317</c:v>
                </c:pt>
                <c:pt idx="395">
                  <c:v>42310</c:v>
                </c:pt>
                <c:pt idx="396">
                  <c:v>42303</c:v>
                </c:pt>
                <c:pt idx="397">
                  <c:v>42296</c:v>
                </c:pt>
              </c:numCache>
            </c:numRef>
          </c:cat>
          <c:val>
            <c:numRef>
              <c:f>Data!$D$3:$D$400</c:f>
              <c:numCache>
                <c:formatCode>0.00</c:formatCode>
                <c:ptCount val="398"/>
                <c:pt idx="0">
                  <c:v>53955.486302999998</c:v>
                </c:pt>
                <c:pt idx="1">
                  <c:v>53545.986916000009</c:v>
                </c:pt>
                <c:pt idx="2">
                  <c:v>54963.927266000006</c:v>
                </c:pt>
                <c:pt idx="3">
                  <c:v>54732.780315999997</c:v>
                </c:pt>
                <c:pt idx="4">
                  <c:v>56336.516876000002</c:v>
                </c:pt>
                <c:pt idx="5">
                  <c:v>56234.642994999995</c:v>
                </c:pt>
                <c:pt idx="6">
                  <c:v>56489.978392999998</c:v>
                </c:pt>
                <c:pt idx="7">
                  <c:v>56599.240734000006</c:v>
                </c:pt>
                <c:pt idx="8">
                  <c:v>55291.887666999995</c:v>
                </c:pt>
                <c:pt idx="9">
                  <c:v>56004.555913999997</c:v>
                </c:pt>
                <c:pt idx="10">
                  <c:v>53883.838372999999</c:v>
                </c:pt>
                <c:pt idx="11">
                  <c:v>53811.500361999999</c:v>
                </c:pt>
                <c:pt idx="12">
                  <c:v>54318.606822999995</c:v>
                </c:pt>
                <c:pt idx="13">
                  <c:v>59048.493049000004</c:v>
                </c:pt>
                <c:pt idx="14">
                  <c:v>57939.576319</c:v>
                </c:pt>
                <c:pt idx="15">
                  <c:v>58372.467427999996</c:v>
                </c:pt>
                <c:pt idx="16">
                  <c:v>57259.366911999998</c:v>
                </c:pt>
                <c:pt idx="17">
                  <c:v>59147.682373999996</c:v>
                </c:pt>
                <c:pt idx="18">
                  <c:v>57538.132756999999</c:v>
                </c:pt>
                <c:pt idx="19">
                  <c:v>55460.535875000001</c:v>
                </c:pt>
                <c:pt idx="20">
                  <c:v>55544.138619000005</c:v>
                </c:pt>
                <c:pt idx="21">
                  <c:v>53926.680406999993</c:v>
                </c:pt>
                <c:pt idx="22">
                  <c:v>51873.335768000004</c:v>
                </c:pt>
                <c:pt idx="23">
                  <c:v>52934.941230000004</c:v>
                </c:pt>
                <c:pt idx="24">
                  <c:v>53724.986862999998</c:v>
                </c:pt>
                <c:pt idx="25">
                  <c:v>54162.092512999996</c:v>
                </c:pt>
                <c:pt idx="26">
                  <c:v>56178.340237999997</c:v>
                </c:pt>
                <c:pt idx="27">
                  <c:v>55926.895226000001</c:v>
                </c:pt>
                <c:pt idx="28">
                  <c:v>54983.777306000004</c:v>
                </c:pt>
                <c:pt idx="29">
                  <c:v>56673.177201999992</c:v>
                </c:pt>
                <c:pt idx="30">
                  <c:v>52105.59764</c:v>
                </c:pt>
                <c:pt idx="31">
                  <c:v>53919.129923</c:v>
                </c:pt>
                <c:pt idx="32">
                  <c:v>49896.533459999999</c:v>
                </c:pt>
                <c:pt idx="33">
                  <c:v>46783.708728999991</c:v>
                </c:pt>
                <c:pt idx="34">
                  <c:v>49273.228768000001</c:v>
                </c:pt>
                <c:pt idx="35">
                  <c:v>47892.0772</c:v>
                </c:pt>
                <c:pt idx="36">
                  <c:v>49302.444799000004</c:v>
                </c:pt>
                <c:pt idx="37">
                  <c:v>52504.852636999996</c:v>
                </c:pt>
                <c:pt idx="38">
                  <c:v>55869.557702000006</c:v>
                </c:pt>
                <c:pt idx="39">
                  <c:v>52710.346879999997</c:v>
                </c:pt>
                <c:pt idx="40">
                  <c:v>55324.839946</c:v>
                </c:pt>
                <c:pt idx="41">
                  <c:v>55224.161246999996</c:v>
                </c:pt>
                <c:pt idx="42">
                  <c:v>57208.548127000009</c:v>
                </c:pt>
                <c:pt idx="43">
                  <c:v>56117.301689</c:v>
                </c:pt>
                <c:pt idx="44">
                  <c:v>55405.426751999999</c:v>
                </c:pt>
                <c:pt idx="45">
                  <c:v>50973.100357000003</c:v>
                </c:pt>
                <c:pt idx="46">
                  <c:v>49227.385353000005</c:v>
                </c:pt>
                <c:pt idx="47">
                  <c:v>49191.879873999991</c:v>
                </c:pt>
                <c:pt idx="48">
                  <c:v>48830.357715999999</c:v>
                </c:pt>
                <c:pt idx="49">
                  <c:v>49715.191682000011</c:v>
                </c:pt>
                <c:pt idx="50">
                  <c:v>48232.413067999994</c:v>
                </c:pt>
                <c:pt idx="51">
                  <c:v>51296.778676000002</c:v>
                </c:pt>
                <c:pt idx="52">
                  <c:v>54685.337783000003</c:v>
                </c:pt>
                <c:pt idx="53">
                  <c:v>55379.429399000001</c:v>
                </c:pt>
                <c:pt idx="54">
                  <c:v>52866.787171999997</c:v>
                </c:pt>
                <c:pt idx="55">
                  <c:v>54508.983976000003</c:v>
                </c:pt>
                <c:pt idx="56">
                  <c:v>55022.681253000002</c:v>
                </c:pt>
                <c:pt idx="57">
                  <c:v>55723.053851999997</c:v>
                </c:pt>
                <c:pt idx="58">
                  <c:v>58685.903811999997</c:v>
                </c:pt>
                <c:pt idx="59">
                  <c:v>62577.965249000001</c:v>
                </c:pt>
                <c:pt idx="60">
                  <c:v>62977.821655000007</c:v>
                </c:pt>
                <c:pt idx="61">
                  <c:v>62235.126799000005</c:v>
                </c:pt>
                <c:pt idx="62">
                  <c:v>62876.814642000005</c:v>
                </c:pt>
                <c:pt idx="63">
                  <c:v>60835.047785999996</c:v>
                </c:pt>
                <c:pt idx="64">
                  <c:v>58875.387011000006</c:v>
                </c:pt>
                <c:pt idx="65">
                  <c:v>59053.030786000003</c:v>
                </c:pt>
                <c:pt idx="66">
                  <c:v>59374.897181000008</c:v>
                </c:pt>
                <c:pt idx="67">
                  <c:v>57962.454049999993</c:v>
                </c:pt>
                <c:pt idx="68">
                  <c:v>59741.936242000003</c:v>
                </c:pt>
                <c:pt idx="69">
                  <c:v>58861.197930999995</c:v>
                </c:pt>
                <c:pt idx="70">
                  <c:v>57725.081865</c:v>
                </c:pt>
                <c:pt idx="71">
                  <c:v>56987.873038999998</c:v>
                </c:pt>
                <c:pt idx="72">
                  <c:v>61289.375151999993</c:v>
                </c:pt>
                <c:pt idx="73">
                  <c:v>60893.153248000002</c:v>
                </c:pt>
                <c:pt idx="74">
                  <c:v>61450.461282000004</c:v>
                </c:pt>
                <c:pt idx="75">
                  <c:v>61096.193037000005</c:v>
                </c:pt>
                <c:pt idx="76">
                  <c:v>58411.402581000002</c:v>
                </c:pt>
                <c:pt idx="77">
                  <c:v>58104.562203000001</c:v>
                </c:pt>
                <c:pt idx="78">
                  <c:v>55670.089246999996</c:v>
                </c:pt>
                <c:pt idx="79">
                  <c:v>56974.450871000008</c:v>
                </c:pt>
                <c:pt idx="80">
                  <c:v>58796.963586000005</c:v>
                </c:pt>
                <c:pt idx="81">
                  <c:v>60355.979485999997</c:v>
                </c:pt>
                <c:pt idx="82">
                  <c:v>61418.611329000007</c:v>
                </c:pt>
                <c:pt idx="83">
                  <c:v>62715.467120999994</c:v>
                </c:pt>
                <c:pt idx="84">
                  <c:v>62885.916633000001</c:v>
                </c:pt>
                <c:pt idx="85">
                  <c:v>62044.590553999995</c:v>
                </c:pt>
                <c:pt idx="86">
                  <c:v>60154.644088999994</c:v>
                </c:pt>
                <c:pt idx="87">
                  <c:v>60611.034815000006</c:v>
                </c:pt>
                <c:pt idx="88">
                  <c:v>61980.056236999997</c:v>
                </c:pt>
                <c:pt idx="89">
                  <c:v>62070.005765000009</c:v>
                </c:pt>
                <c:pt idx="90">
                  <c:v>62552.974783999991</c:v>
                </c:pt>
                <c:pt idx="91">
                  <c:v>64277.401022999999</c:v>
                </c:pt>
                <c:pt idx="92">
                  <c:v>63179.164810000009</c:v>
                </c:pt>
                <c:pt idx="93">
                  <c:v>61834.969527000001</c:v>
                </c:pt>
                <c:pt idx="94">
                  <c:v>62915.071682000002</c:v>
                </c:pt>
                <c:pt idx="95">
                  <c:v>62815.563662999994</c:v>
                </c:pt>
                <c:pt idx="96">
                  <c:v>62642.680560000008</c:v>
                </c:pt>
                <c:pt idx="97">
                  <c:v>61378.418217999999</c:v>
                </c:pt>
                <c:pt idx="98">
                  <c:v>59228.760699999992</c:v>
                </c:pt>
                <c:pt idx="99">
                  <c:v>61113.242826000002</c:v>
                </c:pt>
                <c:pt idx="100">
                  <c:v>61374.605641000002</c:v>
                </c:pt>
                <c:pt idx="101">
                  <c:v>61126.895598999996</c:v>
                </c:pt>
                <c:pt idx="102">
                  <c:v>58194.410551999994</c:v>
                </c:pt>
                <c:pt idx="103">
                  <c:v>62655.750724000005</c:v>
                </c:pt>
                <c:pt idx="104">
                  <c:v>62134.119808999996</c:v>
                </c:pt>
                <c:pt idx="105">
                  <c:v>62475.850292000003</c:v>
                </c:pt>
                <c:pt idx="106">
                  <c:v>60983.864931000004</c:v>
                </c:pt>
                <c:pt idx="107">
                  <c:v>61498.040951000003</c:v>
                </c:pt>
                <c:pt idx="108">
                  <c:v>61823.882140999995</c:v>
                </c:pt>
                <c:pt idx="109">
                  <c:v>61657.428258</c:v>
                </c:pt>
                <c:pt idx="110">
                  <c:v>60560.079027999993</c:v>
                </c:pt>
                <c:pt idx="111">
                  <c:v>60649.747416999991</c:v>
                </c:pt>
                <c:pt idx="112">
                  <c:v>59870.084789999994</c:v>
                </c:pt>
                <c:pt idx="113">
                  <c:v>59206.064192999998</c:v>
                </c:pt>
                <c:pt idx="114">
                  <c:v>59070.725860000006</c:v>
                </c:pt>
                <c:pt idx="115">
                  <c:v>59321.195574999998</c:v>
                </c:pt>
                <c:pt idx="116">
                  <c:v>57607.679682999995</c:v>
                </c:pt>
                <c:pt idx="117">
                  <c:v>53370.387555000001</c:v>
                </c:pt>
                <c:pt idx="118">
                  <c:v>55348.726642999995</c:v>
                </c:pt>
                <c:pt idx="119">
                  <c:v>58634.541369999999</c:v>
                </c:pt>
                <c:pt idx="120">
                  <c:v>62218.689805000002</c:v>
                </c:pt>
                <c:pt idx="121">
                  <c:v>59509.870432000011</c:v>
                </c:pt>
                <c:pt idx="122">
                  <c:v>56962.771660000013</c:v>
                </c:pt>
                <c:pt idx="123">
                  <c:v>59899.770138999993</c:v>
                </c:pt>
                <c:pt idx="124">
                  <c:v>58509.726965000002</c:v>
                </c:pt>
                <c:pt idx="125">
                  <c:v>58891.167656999998</c:v>
                </c:pt>
                <c:pt idx="126">
                  <c:v>55957.485980000005</c:v>
                </c:pt>
                <c:pt idx="127">
                  <c:v>55796.036666</c:v>
                </c:pt>
                <c:pt idx="128">
                  <c:v>56658.789291000001</c:v>
                </c:pt>
                <c:pt idx="129">
                  <c:v>54586.013185000003</c:v>
                </c:pt>
                <c:pt idx="130">
                  <c:v>54624.464738000002</c:v>
                </c:pt>
                <c:pt idx="131">
                  <c:v>53404.730938999994</c:v>
                </c:pt>
                <c:pt idx="132">
                  <c:v>51942.235754000001</c:v>
                </c:pt>
                <c:pt idx="133">
                  <c:v>50148.638465000004</c:v>
                </c:pt>
                <c:pt idx="134">
                  <c:v>48427.910918000001</c:v>
                </c:pt>
                <c:pt idx="135">
                  <c:v>46452.098798999999</c:v>
                </c:pt>
                <c:pt idx="136">
                  <c:v>48654.568396999995</c:v>
                </c:pt>
                <c:pt idx="137">
                  <c:v>48882.436872999999</c:v>
                </c:pt>
                <c:pt idx="138">
                  <c:v>49577.692906999997</c:v>
                </c:pt>
                <c:pt idx="139">
                  <c:v>47946.041492999997</c:v>
                </c:pt>
                <c:pt idx="140">
                  <c:v>45937.775979999999</c:v>
                </c:pt>
                <c:pt idx="141">
                  <c:v>46792.186482000005</c:v>
                </c:pt>
                <c:pt idx="142">
                  <c:v>46474.383949000003</c:v>
                </c:pt>
                <c:pt idx="143">
                  <c:v>48055.490889000001</c:v>
                </c:pt>
                <c:pt idx="144">
                  <c:v>50492.627697999997</c:v>
                </c:pt>
                <c:pt idx="145">
                  <c:v>50082.840241000005</c:v>
                </c:pt>
                <c:pt idx="146">
                  <c:v>50185.599942000001</c:v>
                </c:pt>
                <c:pt idx="147">
                  <c:v>49952.125044999993</c:v>
                </c:pt>
                <c:pt idx="148">
                  <c:v>46274.537928000005</c:v>
                </c:pt>
                <c:pt idx="149">
                  <c:v>43798.135734999996</c:v>
                </c:pt>
                <c:pt idx="150">
                  <c:v>44385.604763000003</c:v>
                </c:pt>
                <c:pt idx="151">
                  <c:v>43336.142724000005</c:v>
                </c:pt>
                <c:pt idx="152">
                  <c:v>43696.123565000002</c:v>
                </c:pt>
                <c:pt idx="153">
                  <c:v>42237.517212999999</c:v>
                </c:pt>
                <c:pt idx="154">
                  <c:v>43121.033588999999</c:v>
                </c:pt>
                <c:pt idx="155">
                  <c:v>41944.126049000006</c:v>
                </c:pt>
                <c:pt idx="156">
                  <c:v>45471.012353999999</c:v>
                </c:pt>
                <c:pt idx="157">
                  <c:v>42769.810171999998</c:v>
                </c:pt>
                <c:pt idx="158">
                  <c:v>40714.018635</c:v>
                </c:pt>
                <c:pt idx="159">
                  <c:v>39370.656863000004</c:v>
                </c:pt>
                <c:pt idx="160">
                  <c:v>42550.122326000004</c:v>
                </c:pt>
                <c:pt idx="161">
                  <c:v>39649.300291</c:v>
                </c:pt>
                <c:pt idx="162">
                  <c:v>39215.208107999999</c:v>
                </c:pt>
                <c:pt idx="163">
                  <c:v>39349.297475999992</c:v>
                </c:pt>
                <c:pt idx="164">
                  <c:v>39268.538045000001</c:v>
                </c:pt>
                <c:pt idx="165">
                  <c:v>32247.052373999999</c:v>
                </c:pt>
                <c:pt idx="166">
                  <c:v>35043.002540000001</c:v>
                </c:pt>
                <c:pt idx="167">
                  <c:v>30298.172154</c:v>
                </c:pt>
                <c:pt idx="168">
                  <c:v>35933.379240000002</c:v>
                </c:pt>
                <c:pt idx="169">
                  <c:v>40286.055475000001</c:v>
                </c:pt>
                <c:pt idx="170">
                  <c:v>41956.098532000004</c:v>
                </c:pt>
                <c:pt idx="171">
                  <c:v>49571.149476999999</c:v>
                </c:pt>
                <c:pt idx="172">
                  <c:v>49852.466778000002</c:v>
                </c:pt>
                <c:pt idx="173">
                  <c:v>50298.518779999999</c:v>
                </c:pt>
                <c:pt idx="174">
                  <c:v>49021.245679999993</c:v>
                </c:pt>
                <c:pt idx="175">
                  <c:v>50555.727934000002</c:v>
                </c:pt>
                <c:pt idx="176">
                  <c:v>51594.434131000002</c:v>
                </c:pt>
                <c:pt idx="177">
                  <c:v>49953.470326000002</c:v>
                </c:pt>
                <c:pt idx="178">
                  <c:v>49088.935952</c:v>
                </c:pt>
                <c:pt idx="179">
                  <c:v>48897.965792000003</c:v>
                </c:pt>
                <c:pt idx="180">
                  <c:v>48636.941903000006</c:v>
                </c:pt>
                <c:pt idx="181">
                  <c:v>46988.793459</c:v>
                </c:pt>
                <c:pt idx="182">
                  <c:v>46475.892826000003</c:v>
                </c:pt>
                <c:pt idx="183">
                  <c:v>46706.555027000002</c:v>
                </c:pt>
                <c:pt idx="184">
                  <c:v>45047.517928000001</c:v>
                </c:pt>
                <c:pt idx="185">
                  <c:v>46187.687997999994</c:v>
                </c:pt>
                <c:pt idx="186">
                  <c:v>46397.189536000005</c:v>
                </c:pt>
                <c:pt idx="187">
                  <c:v>47923.322929999995</c:v>
                </c:pt>
                <c:pt idx="188">
                  <c:v>46626.056392999999</c:v>
                </c:pt>
                <c:pt idx="189">
                  <c:v>45748.649174999999</c:v>
                </c:pt>
                <c:pt idx="190">
                  <c:v>45752.685486000002</c:v>
                </c:pt>
                <c:pt idx="191">
                  <c:v>45355.064415000001</c:v>
                </c:pt>
                <c:pt idx="192">
                  <c:v>45881.956051000001</c:v>
                </c:pt>
                <c:pt idx="193">
                  <c:v>47772.801084999999</c:v>
                </c:pt>
                <c:pt idx="194">
                  <c:v>48089.164039000003</c:v>
                </c:pt>
                <c:pt idx="195">
                  <c:v>48667.810433999999</c:v>
                </c:pt>
                <c:pt idx="196">
                  <c:v>47020.872997999999</c:v>
                </c:pt>
                <c:pt idx="197">
                  <c:v>46236.016592999993</c:v>
                </c:pt>
                <c:pt idx="198">
                  <c:v>46913.437738000008</c:v>
                </c:pt>
                <c:pt idx="199">
                  <c:v>48226.417386000008</c:v>
                </c:pt>
                <c:pt idx="200">
                  <c:v>48326.450987999997</c:v>
                </c:pt>
                <c:pt idx="201">
                  <c:v>48418.968376999997</c:v>
                </c:pt>
                <c:pt idx="202">
                  <c:v>47526.817969000003</c:v>
                </c:pt>
                <c:pt idx="203">
                  <c:v>47554.126550999994</c:v>
                </c:pt>
                <c:pt idx="204">
                  <c:v>47777.218287999996</c:v>
                </c:pt>
                <c:pt idx="205">
                  <c:v>47602.914540999998</c:v>
                </c:pt>
                <c:pt idx="206">
                  <c:v>46473.755497999991</c:v>
                </c:pt>
                <c:pt idx="207">
                  <c:v>44732.578101999999</c:v>
                </c:pt>
                <c:pt idx="208">
                  <c:v>43621.207773000002</c:v>
                </c:pt>
                <c:pt idx="209">
                  <c:v>41273.843090000009</c:v>
                </c:pt>
                <c:pt idx="210">
                  <c:v>42796.504201999996</c:v>
                </c:pt>
                <c:pt idx="211">
                  <c:v>43912.190590999999</c:v>
                </c:pt>
                <c:pt idx="212">
                  <c:v>46108.488270999995</c:v>
                </c:pt>
                <c:pt idx="213">
                  <c:v>50024.559834</c:v>
                </c:pt>
                <c:pt idx="214">
                  <c:v>49482.423304999997</c:v>
                </c:pt>
                <c:pt idx="215">
                  <c:v>49707.419536000001</c:v>
                </c:pt>
                <c:pt idx="216">
                  <c:v>49954.166699000001</c:v>
                </c:pt>
                <c:pt idx="217">
                  <c:v>50197.827107999998</c:v>
                </c:pt>
                <c:pt idx="218">
                  <c:v>49835.996436000001</c:v>
                </c:pt>
                <c:pt idx="219">
                  <c:v>49596.902068000003</c:v>
                </c:pt>
                <c:pt idx="220">
                  <c:v>49844.651889999994</c:v>
                </c:pt>
                <c:pt idx="221">
                  <c:v>47706.530663999998</c:v>
                </c:pt>
                <c:pt idx="222">
                  <c:v>49302.315412999997</c:v>
                </c:pt>
                <c:pt idx="223">
                  <c:v>51798.217388999998</c:v>
                </c:pt>
                <c:pt idx="224">
                  <c:v>50532.124341999996</c:v>
                </c:pt>
                <c:pt idx="225">
                  <c:v>49321.471921000011</c:v>
                </c:pt>
                <c:pt idx="226">
                  <c:v>49552.927150999996</c:v>
                </c:pt>
                <c:pt idx="227">
                  <c:v>48211.319679999993</c:v>
                </c:pt>
                <c:pt idx="228">
                  <c:v>48466.152889999998</c:v>
                </c:pt>
                <c:pt idx="229">
                  <c:v>48022.258073000005</c:v>
                </c:pt>
                <c:pt idx="230">
                  <c:v>45796.371272999997</c:v>
                </c:pt>
                <c:pt idx="231">
                  <c:v>44420.925966000003</c:v>
                </c:pt>
                <c:pt idx="232">
                  <c:v>42995.975565999994</c:v>
                </c:pt>
                <c:pt idx="233">
                  <c:v>46559.617038000011</c:v>
                </c:pt>
                <c:pt idx="234">
                  <c:v>48431.203649000003</c:v>
                </c:pt>
                <c:pt idx="235">
                  <c:v>51406.833966000006</c:v>
                </c:pt>
                <c:pt idx="236">
                  <c:v>50179.639095999999</c:v>
                </c:pt>
                <c:pt idx="237">
                  <c:v>52052.934592000005</c:v>
                </c:pt>
                <c:pt idx="238">
                  <c:v>53899.127007000003</c:v>
                </c:pt>
                <c:pt idx="239">
                  <c:v>49066.120988999995</c:v>
                </c:pt>
                <c:pt idx="240">
                  <c:v>48312.934666999994</c:v>
                </c:pt>
                <c:pt idx="241">
                  <c:v>50888.208545000001</c:v>
                </c:pt>
                <c:pt idx="242">
                  <c:v>50437.449132999987</c:v>
                </c:pt>
                <c:pt idx="243">
                  <c:v>52836.930988999993</c:v>
                </c:pt>
                <c:pt idx="244">
                  <c:v>53235.950818999998</c:v>
                </c:pt>
                <c:pt idx="245">
                  <c:v>54761.473418000001</c:v>
                </c:pt>
                <c:pt idx="246">
                  <c:v>53371.247966999996</c:v>
                </c:pt>
                <c:pt idx="247">
                  <c:v>53674.370752999996</c:v>
                </c:pt>
                <c:pt idx="248">
                  <c:v>54327.859231999988</c:v>
                </c:pt>
                <c:pt idx="249">
                  <c:v>53437.252902</c:v>
                </c:pt>
                <c:pt idx="250">
                  <c:v>52694.922402999997</c:v>
                </c:pt>
                <c:pt idx="251">
                  <c:v>52163.311607000011</c:v>
                </c:pt>
                <c:pt idx="252">
                  <c:v>52491.482757999991</c:v>
                </c:pt>
                <c:pt idx="253">
                  <c:v>50284.602378999996</c:v>
                </c:pt>
                <c:pt idx="254">
                  <c:v>49504.135359</c:v>
                </c:pt>
                <c:pt idx="255">
                  <c:v>50198.223472999998</c:v>
                </c:pt>
                <c:pt idx="256">
                  <c:v>50448.222474000002</c:v>
                </c:pt>
                <c:pt idx="257">
                  <c:v>49503.794033000006</c:v>
                </c:pt>
                <c:pt idx="258">
                  <c:v>51364.046468000008</c:v>
                </c:pt>
                <c:pt idx="259">
                  <c:v>51845.210260000007</c:v>
                </c:pt>
                <c:pt idx="260">
                  <c:v>52970.901775999999</c:v>
                </c:pt>
                <c:pt idx="261">
                  <c:v>51041.701764000005</c:v>
                </c:pt>
                <c:pt idx="262">
                  <c:v>51770.121254000005</c:v>
                </c:pt>
                <c:pt idx="263">
                  <c:v>51281.371446999998</c:v>
                </c:pt>
                <c:pt idx="264">
                  <c:v>50620.341064</c:v>
                </c:pt>
                <c:pt idx="265">
                  <c:v>49755.075974000007</c:v>
                </c:pt>
                <c:pt idx="266">
                  <c:v>50749.195670000001</c:v>
                </c:pt>
                <c:pt idx="267">
                  <c:v>51277.829410999999</c:v>
                </c:pt>
                <c:pt idx="268">
                  <c:v>50819.239872999999</c:v>
                </c:pt>
                <c:pt idx="269">
                  <c:v>49819.918918000003</c:v>
                </c:pt>
                <c:pt idx="270">
                  <c:v>51125.772328999985</c:v>
                </c:pt>
                <c:pt idx="271">
                  <c:v>49673.793086000005</c:v>
                </c:pt>
                <c:pt idx="272">
                  <c:v>53218.297863</c:v>
                </c:pt>
                <c:pt idx="273">
                  <c:v>54576.664195999998</c:v>
                </c:pt>
                <c:pt idx="274">
                  <c:v>52565.669748999993</c:v>
                </c:pt>
                <c:pt idx="275">
                  <c:v>54450.21039</c:v>
                </c:pt>
                <c:pt idx="276">
                  <c:v>55277.667757000003</c:v>
                </c:pt>
                <c:pt idx="277">
                  <c:v>51906.839904</c:v>
                </c:pt>
                <c:pt idx="278">
                  <c:v>55497.751451999997</c:v>
                </c:pt>
                <c:pt idx="279">
                  <c:v>59365.109768999995</c:v>
                </c:pt>
                <c:pt idx="280">
                  <c:v>60432.496184999996</c:v>
                </c:pt>
                <c:pt idx="281">
                  <c:v>60194.278365999999</c:v>
                </c:pt>
                <c:pt idx="282">
                  <c:v>57529.618088000003</c:v>
                </c:pt>
                <c:pt idx="283">
                  <c:v>55629.636476999993</c:v>
                </c:pt>
                <c:pt idx="284">
                  <c:v>55589.534258000007</c:v>
                </c:pt>
                <c:pt idx="285">
                  <c:v>54953.454936000009</c:v>
                </c:pt>
                <c:pt idx="286">
                  <c:v>53601.662247000007</c:v>
                </c:pt>
                <c:pt idx="287">
                  <c:v>54053.934767999992</c:v>
                </c:pt>
                <c:pt idx="288">
                  <c:v>54196.409741000003</c:v>
                </c:pt>
                <c:pt idx="289">
                  <c:v>53425.47976899999</c:v>
                </c:pt>
                <c:pt idx="290">
                  <c:v>53418.902179000004</c:v>
                </c:pt>
                <c:pt idx="291">
                  <c:v>51345.898774000001</c:v>
                </c:pt>
                <c:pt idx="292">
                  <c:v>51708.586223000006</c:v>
                </c:pt>
                <c:pt idx="293">
                  <c:v>51803.959354999999</c:v>
                </c:pt>
                <c:pt idx="294">
                  <c:v>51503.010273999986</c:v>
                </c:pt>
                <c:pt idx="295">
                  <c:v>51066.433381999988</c:v>
                </c:pt>
                <c:pt idx="296">
                  <c:v>47463.069679</c:v>
                </c:pt>
                <c:pt idx="297">
                  <c:v>47365.568948</c:v>
                </c:pt>
                <c:pt idx="298">
                  <c:v>47717.223372</c:v>
                </c:pt>
                <c:pt idx="299">
                  <c:v>47081.839695000002</c:v>
                </c:pt>
                <c:pt idx="300">
                  <c:v>46998.093758999996</c:v>
                </c:pt>
                <c:pt idx="301">
                  <c:v>45823.500068999994</c:v>
                </c:pt>
                <c:pt idx="302">
                  <c:v>45595.624312</c:v>
                </c:pt>
                <c:pt idx="303">
                  <c:v>45820.019570000004</c:v>
                </c:pt>
                <c:pt idx="304">
                  <c:v>47880.477863</c:v>
                </c:pt>
                <c:pt idx="305">
                  <c:v>51644.519888999996</c:v>
                </c:pt>
                <c:pt idx="306">
                  <c:v>52207.504139000004</c:v>
                </c:pt>
                <c:pt idx="307">
                  <c:v>51527.919069999996</c:v>
                </c:pt>
                <c:pt idx="308">
                  <c:v>50228.416208000002</c:v>
                </c:pt>
                <c:pt idx="309">
                  <c:v>51046.476290999999</c:v>
                </c:pt>
                <c:pt idx="310">
                  <c:v>51594.822511999999</c:v>
                </c:pt>
                <c:pt idx="311">
                  <c:v>50240.200960000002</c:v>
                </c:pt>
                <c:pt idx="312">
                  <c:v>52486.661494000007</c:v>
                </c:pt>
                <c:pt idx="313">
                  <c:v>51460.977467000004</c:v>
                </c:pt>
                <c:pt idx="314">
                  <c:v>51779.42472499999</c:v>
                </c:pt>
                <c:pt idx="315">
                  <c:v>50394.357521999998</c:v>
                </c:pt>
                <c:pt idx="316">
                  <c:v>50590.020618000002</c:v>
                </c:pt>
                <c:pt idx="317">
                  <c:v>49575.125202000003</c:v>
                </c:pt>
                <c:pt idx="318">
                  <c:v>48862.799808999989</c:v>
                </c:pt>
                <c:pt idx="319">
                  <c:v>48119.336176000004</c:v>
                </c:pt>
                <c:pt idx="320">
                  <c:v>48323.261387000006</c:v>
                </c:pt>
                <c:pt idx="321">
                  <c:v>49919.387108000003</c:v>
                </c:pt>
                <c:pt idx="322">
                  <c:v>49805.525770000007</c:v>
                </c:pt>
                <c:pt idx="323">
                  <c:v>50674.088862999997</c:v>
                </c:pt>
                <c:pt idx="324">
                  <c:v>51480.286175999987</c:v>
                </c:pt>
                <c:pt idx="325">
                  <c:v>51759.921025000003</c:v>
                </c:pt>
                <c:pt idx="326">
                  <c:v>53314.605299000003</c:v>
                </c:pt>
                <c:pt idx="327">
                  <c:v>51757.374610999999</c:v>
                </c:pt>
                <c:pt idx="328">
                  <c:v>51582.163122999998</c:v>
                </c:pt>
                <c:pt idx="329">
                  <c:v>49432.867503000001</c:v>
                </c:pt>
                <c:pt idx="330">
                  <c:v>49083.019863999994</c:v>
                </c:pt>
                <c:pt idx="331">
                  <c:v>47149.741187</c:v>
                </c:pt>
                <c:pt idx="332">
                  <c:v>47065.320834999991</c:v>
                </c:pt>
                <c:pt idx="333">
                  <c:v>46942.656845999998</c:v>
                </c:pt>
                <c:pt idx="334">
                  <c:v>47838.066658999996</c:v>
                </c:pt>
                <c:pt idx="335">
                  <c:v>47090.949817000001</c:v>
                </c:pt>
                <c:pt idx="336">
                  <c:v>46860.637956000006</c:v>
                </c:pt>
                <c:pt idx="337">
                  <c:v>47463.867915000003</c:v>
                </c:pt>
                <c:pt idx="338">
                  <c:v>46988.063916000006</c:v>
                </c:pt>
                <c:pt idx="339">
                  <c:v>45156.225971</c:v>
                </c:pt>
                <c:pt idx="340">
                  <c:v>45396.947545000003</c:v>
                </c:pt>
                <c:pt idx="341">
                  <c:v>45086.255239999991</c:v>
                </c:pt>
                <c:pt idx="342">
                  <c:v>45748.335115000002</c:v>
                </c:pt>
                <c:pt idx="343">
                  <c:v>42941.506034999999</c:v>
                </c:pt>
                <c:pt idx="344">
                  <c:v>43898.130938000002</c:v>
                </c:pt>
                <c:pt idx="345">
                  <c:v>44032.493223999998</c:v>
                </c:pt>
                <c:pt idx="346">
                  <c:v>43243.46587900001</c:v>
                </c:pt>
                <c:pt idx="347">
                  <c:v>43281.881306000003</c:v>
                </c:pt>
                <c:pt idx="348">
                  <c:v>45399.289735999992</c:v>
                </c:pt>
                <c:pt idx="349">
                  <c:v>48229.482169999996</c:v>
                </c:pt>
                <c:pt idx="350">
                  <c:v>48117.325421999994</c:v>
                </c:pt>
                <c:pt idx="351">
                  <c:v>46608.764407000002</c:v>
                </c:pt>
                <c:pt idx="352">
                  <c:v>47899.586969999989</c:v>
                </c:pt>
                <c:pt idx="353">
                  <c:v>49095.60729</c:v>
                </c:pt>
                <c:pt idx="354">
                  <c:v>52810.052229000001</c:v>
                </c:pt>
                <c:pt idx="355">
                  <c:v>52778.853256000002</c:v>
                </c:pt>
                <c:pt idx="356">
                  <c:v>53066.148618999992</c:v>
                </c:pt>
                <c:pt idx="357">
                  <c:v>51983.590016000002</c:v>
                </c:pt>
                <c:pt idx="358">
                  <c:v>52210.707224999991</c:v>
                </c:pt>
                <c:pt idx="359">
                  <c:v>51309.593781000003</c:v>
                </c:pt>
                <c:pt idx="360">
                  <c:v>49848.19958</c:v>
                </c:pt>
                <c:pt idx="361">
                  <c:v>49580.193840000007</c:v>
                </c:pt>
                <c:pt idx="362">
                  <c:v>49324.052976000006</c:v>
                </c:pt>
                <c:pt idx="363">
                  <c:v>50886.83978599999</c:v>
                </c:pt>
                <c:pt idx="364">
                  <c:v>50741.732223999999</c:v>
                </c:pt>
                <c:pt idx="365">
                  <c:v>50567.817188000001</c:v>
                </c:pt>
                <c:pt idx="366">
                  <c:v>49273.948389999998</c:v>
                </c:pt>
                <c:pt idx="367">
                  <c:v>47524.776456999993</c:v>
                </c:pt>
                <c:pt idx="368">
                  <c:v>45989.213952999999</c:v>
                </c:pt>
                <c:pt idx="369">
                  <c:v>46676.459800000004</c:v>
                </c:pt>
                <c:pt idx="370">
                  <c:v>48309.574305000002</c:v>
                </c:pt>
                <c:pt idx="371">
                  <c:v>52190.441460999995</c:v>
                </c:pt>
                <c:pt idx="372">
                  <c:v>50798.611617999988</c:v>
                </c:pt>
                <c:pt idx="373">
                  <c:v>50257.308227000009</c:v>
                </c:pt>
                <c:pt idx="374">
                  <c:v>51360.399023999998</c:v>
                </c:pt>
                <c:pt idx="375">
                  <c:v>49981.972456999996</c:v>
                </c:pt>
                <c:pt idx="376">
                  <c:v>50176.855371000012</c:v>
                </c:pt>
                <c:pt idx="377">
                  <c:v>51699.241907999989</c:v>
                </c:pt>
                <c:pt idx="378">
                  <c:v>49409.479618999998</c:v>
                </c:pt>
                <c:pt idx="379">
                  <c:v>49426.527511000008</c:v>
                </c:pt>
                <c:pt idx="380">
                  <c:v>48220.999963000002</c:v>
                </c:pt>
                <c:pt idx="381">
                  <c:v>45302.150051000004</c:v>
                </c:pt>
                <c:pt idx="382">
                  <c:v>51610.755229000009</c:v>
                </c:pt>
                <c:pt idx="383">
                  <c:v>52129.981944999992</c:v>
                </c:pt>
                <c:pt idx="384">
                  <c:v>51957.102134999994</c:v>
                </c:pt>
                <c:pt idx="385">
                  <c:v>50009.52048900001</c:v>
                </c:pt>
                <c:pt idx="386">
                  <c:v>49806.733907999995</c:v>
                </c:pt>
                <c:pt idx="387">
                  <c:v>53918.641257999996</c:v>
                </c:pt>
                <c:pt idx="388">
                  <c:v>54888.513590000002</c:v>
                </c:pt>
                <c:pt idx="389">
                  <c:v>53307.687282999999</c:v>
                </c:pt>
                <c:pt idx="390">
                  <c:v>52915.919308999997</c:v>
                </c:pt>
                <c:pt idx="391">
                  <c:v>53004.027164000006</c:v>
                </c:pt>
                <c:pt idx="392">
                  <c:v>53214.712058999998</c:v>
                </c:pt>
                <c:pt idx="393">
                  <c:v>53325.744433</c:v>
                </c:pt>
                <c:pt idx="394">
                  <c:v>50987.245311999999</c:v>
                </c:pt>
                <c:pt idx="395">
                  <c:v>49267.946751000003</c:v>
                </c:pt>
                <c:pt idx="396">
                  <c:v>48913.140702000004</c:v>
                </c:pt>
                <c:pt idx="397">
                  <c:v>47682.561622999994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65-46AE-BD06-EE2318203AC6}"/>
            </c:ext>
          </c:extLst>
        </c:ser>
        <c:ser>
          <c:idx val="1"/>
          <c:order val="1"/>
          <c:tx>
            <c:v>Short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Data!$E$3:$E$400</c:f>
              <c:numCache>
                <c:formatCode>0.00</c:formatCode>
                <c:ptCount val="398"/>
                <c:pt idx="0">
                  <c:v>36026.073638000002</c:v>
                </c:pt>
                <c:pt idx="1">
                  <c:v>35971.849649999996</c:v>
                </c:pt>
                <c:pt idx="2">
                  <c:v>36777.039981000002</c:v>
                </c:pt>
                <c:pt idx="3">
                  <c:v>35953.180175000001</c:v>
                </c:pt>
                <c:pt idx="4">
                  <c:v>36426.560561999999</c:v>
                </c:pt>
                <c:pt idx="5">
                  <c:v>36825.970684</c:v>
                </c:pt>
                <c:pt idx="6">
                  <c:v>36700.546275999994</c:v>
                </c:pt>
                <c:pt idx="7">
                  <c:v>35237.273079999999</c:v>
                </c:pt>
                <c:pt idx="8">
                  <c:v>35051.653389999999</c:v>
                </c:pt>
                <c:pt idx="9">
                  <c:v>35925.929835999996</c:v>
                </c:pt>
                <c:pt idx="10">
                  <c:v>34428.32445</c:v>
                </c:pt>
                <c:pt idx="11">
                  <c:v>34570.228311000006</c:v>
                </c:pt>
                <c:pt idx="12">
                  <c:v>34376.466282000001</c:v>
                </c:pt>
                <c:pt idx="13">
                  <c:v>36313.915213</c:v>
                </c:pt>
                <c:pt idx="14">
                  <c:v>35482.663492</c:v>
                </c:pt>
                <c:pt idx="15">
                  <c:v>36353.635532</c:v>
                </c:pt>
                <c:pt idx="16">
                  <c:v>36660.422250999996</c:v>
                </c:pt>
                <c:pt idx="17">
                  <c:v>37638.009912000001</c:v>
                </c:pt>
                <c:pt idx="18">
                  <c:v>36090.729417000002</c:v>
                </c:pt>
                <c:pt idx="19">
                  <c:v>34353.314933000001</c:v>
                </c:pt>
                <c:pt idx="20">
                  <c:v>34818.671630000004</c:v>
                </c:pt>
                <c:pt idx="21">
                  <c:v>33248.028278999998</c:v>
                </c:pt>
                <c:pt idx="22">
                  <c:v>32014.991255999998</c:v>
                </c:pt>
                <c:pt idx="23">
                  <c:v>31771.269878000003</c:v>
                </c:pt>
                <c:pt idx="24">
                  <c:v>32071.164728</c:v>
                </c:pt>
                <c:pt idx="25">
                  <c:v>31828.097700000006</c:v>
                </c:pt>
                <c:pt idx="26">
                  <c:v>32421.698515999997</c:v>
                </c:pt>
                <c:pt idx="27">
                  <c:v>30177.486999000001</c:v>
                </c:pt>
                <c:pt idx="28">
                  <c:v>29157.317758000001</c:v>
                </c:pt>
                <c:pt idx="29">
                  <c:v>30333.233168000002</c:v>
                </c:pt>
                <c:pt idx="30">
                  <c:v>27277.905726999998</c:v>
                </c:pt>
                <c:pt idx="31">
                  <c:v>27922.585004</c:v>
                </c:pt>
                <c:pt idx="32">
                  <c:v>26488.150377000002</c:v>
                </c:pt>
                <c:pt idx="33">
                  <c:v>25130.239841999999</c:v>
                </c:pt>
                <c:pt idx="34">
                  <c:v>27165.931142999998</c:v>
                </c:pt>
                <c:pt idx="35">
                  <c:v>25994.142759000002</c:v>
                </c:pt>
                <c:pt idx="36">
                  <c:v>26793.701530000002</c:v>
                </c:pt>
                <c:pt idx="37">
                  <c:v>28215.695912000003</c:v>
                </c:pt>
                <c:pt idx="38">
                  <c:v>29196.883545000001</c:v>
                </c:pt>
                <c:pt idx="39">
                  <c:v>27677.174070999998</c:v>
                </c:pt>
                <c:pt idx="40">
                  <c:v>29029.354633999999</c:v>
                </c:pt>
                <c:pt idx="41">
                  <c:v>30948.094228000002</c:v>
                </c:pt>
                <c:pt idx="42">
                  <c:v>32110.623697999996</c:v>
                </c:pt>
                <c:pt idx="43">
                  <c:v>31137.176854999998</c:v>
                </c:pt>
                <c:pt idx="44">
                  <c:v>30479.834055000003</c:v>
                </c:pt>
                <c:pt idx="45">
                  <c:v>30547.345719000001</c:v>
                </c:pt>
                <c:pt idx="46">
                  <c:v>28137.715479000002</c:v>
                </c:pt>
                <c:pt idx="47">
                  <c:v>28301.629465999999</c:v>
                </c:pt>
                <c:pt idx="48">
                  <c:v>27051.899495999998</c:v>
                </c:pt>
                <c:pt idx="49">
                  <c:v>27574.887293</c:v>
                </c:pt>
                <c:pt idx="50">
                  <c:v>25324.986535</c:v>
                </c:pt>
                <c:pt idx="51">
                  <c:v>27658.634671</c:v>
                </c:pt>
                <c:pt idx="52">
                  <c:v>29761.729682000001</c:v>
                </c:pt>
                <c:pt idx="53">
                  <c:v>30353.524122999999</c:v>
                </c:pt>
                <c:pt idx="54">
                  <c:v>27662.010914999999</c:v>
                </c:pt>
                <c:pt idx="55">
                  <c:v>29570.507109000002</c:v>
                </c:pt>
                <c:pt idx="56">
                  <c:v>30271.311156</c:v>
                </c:pt>
                <c:pt idx="57">
                  <c:v>31407.581249000003</c:v>
                </c:pt>
                <c:pt idx="58">
                  <c:v>31854.637692</c:v>
                </c:pt>
                <c:pt idx="59">
                  <c:v>33182.220803000004</c:v>
                </c:pt>
                <c:pt idx="60">
                  <c:v>32385.169207999999</c:v>
                </c:pt>
                <c:pt idx="61">
                  <c:v>34675.130057000002</c:v>
                </c:pt>
                <c:pt idx="62">
                  <c:v>34728.330266000004</c:v>
                </c:pt>
                <c:pt idx="63">
                  <c:v>35239.595547999998</c:v>
                </c:pt>
                <c:pt idx="64">
                  <c:v>33079.239937999999</c:v>
                </c:pt>
                <c:pt idx="65">
                  <c:v>35594.151227000002</c:v>
                </c:pt>
                <c:pt idx="66">
                  <c:v>34912.430927000001</c:v>
                </c:pt>
                <c:pt idx="67">
                  <c:v>34879.674875999997</c:v>
                </c:pt>
                <c:pt idx="68">
                  <c:v>35038.751826</c:v>
                </c:pt>
                <c:pt idx="69">
                  <c:v>34655.382484999995</c:v>
                </c:pt>
                <c:pt idx="70">
                  <c:v>34578.783995999998</c:v>
                </c:pt>
                <c:pt idx="71">
                  <c:v>34899.915510999999</c:v>
                </c:pt>
                <c:pt idx="72">
                  <c:v>37102.229493000006</c:v>
                </c:pt>
                <c:pt idx="73">
                  <c:v>35315.677884999997</c:v>
                </c:pt>
                <c:pt idx="74">
                  <c:v>36782.386382000004</c:v>
                </c:pt>
                <c:pt idx="75">
                  <c:v>36172.878788000002</c:v>
                </c:pt>
                <c:pt idx="76">
                  <c:v>34721.737631000004</c:v>
                </c:pt>
                <c:pt idx="77">
                  <c:v>36647.899328</c:v>
                </c:pt>
                <c:pt idx="78">
                  <c:v>35992.127088000001</c:v>
                </c:pt>
                <c:pt idx="79">
                  <c:v>37515.667472999994</c:v>
                </c:pt>
                <c:pt idx="80">
                  <c:v>40487.487213</c:v>
                </c:pt>
                <c:pt idx="81">
                  <c:v>42890.01483</c:v>
                </c:pt>
                <c:pt idx="82">
                  <c:v>42221.481893999997</c:v>
                </c:pt>
                <c:pt idx="83">
                  <c:v>40414.296306000004</c:v>
                </c:pt>
                <c:pt idx="84">
                  <c:v>40208.628181</c:v>
                </c:pt>
                <c:pt idx="85">
                  <c:v>39541.874261999998</c:v>
                </c:pt>
                <c:pt idx="86">
                  <c:v>37278.878866999999</c:v>
                </c:pt>
                <c:pt idx="87">
                  <c:v>36667.049572999997</c:v>
                </c:pt>
                <c:pt idx="88">
                  <c:v>37563.857266999999</c:v>
                </c:pt>
                <c:pt idx="89">
                  <c:v>38332.583071000001</c:v>
                </c:pt>
                <c:pt idx="90">
                  <c:v>39053.768194000004</c:v>
                </c:pt>
                <c:pt idx="91">
                  <c:v>40501.770423000002</c:v>
                </c:pt>
                <c:pt idx="92">
                  <c:v>40951.287461</c:v>
                </c:pt>
                <c:pt idx="93">
                  <c:v>38409.585058999997</c:v>
                </c:pt>
                <c:pt idx="94">
                  <c:v>39456.598795999998</c:v>
                </c:pt>
                <c:pt idx="95">
                  <c:v>39018.889424999994</c:v>
                </c:pt>
                <c:pt idx="96">
                  <c:v>38976.892590000003</c:v>
                </c:pt>
                <c:pt idx="97">
                  <c:v>39334.698918000002</c:v>
                </c:pt>
                <c:pt idx="98">
                  <c:v>38109.028512999997</c:v>
                </c:pt>
                <c:pt idx="99">
                  <c:v>39335.603214999996</c:v>
                </c:pt>
                <c:pt idx="100">
                  <c:v>40569.596223</c:v>
                </c:pt>
                <c:pt idx="101">
                  <c:v>39714.080809000006</c:v>
                </c:pt>
                <c:pt idx="102">
                  <c:v>38480.404546000005</c:v>
                </c:pt>
                <c:pt idx="103">
                  <c:v>38274.718351000003</c:v>
                </c:pt>
                <c:pt idx="104">
                  <c:v>38370.215800000005</c:v>
                </c:pt>
                <c:pt idx="105">
                  <c:v>39509.491330999997</c:v>
                </c:pt>
                <c:pt idx="106">
                  <c:v>38657.077190000004</c:v>
                </c:pt>
                <c:pt idx="107">
                  <c:v>39604.620705000001</c:v>
                </c:pt>
                <c:pt idx="108">
                  <c:v>40809.582047000004</c:v>
                </c:pt>
                <c:pt idx="109">
                  <c:v>40990.487942000007</c:v>
                </c:pt>
                <c:pt idx="110">
                  <c:v>41139.229380999997</c:v>
                </c:pt>
                <c:pt idx="111">
                  <c:v>42058.66476</c:v>
                </c:pt>
                <c:pt idx="112">
                  <c:v>42978.954475000006</c:v>
                </c:pt>
                <c:pt idx="113">
                  <c:v>41860.285949999998</c:v>
                </c:pt>
                <c:pt idx="114">
                  <c:v>41729.335315999997</c:v>
                </c:pt>
                <c:pt idx="115">
                  <c:v>41129.039543000006</c:v>
                </c:pt>
                <c:pt idx="116">
                  <c:v>39549.353222999998</c:v>
                </c:pt>
                <c:pt idx="117">
                  <c:v>38699.154685000001</c:v>
                </c:pt>
                <c:pt idx="118">
                  <c:v>38625.133403</c:v>
                </c:pt>
                <c:pt idx="119">
                  <c:v>42185.460760000002</c:v>
                </c:pt>
                <c:pt idx="120">
                  <c:v>42572.631077999999</c:v>
                </c:pt>
                <c:pt idx="121">
                  <c:v>41581.656285000005</c:v>
                </c:pt>
                <c:pt idx="122">
                  <c:v>38578.384629</c:v>
                </c:pt>
                <c:pt idx="123">
                  <c:v>40685.027847999998</c:v>
                </c:pt>
                <c:pt idx="124">
                  <c:v>39503.659318000005</c:v>
                </c:pt>
                <c:pt idx="125">
                  <c:v>38990.775676000005</c:v>
                </c:pt>
                <c:pt idx="126">
                  <c:v>39255.880038999996</c:v>
                </c:pt>
                <c:pt idx="127">
                  <c:v>40298.448401000001</c:v>
                </c:pt>
                <c:pt idx="128">
                  <c:v>39270.793626999999</c:v>
                </c:pt>
                <c:pt idx="129">
                  <c:v>37349.69644</c:v>
                </c:pt>
                <c:pt idx="130">
                  <c:v>38868.881784000005</c:v>
                </c:pt>
                <c:pt idx="131">
                  <c:v>42462.571220999998</c:v>
                </c:pt>
                <c:pt idx="132">
                  <c:v>42305.624300000003</c:v>
                </c:pt>
                <c:pt idx="133">
                  <c:v>41851.781998999999</c:v>
                </c:pt>
                <c:pt idx="134">
                  <c:v>42291.302380000001</c:v>
                </c:pt>
                <c:pt idx="135">
                  <c:v>39692.435612000001</c:v>
                </c:pt>
                <c:pt idx="136">
                  <c:v>42944.632243</c:v>
                </c:pt>
                <c:pt idx="137">
                  <c:v>42196.298051999998</c:v>
                </c:pt>
                <c:pt idx="138">
                  <c:v>42333.138884</c:v>
                </c:pt>
                <c:pt idx="139">
                  <c:v>40740.717044999998</c:v>
                </c:pt>
                <c:pt idx="140">
                  <c:v>38792.807973999996</c:v>
                </c:pt>
                <c:pt idx="141">
                  <c:v>38598.146650999995</c:v>
                </c:pt>
                <c:pt idx="142">
                  <c:v>39886.856964999999</c:v>
                </c:pt>
                <c:pt idx="143">
                  <c:v>40354.17484</c:v>
                </c:pt>
                <c:pt idx="144">
                  <c:v>42542.170158000001</c:v>
                </c:pt>
                <c:pt idx="145">
                  <c:v>41251.400796000002</c:v>
                </c:pt>
                <c:pt idx="146">
                  <c:v>39537.919739000004</c:v>
                </c:pt>
                <c:pt idx="147">
                  <c:v>38777.571821999998</c:v>
                </c:pt>
                <c:pt idx="148">
                  <c:v>38996.685164000002</c:v>
                </c:pt>
                <c:pt idx="149">
                  <c:v>37857.132936000002</c:v>
                </c:pt>
                <c:pt idx="150">
                  <c:v>37812.890875999998</c:v>
                </c:pt>
                <c:pt idx="151">
                  <c:v>37393.950402000002</c:v>
                </c:pt>
                <c:pt idx="152">
                  <c:v>36299.526162000002</c:v>
                </c:pt>
                <c:pt idx="153">
                  <c:v>35226.995301000003</c:v>
                </c:pt>
                <c:pt idx="154">
                  <c:v>34984.045763000002</c:v>
                </c:pt>
                <c:pt idx="155">
                  <c:v>34378.508512</c:v>
                </c:pt>
                <c:pt idx="156">
                  <c:v>36096.020839999997</c:v>
                </c:pt>
                <c:pt idx="157">
                  <c:v>34736.549995000001</c:v>
                </c:pt>
                <c:pt idx="158">
                  <c:v>34312.274655000001</c:v>
                </c:pt>
                <c:pt idx="159">
                  <c:v>30984.842662000003</c:v>
                </c:pt>
                <c:pt idx="160">
                  <c:v>32160.200466000002</c:v>
                </c:pt>
                <c:pt idx="161">
                  <c:v>28844.310826000001</c:v>
                </c:pt>
                <c:pt idx="162">
                  <c:v>27359.270216000001</c:v>
                </c:pt>
                <c:pt idx="163">
                  <c:v>28244.022213999997</c:v>
                </c:pt>
                <c:pt idx="164">
                  <c:v>27348.767938000001</c:v>
                </c:pt>
                <c:pt idx="165">
                  <c:v>21865.107617000001</c:v>
                </c:pt>
                <c:pt idx="166">
                  <c:v>25722.798282000003</c:v>
                </c:pt>
                <c:pt idx="167">
                  <c:v>23087.442470000002</c:v>
                </c:pt>
                <c:pt idx="168">
                  <c:v>26442.461288999999</c:v>
                </c:pt>
                <c:pt idx="169">
                  <c:v>32070.041996</c:v>
                </c:pt>
                <c:pt idx="170">
                  <c:v>33135.399296000003</c:v>
                </c:pt>
                <c:pt idx="171">
                  <c:v>38112.306384999996</c:v>
                </c:pt>
                <c:pt idx="172">
                  <c:v>38866.879109999994</c:v>
                </c:pt>
                <c:pt idx="173">
                  <c:v>37519.086352000006</c:v>
                </c:pt>
                <c:pt idx="174">
                  <c:v>36259.365036999996</c:v>
                </c:pt>
                <c:pt idx="175">
                  <c:v>37201.883622000001</c:v>
                </c:pt>
                <c:pt idx="176">
                  <c:v>37905.531186</c:v>
                </c:pt>
                <c:pt idx="177">
                  <c:v>36921.748957000003</c:v>
                </c:pt>
                <c:pt idx="178">
                  <c:v>35807.118605000003</c:v>
                </c:pt>
                <c:pt idx="179">
                  <c:v>35703.148851999998</c:v>
                </c:pt>
                <c:pt idx="180">
                  <c:v>35436.356315999998</c:v>
                </c:pt>
                <c:pt idx="181">
                  <c:v>34918.861762</c:v>
                </c:pt>
                <c:pt idx="182">
                  <c:v>34291.624247</c:v>
                </c:pt>
                <c:pt idx="183">
                  <c:v>34153.170579999998</c:v>
                </c:pt>
                <c:pt idx="184">
                  <c:v>32532.651667999999</c:v>
                </c:pt>
                <c:pt idx="185">
                  <c:v>31623.817619000001</c:v>
                </c:pt>
                <c:pt idx="186">
                  <c:v>32077.813928999996</c:v>
                </c:pt>
                <c:pt idx="187">
                  <c:v>31799.431463000001</c:v>
                </c:pt>
                <c:pt idx="188">
                  <c:v>31376.259049</c:v>
                </c:pt>
                <c:pt idx="189">
                  <c:v>29920.352059000001</c:v>
                </c:pt>
                <c:pt idx="190">
                  <c:v>30218.481938000001</c:v>
                </c:pt>
                <c:pt idx="191">
                  <c:v>30010.253444000002</c:v>
                </c:pt>
                <c:pt idx="192">
                  <c:v>29411.965038999999</c:v>
                </c:pt>
                <c:pt idx="193">
                  <c:v>29199.153784999999</c:v>
                </c:pt>
                <c:pt idx="194">
                  <c:v>29097.011244000001</c:v>
                </c:pt>
                <c:pt idx="195">
                  <c:v>28086.010929999997</c:v>
                </c:pt>
                <c:pt idx="196">
                  <c:v>27747.600878999998</c:v>
                </c:pt>
                <c:pt idx="197">
                  <c:v>28103.764191999999</c:v>
                </c:pt>
                <c:pt idx="198">
                  <c:v>28167.526331000001</c:v>
                </c:pt>
                <c:pt idx="199">
                  <c:v>29044.717736999999</c:v>
                </c:pt>
                <c:pt idx="200">
                  <c:v>29094.492964000001</c:v>
                </c:pt>
                <c:pt idx="201">
                  <c:v>31827.030971</c:v>
                </c:pt>
                <c:pt idx="202">
                  <c:v>31355.572831999998</c:v>
                </c:pt>
                <c:pt idx="203">
                  <c:v>31324.273141999998</c:v>
                </c:pt>
                <c:pt idx="204">
                  <c:v>30452.271205999998</c:v>
                </c:pt>
                <c:pt idx="205">
                  <c:v>29533.921607999997</c:v>
                </c:pt>
                <c:pt idx="206">
                  <c:v>29474.951777999999</c:v>
                </c:pt>
                <c:pt idx="207">
                  <c:v>28813.070933000003</c:v>
                </c:pt>
                <c:pt idx="208">
                  <c:v>27916.511656999999</c:v>
                </c:pt>
                <c:pt idx="209">
                  <c:v>27442.411814999999</c:v>
                </c:pt>
                <c:pt idx="210">
                  <c:v>28721.671000000002</c:v>
                </c:pt>
                <c:pt idx="211">
                  <c:v>30798.846841999999</c:v>
                </c:pt>
                <c:pt idx="212">
                  <c:v>31411.823098000001</c:v>
                </c:pt>
                <c:pt idx="213">
                  <c:v>32349.237044000001</c:v>
                </c:pt>
                <c:pt idx="214">
                  <c:v>32233.671702</c:v>
                </c:pt>
                <c:pt idx="215">
                  <c:v>31753.712120000004</c:v>
                </c:pt>
                <c:pt idx="216">
                  <c:v>31822.907892000003</c:v>
                </c:pt>
                <c:pt idx="217">
                  <c:v>31398.094689999998</c:v>
                </c:pt>
                <c:pt idx="218">
                  <c:v>29744.208953000001</c:v>
                </c:pt>
                <c:pt idx="219">
                  <c:v>29233.895893000001</c:v>
                </c:pt>
                <c:pt idx="220">
                  <c:v>29331.563856000001</c:v>
                </c:pt>
                <c:pt idx="221">
                  <c:v>28866.043654000001</c:v>
                </c:pt>
                <c:pt idx="222">
                  <c:v>29739.014552000001</c:v>
                </c:pt>
                <c:pt idx="223">
                  <c:v>29686.611542999999</c:v>
                </c:pt>
                <c:pt idx="224">
                  <c:v>29439.791922000004</c:v>
                </c:pt>
                <c:pt idx="225">
                  <c:v>28429.489745999996</c:v>
                </c:pt>
                <c:pt idx="226">
                  <c:v>28388.520100000002</c:v>
                </c:pt>
                <c:pt idx="227">
                  <c:v>27333.362626999999</c:v>
                </c:pt>
                <c:pt idx="228">
                  <c:v>27247.202506000001</c:v>
                </c:pt>
                <c:pt idx="229">
                  <c:v>26958.542816000001</c:v>
                </c:pt>
                <c:pt idx="230">
                  <c:v>25133.937109000002</c:v>
                </c:pt>
                <c:pt idx="231">
                  <c:v>23785.763944999999</c:v>
                </c:pt>
                <c:pt idx="232">
                  <c:v>22274.385326</c:v>
                </c:pt>
                <c:pt idx="233">
                  <c:v>24831.921258000002</c:v>
                </c:pt>
                <c:pt idx="234">
                  <c:v>25252.730305000001</c:v>
                </c:pt>
                <c:pt idx="235">
                  <c:v>26337.197268999997</c:v>
                </c:pt>
                <c:pt idx="236">
                  <c:v>24147.748333</c:v>
                </c:pt>
                <c:pt idx="237">
                  <c:v>25307.432561000005</c:v>
                </c:pt>
                <c:pt idx="238">
                  <c:v>25109.079225000001</c:v>
                </c:pt>
                <c:pt idx="239">
                  <c:v>26717.184944000001</c:v>
                </c:pt>
                <c:pt idx="240">
                  <c:v>24564.279239</c:v>
                </c:pt>
                <c:pt idx="241">
                  <c:v>25485.578986</c:v>
                </c:pt>
                <c:pt idx="242">
                  <c:v>26589.754476000002</c:v>
                </c:pt>
                <c:pt idx="243">
                  <c:v>27677.430536999997</c:v>
                </c:pt>
                <c:pt idx="244">
                  <c:v>29282.352734</c:v>
                </c:pt>
                <c:pt idx="245">
                  <c:v>29535.279790999997</c:v>
                </c:pt>
                <c:pt idx="246">
                  <c:v>30349.28974</c:v>
                </c:pt>
                <c:pt idx="247">
                  <c:v>29991.278937000003</c:v>
                </c:pt>
                <c:pt idx="248">
                  <c:v>31141.877118000004</c:v>
                </c:pt>
                <c:pt idx="249">
                  <c:v>31020.277145</c:v>
                </c:pt>
                <c:pt idx="250">
                  <c:v>29191.915880999997</c:v>
                </c:pt>
                <c:pt idx="251">
                  <c:v>29993.839318000002</c:v>
                </c:pt>
                <c:pt idx="252">
                  <c:v>29302.183742000001</c:v>
                </c:pt>
                <c:pt idx="253">
                  <c:v>29734.192816999999</c:v>
                </c:pt>
                <c:pt idx="254">
                  <c:v>30801.298576000001</c:v>
                </c:pt>
                <c:pt idx="255">
                  <c:v>30716.069106999999</c:v>
                </c:pt>
                <c:pt idx="256">
                  <c:v>30020.186979000002</c:v>
                </c:pt>
                <c:pt idx="257">
                  <c:v>30335.282019999999</c:v>
                </c:pt>
                <c:pt idx="258">
                  <c:v>31169.463882</c:v>
                </c:pt>
                <c:pt idx="259">
                  <c:v>32059.833080999997</c:v>
                </c:pt>
                <c:pt idx="260">
                  <c:v>31712.746150000003</c:v>
                </c:pt>
                <c:pt idx="261">
                  <c:v>31331.040403999999</c:v>
                </c:pt>
                <c:pt idx="262">
                  <c:v>31064.485863000002</c:v>
                </c:pt>
                <c:pt idx="263">
                  <c:v>31942.753517999998</c:v>
                </c:pt>
                <c:pt idx="264">
                  <c:v>32145.526626999999</c:v>
                </c:pt>
                <c:pt idx="265">
                  <c:v>31139.010426000001</c:v>
                </c:pt>
                <c:pt idx="266">
                  <c:v>30278.898626999999</c:v>
                </c:pt>
                <c:pt idx="267">
                  <c:v>30279.363251000002</c:v>
                </c:pt>
                <c:pt idx="268">
                  <c:v>30118.915990999998</c:v>
                </c:pt>
                <c:pt idx="269">
                  <c:v>29718.999892</c:v>
                </c:pt>
                <c:pt idx="270">
                  <c:v>29844.566079999997</c:v>
                </c:pt>
                <c:pt idx="271">
                  <c:v>29268.108443000001</c:v>
                </c:pt>
                <c:pt idx="272">
                  <c:v>30786.519933000003</c:v>
                </c:pt>
                <c:pt idx="273">
                  <c:v>31406.206297000001</c:v>
                </c:pt>
                <c:pt idx="274">
                  <c:v>30009.221850000002</c:v>
                </c:pt>
                <c:pt idx="275">
                  <c:v>30078.038499000002</c:v>
                </c:pt>
                <c:pt idx="276">
                  <c:v>30201.956482000001</c:v>
                </c:pt>
                <c:pt idx="277">
                  <c:v>28761.631214999998</c:v>
                </c:pt>
                <c:pt idx="278">
                  <c:v>29876.282582</c:v>
                </c:pt>
                <c:pt idx="279">
                  <c:v>31400.548862</c:v>
                </c:pt>
                <c:pt idx="280">
                  <c:v>31442.783734000001</c:v>
                </c:pt>
                <c:pt idx="281">
                  <c:v>30344.946860999997</c:v>
                </c:pt>
                <c:pt idx="282">
                  <c:v>29235.476318999998</c:v>
                </c:pt>
                <c:pt idx="283">
                  <c:v>28577.966189999999</c:v>
                </c:pt>
                <c:pt idx="284">
                  <c:v>28483.713567999999</c:v>
                </c:pt>
                <c:pt idx="285">
                  <c:v>28140.403507999999</c:v>
                </c:pt>
                <c:pt idx="286">
                  <c:v>27911.637288000002</c:v>
                </c:pt>
                <c:pt idx="287">
                  <c:v>27559.2029</c:v>
                </c:pt>
                <c:pt idx="288">
                  <c:v>27132.468154000002</c:v>
                </c:pt>
                <c:pt idx="289">
                  <c:v>26462.340372000002</c:v>
                </c:pt>
                <c:pt idx="290">
                  <c:v>25764.572132000001</c:v>
                </c:pt>
                <c:pt idx="291">
                  <c:v>24850.318009999999</c:v>
                </c:pt>
                <c:pt idx="292">
                  <c:v>24424.879133999999</c:v>
                </c:pt>
                <c:pt idx="293">
                  <c:v>24361.398064999998</c:v>
                </c:pt>
                <c:pt idx="294">
                  <c:v>24004.536653000003</c:v>
                </c:pt>
                <c:pt idx="295">
                  <c:v>24839.285960000001</c:v>
                </c:pt>
                <c:pt idx="296">
                  <c:v>24314.029993</c:v>
                </c:pt>
                <c:pt idx="297">
                  <c:v>23812.336642000002</c:v>
                </c:pt>
                <c:pt idx="298">
                  <c:v>24076.056408</c:v>
                </c:pt>
                <c:pt idx="299">
                  <c:v>23729.272875000002</c:v>
                </c:pt>
                <c:pt idx="300">
                  <c:v>23765.188307999997</c:v>
                </c:pt>
                <c:pt idx="301">
                  <c:v>23783.040789999999</c:v>
                </c:pt>
                <c:pt idx="302">
                  <c:v>23169.059306000003</c:v>
                </c:pt>
                <c:pt idx="303">
                  <c:v>23234.071214000003</c:v>
                </c:pt>
                <c:pt idx="304">
                  <c:v>23659.664568</c:v>
                </c:pt>
                <c:pt idx="305">
                  <c:v>23321.725691</c:v>
                </c:pt>
                <c:pt idx="306">
                  <c:v>23376.426484000003</c:v>
                </c:pt>
                <c:pt idx="307">
                  <c:v>23263.447051000003</c:v>
                </c:pt>
                <c:pt idx="308">
                  <c:v>23315.276107000002</c:v>
                </c:pt>
                <c:pt idx="309">
                  <c:v>23530.806935000001</c:v>
                </c:pt>
                <c:pt idx="310">
                  <c:v>23396.408993999998</c:v>
                </c:pt>
                <c:pt idx="311">
                  <c:v>23431.158509000001</c:v>
                </c:pt>
                <c:pt idx="312">
                  <c:v>23393.162903999997</c:v>
                </c:pt>
                <c:pt idx="313">
                  <c:v>23741.255029</c:v>
                </c:pt>
                <c:pt idx="314">
                  <c:v>22911.639798</c:v>
                </c:pt>
                <c:pt idx="315">
                  <c:v>22473.551697999999</c:v>
                </c:pt>
                <c:pt idx="316">
                  <c:v>22633.031176</c:v>
                </c:pt>
                <c:pt idx="317">
                  <c:v>22588.18879</c:v>
                </c:pt>
                <c:pt idx="318">
                  <c:v>22518.283346999997</c:v>
                </c:pt>
                <c:pt idx="319">
                  <c:v>22231.540173000001</c:v>
                </c:pt>
                <c:pt idx="320">
                  <c:v>21601.782142</c:v>
                </c:pt>
                <c:pt idx="321">
                  <c:v>21624.665543999996</c:v>
                </c:pt>
                <c:pt idx="322">
                  <c:v>21972.309136999997</c:v>
                </c:pt>
                <c:pt idx="323">
                  <c:v>21194.795451999998</c:v>
                </c:pt>
                <c:pt idx="324">
                  <c:v>21781.798758999998</c:v>
                </c:pt>
                <c:pt idx="325">
                  <c:v>21168.359532999999</c:v>
                </c:pt>
                <c:pt idx="326">
                  <c:v>20936.525878</c:v>
                </c:pt>
                <c:pt idx="327">
                  <c:v>20512.354812999998</c:v>
                </c:pt>
                <c:pt idx="328">
                  <c:v>20476.500203</c:v>
                </c:pt>
                <c:pt idx="329">
                  <c:v>20445.147267</c:v>
                </c:pt>
                <c:pt idx="330">
                  <c:v>19985.297068</c:v>
                </c:pt>
                <c:pt idx="331">
                  <c:v>19926.956756</c:v>
                </c:pt>
                <c:pt idx="332">
                  <c:v>19783.517436000002</c:v>
                </c:pt>
                <c:pt idx="333">
                  <c:v>20015.296558999999</c:v>
                </c:pt>
                <c:pt idx="334">
                  <c:v>19857.9238</c:v>
                </c:pt>
                <c:pt idx="335">
                  <c:v>19114.616795999998</c:v>
                </c:pt>
                <c:pt idx="336">
                  <c:v>19359.440897</c:v>
                </c:pt>
                <c:pt idx="337">
                  <c:v>20209.461971000001</c:v>
                </c:pt>
                <c:pt idx="338">
                  <c:v>20368.816856000001</c:v>
                </c:pt>
                <c:pt idx="339">
                  <c:v>20351.061353999998</c:v>
                </c:pt>
                <c:pt idx="340">
                  <c:v>21262.231982999998</c:v>
                </c:pt>
                <c:pt idx="341">
                  <c:v>20842.428479000002</c:v>
                </c:pt>
                <c:pt idx="342">
                  <c:v>19615.071719</c:v>
                </c:pt>
                <c:pt idx="343">
                  <c:v>19743.933869</c:v>
                </c:pt>
                <c:pt idx="344">
                  <c:v>19841.588097</c:v>
                </c:pt>
                <c:pt idx="345">
                  <c:v>19651.010942000001</c:v>
                </c:pt>
                <c:pt idx="346">
                  <c:v>19571.742987000001</c:v>
                </c:pt>
                <c:pt idx="347">
                  <c:v>19881.632471999998</c:v>
                </c:pt>
                <c:pt idx="348">
                  <c:v>19707.005224</c:v>
                </c:pt>
                <c:pt idx="349">
                  <c:v>19617.763412</c:v>
                </c:pt>
                <c:pt idx="350">
                  <c:v>19945.672788</c:v>
                </c:pt>
                <c:pt idx="351">
                  <c:v>19612.662074</c:v>
                </c:pt>
                <c:pt idx="352">
                  <c:v>19656.161933999996</c:v>
                </c:pt>
                <c:pt idx="353">
                  <c:v>19134.431239999998</c:v>
                </c:pt>
                <c:pt idx="354">
                  <c:v>19347.160047000001</c:v>
                </c:pt>
                <c:pt idx="355">
                  <c:v>19449.997624</c:v>
                </c:pt>
                <c:pt idx="356">
                  <c:v>18849.194544999998</c:v>
                </c:pt>
                <c:pt idx="357">
                  <c:v>19080.922544000001</c:v>
                </c:pt>
                <c:pt idx="358">
                  <c:v>18498.725293</c:v>
                </c:pt>
                <c:pt idx="359">
                  <c:v>18232.544131000002</c:v>
                </c:pt>
                <c:pt idx="360">
                  <c:v>17822.361198000002</c:v>
                </c:pt>
                <c:pt idx="361">
                  <c:v>17344.981057999998</c:v>
                </c:pt>
                <c:pt idx="362">
                  <c:v>16943.662415999999</c:v>
                </c:pt>
                <c:pt idx="363">
                  <c:v>17829.925566999998</c:v>
                </c:pt>
                <c:pt idx="364">
                  <c:v>17598.224124999997</c:v>
                </c:pt>
                <c:pt idx="365">
                  <c:v>17869.776148999998</c:v>
                </c:pt>
                <c:pt idx="366">
                  <c:v>17668.028976000001</c:v>
                </c:pt>
                <c:pt idx="367">
                  <c:v>17119.836959</c:v>
                </c:pt>
                <c:pt idx="368">
                  <c:v>16467.616875000003</c:v>
                </c:pt>
                <c:pt idx="369">
                  <c:v>16668.214381000002</c:v>
                </c:pt>
                <c:pt idx="370">
                  <c:v>17163.652579000001</c:v>
                </c:pt>
                <c:pt idx="371">
                  <c:v>17686.606269</c:v>
                </c:pt>
                <c:pt idx="372">
                  <c:v>18090.414175999998</c:v>
                </c:pt>
                <c:pt idx="373">
                  <c:v>17661.213578999999</c:v>
                </c:pt>
                <c:pt idx="374">
                  <c:v>18091.983901</c:v>
                </c:pt>
                <c:pt idx="375">
                  <c:v>17886.076476999999</c:v>
                </c:pt>
                <c:pt idx="376">
                  <c:v>18125.745353999999</c:v>
                </c:pt>
                <c:pt idx="377">
                  <c:v>17830.643352999999</c:v>
                </c:pt>
                <c:pt idx="378">
                  <c:v>17603.302588999999</c:v>
                </c:pt>
                <c:pt idx="379">
                  <c:v>16321.799370000001</c:v>
                </c:pt>
                <c:pt idx="380">
                  <c:v>15133.102696999998</c:v>
                </c:pt>
                <c:pt idx="381">
                  <c:v>14480.414599</c:v>
                </c:pt>
                <c:pt idx="382">
                  <c:v>14548.817074000002</c:v>
                </c:pt>
                <c:pt idx="383">
                  <c:v>15955.855240000001</c:v>
                </c:pt>
                <c:pt idx="384">
                  <c:v>15404.285470999999</c:v>
                </c:pt>
                <c:pt idx="385">
                  <c:v>15227.879106</c:v>
                </c:pt>
                <c:pt idx="386">
                  <c:v>15643.286705000002</c:v>
                </c:pt>
                <c:pt idx="387">
                  <c:v>17627.861395</c:v>
                </c:pt>
                <c:pt idx="388">
                  <c:v>17548.366015</c:v>
                </c:pt>
                <c:pt idx="389">
                  <c:v>16606.733996999999</c:v>
                </c:pt>
                <c:pt idx="390">
                  <c:v>16732.166227999998</c:v>
                </c:pt>
                <c:pt idx="391">
                  <c:v>17807.007532999996</c:v>
                </c:pt>
                <c:pt idx="392">
                  <c:v>18067.417508000002</c:v>
                </c:pt>
                <c:pt idx="393">
                  <c:v>18040.415635999998</c:v>
                </c:pt>
                <c:pt idx="394">
                  <c:v>17828.891803999999</c:v>
                </c:pt>
                <c:pt idx="395">
                  <c:v>18706.125670999998</c:v>
                </c:pt>
                <c:pt idx="396">
                  <c:v>18520.535331999999</c:v>
                </c:pt>
                <c:pt idx="397">
                  <c:v>18717.812450000001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65-46AE-BD06-EE2318203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8839920"/>
        <c:axId val="1128839088"/>
      </c:lineChart>
      <c:dateAx>
        <c:axId val="112883992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28839088"/>
        <c:crosses val="autoZero"/>
        <c:auto val="1"/>
        <c:lblOffset val="100"/>
        <c:baseTimeUnit val="days"/>
      </c:dateAx>
      <c:valAx>
        <c:axId val="112883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28839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17</xdr:col>
      <xdr:colOff>0</xdr:colOff>
      <xdr:row>16</xdr:row>
      <xdr:rowOff>28575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4F6A4337-9E1C-4B50-98E2-58108782CC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17</xdr:row>
      <xdr:rowOff>0</xdr:rowOff>
    </xdr:from>
    <xdr:to>
      <xdr:col>17</xdr:col>
      <xdr:colOff>0</xdr:colOff>
      <xdr:row>32</xdr:row>
      <xdr:rowOff>147638</xdr:rowOff>
    </xdr:to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B93290EA-8AFA-4963-ADE5-7E54464D5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Documents/WebSynchro/GDAX/Pro%20Indicators/Strat&#233;gie/IPTL/IPTM%20excel%20and%20pdf%20files/Video%2019/Portfolio_Volatility_and_Correlation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et Volatility Summary"/>
      <sheetName val="Std Dev Calc"/>
      <sheetName val="Portfolio DoR"/>
      <sheetName val="Portfolio Volatility Theory"/>
      <sheetName val="Portfolio Volatility Practice"/>
      <sheetName val="Asset Returns"/>
      <sheetName val="Asset Prices"/>
      <sheetName val="Var-Cov Correl Matrix"/>
      <sheetName val="Correlation Function"/>
    </sheetNames>
    <sheetDataSet>
      <sheetData sheetId="0"/>
      <sheetData sheetId="1"/>
      <sheetData sheetId="2">
        <row r="1">
          <cell r="B1" t="str">
            <v>Portfolio 1</v>
          </cell>
        </row>
        <row r="2">
          <cell r="A2">
            <v>44200</v>
          </cell>
          <cell r="B2">
            <v>100019.02364</v>
          </cell>
        </row>
        <row r="3">
          <cell r="A3">
            <v>44201</v>
          </cell>
          <cell r="B3">
            <v>100401.18842999999</v>
          </cell>
        </row>
        <row r="4">
          <cell r="A4">
            <v>44202</v>
          </cell>
          <cell r="B4">
            <v>101464.957431</v>
          </cell>
        </row>
        <row r="5">
          <cell r="A5">
            <v>44203</v>
          </cell>
          <cell r="B5">
            <v>101296.055475</v>
          </cell>
        </row>
        <row r="6">
          <cell r="A6">
            <v>44204</v>
          </cell>
          <cell r="B6">
            <v>100490.15648599999</v>
          </cell>
        </row>
        <row r="7">
          <cell r="A7">
            <v>44207</v>
          </cell>
          <cell r="B7">
            <v>99605.874219000005</v>
          </cell>
        </row>
        <row r="8">
          <cell r="A8">
            <v>44208</v>
          </cell>
          <cell r="B8">
            <v>99483.264863000004</v>
          </cell>
        </row>
        <row r="9">
          <cell r="A9">
            <v>44209</v>
          </cell>
          <cell r="B9">
            <v>99446.070069000009</v>
          </cell>
        </row>
        <row r="10">
          <cell r="A10">
            <v>44210</v>
          </cell>
          <cell r="B10">
            <v>100353.02353200001</v>
          </cell>
        </row>
        <row r="11">
          <cell r="A11">
            <v>44211</v>
          </cell>
          <cell r="B11">
            <v>100264.57815400002</v>
          </cell>
        </row>
        <row r="12">
          <cell r="A12">
            <v>44215</v>
          </cell>
          <cell r="B12">
            <v>99649.850856000034</v>
          </cell>
        </row>
        <row r="13">
          <cell r="A13">
            <v>44216</v>
          </cell>
          <cell r="B13">
            <v>99710.098651000008</v>
          </cell>
        </row>
        <row r="14">
          <cell r="A14">
            <v>44217</v>
          </cell>
          <cell r="B14">
            <v>99735.337166000012</v>
          </cell>
        </row>
        <row r="15">
          <cell r="A15">
            <v>44218</v>
          </cell>
          <cell r="B15">
            <v>98638.377551000012</v>
          </cell>
        </row>
        <row r="16">
          <cell r="A16">
            <v>44221</v>
          </cell>
          <cell r="B16">
            <v>98891.230367000011</v>
          </cell>
        </row>
        <row r="17">
          <cell r="A17">
            <v>44222</v>
          </cell>
          <cell r="B17">
            <v>98444.991910000012</v>
          </cell>
        </row>
        <row r="18">
          <cell r="A18">
            <v>44223</v>
          </cell>
          <cell r="B18">
            <v>98080.976989999996</v>
          </cell>
        </row>
        <row r="19">
          <cell r="A19">
            <v>44224</v>
          </cell>
          <cell r="B19">
            <v>97900.014452000003</v>
          </cell>
        </row>
        <row r="20">
          <cell r="A20">
            <v>44225</v>
          </cell>
          <cell r="B20">
            <v>97440.306859000004</v>
          </cell>
        </row>
        <row r="21">
          <cell r="A21">
            <v>44228</v>
          </cell>
          <cell r="B21">
            <v>97095.232638000001</v>
          </cell>
        </row>
        <row r="22">
          <cell r="A22">
            <v>44229</v>
          </cell>
          <cell r="B22">
            <v>97570.919878999994</v>
          </cell>
        </row>
        <row r="23">
          <cell r="A23">
            <v>44230</v>
          </cell>
          <cell r="B23">
            <v>96795.987606999988</v>
          </cell>
          <cell r="J23" t="str">
            <v>Probability</v>
          </cell>
        </row>
        <row r="24">
          <cell r="A24">
            <v>44231</v>
          </cell>
          <cell r="B24">
            <v>97427.695794999992</v>
          </cell>
          <cell r="I24" t="str">
            <v>Less than -1.51%</v>
          </cell>
          <cell r="J24">
            <v>0</v>
          </cell>
        </row>
        <row r="25">
          <cell r="A25">
            <v>44232</v>
          </cell>
          <cell r="B25">
            <v>97880.193807999996</v>
          </cell>
          <cell r="I25" t="str">
            <v>-1.51% to -1.24%</v>
          </cell>
          <cell r="J25">
            <v>0</v>
          </cell>
        </row>
        <row r="26">
          <cell r="A26">
            <v>44235</v>
          </cell>
          <cell r="B26">
            <v>98330.121664999999</v>
          </cell>
          <cell r="I26" t="str">
            <v>-1.24% to -0.98%</v>
          </cell>
          <cell r="J26">
            <v>1.8867924528301886E-2</v>
          </cell>
        </row>
        <row r="27">
          <cell r="A27">
            <v>44236</v>
          </cell>
          <cell r="B27">
            <v>97874.288845999981</v>
          </cell>
          <cell r="I27" t="str">
            <v>-0.98% to -0.72%</v>
          </cell>
          <cell r="J27">
            <v>4.716981132075472E-2</v>
          </cell>
        </row>
        <row r="28">
          <cell r="A28">
            <v>44237</v>
          </cell>
          <cell r="B28">
            <v>98358.440882999988</v>
          </cell>
          <cell r="I28" t="str">
            <v>-0.72% to -0.46%</v>
          </cell>
          <cell r="J28">
            <v>6.6037735849056603E-2</v>
          </cell>
        </row>
        <row r="29">
          <cell r="A29">
            <v>44238</v>
          </cell>
          <cell r="B29">
            <v>98040.84785999998</v>
          </cell>
          <cell r="I29" t="str">
            <v>-0.46% to -0.19%</v>
          </cell>
          <cell r="J29">
            <v>0.16981132075471697</v>
          </cell>
        </row>
        <row r="30">
          <cell r="A30">
            <v>44239</v>
          </cell>
          <cell r="B30">
            <v>97623.426647999993</v>
          </cell>
          <cell r="I30" t="str">
            <v>-0.19% to 0.07%</v>
          </cell>
          <cell r="J30">
            <v>0.20754716981132076</v>
          </cell>
        </row>
        <row r="31">
          <cell r="A31">
            <v>44243</v>
          </cell>
          <cell r="B31">
            <v>97259.986260999984</v>
          </cell>
          <cell r="I31" t="str">
            <v>0.07% to 0.33%</v>
          </cell>
          <cell r="J31">
            <v>0.20754716981132076</v>
          </cell>
        </row>
        <row r="32">
          <cell r="A32">
            <v>44244</v>
          </cell>
          <cell r="B32">
            <v>97437.142246999982</v>
          </cell>
          <cell r="I32" t="str">
            <v>0.33% to 0.59%</v>
          </cell>
          <cell r="J32">
            <v>0.14150943396226415</v>
          </cell>
        </row>
        <row r="33">
          <cell r="A33">
            <v>44245</v>
          </cell>
          <cell r="B33">
            <v>97986.276403999975</v>
          </cell>
          <cell r="I33" t="str">
            <v>0.59% to 0.85%</v>
          </cell>
          <cell r="J33">
            <v>0.10377358490566038</v>
          </cell>
        </row>
        <row r="34">
          <cell r="A34">
            <v>44246</v>
          </cell>
          <cell r="B34">
            <v>97262.40727799997</v>
          </cell>
          <cell r="I34" t="str">
            <v>0.85% to 1.12%</v>
          </cell>
          <cell r="J34">
            <v>2.8301886792452831E-2</v>
          </cell>
        </row>
        <row r="35">
          <cell r="A35">
            <v>44249</v>
          </cell>
          <cell r="B35">
            <v>99687.353709999981</v>
          </cell>
          <cell r="I35" t="str">
            <v>1.12% to 1.38%</v>
          </cell>
          <cell r="J35">
            <v>0</v>
          </cell>
        </row>
        <row r="36">
          <cell r="A36">
            <v>44250</v>
          </cell>
          <cell r="B36">
            <v>100451.32113199997</v>
          </cell>
          <cell r="I36" t="str">
            <v>1.38% to 1.64%</v>
          </cell>
          <cell r="J36">
            <v>0</v>
          </cell>
        </row>
        <row r="37">
          <cell r="A37">
            <v>44251</v>
          </cell>
          <cell r="B37">
            <v>100654.70560499998</v>
          </cell>
          <cell r="I37" t="str">
            <v>Greater than 1.64%</v>
          </cell>
          <cell r="J37">
            <v>9.433962264150943E-3</v>
          </cell>
        </row>
        <row r="38">
          <cell r="A38">
            <v>44252</v>
          </cell>
          <cell r="B38">
            <v>100391.23649699998</v>
          </cell>
        </row>
        <row r="39">
          <cell r="A39">
            <v>44253</v>
          </cell>
          <cell r="B39">
            <v>99536.771028999996</v>
          </cell>
        </row>
        <row r="40">
          <cell r="A40">
            <v>44256</v>
          </cell>
          <cell r="B40">
            <v>99412.466676999989</v>
          </cell>
        </row>
        <row r="41">
          <cell r="A41">
            <v>44257</v>
          </cell>
          <cell r="B41">
            <v>100015.312255</v>
          </cell>
        </row>
        <row r="42">
          <cell r="A42">
            <v>44258</v>
          </cell>
          <cell r="B42">
            <v>100256.00524500001</v>
          </cell>
        </row>
        <row r="43">
          <cell r="A43">
            <v>44259</v>
          </cell>
          <cell r="B43">
            <v>100423.873691</v>
          </cell>
        </row>
        <row r="44">
          <cell r="A44">
            <v>44260</v>
          </cell>
          <cell r="B44">
            <v>100818.00189</v>
          </cell>
        </row>
        <row r="45">
          <cell r="A45">
            <v>44263</v>
          </cell>
          <cell r="B45">
            <v>101624.65684400001</v>
          </cell>
        </row>
        <row r="46">
          <cell r="A46">
            <v>44264</v>
          </cell>
          <cell r="B46">
            <v>101893.47585800001</v>
          </cell>
        </row>
        <row r="47">
          <cell r="A47">
            <v>44265</v>
          </cell>
          <cell r="B47">
            <v>102645.79150000001</v>
          </cell>
        </row>
        <row r="48">
          <cell r="A48">
            <v>44266</v>
          </cell>
          <cell r="B48">
            <v>102016.462285</v>
          </cell>
        </row>
        <row r="49">
          <cell r="A49">
            <v>44267</v>
          </cell>
          <cell r="B49">
            <v>102120.933911</v>
          </cell>
        </row>
        <row r="50">
          <cell r="A50">
            <v>44270</v>
          </cell>
          <cell r="B50">
            <v>102609.716107</v>
          </cell>
        </row>
        <row r="51">
          <cell r="A51">
            <v>44271</v>
          </cell>
          <cell r="B51">
            <v>102795.71412400001</v>
          </cell>
        </row>
        <row r="52">
          <cell r="A52">
            <v>44272</v>
          </cell>
          <cell r="B52">
            <v>102816.82292000001</v>
          </cell>
        </row>
        <row r="53">
          <cell r="A53">
            <v>44273</v>
          </cell>
          <cell r="B53">
            <v>103155.056472</v>
          </cell>
        </row>
        <row r="54">
          <cell r="A54">
            <v>44274</v>
          </cell>
          <cell r="B54">
            <v>102833.10213700001</v>
          </cell>
        </row>
        <row r="55">
          <cell r="A55">
            <v>44277</v>
          </cell>
          <cell r="B55">
            <v>102561.58088800001</v>
          </cell>
        </row>
        <row r="56">
          <cell r="A56">
            <v>44278</v>
          </cell>
          <cell r="B56">
            <v>102737.004111</v>
          </cell>
        </row>
        <row r="57">
          <cell r="A57">
            <v>44279</v>
          </cell>
          <cell r="B57">
            <v>103347.01266800001</v>
          </cell>
        </row>
        <row r="58">
          <cell r="A58">
            <v>44280</v>
          </cell>
          <cell r="B58">
            <v>103621.592408</v>
          </cell>
        </row>
        <row r="59">
          <cell r="A59">
            <v>44281</v>
          </cell>
          <cell r="B59">
            <v>104131.216944</v>
          </cell>
        </row>
        <row r="60">
          <cell r="A60">
            <v>44284</v>
          </cell>
          <cell r="B60">
            <v>104403.59235600001</v>
          </cell>
        </row>
        <row r="61">
          <cell r="A61">
            <v>44285</v>
          </cell>
          <cell r="B61">
            <v>104306.231741</v>
          </cell>
        </row>
        <row r="62">
          <cell r="A62">
            <v>44286</v>
          </cell>
          <cell r="B62">
            <v>104061.74799599999</v>
          </cell>
        </row>
        <row r="63">
          <cell r="A63">
            <v>44287</v>
          </cell>
          <cell r="B63">
            <v>104265.32101</v>
          </cell>
        </row>
        <row r="64">
          <cell r="A64">
            <v>44291</v>
          </cell>
          <cell r="B64">
            <v>104913.65434499999</v>
          </cell>
        </row>
        <row r="65">
          <cell r="A65">
            <v>44292</v>
          </cell>
          <cell r="B65">
            <v>104693.73469599998</v>
          </cell>
        </row>
        <row r="66">
          <cell r="A66">
            <v>44293</v>
          </cell>
          <cell r="B66">
            <v>105069.72631999999</v>
          </cell>
        </row>
        <row r="67">
          <cell r="A67">
            <v>44294</v>
          </cell>
          <cell r="B67">
            <v>105303.31278599997</v>
          </cell>
        </row>
        <row r="68">
          <cell r="A68">
            <v>44295</v>
          </cell>
          <cell r="B68">
            <v>104959.044482</v>
          </cell>
        </row>
        <row r="69">
          <cell r="A69">
            <v>44298</v>
          </cell>
          <cell r="B69">
            <v>104550.42049399999</v>
          </cell>
        </row>
        <row r="70">
          <cell r="A70">
            <v>44299</v>
          </cell>
          <cell r="B70">
            <v>104547.63522599998</v>
          </cell>
        </row>
        <row r="71">
          <cell r="A71">
            <v>44300</v>
          </cell>
          <cell r="B71">
            <v>104694.301312</v>
          </cell>
        </row>
        <row r="72">
          <cell r="A72">
            <v>44301</v>
          </cell>
          <cell r="B72">
            <v>105007.02645899999</v>
          </cell>
        </row>
        <row r="73">
          <cell r="A73">
            <v>44302</v>
          </cell>
          <cell r="B73">
            <v>106065.49571699998</v>
          </cell>
        </row>
        <row r="74">
          <cell r="A74">
            <v>44305</v>
          </cell>
          <cell r="B74">
            <v>105919.57686899998</v>
          </cell>
        </row>
        <row r="75">
          <cell r="A75">
            <v>44306</v>
          </cell>
          <cell r="B75">
            <v>106794.10499899999</v>
          </cell>
        </row>
        <row r="76">
          <cell r="A76">
            <v>44307</v>
          </cell>
          <cell r="B76">
            <v>107044.19466299997</v>
          </cell>
        </row>
        <row r="77">
          <cell r="A77">
            <v>44308</v>
          </cell>
          <cell r="B77">
            <v>106301.64020799997</v>
          </cell>
        </row>
        <row r="78">
          <cell r="A78">
            <v>44309</v>
          </cell>
          <cell r="B78">
            <v>106778.71884799996</v>
          </cell>
        </row>
        <row r="79">
          <cell r="A79">
            <v>44312</v>
          </cell>
          <cell r="B79">
            <v>106118.67017699996</v>
          </cell>
        </row>
        <row r="80">
          <cell r="A80">
            <v>44313</v>
          </cell>
          <cell r="B80">
            <v>106252.34686399996</v>
          </cell>
        </row>
        <row r="81">
          <cell r="A81">
            <v>44314</v>
          </cell>
          <cell r="B81">
            <v>106021.56892099995</v>
          </cell>
        </row>
        <row r="82">
          <cell r="A82">
            <v>44315</v>
          </cell>
          <cell r="B82">
            <v>106597.54811099995</v>
          </cell>
        </row>
        <row r="83">
          <cell r="A83">
            <v>44316</v>
          </cell>
          <cell r="B83">
            <v>106668.72028199997</v>
          </cell>
        </row>
        <row r="84">
          <cell r="A84">
            <v>44319</v>
          </cell>
          <cell r="B84">
            <v>107449.01745899997</v>
          </cell>
        </row>
        <row r="85">
          <cell r="A85">
            <v>44320</v>
          </cell>
          <cell r="B85">
            <v>107537.81860899995</v>
          </cell>
        </row>
        <row r="86">
          <cell r="A86">
            <v>44321</v>
          </cell>
          <cell r="B86">
            <v>107478.53535199995</v>
          </cell>
        </row>
        <row r="87">
          <cell r="A87">
            <v>44322</v>
          </cell>
          <cell r="B87">
            <v>108316.24006899995</v>
          </cell>
        </row>
        <row r="88">
          <cell r="A88">
            <v>44323</v>
          </cell>
          <cell r="B88">
            <v>108244.04953499995</v>
          </cell>
        </row>
        <row r="89">
          <cell r="A89">
            <v>44326</v>
          </cell>
          <cell r="B89">
            <v>108130.58676699996</v>
          </cell>
        </row>
        <row r="90">
          <cell r="A90">
            <v>44327</v>
          </cell>
          <cell r="B90">
            <v>107535.53821699995</v>
          </cell>
        </row>
        <row r="91">
          <cell r="A91">
            <v>44328</v>
          </cell>
          <cell r="B91">
            <v>106401.04296899996</v>
          </cell>
        </row>
        <row r="92">
          <cell r="A92">
            <v>44329</v>
          </cell>
          <cell r="B92">
            <v>107282.57703899997</v>
          </cell>
        </row>
        <row r="93">
          <cell r="A93">
            <v>44330</v>
          </cell>
          <cell r="B93">
            <v>107706.40714199997</v>
          </cell>
        </row>
        <row r="94">
          <cell r="A94">
            <v>44333</v>
          </cell>
          <cell r="B94">
            <v>107981.14355699994</v>
          </cell>
        </row>
        <row r="95">
          <cell r="A95">
            <v>44334</v>
          </cell>
          <cell r="B95">
            <v>107804.03520799994</v>
          </cell>
        </row>
        <row r="96">
          <cell r="A96">
            <v>44335</v>
          </cell>
          <cell r="B96">
            <v>107689.20406299995</v>
          </cell>
        </row>
        <row r="97">
          <cell r="A97">
            <v>44336</v>
          </cell>
          <cell r="B97">
            <v>107639.76138699995</v>
          </cell>
        </row>
        <row r="98">
          <cell r="A98">
            <v>44337</v>
          </cell>
          <cell r="B98">
            <v>107717.14935399994</v>
          </cell>
        </row>
        <row r="99">
          <cell r="A99">
            <v>44340</v>
          </cell>
          <cell r="B99">
            <v>107733.62590199994</v>
          </cell>
        </row>
        <row r="100">
          <cell r="A100">
            <v>44341</v>
          </cell>
          <cell r="B100">
            <v>107268.12664499992</v>
          </cell>
        </row>
        <row r="101">
          <cell r="A101">
            <v>44342</v>
          </cell>
          <cell r="B101">
            <v>106991.77692199993</v>
          </cell>
        </row>
        <row r="102">
          <cell r="A102">
            <v>44343</v>
          </cell>
          <cell r="B102">
            <v>107062.68493299992</v>
          </cell>
        </row>
        <row r="103">
          <cell r="A103">
            <v>44344</v>
          </cell>
          <cell r="B103">
            <v>107112.17161999994</v>
          </cell>
        </row>
        <row r="104">
          <cell r="A104">
            <v>44348</v>
          </cell>
          <cell r="B104">
            <v>107250.39384499993</v>
          </cell>
        </row>
        <row r="105">
          <cell r="A105">
            <v>44349</v>
          </cell>
          <cell r="B105">
            <v>106774.73353299992</v>
          </cell>
        </row>
        <row r="106">
          <cell r="A106">
            <v>44350</v>
          </cell>
          <cell r="B106">
            <v>107222.43430699992</v>
          </cell>
        </row>
        <row r="107">
          <cell r="A107">
            <v>44351</v>
          </cell>
          <cell r="B107">
            <v>107678.10628699992</v>
          </cell>
        </row>
        <row r="108">
          <cell r="A108">
            <v>44354</v>
          </cell>
          <cell r="B108">
            <v>107348.49499699993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3" xr16:uid="{BD0DED8F-3D60-48C6-9309-EC21DA88FF10}" autoFormatId="16" applyNumberFormats="0" applyBorderFormats="0" applyFontFormats="0" applyPatternFormats="0" applyAlignmentFormats="0" applyWidthHeightFormats="0">
  <queryTableRefresh nextId="9" unboundColumnsRight="1">
    <queryTableFields count="3">
      <queryTableField id="1" name="Date" tableColumnId="1"/>
      <queryTableField id="6" name="Adj Close" tableColumnId="6"/>
      <queryTableField id="8" dataBound="0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1" xr16:uid="{DF14FB0C-517F-4354-B94F-9699457ADA8E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" tableColumnId="1"/>
      <queryTableField id="2" name="Adj Close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" connectionId="4" xr16:uid="{E3803DE1-0EE8-4E26-A820-9073D30F6EF0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Date" tableColumnId="1"/>
      <queryTableField id="2" name="Adj Close" tableColumnId="2"/>
      <queryTableField id="3" dataBound="0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" connectionId="5" xr16:uid="{28DD2CDF-9B8C-427C-845A-1FEF9AE17D62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Date" tableColumnId="1"/>
      <queryTableField id="2" name="Adj Close" tableColumnId="2"/>
      <queryTableField id="3" dataBound="0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" connectionId="6" xr16:uid="{C10D5757-B49B-47BB-A7B7-1C3BC5CC16CA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Date" tableColumnId="1"/>
      <queryTableField id="2" name="Adj Close" tableColumnId="2"/>
      <queryTableField id="3" dataBound="0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6" connectionId="7" xr16:uid="{78B0AB6A-6A69-4DD6-BA13-60C39D68032B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Date" tableColumnId="1"/>
      <queryTableField id="2" name="Adj Close" tableColumnId="2"/>
      <queryTableField id="3" dataBound="0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7" connectionId="8" xr16:uid="{8BAFD218-76BF-41BC-8E1B-553F2177073B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Date" tableColumnId="1"/>
      <queryTableField id="2" name="Adj Close" tableColumnId="2"/>
      <queryTableField id="3" dataBound="0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8" connectionId="9" xr16:uid="{F195519E-2ACD-418B-9F07-01FCA6D9F04C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Date" tableColumnId="1"/>
      <queryTableField id="2" name="Adj Close" tableColumnId="2"/>
      <queryTableField id="3" dataBound="0" tableColumnId="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9" connectionId="10" xr16:uid="{C3B6A328-8643-4366-BAD0-AB000717572C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Date" tableColumnId="1"/>
      <queryTableField id="2" name="Adj Close" tableColumnId="2"/>
      <queryTableField id="3" dataBound="0" tableColumnId="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0" connectionId="11" xr16:uid="{D75C1CDA-F6F7-4CA6-B620-7AD7D00C8D90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Date" tableColumnId="1"/>
      <queryTableField id="2" name="Adj Close" tableColumnId="2"/>
      <queryTableField id="3" dataBound="0" tableColumnId="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1" connectionId="12" xr16:uid="{9A28D26A-C59F-4D6C-87AC-992D2D8799F9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Date" tableColumnId="1"/>
      <queryTableField id="2" name="Adj Close" tableColumnId="2"/>
      <queryTableField id="3" dataBound="0" tableColumnId="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2" connectionId="13" xr16:uid="{93804A96-A89C-4C6D-A3CD-B646E5597130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Date" tableColumnId="1"/>
      <queryTableField id="2" name="Adj Close" tableColumnId="2"/>
      <queryTableField id="3" dataBound="0" tableColumnId="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3" connectionId="14" xr16:uid="{F23B1A34-4E05-4232-90A2-61EA8AD5F268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Date" tableColumnId="1"/>
      <queryTableField id="2" name="Adj Close" tableColumnId="2"/>
      <queryTableField id="3" dataBound="0" tableColumnId="3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4" connectionId="15" xr16:uid="{1FF3C8EB-614C-49CD-95AA-9C0616CC8339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Date" tableColumnId="1"/>
      <queryTableField id="2" name="Adj Close" tableColumnId="2"/>
      <queryTableField id="3" dataBound="0" tableColumnId="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5" connectionId="16" xr16:uid="{13BABDEF-D2D0-4D1D-A856-674E1F498D7E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Date" tableColumnId="1"/>
      <queryTableField id="2" name="Adj Close" tableColumnId="2"/>
      <queryTableField id="3" dataBound="0" tableColumnId="3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6" connectionId="17" xr16:uid="{99C671C1-9C64-45E0-9070-8FFDBB0593F5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Date" tableColumnId="1"/>
      <queryTableField id="2" name="Adj Close" tableColumnId="2"/>
      <queryTableField id="3" dataBound="0" tableColumnId="3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7" connectionId="18" xr16:uid="{70501A37-0681-476B-ADCF-80DD5220C40D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Date" tableColumnId="1"/>
      <queryTableField id="2" name="Adj Close" tableColumnId="2"/>
      <queryTableField id="3" dataBound="0" tableColumnId="3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8" connectionId="19" xr16:uid="{F1497EF1-BCD8-4799-AEA9-5E8D47C06D6D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Date" tableColumnId="1"/>
      <queryTableField id="2" name="Adj Close" tableColumnId="2"/>
      <queryTableField id="3" dataBound="0" tableColumnId="3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9" connectionId="20" xr16:uid="{D5E1D3E2-271D-473F-991A-F0A5009CD0DE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Date" tableColumnId="1"/>
      <queryTableField id="2" name="Adj Close" tableColumnId="2"/>
      <queryTableField id="3" dataBound="0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42F5EB6-B437-46FF-A092-A9FF8D5CAAA2}" name="Long0" displayName="Long0" ref="G2:I2257" tableType="queryTable" totalsRowShown="0" headerRowBorderDxfId="72">
  <autoFilter ref="G2:I2257" xr:uid="{BF2A8B5C-C1F0-49E5-A880-54FF69BAFEC8}"/>
  <tableColumns count="3">
    <tableColumn id="1" xr3:uid="{57B34958-3583-43C6-BDE4-B560D849E333}" uniqueName="1" name="Date" queryTableFieldId="1" dataDxfId="5"/>
    <tableColumn id="6" xr3:uid="{35E026A4-942C-4B9D-91C6-0AA43BC92C70}" uniqueName="6" name="Adj Close" queryTableFieldId="6"/>
    <tableColumn id="8" xr3:uid="{C18C450C-5D56-4A91-95DA-A5FD9B2EDFB5}" uniqueName="8" name="Daily%" queryTableFieldId="8" dataDxfId="4">
      <calculatedColumnFormula>IF(ISBLANK(H4), "", Long0[[#This Row],[Adj Close]]/H4-1)</calculatedColumnFormula>
    </tableColumn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57A82C1-8515-4A82-93E3-2118629E4725}" name="GSPC" displayName="GSPC" ref="A2:F2789" tableType="queryTable" totalsRowShown="0" headerRowDxfId="3" headerRowBorderDxfId="71">
  <autoFilter ref="A2:F2789" xr:uid="{B0E2A0A4-FFC4-4E3D-AA6A-E1EFC0077121}"/>
  <tableColumns count="6">
    <tableColumn id="1" xr3:uid="{A0B1BE48-ED9A-4B19-B29D-E5496CEA04B9}" uniqueName="1" name="Date" queryTableFieldId="1" dataDxfId="8"/>
    <tableColumn id="2" xr3:uid="{8775250E-AE86-4B28-B049-BF5C4B1CBBD8}" uniqueName="2" name="Adj Close" queryTableFieldId="2" dataDxfId="7"/>
    <tableColumn id="3" xr3:uid="{E0490562-5DF3-4014-989D-7EB397E11C82}" uniqueName="3" name="Daily%" queryTableFieldId="3" dataDxfId="6">
      <calculatedColumnFormula>IF(ISBLANK(B4), "", GSPC[[#This Row],[Adj Close]]/B4-1)</calculatedColumnFormula>
    </tableColumn>
    <tableColumn id="4" xr3:uid="{F2BE9DCA-4A68-44B8-B1C4-0A879FEC827F}" uniqueName="4" name="Long Exp." queryTableFieldId="4" dataDxfId="2">
      <calculatedColumnFormula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calculatedColumnFormula>
    </tableColumn>
    <tableColumn id="5" xr3:uid="{844ED39C-E1FA-4754-A0D3-44D1D8EAECD8}" uniqueName="5" name="Short Exp." queryTableFieldId="5" dataDxfId="1">
      <calculatedColumnFormula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calculatedColumnFormula>
    </tableColumn>
    <tableColumn id="6" xr3:uid="{F6957EDD-7FC3-42C3-A4A6-68C14B16186A}" uniqueName="6" name="Daily%2" queryTableFieldId="6" dataDxfId="0">
      <calculatedColumnFormula>IF(ISBLANK(GSPC[[#This Row],[Long Exp.]]), "", (GSPC[[#This Row],[Long Exp.]]/D4-1)+(E4/GSPC[[#This Row],[Short Exp.]]-1))</calculatedColumnFormula>
    </tableColumn>
  </tableColumns>
  <tableStyleInfo name="TableStyleLight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E210FD2-B7BD-4903-B6DD-59E503339422}" name="Long1" displayName="Long1" ref="J2:L1028" tableType="queryTable" totalsRowShown="0" headerRowBorderDxfId="70">
  <autoFilter ref="J2:L1028" xr:uid="{FB180B0C-C342-42E9-B874-CD426660858E}"/>
  <tableColumns count="3">
    <tableColumn id="1" xr3:uid="{3129630A-3706-43E5-93A2-3C3BA9E20DD1}" uniqueName="1" name="Date" queryTableFieldId="1" dataDxfId="10"/>
    <tableColumn id="2" xr3:uid="{0FF13F3B-14FE-4BD8-A351-BEE51DD9E91E}" uniqueName="2" name="Adj Close" queryTableFieldId="2"/>
    <tableColumn id="3" xr3:uid="{F64D1635-1417-44B6-A018-66140DCA5085}" uniqueName="3" name="Daily%" queryTableFieldId="3" dataDxfId="9">
      <calculatedColumnFormula>IF(ISBLANK(K4),"",Long1[[#This Row],[Adj Close]]/K4-1)</calculatedColumnFormula>
    </tableColumn>
  </tableColumns>
  <tableStyleInfo name="TableStyleLight1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ACE8FE1-C6B8-47CF-A3F9-CDC20A2D991E}" name="Long2" displayName="Long2" ref="M2:O1847" tableType="queryTable" totalsRowShown="0" headerRowBorderDxfId="69">
  <autoFilter ref="M2:O1847" xr:uid="{F1ABA9FA-A5F0-4BEA-80B1-BC199F240DBD}"/>
  <tableColumns count="3">
    <tableColumn id="1" xr3:uid="{D285152F-C73F-4D9B-92E1-0981205752D8}" uniqueName="1" name="Date" queryTableFieldId="1" dataDxfId="12"/>
    <tableColumn id="2" xr3:uid="{1AD71F20-A473-4D86-9F4F-BEEAE52A22FA}" uniqueName="2" name="Adj Close" queryTableFieldId="2"/>
    <tableColumn id="3" xr3:uid="{628A1A1F-D2C2-476F-819F-FABA2B187DB3}" uniqueName="3" name="Daily%" queryTableFieldId="3" dataDxfId="11">
      <calculatedColumnFormula>IF(ISBLANK(N4),"",Long2[[#This Row],[Adj Close]]/N4-1)</calculatedColumnFormula>
    </tableColumn>
  </tableColumns>
  <tableStyleInfo name="TableStyleLight1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A6557A0-3190-4399-AB1C-2FD6D9C5F911}" name="Long3" displayName="Long3" ref="P2:R2257" tableType="queryTable" totalsRowShown="0" headerRowBorderDxfId="68">
  <autoFilter ref="P2:R2257" xr:uid="{419842D8-C48B-4EB0-8138-B02388C6F6D9}"/>
  <tableColumns count="3">
    <tableColumn id="1" xr3:uid="{0B3F13DF-A511-4A5A-8F0F-1047BFFB1E39}" uniqueName="1" name="Date" queryTableFieldId="1" dataDxfId="14"/>
    <tableColumn id="2" xr3:uid="{F6F33214-17AA-4597-8282-9BFEAA7F9EEF}" uniqueName="2" name="Adj Close" queryTableFieldId="2"/>
    <tableColumn id="3" xr3:uid="{45B72133-B106-4BAF-81AA-1F01D68164AB}" uniqueName="3" name="Daily%" queryTableFieldId="3" dataDxfId="13">
      <calculatedColumnFormula>IF(ISBLANK(Q4),"",Long3[[#This Row],[Adj Close]]/Q4-1)</calculatedColumnFormula>
    </tableColumn>
  </tableColumns>
  <tableStyleInfo name="TableStyleLight13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C38D1F4-419E-4C45-85C0-9C188F470DAA}" name="Long4" displayName="Long4" ref="S2:U1403" tableType="queryTable" totalsRowShown="0" headerRowBorderDxfId="67">
  <autoFilter ref="S2:U1403" xr:uid="{3A044AF5-C995-43BA-A179-940E0433881F}"/>
  <tableColumns count="3">
    <tableColumn id="1" xr3:uid="{514E8A9A-9935-4A3B-8B61-AAA17099933F}" uniqueName="1" name="Date" queryTableFieldId="1" dataDxfId="16"/>
    <tableColumn id="2" xr3:uid="{89E52F97-1ABC-434C-A770-5934E9CCA73F}" uniqueName="2" name="Adj Close" queryTableFieldId="2"/>
    <tableColumn id="3" xr3:uid="{160DD964-AB1D-4B1F-8B44-62466764F204}" uniqueName="3" name="Daily%" queryTableFieldId="3" dataDxfId="15">
      <calculatedColumnFormula>IF(ISBLANK(T4),"",Long4[[#This Row],[Adj Close]]/T4-1)</calculatedColumnFormula>
    </tableColumn>
  </tableColumns>
  <tableStyleInfo name="TableStyleLight1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B107504-899E-4DF0-84B2-1612AF9AF512}" name="Long5" displayName="Long5" ref="V2:X419" tableType="queryTable" totalsRowShown="0" headerRowBorderDxfId="66">
  <autoFilter ref="V2:X419" xr:uid="{A5A60566-0A33-4153-9D18-DC9427B408AE}"/>
  <tableColumns count="3">
    <tableColumn id="1" xr3:uid="{29FE0DF3-F890-4B28-B93C-F78CAA834BFE}" uniqueName="1" name="Date" queryTableFieldId="1" dataDxfId="18"/>
    <tableColumn id="2" xr3:uid="{B4C6EAB5-7CC0-4A5E-97B1-89C33AAC69C5}" uniqueName="2" name="Adj Close" queryTableFieldId="2"/>
    <tableColumn id="3" xr3:uid="{38FA9D3A-7844-4E9B-B881-C5FB31A547E7}" uniqueName="3" name="Daily%" queryTableFieldId="3" dataDxfId="17">
      <calculatedColumnFormula>IF(ISBLANK(W4),"",Long5[[#This Row],[Adj Close]]/W4-1)</calculatedColumnFormula>
    </tableColumn>
  </tableColumns>
  <tableStyleInfo name="TableStyleLight13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04EB4BC-1C08-4D93-B9AF-D4ADB61B1856}" name="Long6" displayName="Long6" ref="Y2:AA1419" tableType="queryTable" totalsRowShown="0" headerRowBorderDxfId="65">
  <autoFilter ref="Y2:AA1419" xr:uid="{F869B31C-AEAB-4EBB-AB5F-4180B9367C23}"/>
  <tableColumns count="3">
    <tableColumn id="1" xr3:uid="{FCF0C791-99A5-46D5-82D0-ECC6620DF22D}" uniqueName="1" name="Date" queryTableFieldId="1" dataDxfId="20"/>
    <tableColumn id="2" xr3:uid="{F56ABC23-30AE-42CB-B2C7-226803D5F14A}" uniqueName="2" name="Adj Close" queryTableFieldId="2"/>
    <tableColumn id="3" xr3:uid="{49FEDDBE-16CC-42F7-85AD-552BDDD8C85C}" uniqueName="3" name="Daily%" queryTableFieldId="3" dataDxfId="19">
      <calculatedColumnFormula>IF(ISBLANK(Z4),"",Long6[[#This Row],[Adj Close]]/Z4-1)</calculatedColumnFormula>
    </tableColumn>
  </tableColumns>
  <tableStyleInfo name="TableStyleLight13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B09148B-7C30-43F2-973B-1FE47CDE612E}" name="Long7" displayName="Long7" ref="AB2:AD3" tableType="queryTable" totalsRowShown="0" headerRowBorderDxfId="64">
  <autoFilter ref="AB2:AD3" xr:uid="{33019FBE-65B3-43C0-AA54-77333C38693C}"/>
  <tableColumns count="3">
    <tableColumn id="1" xr3:uid="{DD47663B-DCA7-4185-A7BB-14627F7F9F64}" uniqueName="1" name="Date" queryTableFieldId="1" dataDxfId="23"/>
    <tableColumn id="2" xr3:uid="{8D7B5822-3C30-4432-9F1A-4AC59D3EAA8E}" uniqueName="2" name="Adj Close" queryTableFieldId="2" dataDxfId="22"/>
    <tableColumn id="3" xr3:uid="{AAC78CC7-DC97-43D9-94AE-99E054AF1471}" uniqueName="3" name="Daily%" queryTableFieldId="3" dataDxfId="21">
      <calculatedColumnFormula>IF(ISBLANK(AC4),"",Long7[[#This Row],[Adj Close]]/AC4-1)</calculatedColumnFormula>
    </tableColumn>
  </tableColumns>
  <tableStyleInfo name="TableStyleLight13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EBAD2B8-BBF1-4663-9962-A885653A154F}" name="Long8" displayName="Long8" ref="AE2:AG3" tableType="queryTable" totalsRowShown="0" headerRowBorderDxfId="63">
  <autoFilter ref="AE2:AG3" xr:uid="{1DCE2043-6DC8-4879-98EA-4CFDB6B91CFE}"/>
  <tableColumns count="3">
    <tableColumn id="1" xr3:uid="{62C05085-1196-4684-8028-996E938E4374}" uniqueName="1" name="Date" queryTableFieldId="1" dataDxfId="25"/>
    <tableColumn id="2" xr3:uid="{091D91A2-16FC-4A23-8F38-A2D3E50399DD}" uniqueName="2" name="Adj Close" queryTableFieldId="2" dataDxfId="24"/>
    <tableColumn id="3" xr3:uid="{76062325-0AA3-4574-A8C2-A73DC37E7BDF}" uniqueName="3" name="Daily%" queryTableFieldId="3">
      <calculatedColumnFormula>IF(ISBLANK(AF4),"",Long8[[#This Row],[Adj Close]]/WAC-1)</calculatedColumnFormula>
    </tableColumn>
  </tableColumns>
  <tableStyleInfo name="TableStyleLight13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E3FE65E-E642-45FA-AE04-D4091AEE470B}" name="Short0" displayName="Short0" ref="AH2:AJ966" tableType="queryTable" totalsRowShown="0" headerRowBorderDxfId="62" tableBorderDxfId="61">
  <autoFilter ref="AH2:AJ966" xr:uid="{204A577B-31E8-451A-82A4-3FF80529B596}"/>
  <tableColumns count="3">
    <tableColumn id="1" xr3:uid="{5A44EA78-9886-4327-B527-5B60B489927B}" uniqueName="1" name="Date" queryTableFieldId="1" dataDxfId="28"/>
    <tableColumn id="2" xr3:uid="{FB5FC6E8-4D0C-4C76-ABC4-0F72A98F6323}" uniqueName="2" name="Adj Close" queryTableFieldId="2" dataDxfId="27"/>
    <tableColumn id="3" xr3:uid="{5E9B2D64-6199-41D2-A48D-8F0199074D5B}" uniqueName="3" name="Daily%" queryTableFieldId="3" dataDxfId="26">
      <calculatedColumnFormula>IF(ISBLANK(AI4),"",Short0[[#This Row],[Adj Close]]/AI4-1)</calculatedColumnFormula>
    </tableColumn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F19B570-23CE-457E-A1E1-B4F355578E05}" name="Short1" displayName="Short1" ref="AK2:AM1992" tableType="queryTable" totalsRowShown="0" headerRowBorderDxfId="60">
  <autoFilter ref="AK2:AM1992" xr:uid="{5024F6DE-8467-4ACE-A766-FA8E7B442F0E}"/>
  <tableColumns count="3">
    <tableColumn id="1" xr3:uid="{77210951-4499-4F8B-8936-C42CA862D51F}" uniqueName="1" name="Date" queryTableFieldId="1" dataDxfId="31"/>
    <tableColumn id="2" xr3:uid="{C18BB5D4-D965-43BB-8223-D93A9393A79A}" uniqueName="2" name="Adj Close" queryTableFieldId="2" dataDxfId="30"/>
    <tableColumn id="3" xr3:uid="{3C819A9A-207E-42A9-B0B7-6DB6D518EC9B}" uniqueName="3" name="Daily%" queryTableFieldId="3" dataDxfId="29">
      <calculatedColumnFormula>IF(ISBLANK(AL4),"",Short1[[#This Row],[Adj Close]]/AL4-1)</calculatedColumnFormula>
    </tableColumn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4E09701-7748-4FB2-A759-8CC20505CFB4}" name="Short2" displayName="Short2" ref="AN2:AP2257" tableType="queryTable" totalsRowShown="0" headerRowBorderDxfId="59">
  <autoFilter ref="AN2:AP2257" xr:uid="{60821755-E411-43A4-A46B-7CF0A26744B0}"/>
  <tableColumns count="3">
    <tableColumn id="1" xr3:uid="{398E351E-3514-41D0-AB40-AFAA8905C7FF}" uniqueName="1" name="Date" queryTableFieldId="1" dataDxfId="34"/>
    <tableColumn id="2" xr3:uid="{8BF21EFF-58A8-4DE6-9300-D4AF1FA61B07}" uniqueName="2" name="Adj Close" queryTableFieldId="2" dataDxfId="33"/>
    <tableColumn id="3" xr3:uid="{DAE5DD1D-0B01-4399-A619-FD8D387BFF6F}" uniqueName="3" name="Daily%" queryTableFieldId="3" dataDxfId="32">
      <calculatedColumnFormula>IF(ISBLANK(AO4),"",Short2[[#This Row],[Adj Close]]/AO4-1)</calculatedColumnFormula>
    </tableColumn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80D3A0D-A2D5-4595-9124-E638E7990BFA}" name="Short3" displayName="Short3" ref="AQ2:AS583" tableType="queryTable" totalsRowShown="0" headerRowBorderDxfId="58">
  <autoFilter ref="AQ2:AS583" xr:uid="{56DB48AA-FA3C-4137-BD4C-C6189C9E94BA}"/>
  <tableColumns count="3">
    <tableColumn id="1" xr3:uid="{83E1AB5D-23F6-4928-BBE6-D908A14F6DA4}" uniqueName="1" name="Date" queryTableFieldId="1" dataDxfId="37"/>
    <tableColumn id="2" xr3:uid="{5937C28F-2DD3-4D67-905A-BC242B199374}" uniqueName="2" name="Adj Close" queryTableFieldId="2" dataDxfId="36"/>
    <tableColumn id="3" xr3:uid="{4E3D5E2D-E306-4D15-AFF0-9C1183C0EB42}" uniqueName="3" name="Daily%" queryTableFieldId="3" dataDxfId="35">
      <calculatedColumnFormula>IF(ISBLANK(AR4),"",Short3[[#This Row],[Adj Close]]/AR4-1)</calculatedColumnFormula>
    </tableColumn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5E28887-45EC-4088-817C-67FBC65EAFAE}" name="Short4" displayName="Short4" ref="AT2:AV3" tableType="queryTable" totalsRowShown="0" headerRowBorderDxfId="57">
  <autoFilter ref="AT2:AV3" xr:uid="{60EC73F7-AD58-4408-BFE7-13DB53C9677B}"/>
  <tableColumns count="3">
    <tableColumn id="1" xr3:uid="{45E7B352-1E73-4B50-B0E8-303B30EF70D0}" uniqueName="1" name="Date" queryTableFieldId="1" dataDxfId="40"/>
    <tableColumn id="2" xr3:uid="{7726D56E-329A-432E-97D3-8DB104DB17A3}" uniqueName="2" name="Adj Close" queryTableFieldId="2" dataDxfId="39"/>
    <tableColumn id="3" xr3:uid="{9387DA93-08FB-4B5D-99FE-BCDADDF49645}" uniqueName="3" name="Daily%" queryTableFieldId="3" dataDxfId="38">
      <calculatedColumnFormula>IF(ISBLANK(AU4),"",Short4[[#This Row],[Adj Close]]/AU4-1)</calculatedColumnFormula>
    </tableColumn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B95F7C23-3204-436A-87DB-C3ADB1B1125D}" name="Short5" displayName="Short5" ref="AW2:AY3" tableType="queryTable" totalsRowShown="0" headerRowBorderDxfId="56">
  <autoFilter ref="AW2:AY3" xr:uid="{FD632486-50B8-4A8D-AD78-1896B19698D1}"/>
  <tableColumns count="3">
    <tableColumn id="1" xr3:uid="{82E61DE4-F40C-4A8F-8BF3-E12ADFC1794B}" uniqueName="1" name="Date" queryTableFieldId="1" dataDxfId="43"/>
    <tableColumn id="2" xr3:uid="{612B60A0-F876-4836-95BE-4217F605AE04}" uniqueName="2" name="Adj Close" queryTableFieldId="2" dataDxfId="42"/>
    <tableColumn id="3" xr3:uid="{B52F5D83-0EA7-47F0-877C-523703E402DD}" uniqueName="3" name="Daily%" queryTableFieldId="3" dataDxfId="41">
      <calculatedColumnFormula>IF(ISBLANK(AX4),"",Short5[[#This Row],[Adj Close]]/AX4-1)</calculatedColumnFormula>
    </tableColumn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841EF5A-8C8F-49BE-A2DD-854C46406C78}" name="Short6" displayName="Short6" ref="AZ2:BB3" tableType="queryTable" totalsRowShown="0" headerRowBorderDxfId="55">
  <autoFilter ref="AZ2:BB3" xr:uid="{3790A7C9-A34E-4E64-9906-5B53D258C19B}"/>
  <tableColumns count="3">
    <tableColumn id="1" xr3:uid="{AD3F9620-923D-4466-A813-9E2804BA59C1}" uniqueName="1" name="Date" queryTableFieldId="1" dataDxfId="46"/>
    <tableColumn id="2" xr3:uid="{E8921433-7E78-4B83-A8DF-873D43266726}" uniqueName="2" name="Adj Close" queryTableFieldId="2" dataDxfId="45"/>
    <tableColumn id="3" xr3:uid="{CCE01028-C9AC-43FD-968B-CB1A70A3E0C2}" uniqueName="3" name="Daily%" queryTableFieldId="3" dataDxfId="44">
      <calculatedColumnFormula>IF(ISBLANK(BA4),"",Short6[[#This Row],[Adj Close]]/BA4-1)</calculatedColumnFormula>
    </tableColumn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5AB0E38-E274-4F4E-84CF-8DEB758D8204}" name="Short7" displayName="Short7" ref="BC2:BE3" tableType="queryTable" totalsRowShown="0" headerRowBorderDxfId="54">
  <autoFilter ref="BC2:BE3" xr:uid="{EF895CF8-1B89-454F-B4EA-3CCC5132F99D}"/>
  <tableColumns count="3">
    <tableColumn id="1" xr3:uid="{6D2CDF95-84B2-48DA-95CE-333D95A840F6}" uniqueName="1" name="Date" queryTableFieldId="1" dataDxfId="49"/>
    <tableColumn id="2" xr3:uid="{366928E2-8098-48CB-9AF6-E159156D58F7}" uniqueName="2" name="Adj Close" queryTableFieldId="2" dataDxfId="48"/>
    <tableColumn id="3" xr3:uid="{6584C7E5-390E-426C-A4AF-BF0DC0DA0253}" uniqueName="3" name="Daily%" queryTableFieldId="3" dataDxfId="47">
      <calculatedColumnFormula>IF(ISBLANK(BD4),"",Short7[[#This Row],[Adj Close]]/BD4-1)</calculatedColumnFormula>
    </tableColumn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1B09ECA4-AC61-4690-A8B0-989692818B64}" name="Short8" displayName="Short8" ref="BF2:BH3" tableType="queryTable" totalsRowShown="0" headerRowBorderDxfId="53">
  <autoFilter ref="BF2:BH3" xr:uid="{7172087A-EC21-43C5-A4C0-A2769AD48C25}"/>
  <tableColumns count="3">
    <tableColumn id="1" xr3:uid="{2A64D55F-484B-41EC-B90E-B6F4AF06D509}" uniqueName="1" name="Date" queryTableFieldId="1" dataDxfId="52"/>
    <tableColumn id="2" xr3:uid="{1A310C08-358E-4FDE-9086-FED8EE70F928}" uniqueName="2" name="Adj Close" queryTableFieldId="2" dataDxfId="51"/>
    <tableColumn id="3" xr3:uid="{4BA493E5-DE99-494E-89A0-DB1106DCB09B}" uniqueName="3" name="Daily%" queryTableFieldId="3" dataDxfId="50">
      <calculatedColumnFormula>IF(ISBLANK(BG4),"",Short8[[#This Row],[Adj Close]]/BG4-1)</calculatedColumnFormula>
    </tableColumn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20" Type="http://schemas.openxmlformats.org/officeDocument/2006/relationships/table" Target="../tables/table19.xml"/><Relationship Id="rId1" Type="http://schemas.openxmlformats.org/officeDocument/2006/relationships/printerSettings" Target="../printerSettings/printerSettings4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7"/>
  <sheetViews>
    <sheetView workbookViewId="0">
      <selection activeCell="G15" sqref="G15"/>
    </sheetView>
  </sheetViews>
  <sheetFormatPr baseColWidth="10" defaultColWidth="9.140625" defaultRowHeight="15" x14ac:dyDescent="0.25"/>
  <cols>
    <col min="1" max="1" width="19.7109375" bestFit="1" customWidth="1"/>
    <col min="2" max="3" width="18.7109375" customWidth="1"/>
    <col min="4" max="4" width="18.7109375" style="44" customWidth="1"/>
    <col min="5" max="9" width="18.7109375" customWidth="1"/>
    <col min="12" max="12" width="25.140625" customWidth="1"/>
  </cols>
  <sheetData>
    <row r="1" spans="1:13" ht="15.75" thickBot="1" x14ac:dyDescent="0.3">
      <c r="A1" s="129" t="s">
        <v>0</v>
      </c>
      <c r="B1" s="130"/>
      <c r="C1" s="130"/>
      <c r="D1" s="130"/>
      <c r="E1" s="130"/>
      <c r="F1" s="130"/>
      <c r="G1" s="130"/>
      <c r="H1" s="130"/>
      <c r="I1" s="131"/>
    </row>
    <row r="2" spans="1:13" ht="30.75" thickBot="1" x14ac:dyDescent="0.3">
      <c r="A2" s="1" t="s">
        <v>1</v>
      </c>
      <c r="B2" s="2" t="s">
        <v>2</v>
      </c>
      <c r="C2" s="3" t="s">
        <v>3</v>
      </c>
      <c r="D2" s="41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123" t="s">
        <v>9</v>
      </c>
    </row>
    <row r="3" spans="1:13" x14ac:dyDescent="0.25">
      <c r="A3" s="4"/>
      <c r="B3" s="5" t="s">
        <v>22</v>
      </c>
      <c r="C3" s="31">
        <f>IF(ISBLANK(B3), "", SLOPE(Data!I3:I107,Data!C3:C107))</f>
        <v>0.9534899864438986</v>
      </c>
      <c r="D3" s="31">
        <f>IF(Data!H3="","", Data!H3)</f>
        <v>9.0950000000000006</v>
      </c>
      <c r="E3" s="111">
        <v>633</v>
      </c>
      <c r="F3" s="6">
        <f t="shared" ref="F3:F7" si="0">IF(OR(D3="",E3=""),"",(E3*D3))</f>
        <v>5757.1350000000002</v>
      </c>
      <c r="G3" s="6">
        <f t="shared" ref="G3:G7" si="1">IFERROR(ABS(F3),"")</f>
        <v>5757.1350000000002</v>
      </c>
      <c r="H3" s="7">
        <f t="shared" ref="H3:H11" si="2">IFERROR(F3/$G$27,"")</f>
        <v>6.3981275761110332E-2</v>
      </c>
      <c r="I3" s="124">
        <f t="shared" ref="I3:I11" si="3">IFERROR(H3*C3,"")</f>
        <v>6.1005505758124426E-2</v>
      </c>
      <c r="L3" t="s">
        <v>49</v>
      </c>
      <c r="M3">
        <v>5.99</v>
      </c>
    </row>
    <row r="4" spans="1:13" x14ac:dyDescent="0.25">
      <c r="A4" s="8"/>
      <c r="B4" s="9" t="s">
        <v>23</v>
      </c>
      <c r="C4" s="32">
        <f>IF(ISBLANK(B4), "", SLOPE(Data!L3:L107,Data!C3:C107))</f>
        <v>1.4170439783853066</v>
      </c>
      <c r="D4" s="42">
        <f>IF(Data!K3="","", Data!K3)</f>
        <v>48.77</v>
      </c>
      <c r="E4" s="112">
        <v>68</v>
      </c>
      <c r="F4" s="10">
        <f t="shared" si="0"/>
        <v>3316.36</v>
      </c>
      <c r="G4" s="10">
        <f t="shared" si="1"/>
        <v>3316.36</v>
      </c>
      <c r="H4" s="11">
        <f t="shared" si="2"/>
        <v>3.6855995852644742E-2</v>
      </c>
      <c r="I4" s="125">
        <f t="shared" si="3"/>
        <v>5.2226566990384068E-2</v>
      </c>
      <c r="M4" t="str">
        <f>":L" &amp; ROUND(M3*52, 0) &amp;"C"</f>
        <v>:L311C</v>
      </c>
    </row>
    <row r="5" spans="1:13" x14ac:dyDescent="0.25">
      <c r="A5" s="8"/>
      <c r="B5" s="9" t="s">
        <v>24</v>
      </c>
      <c r="C5" s="32">
        <f>IF(ISBLANK(B5), "", SLOPE(Data!O3:O107,Data!C3:C107))</f>
        <v>1.0092643750269121</v>
      </c>
      <c r="D5" s="42">
        <f>IF(Data!N3="","", Data!N3)</f>
        <v>33.389301000000003</v>
      </c>
      <c r="E5" s="112">
        <v>285</v>
      </c>
      <c r="F5" s="10">
        <f t="shared" si="0"/>
        <v>9515.9507850000009</v>
      </c>
      <c r="G5" s="10">
        <f t="shared" si="1"/>
        <v>9515.9507850000009</v>
      </c>
      <c r="H5" s="11">
        <f t="shared" si="2"/>
        <v>0.1057544544820018</v>
      </c>
      <c r="I5" s="125">
        <f t="shared" si="3"/>
        <v>0.10673420340908957</v>
      </c>
    </row>
    <row r="6" spans="1:13" x14ac:dyDescent="0.25">
      <c r="A6" s="8"/>
      <c r="B6" s="9" t="s">
        <v>52</v>
      </c>
      <c r="C6" s="32">
        <f>IF(ISBLANK(B6), "", SLOPE(Data!R3:R107,Data!C3:C107))</f>
        <v>0.65632219541971937</v>
      </c>
      <c r="D6" s="42">
        <f>IF(Data!Q3="","", Data!Q3)</f>
        <v>26.16</v>
      </c>
      <c r="E6" s="112">
        <v>373</v>
      </c>
      <c r="F6" s="10">
        <f t="shared" si="0"/>
        <v>9757.68</v>
      </c>
      <c r="G6" s="10">
        <f t="shared" si="1"/>
        <v>9757.68</v>
      </c>
      <c r="H6" s="11">
        <f t="shared" si="2"/>
        <v>0.10844088507020785</v>
      </c>
      <c r="I6" s="125">
        <f t="shared" si="3"/>
        <v>7.1172159762536283E-2</v>
      </c>
    </row>
    <row r="7" spans="1:13" x14ac:dyDescent="0.25">
      <c r="A7" s="8"/>
      <c r="B7" s="9" t="s">
        <v>51</v>
      </c>
      <c r="C7" s="32">
        <f>IF(ISBLANK(B7), "", SLOPE(Data!U3:U107,Data!C3:C107))</f>
        <v>1.0575674487197431</v>
      </c>
      <c r="D7" s="42">
        <f>IF(Data!T3="","", Data!T3)</f>
        <v>32.229999999999997</v>
      </c>
      <c r="E7" s="112">
        <v>102</v>
      </c>
      <c r="F7" s="10">
        <f t="shared" si="0"/>
        <v>3287.4599999999996</v>
      </c>
      <c r="G7" s="10">
        <f t="shared" si="1"/>
        <v>3287.4599999999996</v>
      </c>
      <c r="H7" s="11">
        <f t="shared" si="2"/>
        <v>3.6534818935741432E-2</v>
      </c>
      <c r="I7" s="125">
        <f t="shared" si="3"/>
        <v>3.8638035251309828E-2</v>
      </c>
    </row>
    <row r="8" spans="1:13" x14ac:dyDescent="0.25">
      <c r="A8" s="8"/>
      <c r="B8" s="9" t="s">
        <v>25</v>
      </c>
      <c r="C8" s="32">
        <f>IF(ISBLANK(B8), "", SLOPE(Data!X3:X107,Data!C3:C107))</f>
        <v>1.6172761354018261</v>
      </c>
      <c r="D8" s="42">
        <f>IF(Data!W3="","", Data!W3)</f>
        <v>204.66000399999999</v>
      </c>
      <c r="E8" s="112">
        <v>77</v>
      </c>
      <c r="F8" s="10">
        <f>IF(OR(D8="",E8=""),"",(E8*D8))</f>
        <v>15758.820307999998</v>
      </c>
      <c r="G8" s="10">
        <f>IFERROR(ABS(F8),"")</f>
        <v>15758.820307999998</v>
      </c>
      <c r="H8" s="11">
        <f t="shared" si="2"/>
        <v>0.17513388652444897</v>
      </c>
      <c r="I8" s="125">
        <f t="shared" si="3"/>
        <v>0.28323985517616279</v>
      </c>
    </row>
    <row r="9" spans="1:13" x14ac:dyDescent="0.25">
      <c r="A9" s="8"/>
      <c r="B9" s="9" t="s">
        <v>26</v>
      </c>
      <c r="C9" s="32">
        <f>IF(ISBLANK(B9), "", SLOPE(Data!AA3:AA107,Data!C3:C107))</f>
        <v>1.3064396398845346</v>
      </c>
      <c r="D9" s="42">
        <f>IF(Data!Z3="","", Data!Z3)</f>
        <v>156.240005</v>
      </c>
      <c r="E9" s="112">
        <v>42</v>
      </c>
      <c r="F9" s="10">
        <f t="shared" ref="F9:F11" si="4">IF(OR(D9="",E9=""),"",(E9*D9))</f>
        <v>6562.0802100000001</v>
      </c>
      <c r="G9" s="10">
        <f t="shared" ref="G9:G11" si="5">IFERROR(ABS(F9),"")</f>
        <v>6562.0802100000001</v>
      </c>
      <c r="H9" s="11">
        <f t="shared" si="2"/>
        <v>7.2926944301729038E-2</v>
      </c>
      <c r="I9" s="125">
        <f t="shared" si="3"/>
        <v>9.5274650851430401E-2</v>
      </c>
    </row>
    <row r="10" spans="1:13" x14ac:dyDescent="0.25">
      <c r="A10" s="8"/>
      <c r="B10" s="9"/>
      <c r="C10" s="32" t="str">
        <f>IF(ISBLANK(B10), "", SLOPE(Data!#REF!,Data!C3:C107))</f>
        <v/>
      </c>
      <c r="D10" s="42" t="str">
        <f>IF(Data!AC3="","", Data!AC3)</f>
        <v/>
      </c>
      <c r="E10" s="112"/>
      <c r="F10" s="10" t="str">
        <f t="shared" si="4"/>
        <v/>
      </c>
      <c r="G10" s="10" t="str">
        <f t="shared" si="5"/>
        <v/>
      </c>
      <c r="H10" s="11" t="str">
        <f t="shared" si="2"/>
        <v/>
      </c>
      <c r="I10" s="125" t="str">
        <f t="shared" si="3"/>
        <v/>
      </c>
    </row>
    <row r="11" spans="1:13" x14ac:dyDescent="0.25">
      <c r="A11" s="8"/>
      <c r="B11" s="9"/>
      <c r="C11" s="32" t="str">
        <f>IF(ISBLANK(B11), "", SLOPE(Data!AG3:AG107,Data!C3:C107))</f>
        <v/>
      </c>
      <c r="D11" s="42" t="str">
        <f>IF(Data!AF3="","", Data!AF3)</f>
        <v/>
      </c>
      <c r="E11" s="112"/>
      <c r="F11" s="10" t="str">
        <f t="shared" si="4"/>
        <v/>
      </c>
      <c r="G11" s="10" t="str">
        <f t="shared" si="5"/>
        <v/>
      </c>
      <c r="H11" s="11" t="str">
        <f t="shared" si="2"/>
        <v/>
      </c>
      <c r="I11" s="125" t="str">
        <f t="shared" si="3"/>
        <v/>
      </c>
    </row>
    <row r="12" spans="1:13" ht="15.75" thickBot="1" x14ac:dyDescent="0.3">
      <c r="A12" s="12"/>
      <c r="B12" s="13"/>
      <c r="C12" s="14"/>
      <c r="D12" s="42">
        <f>Long0[[#This Row],[Adj Close]]</f>
        <v>9.4980989999999998</v>
      </c>
      <c r="E12" s="15"/>
      <c r="F12" s="16">
        <f>SUM(F3:F11)</f>
        <v>53955.486302999998</v>
      </c>
      <c r="G12" s="16">
        <f>SUM(G3:G11)</f>
        <v>53955.486302999998</v>
      </c>
      <c r="H12" s="17">
        <f>SUM(H3:H11)</f>
        <v>0.59962826092788424</v>
      </c>
      <c r="I12" s="126">
        <f>SUM(I3:I11)</f>
        <v>0.70829097719903733</v>
      </c>
    </row>
    <row r="13" spans="1:13" ht="15.75" thickBot="1" x14ac:dyDescent="0.3">
      <c r="A13" s="132" t="s">
        <v>10</v>
      </c>
      <c r="B13" s="133"/>
      <c r="C13" s="133"/>
      <c r="D13" s="133"/>
      <c r="E13" s="133"/>
      <c r="F13" s="133"/>
      <c r="G13" s="133"/>
      <c r="H13" s="133"/>
      <c r="I13" s="134"/>
    </row>
    <row r="14" spans="1:13" ht="30.75" thickBot="1" x14ac:dyDescent="0.3">
      <c r="A14" s="1" t="s">
        <v>1</v>
      </c>
      <c r="B14" s="2" t="s">
        <v>2</v>
      </c>
      <c r="C14" s="3" t="s">
        <v>3</v>
      </c>
      <c r="D14" s="41" t="s">
        <v>4</v>
      </c>
      <c r="E14" s="3" t="s">
        <v>5</v>
      </c>
      <c r="F14" s="3" t="s">
        <v>6</v>
      </c>
      <c r="G14" s="3" t="s">
        <v>7</v>
      </c>
      <c r="H14" s="3" t="s">
        <v>8</v>
      </c>
      <c r="I14" s="123" t="s">
        <v>9</v>
      </c>
    </row>
    <row r="15" spans="1:13" x14ac:dyDescent="0.25">
      <c r="A15" s="4"/>
      <c r="B15" s="5" t="s">
        <v>50</v>
      </c>
      <c r="C15" s="31">
        <f>IF(ISBLANK(B15), "", SLOPE(Data!AJ3:AJ107,Data!C3:C107))</f>
        <v>0.90272260257137826</v>
      </c>
      <c r="D15" s="31">
        <f>IF(Data!AI3="","", Data!AI3)</f>
        <v>55.959999000000003</v>
      </c>
      <c r="E15" s="111">
        <v>163</v>
      </c>
      <c r="F15" s="6">
        <f>IF(OR(D15="",E15=""),"",-(E15*D15))</f>
        <v>-9121.4798370000008</v>
      </c>
      <c r="G15" s="6">
        <f t="shared" ref="G15:G19" si="6">IFERROR(ABS(F15),"")</f>
        <v>9121.4798370000008</v>
      </c>
      <c r="H15" s="7">
        <f t="shared" ref="H15:H23" si="7">IFERROR(F15/$G$27,"")</f>
        <v>-0.1013705457316017</v>
      </c>
      <c r="I15" s="124">
        <f t="shared" ref="I15:I23" si="8">IFERROR(H15*C15,"")</f>
        <v>-9.1509482866912406E-2</v>
      </c>
    </row>
    <row r="16" spans="1:13" x14ac:dyDescent="0.25">
      <c r="A16" s="8"/>
      <c r="B16" s="9" t="s">
        <v>19</v>
      </c>
      <c r="C16" s="32">
        <f>IF(ISBLANK(B16), "", SLOPE(Data!AM3:AM107,Data!C3:C107))</f>
        <v>1.358931175969176</v>
      </c>
      <c r="D16" s="32">
        <f>IF(Data!AL3="","", Data!AL3)</f>
        <v>74.25</v>
      </c>
      <c r="E16" s="112">
        <v>92</v>
      </c>
      <c r="F16" s="10">
        <f t="shared" ref="F16:F23" si="9">IF(OR(D16="",E16=""),"",-(E16*D16))</f>
        <v>-6831</v>
      </c>
      <c r="G16" s="10">
        <f t="shared" si="6"/>
        <v>6831</v>
      </c>
      <c r="H16" s="11">
        <f t="shared" si="7"/>
        <v>-7.5915554303337462E-2</v>
      </c>
      <c r="I16" s="125">
        <f t="shared" si="8"/>
        <v>-0.10316401348378622</v>
      </c>
    </row>
    <row r="17" spans="1:9" x14ac:dyDescent="0.25">
      <c r="A17" s="8"/>
      <c r="B17" s="9" t="s">
        <v>20</v>
      </c>
      <c r="C17" s="32">
        <f>IF(ISBLANK(B17), "", SLOPE(Data!AP3:AP107,Data!C3:C107))</f>
        <v>1.188710748853941</v>
      </c>
      <c r="D17" s="32">
        <f>IF(Data!AO3="","", Data!AO3)</f>
        <v>108.029999</v>
      </c>
      <c r="E17" s="112">
        <v>118</v>
      </c>
      <c r="F17" s="10">
        <f t="shared" si="9"/>
        <v>-12747.539882000001</v>
      </c>
      <c r="G17" s="10">
        <f t="shared" si="6"/>
        <v>12747.539882000001</v>
      </c>
      <c r="H17" s="11">
        <f t="shared" si="7"/>
        <v>-0.14166835838763447</v>
      </c>
      <c r="I17" s="125">
        <f t="shared" si="8"/>
        <v>-0.16840270038787347</v>
      </c>
    </row>
    <row r="18" spans="1:9" x14ac:dyDescent="0.25">
      <c r="A18" s="8"/>
      <c r="B18" s="9" t="s">
        <v>21</v>
      </c>
      <c r="C18" s="32">
        <f>IF(ISBLANK(B18), "", SLOPE(Data!AS3:AS107,Data!C3:C107))</f>
        <v>1.6876983955851679</v>
      </c>
      <c r="D18" s="32">
        <f>IF(Data!AR3="","", Data!AR3)</f>
        <v>100.356903</v>
      </c>
      <c r="E18" s="112">
        <v>73</v>
      </c>
      <c r="F18" s="10">
        <f t="shared" si="9"/>
        <v>-7326.053919</v>
      </c>
      <c r="G18" s="10">
        <f t="shared" si="6"/>
        <v>7326.053919</v>
      </c>
      <c r="H18" s="11">
        <f t="shared" si="7"/>
        <v>-8.1417280649542192E-2</v>
      </c>
      <c r="I18" s="125">
        <f t="shared" si="8"/>
        <v>-0.1374078139251397</v>
      </c>
    </row>
    <row r="19" spans="1:9" x14ac:dyDescent="0.25">
      <c r="A19" s="8"/>
      <c r="B19" s="9"/>
      <c r="C19" s="32" t="str">
        <f>IF(ISBLANK(B19), "", SLOPE(Data!#REF!,Data!C3:C107))</f>
        <v/>
      </c>
      <c r="D19" s="32" t="str">
        <f>IF(Data!AU3="","", Data!AU3)</f>
        <v/>
      </c>
      <c r="E19" s="112"/>
      <c r="F19" s="10" t="str">
        <f t="shared" si="9"/>
        <v/>
      </c>
      <c r="G19" s="10" t="str">
        <f t="shared" si="6"/>
        <v/>
      </c>
      <c r="H19" s="11" t="str">
        <f t="shared" si="7"/>
        <v/>
      </c>
      <c r="I19" s="125" t="str">
        <f t="shared" si="8"/>
        <v/>
      </c>
    </row>
    <row r="20" spans="1:9" x14ac:dyDescent="0.25">
      <c r="A20" s="8"/>
      <c r="B20" s="9"/>
      <c r="C20" s="32" t="str">
        <f>IF(ISBLANK(B20), "", SLOPE(Data!#REF!,Data!C3:C107))</f>
        <v/>
      </c>
      <c r="D20" s="32" t="str">
        <f>IF(Data!AX3="","", Data!AX3)</f>
        <v/>
      </c>
      <c r="E20" s="112"/>
      <c r="F20" s="10" t="str">
        <f t="shared" si="9"/>
        <v/>
      </c>
      <c r="G20" s="10" t="str">
        <f>IFERROR(ABS(F20),"")</f>
        <v/>
      </c>
      <c r="H20" s="11" t="str">
        <f t="shared" si="7"/>
        <v/>
      </c>
      <c r="I20" s="125" t="str">
        <f t="shared" si="8"/>
        <v/>
      </c>
    </row>
    <row r="21" spans="1:9" x14ac:dyDescent="0.25">
      <c r="A21" s="8"/>
      <c r="B21" s="9"/>
      <c r="C21" s="32" t="str">
        <f>IF(ISBLANK(B21), "", SLOPE(Data!#REF!,Data!C3:C107))</f>
        <v/>
      </c>
      <c r="D21" s="32" t="str">
        <f>IF(Data!BA3="","", Data!BA3)</f>
        <v/>
      </c>
      <c r="E21" s="112"/>
      <c r="F21" s="10" t="str">
        <f t="shared" si="9"/>
        <v/>
      </c>
      <c r="G21" s="10" t="str">
        <f t="shared" ref="G21:G23" si="10">IFERROR(ABS(F21),"")</f>
        <v/>
      </c>
      <c r="H21" s="11" t="str">
        <f t="shared" si="7"/>
        <v/>
      </c>
      <c r="I21" s="125" t="str">
        <f t="shared" si="8"/>
        <v/>
      </c>
    </row>
    <row r="22" spans="1:9" x14ac:dyDescent="0.25">
      <c r="A22" s="8"/>
      <c r="B22" s="9"/>
      <c r="C22" s="32" t="str">
        <f>IF(ISBLANK(B22), "", SLOPE(Data!#REF!,Data!C3:C107))</f>
        <v/>
      </c>
      <c r="D22" s="32" t="str">
        <f>IF(Data!BD3="","", Data!BD3)</f>
        <v/>
      </c>
      <c r="E22" s="112"/>
      <c r="F22" s="10" t="str">
        <f t="shared" si="9"/>
        <v/>
      </c>
      <c r="G22" s="10" t="str">
        <f t="shared" si="10"/>
        <v/>
      </c>
      <c r="H22" s="11" t="str">
        <f t="shared" si="7"/>
        <v/>
      </c>
      <c r="I22" s="125" t="str">
        <f t="shared" si="8"/>
        <v/>
      </c>
    </row>
    <row r="23" spans="1:9" x14ac:dyDescent="0.25">
      <c r="A23" s="8"/>
      <c r="B23" s="9"/>
      <c r="C23" s="32" t="str">
        <f>IF(ISBLANK(B23), "", SLOPE(Data!BH3:BH107,Data!C3:C107))</f>
        <v/>
      </c>
      <c r="D23" s="32" t="str">
        <f>IF(Data!BG3="","", Data!BG3)</f>
        <v/>
      </c>
      <c r="E23" s="112"/>
      <c r="F23" s="10" t="str">
        <f t="shared" si="9"/>
        <v/>
      </c>
      <c r="G23" s="10" t="str">
        <f t="shared" si="10"/>
        <v/>
      </c>
      <c r="H23" s="11" t="str">
        <f t="shared" si="7"/>
        <v/>
      </c>
      <c r="I23" s="125" t="str">
        <f t="shared" si="8"/>
        <v/>
      </c>
    </row>
    <row r="24" spans="1:9" ht="15.75" thickBot="1" x14ac:dyDescent="0.3">
      <c r="A24" s="18"/>
      <c r="B24" s="19"/>
      <c r="C24" s="20"/>
      <c r="D24" s="20"/>
      <c r="E24" s="19"/>
      <c r="F24" s="16">
        <f>SUM(F15:F23)</f>
        <v>-36026.073638000002</v>
      </c>
      <c r="G24" s="16">
        <f>SUM(G15:G23)</f>
        <v>36026.073638000002</v>
      </c>
      <c r="H24" s="17">
        <f>SUM(H15:H23)</f>
        <v>-0.40037173907211582</v>
      </c>
      <c r="I24" s="126">
        <f>SUM(I15:I23)</f>
        <v>-0.50048401066371184</v>
      </c>
    </row>
    <row r="25" spans="1:9" ht="15.75" thickBot="1" x14ac:dyDescent="0.3">
      <c r="A25" s="129" t="s">
        <v>11</v>
      </c>
      <c r="B25" s="130"/>
      <c r="C25" s="130"/>
      <c r="D25" s="130"/>
      <c r="E25" s="130"/>
      <c r="F25" s="130"/>
      <c r="G25" s="130"/>
      <c r="H25" s="130"/>
      <c r="I25" s="131"/>
    </row>
    <row r="26" spans="1:9" ht="15.75" thickBot="1" x14ac:dyDescent="0.3">
      <c r="A26" s="21"/>
      <c r="B26" s="22"/>
      <c r="C26" s="23"/>
      <c r="D26" s="43"/>
      <c r="E26" s="23"/>
      <c r="F26" s="23" t="s">
        <v>6</v>
      </c>
      <c r="G26" s="23" t="s">
        <v>7</v>
      </c>
      <c r="H26" s="23" t="s">
        <v>12</v>
      </c>
      <c r="I26" s="127" t="s">
        <v>13</v>
      </c>
    </row>
    <row r="27" spans="1:9" ht="15.75" thickBot="1" x14ac:dyDescent="0.3">
      <c r="A27" s="24"/>
      <c r="B27" s="25"/>
      <c r="C27" s="25"/>
      <c r="D27" s="28"/>
      <c r="E27" s="25"/>
      <c r="F27" s="26">
        <f>F24+F12</f>
        <v>17929.412664999996</v>
      </c>
      <c r="G27" s="26">
        <f>G24+G12</f>
        <v>89981.559941</v>
      </c>
      <c r="H27" s="27">
        <f>H12+H24</f>
        <v>0.19925652185576842</v>
      </c>
      <c r="I27" s="128">
        <f>I24+I12</f>
        <v>0.20780696653532549</v>
      </c>
    </row>
  </sheetData>
  <mergeCells count="3">
    <mergeCell ref="A1:I1"/>
    <mergeCell ref="A13:I13"/>
    <mergeCell ref="A25:I2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4739E-D14C-4704-860F-5CD85DC6EEA9}">
  <dimension ref="B1:F29"/>
  <sheetViews>
    <sheetView tabSelected="1" workbookViewId="0">
      <selection activeCell="G27" sqref="G27"/>
    </sheetView>
  </sheetViews>
  <sheetFormatPr baseColWidth="10" defaultRowHeight="15" x14ac:dyDescent="0.25"/>
  <cols>
    <col min="2" max="6" width="17.7109375" customWidth="1"/>
  </cols>
  <sheetData>
    <row r="1" spans="2:6" ht="15.75" thickBot="1" x14ac:dyDescent="0.3"/>
    <row r="2" spans="2:6" x14ac:dyDescent="0.25">
      <c r="B2" s="177" t="s">
        <v>57</v>
      </c>
      <c r="C2" s="178"/>
      <c r="D2" s="178"/>
      <c r="E2" s="178"/>
      <c r="F2" s="179" t="s">
        <v>72</v>
      </c>
    </row>
    <row r="3" spans="2:6" x14ac:dyDescent="0.25">
      <c r="B3" s="164"/>
      <c r="C3" s="165"/>
      <c r="D3" s="165"/>
      <c r="E3" s="165"/>
      <c r="F3" s="166"/>
    </row>
    <row r="4" spans="2:6" x14ac:dyDescent="0.25">
      <c r="B4" s="167" t="s">
        <v>58</v>
      </c>
      <c r="C4" s="168">
        <f ca="1">AVERAGE(INDIRECT(F2))</f>
        <v>-4.6281469228439661E-4</v>
      </c>
      <c r="D4" s="168"/>
      <c r="E4" s="168"/>
      <c r="F4" s="169"/>
    </row>
    <row r="5" spans="2:6" x14ac:dyDescent="0.25">
      <c r="B5" s="167" t="s">
        <v>59</v>
      </c>
      <c r="C5" s="168">
        <f ca="1">MEDIAN(INDIRECT(F2))</f>
        <v>-2.5766883902214044E-3</v>
      </c>
      <c r="D5" s="168"/>
      <c r="E5" s="168"/>
      <c r="F5" s="169"/>
    </row>
    <row r="6" spans="2:6" x14ac:dyDescent="0.25">
      <c r="B6" s="167" t="s">
        <v>60</v>
      </c>
      <c r="C6" s="168">
        <f ca="1">_xlfn.STDEV.S(INDIRECT(F2))</f>
        <v>3.2922146976449095E-2</v>
      </c>
      <c r="D6" s="168"/>
      <c r="E6" s="168"/>
      <c r="F6" s="169"/>
    </row>
    <row r="7" spans="2:6" x14ac:dyDescent="0.25">
      <c r="B7" s="167" t="s">
        <v>61</v>
      </c>
      <c r="C7" s="168">
        <f ca="1">_xlfn.VAR.S(INDIRECT(F2))</f>
        <v>1.0838677615389162E-3</v>
      </c>
      <c r="D7" s="168"/>
      <c r="E7" s="168"/>
      <c r="F7" s="169"/>
    </row>
    <row r="8" spans="2:6" x14ac:dyDescent="0.25">
      <c r="B8" s="167" t="s">
        <v>62</v>
      </c>
      <c r="C8" s="170">
        <f ca="1">KURT(INDIRECT(F2))</f>
        <v>2.0715526204646726</v>
      </c>
      <c r="D8" s="170"/>
      <c r="E8" s="170"/>
      <c r="F8" s="171"/>
    </row>
    <row r="9" spans="2:6" x14ac:dyDescent="0.25">
      <c r="B9" s="167" t="s">
        <v>63</v>
      </c>
      <c r="C9" s="170">
        <f ca="1">SKEW(INDIRECT(F2))</f>
        <v>0.52266510465515337</v>
      </c>
      <c r="D9" s="170"/>
      <c r="E9" s="170"/>
      <c r="F9" s="171"/>
    </row>
    <row r="10" spans="2:6" x14ac:dyDescent="0.25">
      <c r="B10" s="167" t="s">
        <v>64</v>
      </c>
      <c r="C10" s="168">
        <f ca="1">C12-C11</f>
        <v>0.28005516972605271</v>
      </c>
      <c r="D10" s="168"/>
      <c r="E10" s="168"/>
      <c r="F10" s="169"/>
    </row>
    <row r="11" spans="2:6" x14ac:dyDescent="0.25">
      <c r="B11" s="167" t="s">
        <v>65</v>
      </c>
      <c r="C11" s="168">
        <f ca="1">MIN(INDIRECT(F2))</f>
        <v>-0.1175105198253128</v>
      </c>
      <c r="D11" s="168"/>
      <c r="E11" s="168"/>
      <c r="F11" s="169"/>
    </row>
    <row r="12" spans="2:6" x14ac:dyDescent="0.25">
      <c r="B12" s="167" t="s">
        <v>66</v>
      </c>
      <c r="C12" s="168">
        <f ca="1">MAX(INDIRECT(F2))</f>
        <v>0.16254464990073991</v>
      </c>
      <c r="D12" s="168"/>
      <c r="E12" s="168"/>
      <c r="F12" s="169"/>
    </row>
    <row r="13" spans="2:6" x14ac:dyDescent="0.25">
      <c r="B13" s="172" t="s">
        <v>67</v>
      </c>
      <c r="C13" s="173">
        <f ca="1">COUNT(INDIRECT(F2))</f>
        <v>413</v>
      </c>
      <c r="D13" s="173"/>
      <c r="E13" s="173"/>
      <c r="F13" s="174"/>
    </row>
    <row r="14" spans="2:6" x14ac:dyDescent="0.25">
      <c r="B14" s="175" t="s">
        <v>68</v>
      </c>
      <c r="C14" s="73"/>
      <c r="D14" s="73"/>
      <c r="E14" s="73"/>
      <c r="F14" s="72"/>
    </row>
    <row r="15" spans="2:6" x14ac:dyDescent="0.25">
      <c r="B15" s="167" t="s">
        <v>69</v>
      </c>
      <c r="C15" s="176" t="s">
        <v>70</v>
      </c>
      <c r="D15" s="165" t="s">
        <v>64</v>
      </c>
      <c r="E15" s="165" t="s">
        <v>71</v>
      </c>
      <c r="F15" s="166" t="s">
        <v>73</v>
      </c>
    </row>
    <row r="16" spans="2:6" x14ac:dyDescent="0.25">
      <c r="B16" s="54">
        <f ca="1">$C$4-(3*$C$6)</f>
        <v>-9.9229255621631679E-2</v>
      </c>
      <c r="C16" s="73">
        <f ca="1">COUNTIF(INDIRECT(F2),"&lt;"&amp;B16)</f>
        <v>1</v>
      </c>
      <c r="D16" s="165" t="str">
        <f ca="1">"Less than "&amp;TEXT(B16,"0.00%")</f>
        <v>Less than -9.92%</v>
      </c>
      <c r="E16" s="53">
        <f ca="1">C16/$C$13</f>
        <v>2.4213075060532689E-3</v>
      </c>
      <c r="F16" s="118">
        <f ca="1">E16</f>
        <v>2.4213075060532689E-3</v>
      </c>
    </row>
    <row r="17" spans="2:6" x14ac:dyDescent="0.25">
      <c r="B17" s="54">
        <f ca="1">$C$4-(2.5*$C$6)</f>
        <v>-8.2768182133407142E-2</v>
      </c>
      <c r="C17" s="73">
        <f ca="1">COUNTIFS(INDIRECT($F$2),"&gt;="&amp;B16,INDIRECT($F$2),"&lt;"&amp;B17)</f>
        <v>2</v>
      </c>
      <c r="D17" s="165" t="str">
        <f ca="1">TEXT(B16,"0.00%")&amp;" to "&amp;TEXT(B17,"0.00%")</f>
        <v>-9.92% to -8.28%</v>
      </c>
      <c r="E17" s="53">
        <f t="shared" ref="E17:E29" ca="1" si="0">C17/$C$13</f>
        <v>4.8426150121065378E-3</v>
      </c>
      <c r="F17" s="118">
        <f ca="1">F16+E17</f>
        <v>7.2639225181598066E-3</v>
      </c>
    </row>
    <row r="18" spans="2:6" x14ac:dyDescent="0.25">
      <c r="B18" s="54">
        <f ca="1">$C$4-(2*$C$6)</f>
        <v>-6.6307108645182591E-2</v>
      </c>
      <c r="C18" s="73">
        <f ca="1">COUNTIFS(INDIRECT($F$2),"&gt;="&amp;B17,INDIRECT($F$2),"&lt;"&amp;B18)</f>
        <v>3</v>
      </c>
      <c r="D18" s="165" t="str">
        <f t="shared" ref="D18:D28" ca="1" si="1">TEXT(B17,"0.00%")&amp;" to "&amp;TEXT(B18,"0.00%")</f>
        <v>-8.28% to -6.63%</v>
      </c>
      <c r="E18" s="53">
        <f t="shared" ca="1" si="0"/>
        <v>7.2639225181598066E-3</v>
      </c>
      <c r="F18" s="118">
        <f t="shared" ref="F18:F29" ca="1" si="2">F17+E18</f>
        <v>1.4527845036319613E-2</v>
      </c>
    </row>
    <row r="19" spans="2:6" x14ac:dyDescent="0.25">
      <c r="B19" s="54">
        <f ca="1">$C$4-(1.5*$C$6)</f>
        <v>-4.9846035156958034E-2</v>
      </c>
      <c r="C19" s="73">
        <f ca="1">COUNTIFS(INDIRECT($F$2),"&gt;="&amp;B18,INDIRECT($F$2),"&lt;"&amp;B19)</f>
        <v>13</v>
      </c>
      <c r="D19" s="165" t="str">
        <f t="shared" ca="1" si="1"/>
        <v>-6.63% to -4.98%</v>
      </c>
      <c r="E19" s="53">
        <f t="shared" ca="1" si="0"/>
        <v>3.1476997578692496E-2</v>
      </c>
      <c r="F19" s="118">
        <f t="shared" ca="1" si="2"/>
        <v>4.6004842615012108E-2</v>
      </c>
    </row>
    <row r="20" spans="2:6" x14ac:dyDescent="0.25">
      <c r="B20" s="54">
        <f ca="1">$C$4-(1*$C$6)</f>
        <v>-3.338496166873349E-2</v>
      </c>
      <c r="C20" s="73">
        <f ca="1">COUNTIFS(INDIRECT($F$2),"&gt;="&amp;B19,INDIRECT($F$2),"&lt;"&amp;B20)</f>
        <v>35</v>
      </c>
      <c r="D20" s="165" t="str">
        <f t="shared" ca="1" si="1"/>
        <v>-4.98% to -3.34%</v>
      </c>
      <c r="E20" s="53">
        <f t="shared" ca="1" si="0"/>
        <v>8.4745762711864403E-2</v>
      </c>
      <c r="F20" s="118">
        <f t="shared" ca="1" si="2"/>
        <v>0.13075060532687652</v>
      </c>
    </row>
    <row r="21" spans="2:6" x14ac:dyDescent="0.25">
      <c r="B21" s="54">
        <f ca="1">$C$4-(0.5*$C$6)</f>
        <v>-1.6923888180508943E-2</v>
      </c>
      <c r="C21" s="73">
        <f ca="1">COUNTIFS(INDIRECT($F$2),"&gt;="&amp;B20,INDIRECT($F$2),"&lt;"&amp;B21)</f>
        <v>67</v>
      </c>
      <c r="D21" s="165" t="str">
        <f t="shared" ca="1" si="1"/>
        <v>-3.34% to -1.69%</v>
      </c>
      <c r="E21" s="53">
        <f t="shared" ca="1" si="0"/>
        <v>0.16222760290556901</v>
      </c>
      <c r="F21" s="118">
        <f t="shared" ca="1" si="2"/>
        <v>0.29297820823244553</v>
      </c>
    </row>
    <row r="22" spans="2:6" x14ac:dyDescent="0.25">
      <c r="B22" s="54">
        <f ca="1">$C$4</f>
        <v>-4.6281469228439661E-4</v>
      </c>
      <c r="C22" s="73">
        <f ca="1">COUNTIFS(INDIRECT($F$2),"&gt;="&amp;B21,INDIRECT($F$2),"&lt;"&amp;B22)</f>
        <v>98</v>
      </c>
      <c r="D22" s="165" t="str">
        <f t="shared" ca="1" si="1"/>
        <v>-1.69% to -0.05%</v>
      </c>
      <c r="E22" s="53">
        <f t="shared" ca="1" si="0"/>
        <v>0.23728813559322035</v>
      </c>
      <c r="F22" s="118">
        <f t="shared" ca="1" si="2"/>
        <v>0.53026634382566584</v>
      </c>
    </row>
    <row r="23" spans="2:6" x14ac:dyDescent="0.25">
      <c r="B23" s="54">
        <f ca="1">$C$4+(0.5*$C$6)</f>
        <v>1.5998258795940152E-2</v>
      </c>
      <c r="C23" s="73">
        <f ca="1">COUNTIFS(INDIRECT($F$2),"&gt;="&amp;B22,INDIRECT($F$2),"&lt;"&amp;B23)</f>
        <v>79</v>
      </c>
      <c r="D23" s="165" t="str">
        <f t="shared" ca="1" si="1"/>
        <v>-0.05% to 1.60%</v>
      </c>
      <c r="E23" s="53">
        <f t="shared" ca="1" si="0"/>
        <v>0.19128329297820823</v>
      </c>
      <c r="F23" s="118">
        <f t="shared" ca="1" si="2"/>
        <v>0.72154963680387407</v>
      </c>
    </row>
    <row r="24" spans="2:6" x14ac:dyDescent="0.25">
      <c r="B24" s="54">
        <f ca="1">$C$4+(1*$C$6)</f>
        <v>3.2459332284164699E-2</v>
      </c>
      <c r="C24" s="73">
        <f ca="1">COUNTIFS(INDIRECT($F$2),"&gt;="&amp;B23,INDIRECT($F$2),"&lt;"&amp;B24)</f>
        <v>62</v>
      </c>
      <c r="D24" s="165" t="str">
        <f t="shared" ca="1" si="1"/>
        <v>1.60% to 3.25%</v>
      </c>
      <c r="E24" s="53">
        <f t="shared" ca="1" si="0"/>
        <v>0.15012106537530268</v>
      </c>
      <c r="F24" s="118">
        <f t="shared" ca="1" si="2"/>
        <v>0.87167070217917675</v>
      </c>
    </row>
    <row r="25" spans="2:6" x14ac:dyDescent="0.25">
      <c r="B25" s="54">
        <f ca="1">$C$4+(1.5*$C$6)</f>
        <v>4.8920405772389243E-2</v>
      </c>
      <c r="C25" s="73">
        <f ca="1">COUNTIFS(INDIRECT($F$2),"&gt;="&amp;B24,INDIRECT($F$2),"&lt;"&amp;B25)</f>
        <v>27</v>
      </c>
      <c r="D25" s="165" t="str">
        <f t="shared" ca="1" si="1"/>
        <v>3.25% to 4.89%</v>
      </c>
      <c r="E25" s="53">
        <f t="shared" ca="1" si="0"/>
        <v>6.5375302663438259E-2</v>
      </c>
      <c r="F25" s="118">
        <f t="shared" ca="1" si="2"/>
        <v>0.93704600484261502</v>
      </c>
    </row>
    <row r="26" spans="2:6" x14ac:dyDescent="0.25">
      <c r="B26" s="54">
        <f ca="1">$C$4+(2*$C$6)</f>
        <v>6.5381479260613787E-2</v>
      </c>
      <c r="C26" s="73">
        <f ca="1">COUNTIFS(INDIRECT($F$2),"&gt;="&amp;B25,INDIRECT($F$2),"&lt;"&amp;B26)</f>
        <v>13</v>
      </c>
      <c r="D26" s="165" t="str">
        <f t="shared" ca="1" si="1"/>
        <v>4.89% to 6.54%</v>
      </c>
      <c r="E26" s="53">
        <f t="shared" ca="1" si="0"/>
        <v>3.1476997578692496E-2</v>
      </c>
      <c r="F26" s="118">
        <f t="shared" ca="1" si="2"/>
        <v>0.96852300242130751</v>
      </c>
    </row>
    <row r="27" spans="2:6" x14ac:dyDescent="0.25">
      <c r="B27" s="54">
        <f ca="1">$C$4+(2.5*$C$6)</f>
        <v>8.1842552748838338E-2</v>
      </c>
      <c r="C27" s="73">
        <f ca="1">COUNTIFS(INDIRECT($F$2),"&gt;="&amp;B26,INDIRECT($F$2),"&lt;"&amp;B27)</f>
        <v>3</v>
      </c>
      <c r="D27" s="165" t="str">
        <f t="shared" ca="1" si="1"/>
        <v>6.54% to 8.18%</v>
      </c>
      <c r="E27" s="53">
        <f t="shared" ca="1" si="0"/>
        <v>7.2639225181598066E-3</v>
      </c>
      <c r="F27" s="118">
        <f t="shared" ca="1" si="2"/>
        <v>0.97578692493946728</v>
      </c>
    </row>
    <row r="28" spans="2:6" x14ac:dyDescent="0.25">
      <c r="B28" s="54">
        <f ca="1">$C$4+(3*$C$6)</f>
        <v>9.8303626237062874E-2</v>
      </c>
      <c r="C28" s="73">
        <f ca="1">COUNTIFS(INDIRECT($F$2),"&gt;="&amp;B27,INDIRECT($F$2),"&lt;"&amp;B28)</f>
        <v>7</v>
      </c>
      <c r="D28" s="165" t="str">
        <f t="shared" ca="1" si="1"/>
        <v>8.18% to 9.83%</v>
      </c>
      <c r="E28" s="53">
        <f t="shared" ca="1" si="0"/>
        <v>1.6949152542372881E-2</v>
      </c>
      <c r="F28" s="118">
        <f t="shared" ca="1" si="2"/>
        <v>0.99273607748184012</v>
      </c>
    </row>
    <row r="29" spans="2:6" ht="15.75" thickBot="1" x14ac:dyDescent="0.3">
      <c r="B29" s="180"/>
      <c r="C29" s="66">
        <f ca="1">COUNTIF(INDIRECT($F$2),"&gt;="&amp;B28)</f>
        <v>3</v>
      </c>
      <c r="D29" s="181" t="str">
        <f ca="1">"Greater than "&amp;TEXT(B28,"0.00%")</f>
        <v>Greater than 9.83%</v>
      </c>
      <c r="E29" s="47">
        <f t="shared" ca="1" si="0"/>
        <v>7.2639225181598066E-3</v>
      </c>
      <c r="F29" s="182">
        <f t="shared" ca="1" si="2"/>
        <v>0.99999999999999989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8D40C-6D76-482B-B4F4-ECFCFD586D99}">
  <dimension ref="A1:AF60"/>
  <sheetViews>
    <sheetView topLeftCell="B10" zoomScaleNormal="100" workbookViewId="0">
      <selection activeCell="U54" sqref="U54"/>
    </sheetView>
  </sheetViews>
  <sheetFormatPr baseColWidth="10" defaultColWidth="9.140625" defaultRowHeight="15" x14ac:dyDescent="0.25"/>
  <cols>
    <col min="2" max="2" width="11.42578125" customWidth="1"/>
    <col min="3" max="12" width="8.85546875" customWidth="1"/>
    <col min="13" max="13" width="9.5703125" customWidth="1"/>
    <col min="14" max="20" width="8.85546875" customWidth="1"/>
    <col min="21" max="21" width="17.42578125" customWidth="1"/>
    <col min="22" max="22" width="13.28515625" customWidth="1"/>
    <col min="24" max="24" width="9.5703125" bestFit="1" customWidth="1"/>
  </cols>
  <sheetData>
    <row r="1" spans="1:32" ht="15" customHeight="1" x14ac:dyDescent="0.25">
      <c r="A1" s="136" t="s">
        <v>48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  <c r="AC1" s="137"/>
      <c r="AD1" s="137"/>
      <c r="AE1" s="137"/>
      <c r="AF1" s="138"/>
    </row>
    <row r="2" spans="1:32" ht="15" customHeight="1" x14ac:dyDescent="0.25">
      <c r="A2" s="139"/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1"/>
    </row>
    <row r="3" spans="1:32" ht="15" customHeight="1" thickBot="1" x14ac:dyDescent="0.3">
      <c r="A3" s="139"/>
      <c r="B3" s="140"/>
      <c r="C3" s="140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1"/>
    </row>
    <row r="4" spans="1:32" ht="17.25" customHeight="1" x14ac:dyDescent="0.25">
      <c r="A4" s="136" t="s">
        <v>47</v>
      </c>
      <c r="B4" s="137"/>
      <c r="C4" s="137"/>
      <c r="D4" s="137"/>
      <c r="E4" s="137"/>
      <c r="F4" s="137"/>
      <c r="G4" s="137"/>
      <c r="H4" s="137"/>
      <c r="I4" s="137"/>
      <c r="J4" s="137"/>
      <c r="K4" s="137"/>
      <c r="L4" s="137"/>
      <c r="M4" s="137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8"/>
    </row>
    <row r="5" spans="1:32" ht="15.75" customHeight="1" thickBot="1" x14ac:dyDescent="0.3">
      <c r="A5" s="142"/>
      <c r="B5" s="143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143"/>
      <c r="AB5" s="143"/>
      <c r="AC5" s="143"/>
      <c r="AD5" s="143"/>
      <c r="AE5" s="143"/>
      <c r="AF5" s="144"/>
    </row>
    <row r="6" spans="1:32" ht="15.75" customHeight="1" thickBot="1" x14ac:dyDescent="0.3">
      <c r="A6" s="151" t="s">
        <v>46</v>
      </c>
      <c r="B6" s="152"/>
      <c r="C6" s="152"/>
      <c r="D6" s="152"/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3"/>
    </row>
    <row r="7" spans="1:32" ht="15.75" thickBot="1" x14ac:dyDescent="0.3"/>
    <row r="8" spans="1:32" ht="15.75" thickBot="1" x14ac:dyDescent="0.3">
      <c r="B8" s="61" t="s">
        <v>2</v>
      </c>
      <c r="C8" s="63" t="str">
        <f ca="1">IF($B$9="","",$B$9)</f>
        <v>VTRS</v>
      </c>
      <c r="D8" s="63" t="str">
        <f ca="1">IF($B$10="","",$B$10)</f>
        <v>XPO</v>
      </c>
      <c r="E8" s="63" t="str">
        <f ca="1">IF($B$11="","",$B$11)</f>
        <v>MOS</v>
      </c>
      <c r="F8" s="63" t="str">
        <f ca="1">IF($B$12="","",$B$12)</f>
        <v>PPL</v>
      </c>
      <c r="G8" s="63" t="str">
        <f ca="1">IF($B$13="","",$B$13)</f>
        <v>TTEC</v>
      </c>
      <c r="H8" s="63" t="str">
        <f ca="1">IF($B$14="","",$B$14)</f>
        <v>WING</v>
      </c>
      <c r="I8" s="63" t="str">
        <f ca="1">IF($B$15="","",$B$15)</f>
        <v>OLED</v>
      </c>
      <c r="J8" s="63" t="str">
        <f ca="1">IF($B$16="","",$B$16)</f>
        <v>LVS</v>
      </c>
      <c r="K8" s="63" t="str">
        <f ca="1">IF($B$17="","",$B$17)</f>
        <v>BBY</v>
      </c>
      <c r="L8" s="63" t="str">
        <f ca="1">IF($B$18="","",$B$18)</f>
        <v>LEN</v>
      </c>
      <c r="M8" s="63" t="str">
        <f ca="1">IF($B$19="","",$B$19)</f>
        <v>SPLK</v>
      </c>
      <c r="N8" s="63" t="str">
        <f ca="1">IF($B$20="","",$B$20)</f>
        <v/>
      </c>
      <c r="O8" s="63" t="str">
        <f ca="1">IF($B$21="","",$B$21)</f>
        <v/>
      </c>
      <c r="P8" s="63" t="str">
        <f ca="1">IF($B$22="","",$B$22)</f>
        <v/>
      </c>
      <c r="Q8" s="63" t="str">
        <f ca="1">IF($B$23="","",$B$23)</f>
        <v/>
      </c>
      <c r="R8" s="63" t="str">
        <f ca="1">IF($B$24="","",$B$24)</f>
        <v/>
      </c>
      <c r="S8" s="63" t="str">
        <f ca="1">IF($B$25="","",$B$25)</f>
        <v/>
      </c>
      <c r="T8" s="63" t="str">
        <f ca="1">IF($B$26="","",$B$26)</f>
        <v/>
      </c>
      <c r="U8" s="62" t="s">
        <v>45</v>
      </c>
      <c r="V8" s="61" t="s">
        <v>44</v>
      </c>
    </row>
    <row r="9" spans="1:32" ht="15" customHeight="1" x14ac:dyDescent="0.25">
      <c r="A9" s="97"/>
      <c r="B9" s="113" t="str">
        <f ca="1">IF(COUNTBLANK(LongTickers) &lt; 9, Summary!B3, IF(COUNTBLANK(LongTickers)+COUNTBLANK(ShortTickers) &lt; 18, INDIRECT("Summary!B" &amp; 15 - 9 + COUNTBLANK(LongTickers)), "")   )</f>
        <v>VTRS</v>
      </c>
      <c r="C9" s="103">
        <f ca="1">IF(OR($B9 = "", C$8 = ""), "", _xlfn.COVARIANCE.S(INDIRECT("Data!L3C" &amp; (MATCH($B9,Data!$A$1:$BH$1,0)+2) &amp; LastRow &amp; (MATCH($B9,Data!$A$1:$BH$1,0)+2),FALSE), INDIRECT("Data!L3C" &amp; (MATCH(C$8,Data!$A$1:$BH$1,0)+2) &amp; LastRow &amp; (MATCH(C$8,Data!$A$1:$BH$1,0)+2),FALSE)))</f>
        <v>3.1339065084897743E-3</v>
      </c>
      <c r="D9" s="102">
        <f ca="1">IF(OR($B9 = "", D$8 = ""), "", _xlfn.COVARIANCE.S(INDIRECT("Data!L3C" &amp; (MATCH($B9,Data!$A$1:$BH$1,0)+2) &amp; LastRow &amp; (MATCH($B9,Data!$A$1:$BH$1,0)+2),FALSE), INDIRECT("Data!L3C" &amp; (MATCH(D$8,Data!$A$1:$BH$1,0)+2) &amp; LastRow &amp; (MATCH(D$8,Data!$A$1:$BH$1,0)+2),FALSE)))</f>
        <v>1.4116899195275752E-3</v>
      </c>
      <c r="E9" s="102">
        <f ca="1">IF(OR($B9 = "", E$8 = ""), "", _xlfn.COVARIANCE.S(INDIRECT("Data!L3C" &amp; (MATCH($B9,Data!$A$1:$BH$1,0)+2) &amp; LastRow &amp; (MATCH($B9,Data!$A$1:$BH$1,0)+2),FALSE), INDIRECT("Data!L3C" &amp; (MATCH(E$8,Data!$A$1:$BH$1,0)+2) &amp; LastRow &amp; (MATCH(E$8,Data!$A$1:$BH$1,0)+2),FALSE)))</f>
        <v>1.2854709818499745E-3</v>
      </c>
      <c r="F9" s="102">
        <f ca="1">IF(OR($B9 = "", F$8 = ""), "", _xlfn.COVARIANCE.S(INDIRECT("Data!L3C" &amp; (MATCH($B9,Data!$A$1:$BH$1,0)+2) &amp; LastRow &amp; (MATCH($B9,Data!$A$1:$BH$1,0)+2),FALSE), INDIRECT("Data!L3C" &amp; (MATCH(F$8,Data!$A$1:$BH$1,0)+2) &amp; LastRow &amp; (MATCH(F$8,Data!$A$1:$BH$1,0)+2),FALSE)))</f>
        <v>6.4170075999715433E-4</v>
      </c>
      <c r="G9" s="102">
        <f ca="1">IF(OR($B9 = "", G$8 = ""), "", _xlfn.COVARIANCE.S(INDIRECT("Data!L3C" &amp; (MATCH($B9,Data!$A$1:$BH$1,0)+2) &amp; LastRow &amp; (MATCH($B9,Data!$A$1:$BH$1,0)+2),FALSE), INDIRECT("Data!L3C" &amp; (MATCH(G$8,Data!$A$1:$BH$1,0)+2) &amp; LastRow &amp; (MATCH(G$8,Data!$A$1:$BH$1,0)+2),FALSE)))</f>
        <v>1.0364809831138625E-3</v>
      </c>
      <c r="H9" s="102">
        <f ca="1">IF(OR($B9 = "", H$8 = ""), "", _xlfn.COVARIANCE.S(INDIRECT("Data!L3C" &amp; (MATCH($B9,Data!$A$1:$BH$1,0)+2) &amp; LastRow &amp; (MATCH($B9,Data!$A$1:$BH$1,0)+2),FALSE), INDIRECT("Data!L3C" &amp; (MATCH(H$8,Data!$A$1:$BH$1,0)+2) &amp; LastRow &amp; (MATCH(H$8,Data!$A$1:$BH$1,0)+2),FALSE)))</f>
        <v>6.5188365543961038E-4</v>
      </c>
      <c r="I9" s="102">
        <f ca="1">IF(OR($B9 = "", I$8 = ""), "", _xlfn.COVARIANCE.S(INDIRECT("Data!L3C" &amp; (MATCH($B9,Data!$A$1:$BH$1,0)+2) &amp; LastRow &amp; (MATCH($B9,Data!$A$1:$BH$1,0)+2),FALSE), INDIRECT("Data!L3C" &amp; (MATCH(I$8,Data!$A$1:$BH$1,0)+2) &amp; LastRow &amp; (MATCH(I$8,Data!$A$1:$BH$1,0)+2),FALSE)))</f>
        <v>7.4022663470890454E-4</v>
      </c>
      <c r="J9" s="102">
        <f ca="1">IF(OR($B9 = "", J$8 = ""), "", _xlfn.COVARIANCE.S(INDIRECT("Data!L3C" &amp; (MATCH($B9,Data!$A$1:$BH$1,0)+2) &amp; LastRow &amp; (MATCH($B9,Data!$A$1:$BH$1,0)+2),FALSE), INDIRECT("Data!L3C" &amp; (MATCH(J$8,Data!$A$1:$BH$1,0)+2) &amp; LastRow &amp; (MATCH(J$8,Data!$A$1:$BH$1,0)+2),FALSE)))</f>
        <v>9.714407481388541E-4</v>
      </c>
      <c r="K9" s="102">
        <f ca="1">IF(OR($B9 = "", K$8 = ""), "", _xlfn.COVARIANCE.S(INDIRECT("Data!L3C" &amp; (MATCH($B9,Data!$A$1:$BH$1,0)+2) &amp; LastRow &amp; (MATCH($B9,Data!$A$1:$BH$1,0)+2),FALSE), INDIRECT("Data!L3C" &amp; (MATCH(K$8,Data!$A$1:$BH$1,0)+2) &amp; LastRow &amp; (MATCH(K$8,Data!$A$1:$BH$1,0)+2),FALSE)))</f>
        <v>8.0403016537760913E-4</v>
      </c>
      <c r="L9" s="102">
        <f ca="1">IF(OR($B9 = "", L$8 = ""), "", _xlfn.COVARIANCE.S(INDIRECT("Data!L3C" &amp; (MATCH($B9,Data!$A$1:$BH$1,0)+2) &amp; LastRow &amp; (MATCH($B9,Data!$A$1:$BH$1,0)+2),FALSE), INDIRECT("Data!L3C" &amp; (MATCH(L$8,Data!$A$1:$BH$1,0)+2) &amp; LastRow &amp; (MATCH(L$8,Data!$A$1:$BH$1,0)+2),FALSE)))</f>
        <v>9.5075843642864898E-4</v>
      </c>
      <c r="M9" s="102">
        <f ca="1">IF(OR($B9 = "", M$8 = ""), "", _xlfn.COVARIANCE.S(INDIRECT("Data!L3C" &amp; (MATCH($B9,Data!$A$1:$BH$1,0)+2) &amp; LastRow &amp; (MATCH($B9,Data!$A$1:$BH$1,0)+2),FALSE), INDIRECT("Data!L3C" &amp; (MATCH(M$8,Data!$A$1:$BH$1,0)+2) &amp; LastRow &amp; (MATCH(M$8,Data!$A$1:$BH$1,0)+2),FALSE)))</f>
        <v>1.0757182670265613E-3</v>
      </c>
      <c r="N9" s="102" t="str">
        <f ca="1">IF(OR($B9 = "", N$8 = ""), "", _xlfn.COVARIANCE.S(INDIRECT("Data!L3C" &amp; (MATCH($B9,Data!$A$1:$BH$1,0)+2) &amp; LastRow &amp; (MATCH($B9,Data!$A$1:$BH$1,0)+2),FALSE), INDIRECT("Data!L3C" &amp; (MATCH(N$8,Data!$A$1:$BH$1,0)+2) &amp; LastRow &amp; (MATCH(N$8,Data!$A$1:$BH$1,0)+2),FALSE)))</f>
        <v/>
      </c>
      <c r="O9" s="102" t="str">
        <f ca="1">IF(OR($B9 = "", O$8 = ""), "", _xlfn.COVARIANCE.S(INDIRECT("Data!L3C" &amp; (MATCH($B9,Data!$A$1:$BH$1,0)+2) &amp; LastRow &amp; (MATCH($B9,Data!$A$1:$BH$1,0)+2),FALSE), INDIRECT("Data!L3C" &amp; (MATCH(O$8,Data!$A$1:$BH$1,0)+2) &amp; LastRow &amp; (MATCH(O$8,Data!$A$1:$BH$1,0)+2),FALSE)))</f>
        <v/>
      </c>
      <c r="P9" s="102" t="str">
        <f ca="1">IF(OR($B9 = "", P$8 = ""), "", _xlfn.COVARIANCE.S(INDIRECT("Data!L3C" &amp; (MATCH($B9,Data!$A$1:$BH$1,0)+2) &amp; LastRow &amp; (MATCH($B9,Data!$A$1:$BH$1,0)+2),FALSE), INDIRECT("Data!L3C" &amp; (MATCH(P$8,Data!$A$1:$BH$1,0)+2) &amp; LastRow &amp; (MATCH(P$8,Data!$A$1:$BH$1,0)+2),FALSE)))</f>
        <v/>
      </c>
      <c r="Q9" s="102" t="str">
        <f ca="1">IF(OR($B9 = "", Q$8 = ""), "", _xlfn.COVARIANCE.S(INDIRECT("Data!L3C" &amp; (MATCH($B9,Data!$A$1:$BH$1,0)+2) &amp; LastRow &amp; (MATCH($B9,Data!$A$1:$BH$1,0)+2),FALSE), INDIRECT("Data!L3C" &amp; (MATCH(Q$8,Data!$A$1:$BH$1,0)+2) &amp; LastRow &amp; (MATCH(Q$8,Data!$A$1:$BH$1,0)+2),FALSE)))</f>
        <v/>
      </c>
      <c r="R9" s="102" t="str">
        <f ca="1">IF(OR($B9 = "", R$8 = ""), "", _xlfn.COVARIANCE.S(INDIRECT("Data!L3C" &amp; (MATCH($B9,Data!$A$1:$BH$1,0)+2) &amp; LastRow &amp; (MATCH($B9,Data!$A$1:$BH$1,0)+2),FALSE), INDIRECT("Data!L3C" &amp; (MATCH(R$8,Data!$A$1:$BH$1,0)+2) &amp; LastRow &amp; (MATCH(R$8,Data!$A$1:$BH$1,0)+2),FALSE)))</f>
        <v/>
      </c>
      <c r="S9" s="102" t="str">
        <f ca="1">IF(OR($B9 = "", S$8 = ""), "", _xlfn.COVARIANCE.S(INDIRECT("Data!L3C" &amp; (MATCH($B9,Data!$A$1:$BH$1,0)+2) &amp; LastRow &amp; (MATCH($B9,Data!$A$1:$BH$1,0)+2),FALSE), INDIRECT("Data!L3C" &amp; (MATCH(S$8,Data!$A$1:$BH$1,0)+2) &amp; LastRow &amp; (MATCH(S$8,Data!$A$1:$BH$1,0)+2),FALSE)))</f>
        <v/>
      </c>
      <c r="T9" s="114" t="str">
        <f ca="1">IF(OR($B9 = "", T$8 = ""), "", _xlfn.COVARIANCE.S(INDIRECT("Data!L3C" &amp; (MATCH($B9,Data!$A$1:$BH$1,0)+2) &amp; LastRow &amp; (MATCH($B9,Data!$A$1:$BH$1,0)+2),FALSE), INDIRECT("Data!L3C" &amp; (MATCH(T$8,Data!$A$1:$BH$1,0)+2) &amp; LastRow &amp; (MATCH(T$8,Data!$A$1:$BH$1,0)+2),FALSE)))</f>
        <v/>
      </c>
      <c r="U9" s="104">
        <f ca="1">IF(COUNTBLANK(LongTickers) &lt; 9, Summary!F3, IF(COUNTBLANK(LongTickers)+COUNTBLANK(ShortTickers) &lt; 18, INDIRECT("Summary!F" &amp; 15 - 9 + COUNTBLANK(LongTickers)), "")   )</f>
        <v>5757.1350000000002</v>
      </c>
      <c r="V9" s="101">
        <f t="shared" ref="V9:V26" ca="1" si="0">IF(U9="","",U9/$U$27)</f>
        <v>6.3981275761110332E-2</v>
      </c>
      <c r="X9" s="135" t="s">
        <v>43</v>
      </c>
      <c r="Y9" s="135"/>
      <c r="Z9" s="135"/>
      <c r="AA9" s="135"/>
      <c r="AB9" s="135"/>
      <c r="AC9" s="135"/>
      <c r="AD9" s="135"/>
      <c r="AE9" s="135"/>
      <c r="AF9" s="135"/>
    </row>
    <row r="10" spans="1:32" x14ac:dyDescent="0.25">
      <c r="A10" s="97"/>
      <c r="B10" s="60" t="str">
        <f ca="1">IF(COUNTBLANK(LongTickers) &lt; 8, Summary!B4, IF(COUNTBLANK(LongTickers)+COUNTBLANK(ShortTickers) &lt; 17, INDIRECT("Summary!B" &amp; 16 - 9 + COUNTBLANK(LongTickers)), "")   )</f>
        <v>XPO</v>
      </c>
      <c r="C10" s="99">
        <f ca="1">IF(OR($B10 = "", C$8 = ""), "", _xlfn.COVARIANCE.S(INDIRECT("Data!L3C" &amp; (MATCH($B10,Data!$A$1:$BH$1,0)+2) &amp; LastRow &amp; (MATCH($B10,Data!$A$1:$BH$1,0)+2),FALSE), INDIRECT("Data!L3C" &amp; (MATCH(C$8,Data!$A$1:$BH$1,0)+2) &amp; LastRow &amp; (MATCH(C$8,Data!$A$1:$BH$1,0)+2),FALSE)))</f>
        <v>1.4116899195275752E-3</v>
      </c>
      <c r="D10" s="98">
        <f ca="1">IF(OR($B10 = "", D$8 = ""), "", _xlfn.COVARIANCE.S(INDIRECT("Data!L3C" &amp; (MATCH($B10,Data!$A$1:$BH$1,0)+2) &amp; LastRow &amp; (MATCH($B10,Data!$A$1:$BH$1,0)+2),FALSE), INDIRECT("Data!L3C" &amp; (MATCH(D$8,Data!$A$1:$BH$1,0)+2) &amp; LastRow &amp; (MATCH(D$8,Data!$A$1:$BH$1,0)+2),FALSE)))</f>
        <v>5.0554837795034925E-3</v>
      </c>
      <c r="E10" s="98">
        <f ca="1">IF(OR($B10 = "", E$8 = ""), "", _xlfn.COVARIANCE.S(INDIRECT("Data!L3C" &amp; (MATCH($B10,Data!$A$1:$BH$1,0)+2) &amp; LastRow &amp; (MATCH($B10,Data!$A$1:$BH$1,0)+2),FALSE), INDIRECT("Data!L3C" &amp; (MATCH(E$8,Data!$A$1:$BH$1,0)+2) &amp; LastRow &amp; (MATCH(E$8,Data!$A$1:$BH$1,0)+2),FALSE)))</f>
        <v>1.9619062617644294E-3</v>
      </c>
      <c r="F10" s="98">
        <f ca="1">IF(OR($B10 = "", F$8 = ""), "", _xlfn.COVARIANCE.S(INDIRECT("Data!L3C" &amp; (MATCH($B10,Data!$A$1:$BH$1,0)+2) &amp; LastRow &amp; (MATCH($B10,Data!$A$1:$BH$1,0)+2),FALSE), INDIRECT("Data!L3C" &amp; (MATCH(F$8,Data!$A$1:$BH$1,0)+2) &amp; LastRow &amp; (MATCH(F$8,Data!$A$1:$BH$1,0)+2),FALSE)))</f>
        <v>1.3133518426838651E-3</v>
      </c>
      <c r="G10" s="98">
        <f ca="1">IF(OR($B10 = "", G$8 = ""), "", _xlfn.COVARIANCE.S(INDIRECT("Data!L3C" &amp; (MATCH($B10,Data!$A$1:$BH$1,0)+2) &amp; LastRow &amp; (MATCH($B10,Data!$A$1:$BH$1,0)+2),FALSE), INDIRECT("Data!L3C" &amp; (MATCH(G$8,Data!$A$1:$BH$1,0)+2) &amp; LastRow &amp; (MATCH(G$8,Data!$A$1:$BH$1,0)+2),FALSE)))</f>
        <v>1.6230804354349028E-3</v>
      </c>
      <c r="H10" s="98">
        <f ca="1">IF(OR($B10 = "", H$8 = ""), "", _xlfn.COVARIANCE.S(INDIRECT("Data!L3C" &amp; (MATCH($B10,Data!$A$1:$BH$1,0)+2) &amp; LastRow &amp; (MATCH($B10,Data!$A$1:$BH$1,0)+2),FALSE), INDIRECT("Data!L3C" &amp; (MATCH(H$8,Data!$A$1:$BH$1,0)+2) &amp; LastRow &amp; (MATCH(H$8,Data!$A$1:$BH$1,0)+2),FALSE)))</f>
        <v>2.0083941832870996E-3</v>
      </c>
      <c r="I10" s="98">
        <f ca="1">IF(OR($B10 = "", I$8 = ""), "", _xlfn.COVARIANCE.S(INDIRECT("Data!L3C" &amp; (MATCH($B10,Data!$A$1:$BH$1,0)+2) &amp; LastRow &amp; (MATCH($B10,Data!$A$1:$BH$1,0)+2),FALSE), INDIRECT("Data!L3C" &amp; (MATCH(I$8,Data!$A$1:$BH$1,0)+2) &amp; LastRow &amp; (MATCH(I$8,Data!$A$1:$BH$1,0)+2),FALSE)))</f>
        <v>1.800011437218285E-3</v>
      </c>
      <c r="J10" s="98">
        <f ca="1">IF(OR($B10 = "", J$8 = ""), "", _xlfn.COVARIANCE.S(INDIRECT("Data!L3C" &amp; (MATCH($B10,Data!$A$1:$BH$1,0)+2) &amp; LastRow &amp; (MATCH($B10,Data!$A$1:$BH$1,0)+2),FALSE), INDIRECT("Data!L3C" &amp; (MATCH(J$8,Data!$A$1:$BH$1,0)+2) &amp; LastRow &amp; (MATCH(J$8,Data!$A$1:$BH$1,0)+2),FALSE)))</f>
        <v>1.8221020364861335E-3</v>
      </c>
      <c r="K10" s="98">
        <f ca="1">IF(OR($B10 = "", K$8 = ""), "", _xlfn.COVARIANCE.S(INDIRECT("Data!L3C" &amp; (MATCH($B10,Data!$A$1:$BH$1,0)+2) &amp; LastRow &amp; (MATCH($B10,Data!$A$1:$BH$1,0)+2),FALSE), INDIRECT("Data!L3C" &amp; (MATCH(K$8,Data!$A$1:$BH$1,0)+2) &amp; LastRow &amp; (MATCH(K$8,Data!$A$1:$BH$1,0)+2),FALSE)))</f>
        <v>1.8139280736560748E-3</v>
      </c>
      <c r="L10" s="98">
        <f ca="1">IF(OR($B10 = "", L$8 = ""), "", _xlfn.COVARIANCE.S(INDIRECT("Data!L3C" &amp; (MATCH($B10,Data!$A$1:$BH$1,0)+2) &amp; LastRow &amp; (MATCH($B10,Data!$A$1:$BH$1,0)+2),FALSE), INDIRECT("Data!L3C" &amp; (MATCH(L$8,Data!$A$1:$BH$1,0)+2) &amp; LastRow &amp; (MATCH(L$8,Data!$A$1:$BH$1,0)+2),FALSE)))</f>
        <v>2.1634995172916398E-3</v>
      </c>
      <c r="M10" s="98">
        <f ca="1">IF(OR($B10 = "", M$8 = ""), "", _xlfn.COVARIANCE.S(INDIRECT("Data!L3C" &amp; (MATCH($B10,Data!$A$1:$BH$1,0)+2) &amp; LastRow &amp; (MATCH($B10,Data!$A$1:$BH$1,0)+2),FALSE), INDIRECT("Data!L3C" &amp; (MATCH(M$8,Data!$A$1:$BH$1,0)+2) &amp; LastRow &amp; (MATCH(M$8,Data!$A$1:$BH$1,0)+2),FALSE)))</f>
        <v>1.7154530866574503E-3</v>
      </c>
      <c r="N10" s="98" t="str">
        <f ca="1">IF(OR($B10 = "", N$8 = ""), "", _xlfn.COVARIANCE.S(INDIRECT("Data!L3C" &amp; (MATCH($B10,Data!$A$1:$BH$1,0)+2) &amp; LastRow &amp; (MATCH($B10,Data!$A$1:$BH$1,0)+2),FALSE), INDIRECT("Data!L3C" &amp; (MATCH(N$8,Data!$A$1:$BH$1,0)+2) &amp; LastRow &amp; (MATCH(N$8,Data!$A$1:$BH$1,0)+2),FALSE)))</f>
        <v/>
      </c>
      <c r="O10" s="98" t="str">
        <f ca="1">IF(OR($B10 = "", O$8 = ""), "", _xlfn.COVARIANCE.S(INDIRECT("Data!L3C" &amp; (MATCH($B10,Data!$A$1:$BH$1,0)+2) &amp; LastRow &amp; (MATCH($B10,Data!$A$1:$BH$1,0)+2),FALSE), INDIRECT("Data!L3C" &amp; (MATCH(O$8,Data!$A$1:$BH$1,0)+2) &amp; LastRow &amp; (MATCH(O$8,Data!$A$1:$BH$1,0)+2),FALSE)))</f>
        <v/>
      </c>
      <c r="P10" s="98" t="str">
        <f ca="1">IF(OR($B10 = "", P$8 = ""), "", _xlfn.COVARIANCE.S(INDIRECT("Data!L3C" &amp; (MATCH($B10,Data!$A$1:$BH$1,0)+2) &amp; LastRow &amp; (MATCH($B10,Data!$A$1:$BH$1,0)+2),FALSE), INDIRECT("Data!L3C" &amp; (MATCH(P$8,Data!$A$1:$BH$1,0)+2) &amp; LastRow &amp; (MATCH(P$8,Data!$A$1:$BH$1,0)+2),FALSE)))</f>
        <v/>
      </c>
      <c r="Q10" s="98" t="str">
        <f ca="1">IF(OR($B10 = "", Q$8 = ""), "", _xlfn.COVARIANCE.S(INDIRECT("Data!L3C" &amp; (MATCH($B10,Data!$A$1:$BH$1,0)+2) &amp; LastRow &amp; (MATCH($B10,Data!$A$1:$BH$1,0)+2),FALSE), INDIRECT("Data!L3C" &amp; (MATCH(Q$8,Data!$A$1:$BH$1,0)+2) &amp; LastRow &amp; (MATCH(Q$8,Data!$A$1:$BH$1,0)+2),FALSE)))</f>
        <v/>
      </c>
      <c r="R10" s="98" t="str">
        <f ca="1">IF(OR($B10 = "", R$8 = ""), "", _xlfn.COVARIANCE.S(INDIRECT("Data!L3C" &amp; (MATCH($B10,Data!$A$1:$BH$1,0)+2) &amp; LastRow &amp; (MATCH($B10,Data!$A$1:$BH$1,0)+2),FALSE), INDIRECT("Data!L3C" &amp; (MATCH(R$8,Data!$A$1:$BH$1,0)+2) &amp; LastRow &amp; (MATCH(R$8,Data!$A$1:$BH$1,0)+2),FALSE)))</f>
        <v/>
      </c>
      <c r="S10" s="98" t="str">
        <f ca="1">IF(OR($B10 = "", S$8 = ""), "", _xlfn.COVARIANCE.S(INDIRECT("Data!L3C" &amp; (MATCH($B10,Data!$A$1:$BH$1,0)+2) &amp; LastRow &amp; (MATCH($B10,Data!$A$1:$BH$1,0)+2),FALSE), INDIRECT("Data!L3C" &amp; (MATCH(S$8,Data!$A$1:$BH$1,0)+2) &amp; LastRow &amp; (MATCH(S$8,Data!$A$1:$BH$1,0)+2),FALSE)))</f>
        <v/>
      </c>
      <c r="T10" s="115" t="str">
        <f ca="1">IF(OR($B10 = "", T$8 = ""), "", _xlfn.COVARIANCE.S(INDIRECT("Data!L3C" &amp; (MATCH($B10,Data!$A$1:$BH$1,0)+2) &amp; LastRow &amp; (MATCH($B10,Data!$A$1:$BH$1,0)+2),FALSE), INDIRECT("Data!L3C" &amp; (MATCH(T$8,Data!$A$1:$BH$1,0)+2) &amp; LastRow &amp; (MATCH(T$8,Data!$A$1:$BH$1,0)+2),FALSE)))</f>
        <v/>
      </c>
      <c r="U10" s="105">
        <f ca="1">IF(COUNTBLANK(LongTickers) &lt; 8, Summary!F4, IF(COUNTBLANK(LongTickers)+COUNTBLANK(ShortTickers) &lt; 17, INDIRECT("Summary!F" &amp; 16 - 9 + COUNTBLANK(LongTickers)), "")   )</f>
        <v>3316.36</v>
      </c>
      <c r="V10" s="50">
        <f t="shared" ca="1" si="0"/>
        <v>3.6855995852644742E-2</v>
      </c>
      <c r="X10" s="135"/>
      <c r="Y10" s="135"/>
      <c r="Z10" s="135"/>
      <c r="AA10" s="135"/>
      <c r="AB10" s="135"/>
      <c r="AC10" s="135"/>
      <c r="AD10" s="135"/>
      <c r="AE10" s="135"/>
      <c r="AF10" s="135"/>
    </row>
    <row r="11" spans="1:32" x14ac:dyDescent="0.25">
      <c r="A11" s="97"/>
      <c r="B11" s="60" t="str">
        <f ca="1">IF(COUNTBLANK(LongTickers) &lt; 7, Summary!B5, IF(COUNTBLANK(LongTickers)+COUNTBLANK(ShortTickers) &lt; 16, INDIRECT("Summary!B" &amp; 17 - 9 + COUNTBLANK(LongTickers)), "")   )</f>
        <v>MOS</v>
      </c>
      <c r="C11" s="99">
        <f ca="1">IF(OR($B11 = "", C$8 = ""), "", _xlfn.COVARIANCE.S(INDIRECT("Data!L3C" &amp; (MATCH($B11,Data!$A$1:$BH$1,0)+2) &amp; LastRow &amp; (MATCH($B11,Data!$A$1:$BH$1,0)+2),FALSE), INDIRECT("Data!L3C" &amp; (MATCH(C$8,Data!$A$1:$BH$1,0)+2) &amp; LastRow &amp; (MATCH(C$8,Data!$A$1:$BH$1,0)+2),FALSE)))</f>
        <v>1.2854709818499745E-3</v>
      </c>
      <c r="D11" s="98">
        <f ca="1">IF(OR($B11 = "", D$8 = ""), "", _xlfn.COVARIANCE.S(INDIRECT("Data!L3C" &amp; (MATCH($B11,Data!$A$1:$BH$1,0)+2) &amp; LastRow &amp; (MATCH($B11,Data!$A$1:$BH$1,0)+2),FALSE), INDIRECT("Data!L3C" &amp; (MATCH(D$8,Data!$A$1:$BH$1,0)+2) &amp; LastRow &amp; (MATCH(D$8,Data!$A$1:$BH$1,0)+2),FALSE)))</f>
        <v>1.9619062617644294E-3</v>
      </c>
      <c r="E11" s="98">
        <f ca="1">IF(OR($B11 = "", E$8 = ""), "", _xlfn.COVARIANCE.S(INDIRECT("Data!L3C" &amp; (MATCH($B11,Data!$A$1:$BH$1,0)+2) &amp; LastRow &amp; (MATCH($B11,Data!$A$1:$BH$1,0)+2),FALSE), INDIRECT("Data!L3C" &amp; (MATCH(E$8,Data!$A$1:$BH$1,0)+2) &amp; LastRow &amp; (MATCH(E$8,Data!$A$1:$BH$1,0)+2),FALSE)))</f>
        <v>4.5101256544718476E-3</v>
      </c>
      <c r="F11" s="98">
        <f ca="1">IF(OR($B11 = "", F$8 = ""), "", _xlfn.COVARIANCE.S(INDIRECT("Data!L3C" &amp; (MATCH($B11,Data!$A$1:$BH$1,0)+2) &amp; LastRow &amp; (MATCH($B11,Data!$A$1:$BH$1,0)+2),FALSE), INDIRECT("Data!L3C" &amp; (MATCH(F$8,Data!$A$1:$BH$1,0)+2) &amp; LastRow &amp; (MATCH(F$8,Data!$A$1:$BH$1,0)+2),FALSE)))</f>
        <v>9.4260079664343897E-4</v>
      </c>
      <c r="G11" s="98">
        <f ca="1">IF(OR($B11 = "", G$8 = ""), "", _xlfn.COVARIANCE.S(INDIRECT("Data!L3C" &amp; (MATCH($B11,Data!$A$1:$BH$1,0)+2) &amp; LastRow &amp; (MATCH($B11,Data!$A$1:$BH$1,0)+2),FALSE), INDIRECT("Data!L3C" &amp; (MATCH(G$8,Data!$A$1:$BH$1,0)+2) &amp; LastRow &amp; (MATCH(G$8,Data!$A$1:$BH$1,0)+2),FALSE)))</f>
        <v>1.353883222927505E-3</v>
      </c>
      <c r="H11" s="98">
        <f ca="1">IF(OR($B11 = "", H$8 = ""), "", _xlfn.COVARIANCE.S(INDIRECT("Data!L3C" &amp; (MATCH($B11,Data!$A$1:$BH$1,0)+2) &amp; LastRow &amp; (MATCH($B11,Data!$A$1:$BH$1,0)+2),FALSE), INDIRECT("Data!L3C" &amp; (MATCH(H$8,Data!$A$1:$BH$1,0)+2) &amp; LastRow &amp; (MATCH(H$8,Data!$A$1:$BH$1,0)+2),FALSE)))</f>
        <v>7.3676628182278952E-4</v>
      </c>
      <c r="I11" s="98">
        <f ca="1">IF(OR($B11 = "", I$8 = ""), "", _xlfn.COVARIANCE.S(INDIRECT("Data!L3C" &amp; (MATCH($B11,Data!$A$1:$BH$1,0)+2) &amp; LastRow &amp; (MATCH($B11,Data!$A$1:$BH$1,0)+2),FALSE), INDIRECT("Data!L3C" &amp; (MATCH(I$8,Data!$A$1:$BH$1,0)+2) &amp; LastRow &amp; (MATCH(I$8,Data!$A$1:$BH$1,0)+2),FALSE)))</f>
        <v>1.1720305409061837E-3</v>
      </c>
      <c r="J11" s="98">
        <f ca="1">IF(OR($B11 = "", J$8 = ""), "", _xlfn.COVARIANCE.S(INDIRECT("Data!L3C" &amp; (MATCH($B11,Data!$A$1:$BH$1,0)+2) &amp; LastRow &amp; (MATCH($B11,Data!$A$1:$BH$1,0)+2),FALSE), INDIRECT("Data!L3C" &amp; (MATCH(J$8,Data!$A$1:$BH$1,0)+2) &amp; LastRow &amp; (MATCH(J$8,Data!$A$1:$BH$1,0)+2),FALSE)))</f>
        <v>1.3882939634289762E-3</v>
      </c>
      <c r="K11" s="98">
        <f ca="1">IF(OR($B11 = "", K$8 = ""), "", _xlfn.COVARIANCE.S(INDIRECT("Data!L3C" &amp; (MATCH($B11,Data!$A$1:$BH$1,0)+2) &amp; LastRow &amp; (MATCH($B11,Data!$A$1:$BH$1,0)+2),FALSE), INDIRECT("Data!L3C" &amp; (MATCH(K$8,Data!$A$1:$BH$1,0)+2) &amp; LastRow &amp; (MATCH(K$8,Data!$A$1:$BH$1,0)+2),FALSE)))</f>
        <v>1.2548875373163911E-3</v>
      </c>
      <c r="L11" s="98">
        <f ca="1">IF(OR($B11 = "", L$8 = ""), "", _xlfn.COVARIANCE.S(INDIRECT("Data!L3C" &amp; (MATCH($B11,Data!$A$1:$BH$1,0)+2) &amp; LastRow &amp; (MATCH($B11,Data!$A$1:$BH$1,0)+2),FALSE), INDIRECT("Data!L3C" &amp; (MATCH(L$8,Data!$A$1:$BH$1,0)+2) &amp; LastRow &amp; (MATCH(L$8,Data!$A$1:$BH$1,0)+2),FALSE)))</f>
        <v>1.0417783233292613E-3</v>
      </c>
      <c r="M11" s="98">
        <f ca="1">IF(OR($B11 = "", M$8 = ""), "", _xlfn.COVARIANCE.S(INDIRECT("Data!L3C" &amp; (MATCH($B11,Data!$A$1:$BH$1,0)+2) &amp; LastRow &amp; (MATCH($B11,Data!$A$1:$BH$1,0)+2),FALSE), INDIRECT("Data!L3C" &amp; (MATCH(M$8,Data!$A$1:$BH$1,0)+2) &amp; LastRow &amp; (MATCH(M$8,Data!$A$1:$BH$1,0)+2),FALSE)))</f>
        <v>1.1066392950641697E-3</v>
      </c>
      <c r="N11" s="98" t="str">
        <f ca="1">IF(OR($B11 = "", N$8 = ""), "", _xlfn.COVARIANCE.S(INDIRECT("Data!L3C" &amp; (MATCH($B11,Data!$A$1:$BH$1,0)+2) &amp; LastRow &amp; (MATCH($B11,Data!$A$1:$BH$1,0)+2),FALSE), INDIRECT("Data!L3C" &amp; (MATCH(N$8,Data!$A$1:$BH$1,0)+2) &amp; LastRow &amp; (MATCH(N$8,Data!$A$1:$BH$1,0)+2),FALSE)))</f>
        <v/>
      </c>
      <c r="O11" s="98" t="str">
        <f ca="1">IF(OR($B11 = "", O$8 = ""), "", _xlfn.COVARIANCE.S(INDIRECT("Data!L3C" &amp; (MATCH($B11,Data!$A$1:$BH$1,0)+2) &amp; LastRow &amp; (MATCH($B11,Data!$A$1:$BH$1,0)+2),FALSE), INDIRECT("Data!L3C" &amp; (MATCH(O$8,Data!$A$1:$BH$1,0)+2) &amp; LastRow &amp; (MATCH(O$8,Data!$A$1:$BH$1,0)+2),FALSE)))</f>
        <v/>
      </c>
      <c r="P11" s="98" t="str">
        <f ca="1">IF(OR($B11 = "", P$8 = ""), "", _xlfn.COVARIANCE.S(INDIRECT("Data!L3C" &amp; (MATCH($B11,Data!$A$1:$BH$1,0)+2) &amp; LastRow &amp; (MATCH($B11,Data!$A$1:$BH$1,0)+2),FALSE), INDIRECT("Data!L3C" &amp; (MATCH(P$8,Data!$A$1:$BH$1,0)+2) &amp; LastRow &amp; (MATCH(P$8,Data!$A$1:$BH$1,0)+2),FALSE)))</f>
        <v/>
      </c>
      <c r="Q11" s="98" t="str">
        <f ca="1">IF(OR($B11 = "", Q$8 = ""), "", _xlfn.COVARIANCE.S(INDIRECT("Data!L3C" &amp; (MATCH($B11,Data!$A$1:$BH$1,0)+2) &amp; LastRow &amp; (MATCH($B11,Data!$A$1:$BH$1,0)+2),FALSE), INDIRECT("Data!L3C" &amp; (MATCH(Q$8,Data!$A$1:$BH$1,0)+2) &amp; LastRow &amp; (MATCH(Q$8,Data!$A$1:$BH$1,0)+2),FALSE)))</f>
        <v/>
      </c>
      <c r="R11" s="98" t="str">
        <f ca="1">IF(OR($B11 = "", R$8 = ""), "", _xlfn.COVARIANCE.S(INDIRECT("Data!L3C" &amp; (MATCH($B11,Data!$A$1:$BH$1,0)+2) &amp; LastRow &amp; (MATCH($B11,Data!$A$1:$BH$1,0)+2),FALSE), INDIRECT("Data!L3C" &amp; (MATCH(R$8,Data!$A$1:$BH$1,0)+2) &amp; LastRow &amp; (MATCH(R$8,Data!$A$1:$BH$1,0)+2),FALSE)))</f>
        <v/>
      </c>
      <c r="S11" s="98" t="str">
        <f ca="1">IF(OR($B11 = "", S$8 = ""), "", _xlfn.COVARIANCE.S(INDIRECT("Data!L3C" &amp; (MATCH($B11,Data!$A$1:$BH$1,0)+2) &amp; LastRow &amp; (MATCH($B11,Data!$A$1:$BH$1,0)+2),FALSE), INDIRECT("Data!L3C" &amp; (MATCH(S$8,Data!$A$1:$BH$1,0)+2) &amp; LastRow &amp; (MATCH(S$8,Data!$A$1:$BH$1,0)+2),FALSE)))</f>
        <v/>
      </c>
      <c r="T11" s="115" t="str">
        <f ca="1">IF(OR($B11 = "", T$8 = ""), "", _xlfn.COVARIANCE.S(INDIRECT("Data!L3C" &amp; (MATCH($B11,Data!$A$1:$BH$1,0)+2) &amp; LastRow &amp; (MATCH($B11,Data!$A$1:$BH$1,0)+2),FALSE), INDIRECT("Data!L3C" &amp; (MATCH(T$8,Data!$A$1:$BH$1,0)+2) &amp; LastRow &amp; (MATCH(T$8,Data!$A$1:$BH$1,0)+2),FALSE)))</f>
        <v/>
      </c>
      <c r="U11" s="105">
        <f ca="1">IF(COUNTBLANK(LongTickers) &lt; 7, Summary!F5, IF(COUNTBLANK(LongTickers)+COUNTBLANK(ShortTickers) &lt; 16, INDIRECT("Summary!F" &amp; 17 - 9 + COUNTBLANK(LongTickers)), "")   )</f>
        <v>9515.9507850000009</v>
      </c>
      <c r="V11" s="50">
        <f t="shared" ca="1" si="0"/>
        <v>0.1057544544820018</v>
      </c>
      <c r="X11" s="135"/>
      <c r="Y11" s="135"/>
      <c r="Z11" s="135"/>
      <c r="AA11" s="135"/>
      <c r="AB11" s="135"/>
      <c r="AC11" s="135"/>
      <c r="AD11" s="135"/>
      <c r="AE11" s="135"/>
      <c r="AF11" s="135"/>
    </row>
    <row r="12" spans="1:32" x14ac:dyDescent="0.25">
      <c r="A12" s="97"/>
      <c r="B12" s="60" t="str">
        <f ca="1">IF(COUNTBLANK(LongTickers) &lt; 6, Summary!B6, IF(COUNTBLANK(LongTickers)+COUNTBLANK(ShortTickers) &lt; 15, INDIRECT("Summary!B" &amp; 18 - 9 + COUNTBLANK(LongTickers)), "")   )</f>
        <v>PPL</v>
      </c>
      <c r="C12" s="99">
        <f ca="1">IF(OR($B12 = "", C$8 = ""), "", _xlfn.COVARIANCE.S(INDIRECT("Data!L3C" &amp; (MATCH($B12,Data!$A$1:$BH$1,0)+2) &amp; LastRow &amp; (MATCH($B12,Data!$A$1:$BH$1,0)+2),FALSE), INDIRECT("Data!L3C" &amp; (MATCH(C$8,Data!$A$1:$BH$1,0)+2) &amp; LastRow &amp; (MATCH(C$8,Data!$A$1:$BH$1,0)+2),FALSE)))</f>
        <v>6.4170075999715433E-4</v>
      </c>
      <c r="D12" s="98">
        <f ca="1">IF(OR($B12 = "", D$8 = ""), "", _xlfn.COVARIANCE.S(INDIRECT("Data!L3C" &amp; (MATCH($B12,Data!$A$1:$BH$1,0)+2) &amp; LastRow &amp; (MATCH($B12,Data!$A$1:$BH$1,0)+2),FALSE), INDIRECT("Data!L3C" &amp; (MATCH(D$8,Data!$A$1:$BH$1,0)+2) &amp; LastRow &amp; (MATCH(D$8,Data!$A$1:$BH$1,0)+2),FALSE)))</f>
        <v>1.3133518426838651E-3</v>
      </c>
      <c r="E12" s="98">
        <f ca="1">IF(OR($B12 = "", E$8 = ""), "", _xlfn.COVARIANCE.S(INDIRECT("Data!L3C" &amp; (MATCH($B12,Data!$A$1:$BH$1,0)+2) &amp; LastRow &amp; (MATCH($B12,Data!$A$1:$BH$1,0)+2),FALSE), INDIRECT("Data!L3C" &amp; (MATCH(E$8,Data!$A$1:$BH$1,0)+2) &amp; LastRow &amp; (MATCH(E$8,Data!$A$1:$BH$1,0)+2),FALSE)))</f>
        <v>9.4260079664343897E-4</v>
      </c>
      <c r="F12" s="98">
        <f ca="1">IF(OR($B12 = "", F$8 = ""), "", _xlfn.COVARIANCE.S(INDIRECT("Data!L3C" &amp; (MATCH($B12,Data!$A$1:$BH$1,0)+2) &amp; LastRow &amp; (MATCH($B12,Data!$A$1:$BH$1,0)+2),FALSE), INDIRECT("Data!L3C" &amp; (MATCH(F$8,Data!$A$1:$BH$1,0)+2) &amp; LastRow &amp; (MATCH(F$8,Data!$A$1:$BH$1,0)+2),FALSE)))</f>
        <v>1.7937123372081499E-3</v>
      </c>
      <c r="G12" s="98">
        <f ca="1">IF(OR($B12 = "", G$8 = ""), "", _xlfn.COVARIANCE.S(INDIRECT("Data!L3C" &amp; (MATCH($B12,Data!$A$1:$BH$1,0)+2) &amp; LastRow &amp; (MATCH($B12,Data!$A$1:$BH$1,0)+2),FALSE), INDIRECT("Data!L3C" &amp; (MATCH(G$8,Data!$A$1:$BH$1,0)+2) &amp; LastRow &amp; (MATCH(G$8,Data!$A$1:$BH$1,0)+2),FALSE)))</f>
        <v>7.4107161027714603E-4</v>
      </c>
      <c r="H12" s="98">
        <f ca="1">IF(OR($B12 = "", H$8 = ""), "", _xlfn.COVARIANCE.S(INDIRECT("Data!L3C" &amp; (MATCH($B12,Data!$A$1:$BH$1,0)+2) &amp; LastRow &amp; (MATCH($B12,Data!$A$1:$BH$1,0)+2),FALSE), INDIRECT("Data!L3C" &amp; (MATCH(H$8,Data!$A$1:$BH$1,0)+2) &amp; LastRow &amp; (MATCH(H$8,Data!$A$1:$BH$1,0)+2),FALSE)))</f>
        <v>1.054391929019757E-3</v>
      </c>
      <c r="I12" s="98">
        <f ca="1">IF(OR($B12 = "", I$8 = ""), "", _xlfn.COVARIANCE.S(INDIRECT("Data!L3C" &amp; (MATCH($B12,Data!$A$1:$BH$1,0)+2) &amp; LastRow &amp; (MATCH($B12,Data!$A$1:$BH$1,0)+2),FALSE), INDIRECT("Data!L3C" &amp; (MATCH(I$8,Data!$A$1:$BH$1,0)+2) &amp; LastRow &amp; (MATCH(I$8,Data!$A$1:$BH$1,0)+2),FALSE)))</f>
        <v>9.2846863775631239E-4</v>
      </c>
      <c r="J12" s="98">
        <f ca="1">IF(OR($B12 = "", J$8 = ""), "", _xlfn.COVARIANCE.S(INDIRECT("Data!L3C" &amp; (MATCH($B12,Data!$A$1:$BH$1,0)+2) &amp; LastRow &amp; (MATCH($B12,Data!$A$1:$BH$1,0)+2),FALSE), INDIRECT("Data!L3C" &amp; (MATCH(J$8,Data!$A$1:$BH$1,0)+2) &amp; LastRow &amp; (MATCH(J$8,Data!$A$1:$BH$1,0)+2),FALSE)))</f>
        <v>7.7186318614047209E-4</v>
      </c>
      <c r="K12" s="98">
        <f ca="1">IF(OR($B12 = "", K$8 = ""), "", _xlfn.COVARIANCE.S(INDIRECT("Data!L3C" &amp; (MATCH($B12,Data!$A$1:$BH$1,0)+2) &amp; LastRow &amp; (MATCH($B12,Data!$A$1:$BH$1,0)+2),FALSE), INDIRECT("Data!L3C" &amp; (MATCH(K$8,Data!$A$1:$BH$1,0)+2) &amp; LastRow &amp; (MATCH(K$8,Data!$A$1:$BH$1,0)+2),FALSE)))</f>
        <v>1.0890410273099648E-3</v>
      </c>
      <c r="L12" s="98">
        <f ca="1">IF(OR($B12 = "", L$8 = ""), "", _xlfn.COVARIANCE.S(INDIRECT("Data!L3C" &amp; (MATCH($B12,Data!$A$1:$BH$1,0)+2) &amp; LastRow &amp; (MATCH($B12,Data!$A$1:$BH$1,0)+2),FALSE), INDIRECT("Data!L3C" &amp; (MATCH(L$8,Data!$A$1:$BH$1,0)+2) &amp; LastRow &amp; (MATCH(L$8,Data!$A$1:$BH$1,0)+2),FALSE)))</f>
        <v>1.2358279755471961E-3</v>
      </c>
      <c r="M12" s="98">
        <f ca="1">IF(OR($B12 = "", M$8 = ""), "", _xlfn.COVARIANCE.S(INDIRECT("Data!L3C" &amp; (MATCH($B12,Data!$A$1:$BH$1,0)+2) &amp; LastRow &amp; (MATCH($B12,Data!$A$1:$BH$1,0)+2),FALSE), INDIRECT("Data!L3C" &amp; (MATCH(M$8,Data!$A$1:$BH$1,0)+2) &amp; LastRow &amp; (MATCH(M$8,Data!$A$1:$BH$1,0)+2),FALSE)))</f>
        <v>6.9541751535903338E-4</v>
      </c>
      <c r="N12" s="98" t="str">
        <f ca="1">IF(OR($B12 = "", N$8 = ""), "", _xlfn.COVARIANCE.S(INDIRECT("Data!L3C" &amp; (MATCH($B12,Data!$A$1:$BH$1,0)+2) &amp; LastRow &amp; (MATCH($B12,Data!$A$1:$BH$1,0)+2),FALSE), INDIRECT("Data!L3C" &amp; (MATCH(N$8,Data!$A$1:$BH$1,0)+2) &amp; LastRow &amp; (MATCH(N$8,Data!$A$1:$BH$1,0)+2),FALSE)))</f>
        <v/>
      </c>
      <c r="O12" s="98" t="str">
        <f ca="1">IF(OR($B12 = "", O$8 = ""), "", _xlfn.COVARIANCE.S(INDIRECT("Data!L3C" &amp; (MATCH($B12,Data!$A$1:$BH$1,0)+2) &amp; LastRow &amp; (MATCH($B12,Data!$A$1:$BH$1,0)+2),FALSE), INDIRECT("Data!L3C" &amp; (MATCH(O$8,Data!$A$1:$BH$1,0)+2) &amp; LastRow &amp; (MATCH(O$8,Data!$A$1:$BH$1,0)+2),FALSE)))</f>
        <v/>
      </c>
      <c r="P12" s="98" t="str">
        <f ca="1">IF(OR($B12 = "", P$8 = ""), "", _xlfn.COVARIANCE.S(INDIRECT("Data!L3C" &amp; (MATCH($B12,Data!$A$1:$BH$1,0)+2) &amp; LastRow &amp; (MATCH($B12,Data!$A$1:$BH$1,0)+2),FALSE), INDIRECT("Data!L3C" &amp; (MATCH(P$8,Data!$A$1:$BH$1,0)+2) &amp; LastRow &amp; (MATCH(P$8,Data!$A$1:$BH$1,0)+2),FALSE)))</f>
        <v/>
      </c>
      <c r="Q12" s="98" t="str">
        <f ca="1">IF(OR($B12 = "", Q$8 = ""), "", _xlfn.COVARIANCE.S(INDIRECT("Data!L3C" &amp; (MATCH($B12,Data!$A$1:$BH$1,0)+2) &amp; LastRow &amp; (MATCH($B12,Data!$A$1:$BH$1,0)+2),FALSE), INDIRECT("Data!L3C" &amp; (MATCH(Q$8,Data!$A$1:$BH$1,0)+2) &amp; LastRow &amp; (MATCH(Q$8,Data!$A$1:$BH$1,0)+2),FALSE)))</f>
        <v/>
      </c>
      <c r="R12" s="98" t="str">
        <f ca="1">IF(OR($B12 = "", R$8 = ""), "", _xlfn.COVARIANCE.S(INDIRECT("Data!L3C" &amp; (MATCH($B12,Data!$A$1:$BH$1,0)+2) &amp; LastRow &amp; (MATCH($B12,Data!$A$1:$BH$1,0)+2),FALSE), INDIRECT("Data!L3C" &amp; (MATCH(R$8,Data!$A$1:$BH$1,0)+2) &amp; LastRow &amp; (MATCH(R$8,Data!$A$1:$BH$1,0)+2),FALSE)))</f>
        <v/>
      </c>
      <c r="S12" s="98" t="str">
        <f ca="1">IF(OR($B12 = "", S$8 = ""), "", _xlfn.COVARIANCE.S(INDIRECT("Data!L3C" &amp; (MATCH($B12,Data!$A$1:$BH$1,0)+2) &amp; LastRow &amp; (MATCH($B12,Data!$A$1:$BH$1,0)+2),FALSE), INDIRECT("Data!L3C" &amp; (MATCH(S$8,Data!$A$1:$BH$1,0)+2) &amp; LastRow &amp; (MATCH(S$8,Data!$A$1:$BH$1,0)+2),FALSE)))</f>
        <v/>
      </c>
      <c r="T12" s="115" t="str">
        <f ca="1">IF(OR($B12 = "", T$8 = ""), "", _xlfn.COVARIANCE.S(INDIRECT("Data!L3C" &amp; (MATCH($B12,Data!$A$1:$BH$1,0)+2) &amp; LastRow &amp; (MATCH($B12,Data!$A$1:$BH$1,0)+2),FALSE), INDIRECT("Data!L3C" &amp; (MATCH(T$8,Data!$A$1:$BH$1,0)+2) &amp; LastRow &amp; (MATCH(T$8,Data!$A$1:$BH$1,0)+2),FALSE)))</f>
        <v/>
      </c>
      <c r="U12" s="105">
        <f ca="1">IF(COUNTBLANK(LongTickers) &lt; 6, Summary!F6, IF(COUNTBLANK(LongTickers)+COUNTBLANK(ShortTickers) &lt; 15, INDIRECT("Summary!F" &amp; 18 - 9 + COUNTBLANK(LongTickers)), "")   )</f>
        <v>9757.68</v>
      </c>
      <c r="V12" s="50">
        <f t="shared" ca="1" si="0"/>
        <v>0.10844088507020785</v>
      </c>
      <c r="X12" s="135"/>
      <c r="Y12" s="135"/>
      <c r="Z12" s="135"/>
      <c r="AA12" s="135"/>
      <c r="AB12" s="135"/>
      <c r="AC12" s="135"/>
      <c r="AD12" s="135"/>
      <c r="AE12" s="135"/>
      <c r="AF12" s="135"/>
    </row>
    <row r="13" spans="1:32" x14ac:dyDescent="0.25">
      <c r="A13" s="97"/>
      <c r="B13" s="60" t="str">
        <f ca="1">IF(COUNTBLANK(LongTickers) &lt; 5, Summary!B7, IF(COUNTBLANK(LongTickers)+COUNTBLANK(ShortTickers) &lt; 14, INDIRECT("Summary!B" &amp; 19 - 9 + COUNTBLANK(LongTickers)), "")   )</f>
        <v>TTEC</v>
      </c>
      <c r="C13" s="99">
        <f ca="1">IF(OR($B13 = "", C$8 = ""), "", _xlfn.COVARIANCE.S(INDIRECT("Data!L3C" &amp; (MATCH($B13,Data!$A$1:$BH$1,0)+2) &amp; LastRow &amp; (MATCH($B13,Data!$A$1:$BH$1,0)+2),FALSE), INDIRECT("Data!L3C" &amp; (MATCH(C$8,Data!$A$1:$BH$1,0)+2) &amp; LastRow &amp; (MATCH(C$8,Data!$A$1:$BH$1,0)+2),FALSE)))</f>
        <v>1.0364809831138625E-3</v>
      </c>
      <c r="D13" s="98">
        <f ca="1">IF(OR($B13 = "", D$8 = ""), "", _xlfn.COVARIANCE.S(INDIRECT("Data!L3C" &amp; (MATCH($B13,Data!$A$1:$BH$1,0)+2) &amp; LastRow &amp; (MATCH($B13,Data!$A$1:$BH$1,0)+2),FALSE), INDIRECT("Data!L3C" &amp; (MATCH(D$8,Data!$A$1:$BH$1,0)+2) &amp; LastRow &amp; (MATCH(D$8,Data!$A$1:$BH$1,0)+2),FALSE)))</f>
        <v>1.6230804354349028E-3</v>
      </c>
      <c r="E13" s="98">
        <f ca="1">IF(OR($B13 = "", E$8 = ""), "", _xlfn.COVARIANCE.S(INDIRECT("Data!L3C" &amp; (MATCH($B13,Data!$A$1:$BH$1,0)+2) &amp; LastRow &amp; (MATCH($B13,Data!$A$1:$BH$1,0)+2),FALSE), INDIRECT("Data!L3C" &amp; (MATCH(E$8,Data!$A$1:$BH$1,0)+2) &amp; LastRow &amp; (MATCH(E$8,Data!$A$1:$BH$1,0)+2),FALSE)))</f>
        <v>1.353883222927505E-3</v>
      </c>
      <c r="F13" s="98">
        <f ca="1">IF(OR($B13 = "", F$8 = ""), "", _xlfn.COVARIANCE.S(INDIRECT("Data!L3C" &amp; (MATCH($B13,Data!$A$1:$BH$1,0)+2) &amp; LastRow &amp; (MATCH($B13,Data!$A$1:$BH$1,0)+2),FALSE), INDIRECT("Data!L3C" &amp; (MATCH(F$8,Data!$A$1:$BH$1,0)+2) &amp; LastRow &amp; (MATCH(F$8,Data!$A$1:$BH$1,0)+2),FALSE)))</f>
        <v>7.4107161027714603E-4</v>
      </c>
      <c r="G13" s="98">
        <f ca="1">IF(OR($B13 = "", G$8 = ""), "", _xlfn.COVARIANCE.S(INDIRECT("Data!L3C" &amp; (MATCH($B13,Data!$A$1:$BH$1,0)+2) &amp; LastRow &amp; (MATCH($B13,Data!$A$1:$BH$1,0)+2),FALSE), INDIRECT("Data!L3C" &amp; (MATCH(G$8,Data!$A$1:$BH$1,0)+2) &amp; LastRow &amp; (MATCH(G$8,Data!$A$1:$BH$1,0)+2),FALSE)))</f>
        <v>3.0916708609558421E-3</v>
      </c>
      <c r="H13" s="98">
        <f ca="1">IF(OR($B13 = "", H$8 = ""), "", _xlfn.COVARIANCE.S(INDIRECT("Data!L3C" &amp; (MATCH($B13,Data!$A$1:$BH$1,0)+2) &amp; LastRow &amp; (MATCH($B13,Data!$A$1:$BH$1,0)+2),FALSE), INDIRECT("Data!L3C" &amp; (MATCH(H$8,Data!$A$1:$BH$1,0)+2) &amp; LastRow &amp; (MATCH(H$8,Data!$A$1:$BH$1,0)+2),FALSE)))</f>
        <v>1.3636479993259377E-3</v>
      </c>
      <c r="I13" s="98">
        <f ca="1">IF(OR($B13 = "", I$8 = ""), "", _xlfn.COVARIANCE.S(INDIRECT("Data!L3C" &amp; (MATCH($B13,Data!$A$1:$BH$1,0)+2) &amp; LastRow &amp; (MATCH($B13,Data!$A$1:$BH$1,0)+2),FALSE), INDIRECT("Data!L3C" &amp; (MATCH(I$8,Data!$A$1:$BH$1,0)+2) &amp; LastRow &amp; (MATCH(I$8,Data!$A$1:$BH$1,0)+2),FALSE)))</f>
        <v>1.1398997408422088E-3</v>
      </c>
      <c r="J13" s="98">
        <f ca="1">IF(OR($B13 = "", J$8 = ""), "", _xlfn.COVARIANCE.S(INDIRECT("Data!L3C" &amp; (MATCH($B13,Data!$A$1:$BH$1,0)+2) &amp; LastRow &amp; (MATCH($B13,Data!$A$1:$BH$1,0)+2),FALSE), INDIRECT("Data!L3C" &amp; (MATCH(J$8,Data!$A$1:$BH$1,0)+2) &amp; LastRow &amp; (MATCH(J$8,Data!$A$1:$BH$1,0)+2),FALSE)))</f>
        <v>1.0412955045680148E-3</v>
      </c>
      <c r="K13" s="98">
        <f ca="1">IF(OR($B13 = "", K$8 = ""), "", _xlfn.COVARIANCE.S(INDIRECT("Data!L3C" &amp; (MATCH($B13,Data!$A$1:$BH$1,0)+2) &amp; LastRow &amp; (MATCH($B13,Data!$A$1:$BH$1,0)+2),FALSE), INDIRECT("Data!L3C" &amp; (MATCH(K$8,Data!$A$1:$BH$1,0)+2) &amp; LastRow &amp; (MATCH(K$8,Data!$A$1:$BH$1,0)+2),FALSE)))</f>
        <v>1.0858032249143387E-3</v>
      </c>
      <c r="L13" s="98">
        <f ca="1">IF(OR($B13 = "", L$8 = ""), "", _xlfn.COVARIANCE.S(INDIRECT("Data!L3C" &amp; (MATCH($B13,Data!$A$1:$BH$1,0)+2) &amp; LastRow &amp; (MATCH($B13,Data!$A$1:$BH$1,0)+2),FALSE), INDIRECT("Data!L3C" &amp; (MATCH(L$8,Data!$A$1:$BH$1,0)+2) &amp; LastRow &amp; (MATCH(L$8,Data!$A$1:$BH$1,0)+2),FALSE)))</f>
        <v>1.3570696204633075E-3</v>
      </c>
      <c r="M13" s="98">
        <f ca="1">IF(OR($B13 = "", M$8 = ""), "", _xlfn.COVARIANCE.S(INDIRECT("Data!L3C" &amp; (MATCH($B13,Data!$A$1:$BH$1,0)+2) &amp; LastRow &amp; (MATCH($B13,Data!$A$1:$BH$1,0)+2),FALSE), INDIRECT("Data!L3C" &amp; (MATCH(M$8,Data!$A$1:$BH$1,0)+2) &amp; LastRow &amp; (MATCH(M$8,Data!$A$1:$BH$1,0)+2),FALSE)))</f>
        <v>1.2616497858440219E-3</v>
      </c>
      <c r="N13" s="98" t="str">
        <f ca="1">IF(OR($B13 = "", N$8 = ""), "", _xlfn.COVARIANCE.S(INDIRECT("Data!L3C" &amp; (MATCH($B13,Data!$A$1:$BH$1,0)+2) &amp; LastRow &amp; (MATCH($B13,Data!$A$1:$BH$1,0)+2),FALSE), INDIRECT("Data!L3C" &amp; (MATCH(N$8,Data!$A$1:$BH$1,0)+2) &amp; LastRow &amp; (MATCH(N$8,Data!$A$1:$BH$1,0)+2),FALSE)))</f>
        <v/>
      </c>
      <c r="O13" s="98" t="str">
        <f ca="1">IF(OR($B13 = "", O$8 = ""), "", _xlfn.COVARIANCE.S(INDIRECT("Data!L3C" &amp; (MATCH($B13,Data!$A$1:$BH$1,0)+2) &amp; LastRow &amp; (MATCH($B13,Data!$A$1:$BH$1,0)+2),FALSE), INDIRECT("Data!L3C" &amp; (MATCH(O$8,Data!$A$1:$BH$1,0)+2) &amp; LastRow &amp; (MATCH(O$8,Data!$A$1:$BH$1,0)+2),FALSE)))</f>
        <v/>
      </c>
      <c r="P13" s="98" t="str">
        <f ca="1">IF(OR($B13 = "", P$8 = ""), "", _xlfn.COVARIANCE.S(INDIRECT("Data!L3C" &amp; (MATCH($B13,Data!$A$1:$BH$1,0)+2) &amp; LastRow &amp; (MATCH($B13,Data!$A$1:$BH$1,0)+2),FALSE), INDIRECT("Data!L3C" &amp; (MATCH(P$8,Data!$A$1:$BH$1,0)+2) &amp; LastRow &amp; (MATCH(P$8,Data!$A$1:$BH$1,0)+2),FALSE)))</f>
        <v/>
      </c>
      <c r="Q13" s="98" t="str">
        <f ca="1">IF(OR($B13 = "", Q$8 = ""), "", _xlfn.COVARIANCE.S(INDIRECT("Data!L3C" &amp; (MATCH($B13,Data!$A$1:$BH$1,0)+2) &amp; LastRow &amp; (MATCH($B13,Data!$A$1:$BH$1,0)+2),FALSE), INDIRECT("Data!L3C" &amp; (MATCH(Q$8,Data!$A$1:$BH$1,0)+2) &amp; LastRow &amp; (MATCH(Q$8,Data!$A$1:$BH$1,0)+2),FALSE)))</f>
        <v/>
      </c>
      <c r="R13" s="98" t="str">
        <f ca="1">IF(OR($B13 = "", R$8 = ""), "", _xlfn.COVARIANCE.S(INDIRECT("Data!L3C" &amp; (MATCH($B13,Data!$A$1:$BH$1,0)+2) &amp; LastRow &amp; (MATCH($B13,Data!$A$1:$BH$1,0)+2),FALSE), INDIRECT("Data!L3C" &amp; (MATCH(R$8,Data!$A$1:$BH$1,0)+2) &amp; LastRow &amp; (MATCH(R$8,Data!$A$1:$BH$1,0)+2),FALSE)))</f>
        <v/>
      </c>
      <c r="S13" s="98" t="str">
        <f ca="1">IF(OR($B13 = "", S$8 = ""), "", _xlfn.COVARIANCE.S(INDIRECT("Data!L3C" &amp; (MATCH($B13,Data!$A$1:$BH$1,0)+2) &amp; LastRow &amp; (MATCH($B13,Data!$A$1:$BH$1,0)+2),FALSE), INDIRECT("Data!L3C" &amp; (MATCH(S$8,Data!$A$1:$BH$1,0)+2) &amp; LastRow &amp; (MATCH(S$8,Data!$A$1:$BH$1,0)+2),FALSE)))</f>
        <v/>
      </c>
      <c r="T13" s="115" t="str">
        <f ca="1">IF(OR($B13 = "", T$8 = ""), "", _xlfn.COVARIANCE.S(INDIRECT("Data!L3C" &amp; (MATCH($B13,Data!$A$1:$BH$1,0)+2) &amp; LastRow &amp; (MATCH($B13,Data!$A$1:$BH$1,0)+2),FALSE), INDIRECT("Data!L3C" &amp; (MATCH(T$8,Data!$A$1:$BH$1,0)+2) &amp; LastRow &amp; (MATCH(T$8,Data!$A$1:$BH$1,0)+2),FALSE)))</f>
        <v/>
      </c>
      <c r="U13" s="105">
        <f ca="1">IF(COUNTBLANK(LongTickers) &lt; 5, Summary!F7, IF(COUNTBLANK(LongTickers)+COUNTBLANK(ShortTickers) &lt; 14, INDIRECT("Summary!F" &amp; 19 - 9 + COUNTBLANK(LongTickers)), "")   )</f>
        <v>3287.4599999999996</v>
      </c>
      <c r="V13" s="50">
        <f t="shared" ca="1" si="0"/>
        <v>3.6534818935741432E-2</v>
      </c>
      <c r="X13" s="135"/>
      <c r="Y13" s="135"/>
      <c r="Z13" s="135"/>
      <c r="AA13" s="135"/>
      <c r="AB13" s="135"/>
      <c r="AC13" s="135"/>
      <c r="AD13" s="135"/>
      <c r="AE13" s="135"/>
      <c r="AF13" s="135"/>
    </row>
    <row r="14" spans="1:32" x14ac:dyDescent="0.25">
      <c r="A14" s="97"/>
      <c r="B14" s="60" t="str">
        <f ca="1">IF(COUNTBLANK(LongTickers) &lt; 4, Summary!B8, IF(COUNTBLANK(LongTickers)+COUNTBLANK(ShortTickers) &lt; 13, INDIRECT("Summary!B" &amp; 20 - 9 + COUNTBLANK(LongTickers)), "")   )</f>
        <v>WING</v>
      </c>
      <c r="C14" s="99">
        <f ca="1">IF(OR($B14 = "", C$8 = ""), "", _xlfn.COVARIANCE.S(INDIRECT("Data!L3C" &amp; (MATCH($B14,Data!$A$1:$BH$1,0)+2) &amp; LastRow &amp; (MATCH($B14,Data!$A$1:$BH$1,0)+2),FALSE), INDIRECT("Data!L3C" &amp; (MATCH(C$8,Data!$A$1:$BH$1,0)+2) &amp; LastRow &amp; (MATCH(C$8,Data!$A$1:$BH$1,0)+2),FALSE)))</f>
        <v>6.5188365543961038E-4</v>
      </c>
      <c r="D14" s="98">
        <f ca="1">IF(OR($B14 = "", D$8 = ""), "", _xlfn.COVARIANCE.S(INDIRECT("Data!L3C" &amp; (MATCH($B14,Data!$A$1:$BH$1,0)+2) &amp; LastRow &amp; (MATCH($B14,Data!$A$1:$BH$1,0)+2),FALSE), INDIRECT("Data!L3C" &amp; (MATCH(D$8,Data!$A$1:$BH$1,0)+2) &amp; LastRow &amp; (MATCH(D$8,Data!$A$1:$BH$1,0)+2),FALSE)))</f>
        <v>2.0083941832870996E-3</v>
      </c>
      <c r="E14" s="98">
        <f ca="1">IF(OR($B14 = "", E$8 = ""), "", _xlfn.COVARIANCE.S(INDIRECT("Data!L3C" &amp; (MATCH($B14,Data!$A$1:$BH$1,0)+2) &amp; LastRow &amp; (MATCH($B14,Data!$A$1:$BH$1,0)+2),FALSE), INDIRECT("Data!L3C" &amp; (MATCH(E$8,Data!$A$1:$BH$1,0)+2) &amp; LastRow &amp; (MATCH(E$8,Data!$A$1:$BH$1,0)+2),FALSE)))</f>
        <v>7.3676628182278952E-4</v>
      </c>
      <c r="F14" s="98">
        <f ca="1">IF(OR($B14 = "", F$8 = ""), "", _xlfn.COVARIANCE.S(INDIRECT("Data!L3C" &amp; (MATCH($B14,Data!$A$1:$BH$1,0)+2) &amp; LastRow &amp; (MATCH($B14,Data!$A$1:$BH$1,0)+2),FALSE), INDIRECT("Data!L3C" &amp; (MATCH(F$8,Data!$A$1:$BH$1,0)+2) &amp; LastRow &amp; (MATCH(F$8,Data!$A$1:$BH$1,0)+2),FALSE)))</f>
        <v>1.054391929019757E-3</v>
      </c>
      <c r="G14" s="98">
        <f ca="1">IF(OR($B14 = "", G$8 = ""), "", _xlfn.COVARIANCE.S(INDIRECT("Data!L3C" &amp; (MATCH($B14,Data!$A$1:$BH$1,0)+2) &amp; LastRow &amp; (MATCH($B14,Data!$A$1:$BH$1,0)+2),FALSE), INDIRECT("Data!L3C" &amp; (MATCH(G$8,Data!$A$1:$BH$1,0)+2) &amp; LastRow &amp; (MATCH(G$8,Data!$A$1:$BH$1,0)+2),FALSE)))</f>
        <v>1.3636479993259377E-3</v>
      </c>
      <c r="H14" s="98">
        <f ca="1">IF(OR($B14 = "", H$8 = ""), "", _xlfn.COVARIANCE.S(INDIRECT("Data!L3C" &amp; (MATCH($B14,Data!$A$1:$BH$1,0)+2) &amp; LastRow &amp; (MATCH($B14,Data!$A$1:$BH$1,0)+2),FALSE), INDIRECT("Data!L3C" &amp; (MATCH(H$8,Data!$A$1:$BH$1,0)+2) &amp; LastRow &amp; (MATCH(H$8,Data!$A$1:$BH$1,0)+2),FALSE)))</f>
        <v>4.3420171958527681E-3</v>
      </c>
      <c r="I14" s="98">
        <f ca="1">IF(OR($B14 = "", I$8 = ""), "", _xlfn.COVARIANCE.S(INDIRECT("Data!L3C" &amp; (MATCH($B14,Data!$A$1:$BH$1,0)+2) &amp; LastRow &amp; (MATCH($B14,Data!$A$1:$BH$1,0)+2),FALSE), INDIRECT("Data!L3C" &amp; (MATCH(I$8,Data!$A$1:$BH$1,0)+2) &amp; LastRow &amp; (MATCH(I$8,Data!$A$1:$BH$1,0)+2),FALSE)))</f>
        <v>1.7004323780196483E-3</v>
      </c>
      <c r="J14" s="98">
        <f ca="1">IF(OR($B14 = "", J$8 = ""), "", _xlfn.COVARIANCE.S(INDIRECT("Data!L3C" &amp; (MATCH($B14,Data!$A$1:$BH$1,0)+2) &amp; LastRow &amp; (MATCH($B14,Data!$A$1:$BH$1,0)+2),FALSE), INDIRECT("Data!L3C" &amp; (MATCH(J$8,Data!$A$1:$BH$1,0)+2) &amp; LastRow &amp; (MATCH(J$8,Data!$A$1:$BH$1,0)+2),FALSE)))</f>
        <v>8.486203494491143E-4</v>
      </c>
      <c r="K14" s="98">
        <f ca="1">IF(OR($B14 = "", K$8 = ""), "", _xlfn.COVARIANCE.S(INDIRECT("Data!L3C" &amp; (MATCH($B14,Data!$A$1:$BH$1,0)+2) &amp; LastRow &amp; (MATCH($B14,Data!$A$1:$BH$1,0)+2),FALSE), INDIRECT("Data!L3C" &amp; (MATCH(K$8,Data!$A$1:$BH$1,0)+2) &amp; LastRow &amp; (MATCH(K$8,Data!$A$1:$BH$1,0)+2),FALSE)))</f>
        <v>1.6880239506519153E-3</v>
      </c>
      <c r="L14" s="98">
        <f ca="1">IF(OR($B14 = "", L$8 = ""), "", _xlfn.COVARIANCE.S(INDIRECT("Data!L3C" &amp; (MATCH($B14,Data!$A$1:$BH$1,0)+2) &amp; LastRow &amp; (MATCH($B14,Data!$A$1:$BH$1,0)+2),FALSE), INDIRECT("Data!L3C" &amp; (MATCH(L$8,Data!$A$1:$BH$1,0)+2) &amp; LastRow &amp; (MATCH(L$8,Data!$A$1:$BH$1,0)+2),FALSE)))</f>
        <v>1.7073531374367228E-3</v>
      </c>
      <c r="M14" s="98">
        <f ca="1">IF(OR($B14 = "", M$8 = ""), "", _xlfn.COVARIANCE.S(INDIRECT("Data!L3C" &amp; (MATCH($B14,Data!$A$1:$BH$1,0)+2) &amp; LastRow &amp; (MATCH($B14,Data!$A$1:$BH$1,0)+2),FALSE), INDIRECT("Data!L3C" &amp; (MATCH(M$8,Data!$A$1:$BH$1,0)+2) &amp; LastRow &amp; (MATCH(M$8,Data!$A$1:$BH$1,0)+2),FALSE)))</f>
        <v>1.6259159174747363E-3</v>
      </c>
      <c r="N14" s="98" t="str">
        <f ca="1">IF(OR($B14 = "", N$8 = ""), "", _xlfn.COVARIANCE.S(INDIRECT("Data!L3C" &amp; (MATCH($B14,Data!$A$1:$BH$1,0)+2) &amp; LastRow &amp; (MATCH($B14,Data!$A$1:$BH$1,0)+2),FALSE), INDIRECT("Data!L3C" &amp; (MATCH(N$8,Data!$A$1:$BH$1,0)+2) &amp; LastRow &amp; (MATCH(N$8,Data!$A$1:$BH$1,0)+2),FALSE)))</f>
        <v/>
      </c>
      <c r="O14" s="98" t="str">
        <f ca="1">IF(OR($B14 = "", O$8 = ""), "", _xlfn.COVARIANCE.S(INDIRECT("Data!L3C" &amp; (MATCH($B14,Data!$A$1:$BH$1,0)+2) &amp; LastRow &amp; (MATCH($B14,Data!$A$1:$BH$1,0)+2),FALSE), INDIRECT("Data!L3C" &amp; (MATCH(O$8,Data!$A$1:$BH$1,0)+2) &amp; LastRow &amp; (MATCH(O$8,Data!$A$1:$BH$1,0)+2),FALSE)))</f>
        <v/>
      </c>
      <c r="P14" s="98" t="str">
        <f ca="1">IF(OR($B14 = "", P$8 = ""), "", _xlfn.COVARIANCE.S(INDIRECT("Data!L3C" &amp; (MATCH($B14,Data!$A$1:$BH$1,0)+2) &amp; LastRow &amp; (MATCH($B14,Data!$A$1:$BH$1,0)+2),FALSE), INDIRECT("Data!L3C" &amp; (MATCH(P$8,Data!$A$1:$BH$1,0)+2) &amp; LastRow &amp; (MATCH(P$8,Data!$A$1:$BH$1,0)+2),FALSE)))</f>
        <v/>
      </c>
      <c r="Q14" s="98" t="str">
        <f ca="1">IF(OR($B14 = "", Q$8 = ""), "", _xlfn.COVARIANCE.S(INDIRECT("Data!L3C" &amp; (MATCH($B14,Data!$A$1:$BH$1,0)+2) &amp; LastRow &amp; (MATCH($B14,Data!$A$1:$BH$1,0)+2),FALSE), INDIRECT("Data!L3C" &amp; (MATCH(Q$8,Data!$A$1:$BH$1,0)+2) &amp; LastRow &amp; (MATCH(Q$8,Data!$A$1:$BH$1,0)+2),FALSE)))</f>
        <v/>
      </c>
      <c r="R14" s="98" t="str">
        <f ca="1">IF(OR($B14 = "", R$8 = ""), "", _xlfn.COVARIANCE.S(INDIRECT("Data!L3C" &amp; (MATCH($B14,Data!$A$1:$BH$1,0)+2) &amp; LastRow &amp; (MATCH($B14,Data!$A$1:$BH$1,0)+2),FALSE), INDIRECT("Data!L3C" &amp; (MATCH(R$8,Data!$A$1:$BH$1,0)+2) &amp; LastRow &amp; (MATCH(R$8,Data!$A$1:$BH$1,0)+2),FALSE)))</f>
        <v/>
      </c>
      <c r="S14" s="98" t="str">
        <f ca="1">IF(OR($B14 = "", S$8 = ""), "", _xlfn.COVARIANCE.S(INDIRECT("Data!L3C" &amp; (MATCH($B14,Data!$A$1:$BH$1,0)+2) &amp; LastRow &amp; (MATCH($B14,Data!$A$1:$BH$1,0)+2),FALSE), INDIRECT("Data!L3C" &amp; (MATCH(S$8,Data!$A$1:$BH$1,0)+2) &amp; LastRow &amp; (MATCH(S$8,Data!$A$1:$BH$1,0)+2),FALSE)))</f>
        <v/>
      </c>
      <c r="T14" s="115" t="str">
        <f ca="1">IF(OR($B14 = "", T$8 = ""), "", _xlfn.COVARIANCE.S(INDIRECT("Data!L3C" &amp; (MATCH($B14,Data!$A$1:$BH$1,0)+2) &amp; LastRow &amp; (MATCH($B14,Data!$A$1:$BH$1,0)+2),FALSE), INDIRECT("Data!L3C" &amp; (MATCH(T$8,Data!$A$1:$BH$1,0)+2) &amp; LastRow &amp; (MATCH(T$8,Data!$A$1:$BH$1,0)+2),FALSE)))</f>
        <v/>
      </c>
      <c r="U14" s="105">
        <f ca="1">IF(COUNTBLANK(LongTickers) &lt; 4, Summary!F8, IF(COUNTBLANK(LongTickers)+COUNTBLANK(ShortTickers) &lt; 13, INDIRECT("Summary!F" &amp; 20 - 9 + COUNTBLANK(LongTickers)), "")   )</f>
        <v>15758.820307999998</v>
      </c>
      <c r="V14" s="50">
        <f t="shared" ca="1" si="0"/>
        <v>0.17513388652444897</v>
      </c>
      <c r="X14" s="135"/>
      <c r="Y14" s="135"/>
      <c r="Z14" s="135"/>
      <c r="AA14" s="135"/>
      <c r="AB14" s="135"/>
      <c r="AC14" s="135"/>
      <c r="AD14" s="135"/>
      <c r="AE14" s="135"/>
      <c r="AF14" s="135"/>
    </row>
    <row r="15" spans="1:32" x14ac:dyDescent="0.25">
      <c r="A15" s="97"/>
      <c r="B15" s="60" t="str">
        <f ca="1">IF(COUNTBLANK(LongTickers) &lt; 3, Summary!B9, IF(COUNTBLANK(LongTickers)+COUNTBLANK(ShortTickers) &lt; 12, INDIRECT("Summary!B" &amp; 21 - 9 + COUNTBLANK(LongTickers)), "")   )</f>
        <v>OLED</v>
      </c>
      <c r="C15" s="99">
        <f ca="1">IF(OR($B15 = "", C$8 = ""), "", _xlfn.COVARIANCE.S(INDIRECT("Data!L3C" &amp; (MATCH($B15,Data!$A$1:$BH$1,0)+2) &amp; LastRow &amp; (MATCH($B15,Data!$A$1:$BH$1,0)+2),FALSE), INDIRECT("Data!L3C" &amp; (MATCH(C$8,Data!$A$1:$BH$1,0)+2) &amp; LastRow &amp; (MATCH(C$8,Data!$A$1:$BH$1,0)+2),FALSE)))</f>
        <v>7.4022663470890454E-4</v>
      </c>
      <c r="D15" s="98">
        <f ca="1">IF(OR($B15 = "", D$8 = ""), "", _xlfn.COVARIANCE.S(INDIRECT("Data!L3C" &amp; (MATCH($B15,Data!$A$1:$BH$1,0)+2) &amp; LastRow &amp; (MATCH($B15,Data!$A$1:$BH$1,0)+2),FALSE), INDIRECT("Data!L3C" &amp; (MATCH(D$8,Data!$A$1:$BH$1,0)+2) &amp; LastRow &amp; (MATCH(D$8,Data!$A$1:$BH$1,0)+2),FALSE)))</f>
        <v>1.800011437218285E-3</v>
      </c>
      <c r="E15" s="98">
        <f ca="1">IF(OR($B15 = "", E$8 = ""), "", _xlfn.COVARIANCE.S(INDIRECT("Data!L3C" &amp; (MATCH($B15,Data!$A$1:$BH$1,0)+2) &amp; LastRow &amp; (MATCH($B15,Data!$A$1:$BH$1,0)+2),FALSE), INDIRECT("Data!L3C" &amp; (MATCH(E$8,Data!$A$1:$BH$1,0)+2) &amp; LastRow &amp; (MATCH(E$8,Data!$A$1:$BH$1,0)+2),FALSE)))</f>
        <v>1.1720305409061837E-3</v>
      </c>
      <c r="F15" s="98">
        <f ca="1">IF(OR($B15 = "", F$8 = ""), "", _xlfn.COVARIANCE.S(INDIRECT("Data!L3C" &amp; (MATCH($B15,Data!$A$1:$BH$1,0)+2) &amp; LastRow &amp; (MATCH($B15,Data!$A$1:$BH$1,0)+2),FALSE), INDIRECT("Data!L3C" &amp; (MATCH(F$8,Data!$A$1:$BH$1,0)+2) &amp; LastRow &amp; (MATCH(F$8,Data!$A$1:$BH$1,0)+2),FALSE)))</f>
        <v>9.2846863775631239E-4</v>
      </c>
      <c r="G15" s="98">
        <f ca="1">IF(OR($B15 = "", G$8 = ""), "", _xlfn.COVARIANCE.S(INDIRECT("Data!L3C" &amp; (MATCH($B15,Data!$A$1:$BH$1,0)+2) &amp; LastRow &amp; (MATCH($B15,Data!$A$1:$BH$1,0)+2),FALSE), INDIRECT("Data!L3C" &amp; (MATCH(G$8,Data!$A$1:$BH$1,0)+2) &amp; LastRow &amp; (MATCH(G$8,Data!$A$1:$BH$1,0)+2),FALSE)))</f>
        <v>1.1398997408422088E-3</v>
      </c>
      <c r="H15" s="98">
        <f ca="1">IF(OR($B15 = "", H$8 = ""), "", _xlfn.COVARIANCE.S(INDIRECT("Data!L3C" &amp; (MATCH($B15,Data!$A$1:$BH$1,0)+2) &amp; LastRow &amp; (MATCH($B15,Data!$A$1:$BH$1,0)+2),FALSE), INDIRECT("Data!L3C" &amp; (MATCH(H$8,Data!$A$1:$BH$1,0)+2) &amp; LastRow &amp; (MATCH(H$8,Data!$A$1:$BH$1,0)+2),FALSE)))</f>
        <v>1.7004323780196483E-3</v>
      </c>
      <c r="I15" s="98">
        <f ca="1">IF(OR($B15 = "", I$8 = ""), "", _xlfn.COVARIANCE.S(INDIRECT("Data!L3C" &amp; (MATCH($B15,Data!$A$1:$BH$1,0)+2) &amp; LastRow &amp; (MATCH($B15,Data!$A$1:$BH$1,0)+2),FALSE), INDIRECT("Data!L3C" &amp; (MATCH(I$8,Data!$A$1:$BH$1,0)+2) &amp; LastRow &amp; (MATCH(I$8,Data!$A$1:$BH$1,0)+2),FALSE)))</f>
        <v>3.8186621850523654E-3</v>
      </c>
      <c r="J15" s="98">
        <f ca="1">IF(OR($B15 = "", J$8 = ""), "", _xlfn.COVARIANCE.S(INDIRECT("Data!L3C" &amp; (MATCH($B15,Data!$A$1:$BH$1,0)+2) &amp; LastRow &amp; (MATCH($B15,Data!$A$1:$BH$1,0)+2),FALSE), INDIRECT("Data!L3C" &amp; (MATCH(J$8,Data!$A$1:$BH$1,0)+2) &amp; LastRow &amp; (MATCH(J$8,Data!$A$1:$BH$1,0)+2),FALSE)))</f>
        <v>1.1172340747843854E-3</v>
      </c>
      <c r="K15" s="98">
        <f ca="1">IF(OR($B15 = "", K$8 = ""), "", _xlfn.COVARIANCE.S(INDIRECT("Data!L3C" &amp; (MATCH($B15,Data!$A$1:$BH$1,0)+2) &amp; LastRow &amp; (MATCH($B15,Data!$A$1:$BH$1,0)+2),FALSE), INDIRECT("Data!L3C" &amp; (MATCH(K$8,Data!$A$1:$BH$1,0)+2) &amp; LastRow &amp; (MATCH(K$8,Data!$A$1:$BH$1,0)+2),FALSE)))</f>
        <v>1.3142748821303172E-3</v>
      </c>
      <c r="L15" s="98">
        <f ca="1">IF(OR($B15 = "", L$8 = ""), "", _xlfn.COVARIANCE.S(INDIRECT("Data!L3C" &amp; (MATCH($B15,Data!$A$1:$BH$1,0)+2) &amp; LastRow &amp; (MATCH($B15,Data!$A$1:$BH$1,0)+2),FALSE), INDIRECT("Data!L3C" &amp; (MATCH(L$8,Data!$A$1:$BH$1,0)+2) &amp; LastRow &amp; (MATCH(L$8,Data!$A$1:$BH$1,0)+2),FALSE)))</f>
        <v>1.4718183331550098E-3</v>
      </c>
      <c r="M15" s="98">
        <f ca="1">IF(OR($B15 = "", M$8 = ""), "", _xlfn.COVARIANCE.S(INDIRECT("Data!L3C" &amp; (MATCH($B15,Data!$A$1:$BH$1,0)+2) &amp; LastRow &amp; (MATCH($B15,Data!$A$1:$BH$1,0)+2),FALSE), INDIRECT("Data!L3C" &amp; (MATCH(M$8,Data!$A$1:$BH$1,0)+2) &amp; LastRow &amp; (MATCH(M$8,Data!$A$1:$BH$1,0)+2),FALSE)))</f>
        <v>1.7301421513184817E-3</v>
      </c>
      <c r="N15" s="98" t="str">
        <f ca="1">IF(OR($B15 = "", N$8 = ""), "", _xlfn.COVARIANCE.S(INDIRECT("Data!L3C" &amp; (MATCH($B15,Data!$A$1:$BH$1,0)+2) &amp; LastRow &amp; (MATCH($B15,Data!$A$1:$BH$1,0)+2),FALSE), INDIRECT("Data!L3C" &amp; (MATCH(N$8,Data!$A$1:$BH$1,0)+2) &amp; LastRow &amp; (MATCH(N$8,Data!$A$1:$BH$1,0)+2),FALSE)))</f>
        <v/>
      </c>
      <c r="O15" s="98" t="str">
        <f ca="1">IF(OR($B15 = "", O$8 = ""), "", _xlfn.COVARIANCE.S(INDIRECT("Data!L3C" &amp; (MATCH($B15,Data!$A$1:$BH$1,0)+2) &amp; LastRow &amp; (MATCH($B15,Data!$A$1:$BH$1,0)+2),FALSE), INDIRECT("Data!L3C" &amp; (MATCH(O$8,Data!$A$1:$BH$1,0)+2) &amp; LastRow &amp; (MATCH(O$8,Data!$A$1:$BH$1,0)+2),FALSE)))</f>
        <v/>
      </c>
      <c r="P15" s="98" t="str">
        <f ca="1">IF(OR($B15 = "", P$8 = ""), "", _xlfn.COVARIANCE.S(INDIRECT("Data!L3C" &amp; (MATCH($B15,Data!$A$1:$BH$1,0)+2) &amp; LastRow &amp; (MATCH($B15,Data!$A$1:$BH$1,0)+2),FALSE), INDIRECT("Data!L3C" &amp; (MATCH(P$8,Data!$A$1:$BH$1,0)+2) &amp; LastRow &amp; (MATCH(P$8,Data!$A$1:$BH$1,0)+2),FALSE)))</f>
        <v/>
      </c>
      <c r="Q15" s="98" t="str">
        <f ca="1">IF(OR($B15 = "", Q$8 = ""), "", _xlfn.COVARIANCE.S(INDIRECT("Data!L3C" &amp; (MATCH($B15,Data!$A$1:$BH$1,0)+2) &amp; LastRow &amp; (MATCH($B15,Data!$A$1:$BH$1,0)+2),FALSE), INDIRECT("Data!L3C" &amp; (MATCH(Q$8,Data!$A$1:$BH$1,0)+2) &amp; LastRow &amp; (MATCH(Q$8,Data!$A$1:$BH$1,0)+2),FALSE)))</f>
        <v/>
      </c>
      <c r="R15" s="98" t="str">
        <f ca="1">IF(OR($B15 = "", R$8 = ""), "", _xlfn.COVARIANCE.S(INDIRECT("Data!L3C" &amp; (MATCH($B15,Data!$A$1:$BH$1,0)+2) &amp; LastRow &amp; (MATCH($B15,Data!$A$1:$BH$1,0)+2),FALSE), INDIRECT("Data!L3C" &amp; (MATCH(R$8,Data!$A$1:$BH$1,0)+2) &amp; LastRow &amp; (MATCH(R$8,Data!$A$1:$BH$1,0)+2),FALSE)))</f>
        <v/>
      </c>
      <c r="S15" s="98" t="str">
        <f ca="1">IF(OR($B15 = "", S$8 = ""), "", _xlfn.COVARIANCE.S(INDIRECT("Data!L3C" &amp; (MATCH($B15,Data!$A$1:$BH$1,0)+2) &amp; LastRow &amp; (MATCH($B15,Data!$A$1:$BH$1,0)+2),FALSE), INDIRECT("Data!L3C" &amp; (MATCH(S$8,Data!$A$1:$BH$1,0)+2) &amp; LastRow &amp; (MATCH(S$8,Data!$A$1:$BH$1,0)+2),FALSE)))</f>
        <v/>
      </c>
      <c r="T15" s="115" t="str">
        <f ca="1">IF(OR($B15 = "", T$8 = ""), "", _xlfn.COVARIANCE.S(INDIRECT("Data!L3C" &amp; (MATCH($B15,Data!$A$1:$BH$1,0)+2) &amp; LastRow &amp; (MATCH($B15,Data!$A$1:$BH$1,0)+2),FALSE), INDIRECT("Data!L3C" &amp; (MATCH(T$8,Data!$A$1:$BH$1,0)+2) &amp; LastRow &amp; (MATCH(T$8,Data!$A$1:$BH$1,0)+2),FALSE)))</f>
        <v/>
      </c>
      <c r="U15" s="105">
        <f ca="1">IF(COUNTBLANK(LongTickers) &lt; 3, Summary!F9, IF(COUNTBLANK(LongTickers)+COUNTBLANK(ShortTickers) &lt; 12, INDIRECT("Summary!F" &amp; 21 - 9 + COUNTBLANK(LongTickers)), "")   )</f>
        <v>6562.0802100000001</v>
      </c>
      <c r="V15" s="50">
        <f t="shared" ca="1" si="0"/>
        <v>7.2926944301729038E-2</v>
      </c>
      <c r="X15" s="135"/>
      <c r="Y15" s="135"/>
      <c r="Z15" s="135"/>
      <c r="AA15" s="135"/>
      <c r="AB15" s="135"/>
      <c r="AC15" s="135"/>
      <c r="AD15" s="135"/>
      <c r="AE15" s="135"/>
      <c r="AF15" s="135"/>
    </row>
    <row r="16" spans="1:32" x14ac:dyDescent="0.25">
      <c r="A16" s="97"/>
      <c r="B16" s="60" t="str">
        <f ca="1">IF(COUNTBLANK(LongTickers) &lt; 2, Summary!B10, IF(COUNTBLANK(LongTickers)+COUNTBLANK(ShortTickers) &lt; 11, INDIRECT("Summary!B" &amp; 22 - 9 + COUNTBLANK(LongTickers)), "")   )</f>
        <v>LVS</v>
      </c>
      <c r="C16" s="99">
        <f ca="1">IF(OR($B16 = "", C$8 = ""), "", _xlfn.COVARIANCE.S(INDIRECT("Data!L3C" &amp; (MATCH($B16,Data!$A$1:$BH$1,0)+2) &amp; LastRow &amp; (MATCH($B16,Data!$A$1:$BH$1,0)+2),FALSE), INDIRECT("Data!L3C" &amp; (MATCH(C$8,Data!$A$1:$BH$1,0)+2) &amp; LastRow &amp; (MATCH(C$8,Data!$A$1:$BH$1,0)+2),FALSE)))</f>
        <v>9.714407481388541E-4</v>
      </c>
      <c r="D16" s="98">
        <f ca="1">IF(OR($B16 = "", D$8 = ""), "", _xlfn.COVARIANCE.S(INDIRECT("Data!L3C" &amp; (MATCH($B16,Data!$A$1:$BH$1,0)+2) &amp; LastRow &amp; (MATCH($B16,Data!$A$1:$BH$1,0)+2),FALSE), INDIRECT("Data!L3C" &amp; (MATCH(D$8,Data!$A$1:$BH$1,0)+2) &amp; LastRow &amp; (MATCH(D$8,Data!$A$1:$BH$1,0)+2),FALSE)))</f>
        <v>1.8221020364861335E-3</v>
      </c>
      <c r="E16" s="98">
        <f ca="1">IF(OR($B16 = "", E$8 = ""), "", _xlfn.COVARIANCE.S(INDIRECT("Data!L3C" &amp; (MATCH($B16,Data!$A$1:$BH$1,0)+2) &amp; LastRow &amp; (MATCH($B16,Data!$A$1:$BH$1,0)+2),FALSE), INDIRECT("Data!L3C" &amp; (MATCH(E$8,Data!$A$1:$BH$1,0)+2) &amp; LastRow &amp; (MATCH(E$8,Data!$A$1:$BH$1,0)+2),FALSE)))</f>
        <v>1.3882939634289762E-3</v>
      </c>
      <c r="F16" s="98">
        <f ca="1">IF(OR($B16 = "", F$8 = ""), "", _xlfn.COVARIANCE.S(INDIRECT("Data!L3C" &amp; (MATCH($B16,Data!$A$1:$BH$1,0)+2) &amp; LastRow &amp; (MATCH($B16,Data!$A$1:$BH$1,0)+2),FALSE), INDIRECT("Data!L3C" &amp; (MATCH(F$8,Data!$A$1:$BH$1,0)+2) &amp; LastRow &amp; (MATCH(F$8,Data!$A$1:$BH$1,0)+2),FALSE)))</f>
        <v>7.7186318614047209E-4</v>
      </c>
      <c r="G16" s="98">
        <f ca="1">IF(OR($B16 = "", G$8 = ""), "", _xlfn.COVARIANCE.S(INDIRECT("Data!L3C" &amp; (MATCH($B16,Data!$A$1:$BH$1,0)+2) &amp; LastRow &amp; (MATCH($B16,Data!$A$1:$BH$1,0)+2),FALSE), INDIRECT("Data!L3C" &amp; (MATCH(G$8,Data!$A$1:$BH$1,0)+2) &amp; LastRow &amp; (MATCH(G$8,Data!$A$1:$BH$1,0)+2),FALSE)))</f>
        <v>1.0412955045680148E-3</v>
      </c>
      <c r="H16" s="98">
        <f ca="1">IF(OR($B16 = "", H$8 = ""), "", _xlfn.COVARIANCE.S(INDIRECT("Data!L3C" &amp; (MATCH($B16,Data!$A$1:$BH$1,0)+2) &amp; LastRow &amp; (MATCH($B16,Data!$A$1:$BH$1,0)+2),FALSE), INDIRECT("Data!L3C" &amp; (MATCH(H$8,Data!$A$1:$BH$1,0)+2) &amp; LastRow &amp; (MATCH(H$8,Data!$A$1:$BH$1,0)+2),FALSE)))</f>
        <v>8.486203494491143E-4</v>
      </c>
      <c r="I16" s="98">
        <f ca="1">IF(OR($B16 = "", I$8 = ""), "", _xlfn.COVARIANCE.S(INDIRECT("Data!L3C" &amp; (MATCH($B16,Data!$A$1:$BH$1,0)+2) &amp; LastRow &amp; (MATCH($B16,Data!$A$1:$BH$1,0)+2),FALSE), INDIRECT("Data!L3C" &amp; (MATCH(I$8,Data!$A$1:$BH$1,0)+2) &amp; LastRow &amp; (MATCH(I$8,Data!$A$1:$BH$1,0)+2),FALSE)))</f>
        <v>1.1172340747843854E-3</v>
      </c>
      <c r="J16" s="98">
        <f ca="1">IF(OR($B16 = "", J$8 = ""), "", _xlfn.COVARIANCE.S(INDIRECT("Data!L3C" &amp; (MATCH($B16,Data!$A$1:$BH$1,0)+2) &amp; LastRow &amp; (MATCH($B16,Data!$A$1:$BH$1,0)+2),FALSE), INDIRECT("Data!L3C" &amp; (MATCH(J$8,Data!$A$1:$BH$1,0)+2) &amp; LastRow &amp; (MATCH(J$8,Data!$A$1:$BH$1,0)+2),FALSE)))</f>
        <v>2.8601534109903644E-3</v>
      </c>
      <c r="K16" s="98">
        <f ca="1">IF(OR($B16 = "", K$8 = ""), "", _xlfn.COVARIANCE.S(INDIRECT("Data!L3C" &amp; (MATCH($B16,Data!$A$1:$BH$1,0)+2) &amp; LastRow &amp; (MATCH($B16,Data!$A$1:$BH$1,0)+2),FALSE), INDIRECT("Data!L3C" &amp; (MATCH(K$8,Data!$A$1:$BH$1,0)+2) &amp; LastRow &amp; (MATCH(K$8,Data!$A$1:$BH$1,0)+2),FALSE)))</f>
        <v>1.0186144470479385E-3</v>
      </c>
      <c r="L16" s="98">
        <f ca="1">IF(OR($B16 = "", L$8 = ""), "", _xlfn.COVARIANCE.S(INDIRECT("Data!L3C" &amp; (MATCH($B16,Data!$A$1:$BH$1,0)+2) &amp; LastRow &amp; (MATCH($B16,Data!$A$1:$BH$1,0)+2),FALSE), INDIRECT("Data!L3C" &amp; (MATCH(L$8,Data!$A$1:$BH$1,0)+2) &amp; LastRow &amp; (MATCH(L$8,Data!$A$1:$BH$1,0)+2),FALSE)))</f>
        <v>1.1571721840116611E-3</v>
      </c>
      <c r="M16" s="98">
        <f ca="1">IF(OR($B16 = "", M$8 = ""), "", _xlfn.COVARIANCE.S(INDIRECT("Data!L3C" &amp; (MATCH($B16,Data!$A$1:$BH$1,0)+2) &amp; LastRow &amp; (MATCH($B16,Data!$A$1:$BH$1,0)+2),FALSE), INDIRECT("Data!L3C" &amp; (MATCH(M$8,Data!$A$1:$BH$1,0)+2) &amp; LastRow &amp; (MATCH(M$8,Data!$A$1:$BH$1,0)+2),FALSE)))</f>
        <v>1.2659053391531421E-3</v>
      </c>
      <c r="N16" s="98" t="str">
        <f ca="1">IF(OR($B16 = "", N$8 = ""), "", _xlfn.COVARIANCE.S(INDIRECT("Data!L3C" &amp; (MATCH($B16,Data!$A$1:$BH$1,0)+2) &amp; LastRow &amp; (MATCH($B16,Data!$A$1:$BH$1,0)+2),FALSE), INDIRECT("Data!L3C" &amp; (MATCH(N$8,Data!$A$1:$BH$1,0)+2) &amp; LastRow &amp; (MATCH(N$8,Data!$A$1:$BH$1,0)+2),FALSE)))</f>
        <v/>
      </c>
      <c r="O16" s="98" t="str">
        <f ca="1">IF(OR($B16 = "", O$8 = ""), "", _xlfn.COVARIANCE.S(INDIRECT("Data!L3C" &amp; (MATCH($B16,Data!$A$1:$BH$1,0)+2) &amp; LastRow &amp; (MATCH($B16,Data!$A$1:$BH$1,0)+2),FALSE), INDIRECT("Data!L3C" &amp; (MATCH(O$8,Data!$A$1:$BH$1,0)+2) &amp; LastRow &amp; (MATCH(O$8,Data!$A$1:$BH$1,0)+2),FALSE)))</f>
        <v/>
      </c>
      <c r="P16" s="98" t="str">
        <f ca="1">IF(OR($B16 = "", P$8 = ""), "", _xlfn.COVARIANCE.S(INDIRECT("Data!L3C" &amp; (MATCH($B16,Data!$A$1:$BH$1,0)+2) &amp; LastRow &amp; (MATCH($B16,Data!$A$1:$BH$1,0)+2),FALSE), INDIRECT("Data!L3C" &amp; (MATCH(P$8,Data!$A$1:$BH$1,0)+2) &amp; LastRow &amp; (MATCH(P$8,Data!$A$1:$BH$1,0)+2),FALSE)))</f>
        <v/>
      </c>
      <c r="Q16" s="98" t="str">
        <f ca="1">IF(OR($B16 = "", Q$8 = ""), "", _xlfn.COVARIANCE.S(INDIRECT("Data!L3C" &amp; (MATCH($B16,Data!$A$1:$BH$1,0)+2) &amp; LastRow &amp; (MATCH($B16,Data!$A$1:$BH$1,0)+2),FALSE), INDIRECT("Data!L3C" &amp; (MATCH(Q$8,Data!$A$1:$BH$1,0)+2) &amp; LastRow &amp; (MATCH(Q$8,Data!$A$1:$BH$1,0)+2),FALSE)))</f>
        <v/>
      </c>
      <c r="R16" s="98" t="str">
        <f ca="1">IF(OR($B16 = "", R$8 = ""), "", _xlfn.COVARIANCE.S(INDIRECT("Data!L3C" &amp; (MATCH($B16,Data!$A$1:$BH$1,0)+2) &amp; LastRow &amp; (MATCH($B16,Data!$A$1:$BH$1,0)+2),FALSE), INDIRECT("Data!L3C" &amp; (MATCH(R$8,Data!$A$1:$BH$1,0)+2) &amp; LastRow &amp; (MATCH(R$8,Data!$A$1:$BH$1,0)+2),FALSE)))</f>
        <v/>
      </c>
      <c r="S16" s="98" t="str">
        <f ca="1">IF(OR($B16 = "", S$8 = ""), "", _xlfn.COVARIANCE.S(INDIRECT("Data!L3C" &amp; (MATCH($B16,Data!$A$1:$BH$1,0)+2) &amp; LastRow &amp; (MATCH($B16,Data!$A$1:$BH$1,0)+2),FALSE), INDIRECT("Data!L3C" &amp; (MATCH(S$8,Data!$A$1:$BH$1,0)+2) &amp; LastRow &amp; (MATCH(S$8,Data!$A$1:$BH$1,0)+2),FALSE)))</f>
        <v/>
      </c>
      <c r="T16" s="115" t="str">
        <f ca="1">IF(OR($B16 = "", T$8 = ""), "", _xlfn.COVARIANCE.S(INDIRECT("Data!L3C" &amp; (MATCH($B16,Data!$A$1:$BH$1,0)+2) &amp; LastRow &amp; (MATCH($B16,Data!$A$1:$BH$1,0)+2),FALSE), INDIRECT("Data!L3C" &amp; (MATCH(T$8,Data!$A$1:$BH$1,0)+2) &amp; LastRow &amp; (MATCH(T$8,Data!$A$1:$BH$1,0)+2),FALSE)))</f>
        <v/>
      </c>
      <c r="U16" s="105">
        <f ca="1">IF(COUNTBLANK(LongTickers) &lt; 2, Summary!F10, IF(COUNTBLANK(LongTickers)+COUNTBLANK(ShortTickers) &lt; 11, INDIRECT("Summary!F" &amp; 22 - 9 + COUNTBLANK(LongTickers)), "")   )</f>
        <v>-9121.4798370000008</v>
      </c>
      <c r="V16" s="50">
        <f t="shared" ca="1" si="0"/>
        <v>-0.1013705457316017</v>
      </c>
      <c r="X16" s="135"/>
      <c r="Y16" s="135"/>
      <c r="Z16" s="135"/>
      <c r="AA16" s="135"/>
      <c r="AB16" s="135"/>
      <c r="AC16" s="135"/>
      <c r="AD16" s="135"/>
      <c r="AE16" s="135"/>
      <c r="AF16" s="135"/>
    </row>
    <row r="17" spans="1:32" x14ac:dyDescent="0.25">
      <c r="A17" s="97"/>
      <c r="B17" s="60" t="str">
        <f ca="1">IF(COUNTBLANK(LongTickers) &lt; 1, Summary!B11, IF(COUNTBLANK(LongTickers)+COUNTBLANK(ShortTickers) &lt; 10, INDIRECT("Summary!B" &amp; 23 - 9 + COUNTBLANK(LongTickers)), "")   )</f>
        <v>BBY</v>
      </c>
      <c r="C17" s="99">
        <f ca="1">IF(OR($B17 = "", C$8 = ""), "", _xlfn.COVARIANCE.S(INDIRECT("Data!L3C" &amp; (MATCH($B17,Data!$A$1:$BH$1,0)+2) &amp; LastRow &amp; (MATCH($B17,Data!$A$1:$BH$1,0)+2),FALSE), INDIRECT("Data!L3C" &amp; (MATCH(C$8,Data!$A$1:$BH$1,0)+2) &amp; LastRow &amp; (MATCH(C$8,Data!$A$1:$BH$1,0)+2),FALSE)))</f>
        <v>8.0403016537760913E-4</v>
      </c>
      <c r="D17" s="98">
        <f ca="1">IF(OR($B17 = "", D$8 = ""), "", _xlfn.COVARIANCE.S(INDIRECT("Data!L3C" &amp; (MATCH($B17,Data!$A$1:$BH$1,0)+2) &amp; LastRow &amp; (MATCH($B17,Data!$A$1:$BH$1,0)+2),FALSE), INDIRECT("Data!L3C" &amp; (MATCH(D$8,Data!$A$1:$BH$1,0)+2) &amp; LastRow &amp; (MATCH(D$8,Data!$A$1:$BH$1,0)+2),FALSE)))</f>
        <v>1.8139280736560748E-3</v>
      </c>
      <c r="E17" s="98">
        <f ca="1">IF(OR($B17 = "", E$8 = ""), "", _xlfn.COVARIANCE.S(INDIRECT("Data!L3C" &amp; (MATCH($B17,Data!$A$1:$BH$1,0)+2) &amp; LastRow &amp; (MATCH($B17,Data!$A$1:$BH$1,0)+2),FALSE), INDIRECT("Data!L3C" &amp; (MATCH(E$8,Data!$A$1:$BH$1,0)+2) &amp; LastRow &amp; (MATCH(E$8,Data!$A$1:$BH$1,0)+2),FALSE)))</f>
        <v>1.2548875373163911E-3</v>
      </c>
      <c r="F17" s="98">
        <f ca="1">IF(OR($B17 = "", F$8 = ""), "", _xlfn.COVARIANCE.S(INDIRECT("Data!L3C" &amp; (MATCH($B17,Data!$A$1:$BH$1,0)+2) &amp; LastRow &amp; (MATCH($B17,Data!$A$1:$BH$1,0)+2),FALSE), INDIRECT("Data!L3C" &amp; (MATCH(F$8,Data!$A$1:$BH$1,0)+2) &amp; LastRow &amp; (MATCH(F$8,Data!$A$1:$BH$1,0)+2),FALSE)))</f>
        <v>1.0890410273099648E-3</v>
      </c>
      <c r="G17" s="98">
        <f ca="1">IF(OR($B17 = "", G$8 = ""), "", _xlfn.COVARIANCE.S(INDIRECT("Data!L3C" &amp; (MATCH($B17,Data!$A$1:$BH$1,0)+2) &amp; LastRow &amp; (MATCH($B17,Data!$A$1:$BH$1,0)+2),FALSE), INDIRECT("Data!L3C" &amp; (MATCH(G$8,Data!$A$1:$BH$1,0)+2) &amp; LastRow &amp; (MATCH(G$8,Data!$A$1:$BH$1,0)+2),FALSE)))</f>
        <v>1.0858032249143387E-3</v>
      </c>
      <c r="H17" s="98">
        <f ca="1">IF(OR($B17 = "", H$8 = ""), "", _xlfn.COVARIANCE.S(INDIRECT("Data!L3C" &amp; (MATCH($B17,Data!$A$1:$BH$1,0)+2) &amp; LastRow &amp; (MATCH($B17,Data!$A$1:$BH$1,0)+2),FALSE), INDIRECT("Data!L3C" &amp; (MATCH(H$8,Data!$A$1:$BH$1,0)+2) &amp; LastRow &amp; (MATCH(H$8,Data!$A$1:$BH$1,0)+2),FALSE)))</f>
        <v>1.6880239506519153E-3</v>
      </c>
      <c r="I17" s="98">
        <f ca="1">IF(OR($B17 = "", I$8 = ""), "", _xlfn.COVARIANCE.S(INDIRECT("Data!L3C" &amp; (MATCH($B17,Data!$A$1:$BH$1,0)+2) &amp; LastRow &amp; (MATCH($B17,Data!$A$1:$BH$1,0)+2),FALSE), INDIRECT("Data!L3C" &amp; (MATCH(I$8,Data!$A$1:$BH$1,0)+2) &amp; LastRow &amp; (MATCH(I$8,Data!$A$1:$BH$1,0)+2),FALSE)))</f>
        <v>1.3142748821303172E-3</v>
      </c>
      <c r="J17" s="98">
        <f ca="1">IF(OR($B17 = "", J$8 = ""), "", _xlfn.COVARIANCE.S(INDIRECT("Data!L3C" &amp; (MATCH($B17,Data!$A$1:$BH$1,0)+2) &amp; LastRow &amp; (MATCH($B17,Data!$A$1:$BH$1,0)+2),FALSE), INDIRECT("Data!L3C" &amp; (MATCH(J$8,Data!$A$1:$BH$1,0)+2) &amp; LastRow &amp; (MATCH(J$8,Data!$A$1:$BH$1,0)+2),FALSE)))</f>
        <v>1.0186144470479385E-3</v>
      </c>
      <c r="K17" s="98">
        <f ca="1">IF(OR($B17 = "", K$8 = ""), "", _xlfn.COVARIANCE.S(INDIRECT("Data!L3C" &amp; (MATCH($B17,Data!$A$1:$BH$1,0)+2) &amp; LastRow &amp; (MATCH($B17,Data!$A$1:$BH$1,0)+2),FALSE), INDIRECT("Data!L3C" &amp; (MATCH(K$8,Data!$A$1:$BH$1,0)+2) &amp; LastRow &amp; (MATCH(K$8,Data!$A$1:$BH$1,0)+2),FALSE)))</f>
        <v>2.8929221368935568E-3</v>
      </c>
      <c r="L17" s="98">
        <f ca="1">IF(OR($B17 = "", L$8 = ""), "", _xlfn.COVARIANCE.S(INDIRECT("Data!L3C" &amp; (MATCH($B17,Data!$A$1:$BH$1,0)+2) &amp; LastRow &amp; (MATCH($B17,Data!$A$1:$BH$1,0)+2),FALSE), INDIRECT("Data!L3C" &amp; (MATCH(L$8,Data!$A$1:$BH$1,0)+2) &amp; LastRow &amp; (MATCH(L$8,Data!$A$1:$BH$1,0)+2),FALSE)))</f>
        <v>1.5777403795798057E-3</v>
      </c>
      <c r="M17" s="98">
        <f ca="1">IF(OR($B17 = "", M$8 = ""), "", _xlfn.COVARIANCE.S(INDIRECT("Data!L3C" &amp; (MATCH($B17,Data!$A$1:$BH$1,0)+2) &amp; LastRow &amp; (MATCH($B17,Data!$A$1:$BH$1,0)+2),FALSE), INDIRECT("Data!L3C" &amp; (MATCH(M$8,Data!$A$1:$BH$1,0)+2) &amp; LastRow &amp; (MATCH(M$8,Data!$A$1:$BH$1,0)+2),FALSE)))</f>
        <v>1.6906098185803962E-3</v>
      </c>
      <c r="N17" s="98" t="str">
        <f ca="1">IF(OR($B17 = "", N$8 = ""), "", _xlfn.COVARIANCE.S(INDIRECT("Data!L3C" &amp; (MATCH($B17,Data!$A$1:$BH$1,0)+2) &amp; LastRow &amp; (MATCH($B17,Data!$A$1:$BH$1,0)+2),FALSE), INDIRECT("Data!L3C" &amp; (MATCH(N$8,Data!$A$1:$BH$1,0)+2) &amp; LastRow &amp; (MATCH(N$8,Data!$A$1:$BH$1,0)+2),FALSE)))</f>
        <v/>
      </c>
      <c r="O17" s="98" t="str">
        <f ca="1">IF(OR($B17 = "", O$8 = ""), "", _xlfn.COVARIANCE.S(INDIRECT("Data!L3C" &amp; (MATCH($B17,Data!$A$1:$BH$1,0)+2) &amp; LastRow &amp; (MATCH($B17,Data!$A$1:$BH$1,0)+2),FALSE), INDIRECT("Data!L3C" &amp; (MATCH(O$8,Data!$A$1:$BH$1,0)+2) &amp; LastRow &amp; (MATCH(O$8,Data!$A$1:$BH$1,0)+2),FALSE)))</f>
        <v/>
      </c>
      <c r="P17" s="98" t="str">
        <f ca="1">IF(OR($B17 = "", P$8 = ""), "", _xlfn.COVARIANCE.S(INDIRECT("Data!L3C" &amp; (MATCH($B17,Data!$A$1:$BH$1,0)+2) &amp; LastRow &amp; (MATCH($B17,Data!$A$1:$BH$1,0)+2),FALSE), INDIRECT("Data!L3C" &amp; (MATCH(P$8,Data!$A$1:$BH$1,0)+2) &amp; LastRow &amp; (MATCH(P$8,Data!$A$1:$BH$1,0)+2),FALSE)))</f>
        <v/>
      </c>
      <c r="Q17" s="98" t="str">
        <f ca="1">IF(OR($B17 = "", Q$8 = ""), "", _xlfn.COVARIANCE.S(INDIRECT("Data!L3C" &amp; (MATCH($B17,Data!$A$1:$BH$1,0)+2) &amp; LastRow &amp; (MATCH($B17,Data!$A$1:$BH$1,0)+2),FALSE), INDIRECT("Data!L3C" &amp; (MATCH(Q$8,Data!$A$1:$BH$1,0)+2) &amp; LastRow &amp; (MATCH(Q$8,Data!$A$1:$BH$1,0)+2),FALSE)))</f>
        <v/>
      </c>
      <c r="R17" s="98" t="str">
        <f ca="1">IF(OR($B17 = "", R$8 = ""), "", _xlfn.COVARIANCE.S(INDIRECT("Data!L3C" &amp; (MATCH($B17,Data!$A$1:$BH$1,0)+2) &amp; LastRow &amp; (MATCH($B17,Data!$A$1:$BH$1,0)+2),FALSE), INDIRECT("Data!L3C" &amp; (MATCH(R$8,Data!$A$1:$BH$1,0)+2) &amp; LastRow &amp; (MATCH(R$8,Data!$A$1:$BH$1,0)+2),FALSE)))</f>
        <v/>
      </c>
      <c r="S17" s="98" t="str">
        <f ca="1">IF(OR($B17 = "", S$8 = ""), "", _xlfn.COVARIANCE.S(INDIRECT("Data!L3C" &amp; (MATCH($B17,Data!$A$1:$BH$1,0)+2) &amp; LastRow &amp; (MATCH($B17,Data!$A$1:$BH$1,0)+2),FALSE), INDIRECT("Data!L3C" &amp; (MATCH(S$8,Data!$A$1:$BH$1,0)+2) &amp; LastRow &amp; (MATCH(S$8,Data!$A$1:$BH$1,0)+2),FALSE)))</f>
        <v/>
      </c>
      <c r="T17" s="115" t="str">
        <f ca="1">IF(OR($B17 = "", T$8 = ""), "", _xlfn.COVARIANCE.S(INDIRECT("Data!L3C" &amp; (MATCH($B17,Data!$A$1:$BH$1,0)+2) &amp; LastRow &amp; (MATCH($B17,Data!$A$1:$BH$1,0)+2),FALSE), INDIRECT("Data!L3C" &amp; (MATCH(T$8,Data!$A$1:$BH$1,0)+2) &amp; LastRow &amp; (MATCH(T$8,Data!$A$1:$BH$1,0)+2),FALSE)))</f>
        <v/>
      </c>
      <c r="U17" s="105">
        <f ca="1">IF(COUNTBLANK(LongTickers) &lt; 1, Summary!F11, IF(COUNTBLANK(LongTickers)+COUNTBLANK(ShortTickers) &lt; 10, INDIRECT("Summary!F" &amp; 23 - 9 + COUNTBLANK(LongTickers)), "")   )</f>
        <v>-6831</v>
      </c>
      <c r="V17" s="50">
        <f t="shared" ca="1" si="0"/>
        <v>-7.5915554303337462E-2</v>
      </c>
      <c r="W17" s="55"/>
      <c r="X17" s="135"/>
      <c r="Y17" s="135"/>
      <c r="Z17" s="135"/>
      <c r="AA17" s="135"/>
      <c r="AB17" s="135"/>
      <c r="AC17" s="135"/>
      <c r="AD17" s="135"/>
      <c r="AE17" s="135"/>
      <c r="AF17" s="135"/>
    </row>
    <row r="18" spans="1:32" x14ac:dyDescent="0.25">
      <c r="A18" s="97"/>
      <c r="B18" s="60" t="str">
        <f ca="1">IF(COUNTBLANK(LongTickers)+COUNTBLANK(ShortTickers) &lt; 9, INDIRECT("Summary!B" &amp; 24 - 9 + COUNTBLANK(LongTickers)), "")</f>
        <v>LEN</v>
      </c>
      <c r="C18" s="99">
        <f ca="1">IF(OR($B18 = "", C$8 = ""), "", _xlfn.COVARIANCE.S(INDIRECT("Data!L3C" &amp; (MATCH($B18,Data!$A$1:$BH$1,0)+2) &amp; LastRow &amp; (MATCH($B18,Data!$A$1:$BH$1,0)+2),FALSE), INDIRECT("Data!L3C" &amp; (MATCH(C$8,Data!$A$1:$BH$1,0)+2) &amp; LastRow &amp; (MATCH(C$8,Data!$A$1:$BH$1,0)+2),FALSE)))</f>
        <v>9.5075843642864898E-4</v>
      </c>
      <c r="D18" s="98">
        <f ca="1">IF(OR($B18 = "", D$8 = ""), "", _xlfn.COVARIANCE.S(INDIRECT("Data!L3C" &amp; (MATCH($B18,Data!$A$1:$BH$1,0)+2) &amp; LastRow &amp; (MATCH($B18,Data!$A$1:$BH$1,0)+2),FALSE), INDIRECT("Data!L3C" &amp; (MATCH(D$8,Data!$A$1:$BH$1,0)+2) &amp; LastRow &amp; (MATCH(D$8,Data!$A$1:$BH$1,0)+2),FALSE)))</f>
        <v>2.1634995172916398E-3</v>
      </c>
      <c r="E18" s="98">
        <f ca="1">IF(OR($B18 = "", E$8 = ""), "", _xlfn.COVARIANCE.S(INDIRECT("Data!L3C" &amp; (MATCH($B18,Data!$A$1:$BH$1,0)+2) &amp; LastRow &amp; (MATCH($B18,Data!$A$1:$BH$1,0)+2),FALSE), INDIRECT("Data!L3C" &amp; (MATCH(E$8,Data!$A$1:$BH$1,0)+2) &amp; LastRow &amp; (MATCH(E$8,Data!$A$1:$BH$1,0)+2),FALSE)))</f>
        <v>1.0417783233292613E-3</v>
      </c>
      <c r="F18" s="98">
        <f ca="1">IF(OR($B18 = "", F$8 = ""), "", _xlfn.COVARIANCE.S(INDIRECT("Data!L3C" &amp; (MATCH($B18,Data!$A$1:$BH$1,0)+2) &amp; LastRow &amp; (MATCH($B18,Data!$A$1:$BH$1,0)+2),FALSE), INDIRECT("Data!L3C" &amp; (MATCH(F$8,Data!$A$1:$BH$1,0)+2) &amp; LastRow &amp; (MATCH(F$8,Data!$A$1:$BH$1,0)+2),FALSE)))</f>
        <v>1.2358279755471961E-3</v>
      </c>
      <c r="G18" s="98">
        <f ca="1">IF(OR($B18 = "", G$8 = ""), "", _xlfn.COVARIANCE.S(INDIRECT("Data!L3C" &amp; (MATCH($B18,Data!$A$1:$BH$1,0)+2) &amp; LastRow &amp; (MATCH($B18,Data!$A$1:$BH$1,0)+2),FALSE), INDIRECT("Data!L3C" &amp; (MATCH(G$8,Data!$A$1:$BH$1,0)+2) &amp; LastRow &amp; (MATCH(G$8,Data!$A$1:$BH$1,0)+2),FALSE)))</f>
        <v>1.3570696204633075E-3</v>
      </c>
      <c r="H18" s="98">
        <f ca="1">IF(OR($B18 = "", H$8 = ""), "", _xlfn.COVARIANCE.S(INDIRECT("Data!L3C" &amp; (MATCH($B18,Data!$A$1:$BH$1,0)+2) &amp; LastRow &amp; (MATCH($B18,Data!$A$1:$BH$1,0)+2),FALSE), INDIRECT("Data!L3C" &amp; (MATCH(H$8,Data!$A$1:$BH$1,0)+2) &amp; LastRow &amp; (MATCH(H$8,Data!$A$1:$BH$1,0)+2),FALSE)))</f>
        <v>1.7073531374367228E-3</v>
      </c>
      <c r="I18" s="98">
        <f ca="1">IF(OR($B18 = "", I$8 = ""), "", _xlfn.COVARIANCE.S(INDIRECT("Data!L3C" &amp; (MATCH($B18,Data!$A$1:$BH$1,0)+2) &amp; LastRow &amp; (MATCH($B18,Data!$A$1:$BH$1,0)+2),FALSE), INDIRECT("Data!L3C" &amp; (MATCH(I$8,Data!$A$1:$BH$1,0)+2) &amp; LastRow &amp; (MATCH(I$8,Data!$A$1:$BH$1,0)+2),FALSE)))</f>
        <v>1.4718183331550098E-3</v>
      </c>
      <c r="J18" s="98">
        <f ca="1">IF(OR($B18 = "", J$8 = ""), "", _xlfn.COVARIANCE.S(INDIRECT("Data!L3C" &amp; (MATCH($B18,Data!$A$1:$BH$1,0)+2) &amp; LastRow &amp; (MATCH($B18,Data!$A$1:$BH$1,0)+2),FALSE), INDIRECT("Data!L3C" &amp; (MATCH(J$8,Data!$A$1:$BH$1,0)+2) &amp; LastRow &amp; (MATCH(J$8,Data!$A$1:$BH$1,0)+2),FALSE)))</f>
        <v>1.1571721840116611E-3</v>
      </c>
      <c r="K18" s="98">
        <f ca="1">IF(OR($B18 = "", K$8 = ""), "", _xlfn.COVARIANCE.S(INDIRECT("Data!L3C" &amp; (MATCH($B18,Data!$A$1:$BH$1,0)+2) &amp; LastRow &amp; (MATCH($B18,Data!$A$1:$BH$1,0)+2),FALSE), INDIRECT("Data!L3C" &amp; (MATCH(K$8,Data!$A$1:$BH$1,0)+2) &amp; LastRow &amp; (MATCH(K$8,Data!$A$1:$BH$1,0)+2),FALSE)))</f>
        <v>1.5777403795798057E-3</v>
      </c>
      <c r="L18" s="98">
        <f ca="1">IF(OR($B18 = "", L$8 = ""), "", _xlfn.COVARIANCE.S(INDIRECT("Data!L3C" &amp; (MATCH($B18,Data!$A$1:$BH$1,0)+2) &amp; LastRow &amp; (MATCH($B18,Data!$A$1:$BH$1,0)+2),FALSE), INDIRECT("Data!L3C" &amp; (MATCH(L$8,Data!$A$1:$BH$1,0)+2) &amp; LastRow &amp; (MATCH(L$8,Data!$A$1:$BH$1,0)+2),FALSE)))</f>
        <v>3.1697078312856249E-3</v>
      </c>
      <c r="M18" s="98">
        <f ca="1">IF(OR($B18 = "", M$8 = ""), "", _xlfn.COVARIANCE.S(INDIRECT("Data!L3C" &amp; (MATCH($B18,Data!$A$1:$BH$1,0)+2) &amp; LastRow &amp; (MATCH($B18,Data!$A$1:$BH$1,0)+2),FALSE), INDIRECT("Data!L3C" &amp; (MATCH(M$8,Data!$A$1:$BH$1,0)+2) &amp; LastRow &amp; (MATCH(M$8,Data!$A$1:$BH$1,0)+2),FALSE)))</f>
        <v>1.4818589869667123E-3</v>
      </c>
      <c r="N18" s="98" t="str">
        <f ca="1">IF(OR($B18 = "", N$8 = ""), "", _xlfn.COVARIANCE.S(INDIRECT("Data!L3C" &amp; (MATCH($B18,Data!$A$1:$BH$1,0)+2) &amp; LastRow &amp; (MATCH($B18,Data!$A$1:$BH$1,0)+2),FALSE), INDIRECT("Data!L3C" &amp; (MATCH(N$8,Data!$A$1:$BH$1,0)+2) &amp; LastRow &amp; (MATCH(N$8,Data!$A$1:$BH$1,0)+2),FALSE)))</f>
        <v/>
      </c>
      <c r="O18" s="98" t="str">
        <f ca="1">IF(OR($B18 = "", O$8 = ""), "", _xlfn.COVARIANCE.S(INDIRECT("Data!L3C" &amp; (MATCH($B18,Data!$A$1:$BH$1,0)+2) &amp; LastRow &amp; (MATCH($B18,Data!$A$1:$BH$1,0)+2),FALSE), INDIRECT("Data!L3C" &amp; (MATCH(O$8,Data!$A$1:$BH$1,0)+2) &amp; LastRow &amp; (MATCH(O$8,Data!$A$1:$BH$1,0)+2),FALSE)))</f>
        <v/>
      </c>
      <c r="P18" s="98" t="str">
        <f ca="1">IF(OR($B18 = "", P$8 = ""), "", _xlfn.COVARIANCE.S(INDIRECT("Data!L3C" &amp; (MATCH($B18,Data!$A$1:$BH$1,0)+2) &amp; LastRow &amp; (MATCH($B18,Data!$A$1:$BH$1,0)+2),FALSE), INDIRECT("Data!L3C" &amp; (MATCH(P$8,Data!$A$1:$BH$1,0)+2) &amp; LastRow &amp; (MATCH(P$8,Data!$A$1:$BH$1,0)+2),FALSE)))</f>
        <v/>
      </c>
      <c r="Q18" s="98" t="str">
        <f ca="1">IF(OR($B18 = "", Q$8 = ""), "", _xlfn.COVARIANCE.S(INDIRECT("Data!L3C" &amp; (MATCH($B18,Data!$A$1:$BH$1,0)+2) &amp; LastRow &amp; (MATCH($B18,Data!$A$1:$BH$1,0)+2),FALSE), INDIRECT("Data!L3C" &amp; (MATCH(Q$8,Data!$A$1:$BH$1,0)+2) &amp; LastRow &amp; (MATCH(Q$8,Data!$A$1:$BH$1,0)+2),FALSE)))</f>
        <v/>
      </c>
      <c r="R18" s="98" t="str">
        <f ca="1">IF(OR($B18 = "", R$8 = ""), "", _xlfn.COVARIANCE.S(INDIRECT("Data!L3C" &amp; (MATCH($B18,Data!$A$1:$BH$1,0)+2) &amp; LastRow &amp; (MATCH($B18,Data!$A$1:$BH$1,0)+2),FALSE), INDIRECT("Data!L3C" &amp; (MATCH(R$8,Data!$A$1:$BH$1,0)+2) &amp; LastRow &amp; (MATCH(R$8,Data!$A$1:$BH$1,0)+2),FALSE)))</f>
        <v/>
      </c>
      <c r="S18" s="98" t="str">
        <f ca="1">IF(OR($B18 = "", S$8 = ""), "", _xlfn.COVARIANCE.S(INDIRECT("Data!L3C" &amp; (MATCH($B18,Data!$A$1:$BH$1,0)+2) &amp; LastRow &amp; (MATCH($B18,Data!$A$1:$BH$1,0)+2),FALSE), INDIRECT("Data!L3C" &amp; (MATCH(S$8,Data!$A$1:$BH$1,0)+2) &amp; LastRow &amp; (MATCH(S$8,Data!$A$1:$BH$1,0)+2),FALSE)))</f>
        <v/>
      </c>
      <c r="T18" s="115" t="str">
        <f ca="1">IF(OR($B18 = "", T$8 = ""), "", _xlfn.COVARIANCE.S(INDIRECT("Data!L3C" &amp; (MATCH($B18,Data!$A$1:$BH$1,0)+2) &amp; LastRow &amp; (MATCH($B18,Data!$A$1:$BH$1,0)+2),FALSE), INDIRECT("Data!L3C" &amp; (MATCH(T$8,Data!$A$1:$BH$1,0)+2) &amp; LastRow &amp; (MATCH(T$8,Data!$A$1:$BH$1,0)+2),FALSE)))</f>
        <v/>
      </c>
      <c r="U18" s="105">
        <f ca="1">IF(COUNTBLANK(LongTickers)+COUNTBLANK(ShortTickers) &lt; 9, INDIRECT("Summary!F" &amp; 24 - 9 + COUNTBLANK(LongTickers)), "")</f>
        <v>-12747.539882000001</v>
      </c>
      <c r="V18" s="50">
        <f t="shared" ca="1" si="0"/>
        <v>-0.14166835838763447</v>
      </c>
      <c r="X18" s="135"/>
      <c r="Y18" s="135"/>
      <c r="Z18" s="135"/>
      <c r="AA18" s="135"/>
      <c r="AB18" s="135"/>
      <c r="AC18" s="135"/>
      <c r="AD18" s="135"/>
      <c r="AE18" s="135"/>
      <c r="AF18" s="135"/>
    </row>
    <row r="19" spans="1:32" x14ac:dyDescent="0.25">
      <c r="A19" s="97"/>
      <c r="B19" s="60" t="str">
        <f ca="1">IF(COUNTBLANK(LongTickers)+COUNTBLANK(ShortTickers) &lt; 8, INDIRECT("Summary!B" &amp; 25 - 9 + COUNTBLANK(LongTickers)), "")</f>
        <v>SPLK</v>
      </c>
      <c r="C19" s="99">
        <f ca="1">IF(OR($B19 = "", C$8 = ""), "", _xlfn.COVARIANCE.S(INDIRECT("Data!L3C" &amp; (MATCH($B19,Data!$A$1:$BH$1,0)+2) &amp; LastRow &amp; (MATCH($B19,Data!$A$1:$BH$1,0)+2),FALSE), INDIRECT("Data!L3C" &amp; (MATCH(C$8,Data!$A$1:$BH$1,0)+2) &amp; LastRow &amp; (MATCH(C$8,Data!$A$1:$BH$1,0)+2),FALSE)))</f>
        <v>1.0757182670265613E-3</v>
      </c>
      <c r="D19" s="98">
        <f ca="1">IF(OR($B19 = "", D$8 = ""), "", _xlfn.COVARIANCE.S(INDIRECT("Data!L3C" &amp; (MATCH($B19,Data!$A$1:$BH$1,0)+2) &amp; LastRow &amp; (MATCH($B19,Data!$A$1:$BH$1,0)+2),FALSE), INDIRECT("Data!L3C" &amp; (MATCH(D$8,Data!$A$1:$BH$1,0)+2) &amp; LastRow &amp; (MATCH(D$8,Data!$A$1:$BH$1,0)+2),FALSE)))</f>
        <v>1.7154530866574503E-3</v>
      </c>
      <c r="E19" s="98">
        <f ca="1">IF(OR($B19 = "", E$8 = ""), "", _xlfn.COVARIANCE.S(INDIRECT("Data!L3C" &amp; (MATCH($B19,Data!$A$1:$BH$1,0)+2) &amp; LastRow &amp; (MATCH($B19,Data!$A$1:$BH$1,0)+2),FALSE), INDIRECT("Data!L3C" &amp; (MATCH(E$8,Data!$A$1:$BH$1,0)+2) &amp; LastRow &amp; (MATCH(E$8,Data!$A$1:$BH$1,0)+2),FALSE)))</f>
        <v>1.1066392950641697E-3</v>
      </c>
      <c r="F19" s="98">
        <f ca="1">IF(OR($B19 = "", F$8 = ""), "", _xlfn.COVARIANCE.S(INDIRECT("Data!L3C" &amp; (MATCH($B19,Data!$A$1:$BH$1,0)+2) &amp; LastRow &amp; (MATCH($B19,Data!$A$1:$BH$1,0)+2),FALSE), INDIRECT("Data!L3C" &amp; (MATCH(F$8,Data!$A$1:$BH$1,0)+2) &amp; LastRow &amp; (MATCH(F$8,Data!$A$1:$BH$1,0)+2),FALSE)))</f>
        <v>6.9541751535903338E-4</v>
      </c>
      <c r="G19" s="98">
        <f ca="1">IF(OR($B19 = "", G$8 = ""), "", _xlfn.COVARIANCE.S(INDIRECT("Data!L3C" &amp; (MATCH($B19,Data!$A$1:$BH$1,0)+2) &amp; LastRow &amp; (MATCH($B19,Data!$A$1:$BH$1,0)+2),FALSE), INDIRECT("Data!L3C" &amp; (MATCH(G$8,Data!$A$1:$BH$1,0)+2) &amp; LastRow &amp; (MATCH(G$8,Data!$A$1:$BH$1,0)+2),FALSE)))</f>
        <v>1.2616497858440219E-3</v>
      </c>
      <c r="H19" s="98">
        <f ca="1">IF(OR($B19 = "", H$8 = ""), "", _xlfn.COVARIANCE.S(INDIRECT("Data!L3C" &amp; (MATCH($B19,Data!$A$1:$BH$1,0)+2) &amp; LastRow &amp; (MATCH($B19,Data!$A$1:$BH$1,0)+2),FALSE), INDIRECT("Data!L3C" &amp; (MATCH(H$8,Data!$A$1:$BH$1,0)+2) &amp; LastRow &amp; (MATCH(H$8,Data!$A$1:$BH$1,0)+2),FALSE)))</f>
        <v>1.6259159174747363E-3</v>
      </c>
      <c r="I19" s="98">
        <f ca="1">IF(OR($B19 = "", I$8 = ""), "", _xlfn.COVARIANCE.S(INDIRECT("Data!L3C" &amp; (MATCH($B19,Data!$A$1:$BH$1,0)+2) &amp; LastRow &amp; (MATCH($B19,Data!$A$1:$BH$1,0)+2),FALSE), INDIRECT("Data!L3C" &amp; (MATCH(I$8,Data!$A$1:$BH$1,0)+2) &amp; LastRow &amp; (MATCH(I$8,Data!$A$1:$BH$1,0)+2),FALSE)))</f>
        <v>1.7301421513184817E-3</v>
      </c>
      <c r="J19" s="98">
        <f ca="1">IF(OR($B19 = "", J$8 = ""), "", _xlfn.COVARIANCE.S(INDIRECT("Data!L3C" &amp; (MATCH($B19,Data!$A$1:$BH$1,0)+2) &amp; LastRow &amp; (MATCH($B19,Data!$A$1:$BH$1,0)+2),FALSE), INDIRECT("Data!L3C" &amp; (MATCH(J$8,Data!$A$1:$BH$1,0)+2) &amp; LastRow &amp; (MATCH(J$8,Data!$A$1:$BH$1,0)+2),FALSE)))</f>
        <v>1.2659053391531421E-3</v>
      </c>
      <c r="K19" s="98">
        <f ca="1">IF(OR($B19 = "", K$8 = ""), "", _xlfn.COVARIANCE.S(INDIRECT("Data!L3C" &amp; (MATCH($B19,Data!$A$1:$BH$1,0)+2) &amp; LastRow &amp; (MATCH($B19,Data!$A$1:$BH$1,0)+2),FALSE), INDIRECT("Data!L3C" &amp; (MATCH(K$8,Data!$A$1:$BH$1,0)+2) &amp; LastRow &amp; (MATCH(K$8,Data!$A$1:$BH$1,0)+2),FALSE)))</f>
        <v>1.6906098185803962E-3</v>
      </c>
      <c r="L19" s="98">
        <f ca="1">IF(OR($B19 = "", L$8 = ""), "", _xlfn.COVARIANCE.S(INDIRECT("Data!L3C" &amp; (MATCH($B19,Data!$A$1:$BH$1,0)+2) &amp; LastRow &amp; (MATCH($B19,Data!$A$1:$BH$1,0)+2),FALSE), INDIRECT("Data!L3C" &amp; (MATCH(L$8,Data!$A$1:$BH$1,0)+2) &amp; LastRow &amp; (MATCH(L$8,Data!$A$1:$BH$1,0)+2),FALSE)))</f>
        <v>1.4818589869667123E-3</v>
      </c>
      <c r="M19" s="98">
        <f ca="1">IF(OR($B19 = "", M$8 = ""), "", _xlfn.COVARIANCE.S(INDIRECT("Data!L3C" &amp; (MATCH($B19,Data!$A$1:$BH$1,0)+2) &amp; LastRow &amp; (MATCH($B19,Data!$A$1:$BH$1,0)+2),FALSE), INDIRECT("Data!L3C" &amp; (MATCH(M$8,Data!$A$1:$BH$1,0)+2) &amp; LastRow &amp; (MATCH(M$8,Data!$A$1:$BH$1,0)+2),FALSE)))</f>
        <v>4.272418644510007E-3</v>
      </c>
      <c r="N19" s="98" t="str">
        <f ca="1">IF(OR($B19 = "", N$8 = ""), "", _xlfn.COVARIANCE.S(INDIRECT("Data!L3C" &amp; (MATCH($B19,Data!$A$1:$BH$1,0)+2) &amp; LastRow &amp; (MATCH($B19,Data!$A$1:$BH$1,0)+2),FALSE), INDIRECT("Data!L3C" &amp; (MATCH(N$8,Data!$A$1:$BH$1,0)+2) &amp; LastRow &amp; (MATCH(N$8,Data!$A$1:$BH$1,0)+2),FALSE)))</f>
        <v/>
      </c>
      <c r="O19" s="98" t="str">
        <f ca="1">IF(OR($B19 = "", O$8 = ""), "", _xlfn.COVARIANCE.S(INDIRECT("Data!L3C" &amp; (MATCH($B19,Data!$A$1:$BH$1,0)+2) &amp; LastRow &amp; (MATCH($B19,Data!$A$1:$BH$1,0)+2),FALSE), INDIRECT("Data!L3C" &amp; (MATCH(O$8,Data!$A$1:$BH$1,0)+2) &amp; LastRow &amp; (MATCH(O$8,Data!$A$1:$BH$1,0)+2),FALSE)))</f>
        <v/>
      </c>
      <c r="P19" s="98" t="str">
        <f ca="1">IF(OR($B19 = "", P$8 = ""), "", _xlfn.COVARIANCE.S(INDIRECT("Data!L3C" &amp; (MATCH($B19,Data!$A$1:$BH$1,0)+2) &amp; LastRow &amp; (MATCH($B19,Data!$A$1:$BH$1,0)+2),FALSE), INDIRECT("Data!L3C" &amp; (MATCH(P$8,Data!$A$1:$BH$1,0)+2) &amp; LastRow &amp; (MATCH(P$8,Data!$A$1:$BH$1,0)+2),FALSE)))</f>
        <v/>
      </c>
      <c r="Q19" s="98" t="str">
        <f ca="1">IF(OR($B19 = "", Q$8 = ""), "", _xlfn.COVARIANCE.S(INDIRECT("Data!L3C" &amp; (MATCH($B19,Data!$A$1:$BH$1,0)+2) &amp; LastRow &amp; (MATCH($B19,Data!$A$1:$BH$1,0)+2),FALSE), INDIRECT("Data!L3C" &amp; (MATCH(Q$8,Data!$A$1:$BH$1,0)+2) &amp; LastRow &amp; (MATCH(Q$8,Data!$A$1:$BH$1,0)+2),FALSE)))</f>
        <v/>
      </c>
      <c r="R19" s="98" t="str">
        <f ca="1">IF(OR($B19 = "", R$8 = ""), "", _xlfn.COVARIANCE.S(INDIRECT("Data!L3C" &amp; (MATCH($B19,Data!$A$1:$BH$1,0)+2) &amp; LastRow &amp; (MATCH($B19,Data!$A$1:$BH$1,0)+2),FALSE), INDIRECT("Data!L3C" &amp; (MATCH(R$8,Data!$A$1:$BH$1,0)+2) &amp; LastRow &amp; (MATCH(R$8,Data!$A$1:$BH$1,0)+2),FALSE)))</f>
        <v/>
      </c>
      <c r="S19" s="98" t="str">
        <f ca="1">IF(OR($B19 = "", S$8 = ""), "", _xlfn.COVARIANCE.S(INDIRECT("Data!L3C" &amp; (MATCH($B19,Data!$A$1:$BH$1,0)+2) &amp; LastRow &amp; (MATCH($B19,Data!$A$1:$BH$1,0)+2),FALSE), INDIRECT("Data!L3C" &amp; (MATCH(S$8,Data!$A$1:$BH$1,0)+2) &amp; LastRow &amp; (MATCH(S$8,Data!$A$1:$BH$1,0)+2),FALSE)))</f>
        <v/>
      </c>
      <c r="T19" s="115" t="str">
        <f ca="1">IF(OR($B19 = "", T$8 = ""), "", _xlfn.COVARIANCE.S(INDIRECT("Data!L3C" &amp; (MATCH($B19,Data!$A$1:$BH$1,0)+2) &amp; LastRow &amp; (MATCH($B19,Data!$A$1:$BH$1,0)+2),FALSE), INDIRECT("Data!L3C" &amp; (MATCH(T$8,Data!$A$1:$BH$1,0)+2) &amp; LastRow &amp; (MATCH(T$8,Data!$A$1:$BH$1,0)+2),FALSE)))</f>
        <v/>
      </c>
      <c r="U19" s="105">
        <f ca="1">IF(COUNTBLANK(LongTickers)+COUNTBLANK(ShortTickers) &lt; 8, INDIRECT("Summary!F" &amp; 25 - 9 + COUNTBLANK(LongTickers)), "")</f>
        <v>-7326.053919</v>
      </c>
      <c r="V19" s="50">
        <f t="shared" ca="1" si="0"/>
        <v>-8.1417280649542192E-2</v>
      </c>
    </row>
    <row r="20" spans="1:32" x14ac:dyDescent="0.25">
      <c r="A20" s="97"/>
      <c r="B20" s="60" t="str">
        <f ca="1">IF(COUNTBLANK(LongTickers)+COUNTBLANK(ShortTickers) &lt; 7, INDIRECT("Summary!B" &amp; 26 - 9 + COUNTBLANK(LongTickers)), "")</f>
        <v/>
      </c>
      <c r="C20" s="99" t="str">
        <f ca="1">IF(OR($B20 = "", C$8 = ""), "", _xlfn.COVARIANCE.S(INDIRECT("Data!L3C" &amp; (MATCH($B20,Data!$A$1:$BH$1,0)+2) &amp; LastRow &amp; (MATCH($B20,Data!$A$1:$BH$1,0)+2),FALSE), INDIRECT("Data!L3C" &amp; (MATCH(C$8,Data!$A$1:$BH$1,0)+2) &amp; LastRow &amp; (MATCH(C$8,Data!$A$1:$BH$1,0)+2),FALSE)))</f>
        <v/>
      </c>
      <c r="D20" s="98" t="str">
        <f ca="1">IF(OR($B20 = "", D$8 = ""), "", _xlfn.COVARIANCE.S(INDIRECT("Data!L3C" &amp; (MATCH($B20,Data!$A$1:$BH$1,0)+2) &amp; LastRow &amp; (MATCH($B20,Data!$A$1:$BH$1,0)+2),FALSE), INDIRECT("Data!L3C" &amp; (MATCH(D$8,Data!$A$1:$BH$1,0)+2) &amp; LastRow &amp; (MATCH(D$8,Data!$A$1:$BH$1,0)+2),FALSE)))</f>
        <v/>
      </c>
      <c r="E20" s="98" t="str">
        <f ca="1">IF(OR($B20 = "", E$8 = ""), "", _xlfn.COVARIANCE.S(INDIRECT("Data!L3C" &amp; (MATCH($B20,Data!$A$1:$BH$1,0)+2) &amp; LastRow &amp; (MATCH($B20,Data!$A$1:$BH$1,0)+2),FALSE), INDIRECT("Data!L3C" &amp; (MATCH(E$8,Data!$A$1:$BH$1,0)+2) &amp; LastRow &amp; (MATCH(E$8,Data!$A$1:$BH$1,0)+2),FALSE)))</f>
        <v/>
      </c>
      <c r="F20" s="98" t="str">
        <f ca="1">IF(OR($B20 = "", F$8 = ""), "", _xlfn.COVARIANCE.S(INDIRECT("Data!L3C" &amp; (MATCH($B20,Data!$A$1:$BH$1,0)+2) &amp; LastRow &amp; (MATCH($B20,Data!$A$1:$BH$1,0)+2),FALSE), INDIRECT("Data!L3C" &amp; (MATCH(F$8,Data!$A$1:$BH$1,0)+2) &amp; LastRow &amp; (MATCH(F$8,Data!$A$1:$BH$1,0)+2),FALSE)))</f>
        <v/>
      </c>
      <c r="G20" s="98" t="str">
        <f ca="1">IF(OR($B20 = "", G$8 = ""), "", _xlfn.COVARIANCE.S(INDIRECT("Data!L3C" &amp; (MATCH($B20,Data!$A$1:$BH$1,0)+2) &amp; LastRow &amp; (MATCH($B20,Data!$A$1:$BH$1,0)+2),FALSE), INDIRECT("Data!L3C" &amp; (MATCH(G$8,Data!$A$1:$BH$1,0)+2) &amp; LastRow &amp; (MATCH(G$8,Data!$A$1:$BH$1,0)+2),FALSE)))</f>
        <v/>
      </c>
      <c r="H20" s="98" t="str">
        <f ca="1">IF(OR($B20 = "", H$8 = ""), "", _xlfn.COVARIANCE.S(INDIRECT("Data!L3C" &amp; (MATCH($B20,Data!$A$1:$BH$1,0)+2) &amp; LastRow &amp; (MATCH($B20,Data!$A$1:$BH$1,0)+2),FALSE), INDIRECT("Data!L3C" &amp; (MATCH(H$8,Data!$A$1:$BH$1,0)+2) &amp; LastRow &amp; (MATCH(H$8,Data!$A$1:$BH$1,0)+2),FALSE)))</f>
        <v/>
      </c>
      <c r="I20" s="98" t="str">
        <f ca="1">IF(OR($B20 = "", I$8 = ""), "", _xlfn.COVARIANCE.S(INDIRECT("Data!L3C" &amp; (MATCH($B20,Data!$A$1:$BH$1,0)+2) &amp; LastRow &amp; (MATCH($B20,Data!$A$1:$BH$1,0)+2),FALSE), INDIRECT("Data!L3C" &amp; (MATCH(I$8,Data!$A$1:$BH$1,0)+2) &amp; LastRow &amp; (MATCH(I$8,Data!$A$1:$BH$1,0)+2),FALSE)))</f>
        <v/>
      </c>
      <c r="J20" s="98" t="str">
        <f ca="1">IF(OR($B20 = "", J$8 = ""), "", _xlfn.COVARIANCE.S(INDIRECT("Data!L3C" &amp; (MATCH($B20,Data!$A$1:$BH$1,0)+2) &amp; LastRow &amp; (MATCH($B20,Data!$A$1:$BH$1,0)+2),FALSE), INDIRECT("Data!L3C" &amp; (MATCH(J$8,Data!$A$1:$BH$1,0)+2) &amp; LastRow &amp; (MATCH(J$8,Data!$A$1:$BH$1,0)+2),FALSE)))</f>
        <v/>
      </c>
      <c r="K20" s="98" t="str">
        <f ca="1">IF(OR($B20 = "", K$8 = ""), "", _xlfn.COVARIANCE.S(INDIRECT("Data!L3C" &amp; (MATCH($B20,Data!$A$1:$BH$1,0)+2) &amp; LastRow &amp; (MATCH($B20,Data!$A$1:$BH$1,0)+2),FALSE), INDIRECT("Data!L3C" &amp; (MATCH(K$8,Data!$A$1:$BH$1,0)+2) &amp; LastRow &amp; (MATCH(K$8,Data!$A$1:$BH$1,0)+2),FALSE)))</f>
        <v/>
      </c>
      <c r="L20" s="98" t="str">
        <f ca="1">IF(OR($B20 = "", L$8 = ""), "", _xlfn.COVARIANCE.S(INDIRECT("Data!L3C" &amp; (MATCH($B20,Data!$A$1:$BH$1,0)+2) &amp; LastRow &amp; (MATCH($B20,Data!$A$1:$BH$1,0)+2),FALSE), INDIRECT("Data!L3C" &amp; (MATCH(L$8,Data!$A$1:$BH$1,0)+2) &amp; LastRow &amp; (MATCH(L$8,Data!$A$1:$BH$1,0)+2),FALSE)))</f>
        <v/>
      </c>
      <c r="M20" s="98" t="str">
        <f ca="1">IF(OR($B20 = "", M$8 = ""), "", _xlfn.COVARIANCE.S(INDIRECT("Data!L3C" &amp; (MATCH($B20,Data!$A$1:$BH$1,0)+2) &amp; LastRow &amp; (MATCH($B20,Data!$A$1:$BH$1,0)+2),FALSE), INDIRECT("Data!L3C" &amp; (MATCH(M$8,Data!$A$1:$BH$1,0)+2) &amp; LastRow &amp; (MATCH(M$8,Data!$A$1:$BH$1,0)+2),FALSE)))</f>
        <v/>
      </c>
      <c r="N20" s="98" t="str">
        <f ca="1">IF(OR($B20 = "", N$8 = ""), "", _xlfn.COVARIANCE.S(INDIRECT("Data!L3C" &amp; (MATCH($B20,Data!$A$1:$BH$1,0)+2) &amp; LastRow &amp; (MATCH($B20,Data!$A$1:$BH$1,0)+2),FALSE), INDIRECT("Data!L3C" &amp; (MATCH(N$8,Data!$A$1:$BH$1,0)+2) &amp; LastRow &amp; (MATCH(N$8,Data!$A$1:$BH$1,0)+2),FALSE)))</f>
        <v/>
      </c>
      <c r="O20" s="98" t="str">
        <f ca="1">IF(OR($B20 = "", O$8 = ""), "", _xlfn.COVARIANCE.S(INDIRECT("Data!L3C" &amp; (MATCH($B20,Data!$A$1:$BH$1,0)+2) &amp; LastRow &amp; (MATCH($B20,Data!$A$1:$BH$1,0)+2),FALSE), INDIRECT("Data!L3C" &amp; (MATCH(O$8,Data!$A$1:$BH$1,0)+2) &amp; LastRow &amp; (MATCH(O$8,Data!$A$1:$BH$1,0)+2),FALSE)))</f>
        <v/>
      </c>
      <c r="P20" s="98" t="str">
        <f ca="1">IF(OR($B20 = "", P$8 = ""), "", _xlfn.COVARIANCE.S(INDIRECT("Data!L3C" &amp; (MATCH($B20,Data!$A$1:$BH$1,0)+2) &amp; LastRow &amp; (MATCH($B20,Data!$A$1:$BH$1,0)+2),FALSE), INDIRECT("Data!L3C" &amp; (MATCH(P$8,Data!$A$1:$BH$1,0)+2) &amp; LastRow &amp; (MATCH(P$8,Data!$A$1:$BH$1,0)+2),FALSE)))</f>
        <v/>
      </c>
      <c r="Q20" s="98" t="str">
        <f ca="1">IF(OR($B20 = "", Q$8 = ""), "", _xlfn.COVARIANCE.S(INDIRECT("Data!L3C" &amp; (MATCH($B20,Data!$A$1:$BH$1,0)+2) &amp; LastRow &amp; (MATCH($B20,Data!$A$1:$BH$1,0)+2),FALSE), INDIRECT("Data!L3C" &amp; (MATCH(Q$8,Data!$A$1:$BH$1,0)+2) &amp; LastRow &amp; (MATCH(Q$8,Data!$A$1:$BH$1,0)+2),FALSE)))</f>
        <v/>
      </c>
      <c r="R20" s="98" t="str">
        <f ca="1">IF(OR($B20 = "", R$8 = ""), "", _xlfn.COVARIANCE.S(INDIRECT("Data!L3C" &amp; (MATCH($B20,Data!$A$1:$BH$1,0)+2) &amp; LastRow &amp; (MATCH($B20,Data!$A$1:$BH$1,0)+2),FALSE), INDIRECT("Data!L3C" &amp; (MATCH(R$8,Data!$A$1:$BH$1,0)+2) &amp; LastRow &amp; (MATCH(R$8,Data!$A$1:$BH$1,0)+2),FALSE)))</f>
        <v/>
      </c>
      <c r="S20" s="98" t="str">
        <f ca="1">IF(OR($B20 = "", S$8 = ""), "", _xlfn.COVARIANCE.S(INDIRECT("Data!L3C" &amp; (MATCH($B20,Data!$A$1:$BH$1,0)+2) &amp; LastRow &amp; (MATCH($B20,Data!$A$1:$BH$1,0)+2),FALSE), INDIRECT("Data!L3C" &amp; (MATCH(S$8,Data!$A$1:$BH$1,0)+2) &amp; LastRow &amp; (MATCH(S$8,Data!$A$1:$BH$1,0)+2),FALSE)))</f>
        <v/>
      </c>
      <c r="T20" s="115" t="str">
        <f ca="1">IF(OR($B20 = "", T$8 = ""), "", _xlfn.COVARIANCE.S(INDIRECT("Data!L3C" &amp; (MATCH($B20,Data!$A$1:$BH$1,0)+2) &amp; LastRow &amp; (MATCH($B20,Data!$A$1:$BH$1,0)+2),FALSE), INDIRECT("Data!L3C" &amp; (MATCH(T$8,Data!$A$1:$BH$1,0)+2) &amp; LastRow &amp; (MATCH(T$8,Data!$A$1:$BH$1,0)+2),FALSE)))</f>
        <v/>
      </c>
      <c r="U20" s="105" t="str">
        <f ca="1">IF(COUNTBLANK(LongTickers)+COUNTBLANK(ShortTickers) &lt; 7, INDIRECT("Summary!F" &amp; 26 - 9 + COUNTBLANK(LongTickers)), "")</f>
        <v/>
      </c>
      <c r="V20" s="50" t="str">
        <f t="shared" ca="1" si="0"/>
        <v/>
      </c>
      <c r="X20" s="100"/>
    </row>
    <row r="21" spans="1:32" x14ac:dyDescent="0.25">
      <c r="A21" s="97"/>
      <c r="B21" s="60" t="str">
        <f ca="1">IF(COUNTBLANK(LongTickers)+COUNTBLANK(ShortTickers) &lt; 6, INDIRECT("Summary!B" &amp; 27 - 9 + COUNTBLANK(LongTickers)), "")</f>
        <v/>
      </c>
      <c r="C21" s="99" t="str">
        <f ca="1">IF(OR($B21 = "", C$8 = ""), "", _xlfn.COVARIANCE.S(INDIRECT("Data!L3C" &amp; (MATCH($B21,Data!$A$1:$BH$1,0)+2) &amp; LastRow &amp; (MATCH($B21,Data!$A$1:$BH$1,0)+2),FALSE), INDIRECT("Data!L3C" &amp; (MATCH(C$8,Data!$A$1:$BH$1,0)+2) &amp; LastRow &amp; (MATCH(C$8,Data!$A$1:$BH$1,0)+2),FALSE)))</f>
        <v/>
      </c>
      <c r="D21" s="98" t="str">
        <f ca="1">IF(OR($B21 = "", D$8 = ""), "", _xlfn.COVARIANCE.S(INDIRECT("Data!L3C" &amp; (MATCH($B21,Data!$A$1:$BH$1,0)+2) &amp; LastRow &amp; (MATCH($B21,Data!$A$1:$BH$1,0)+2),FALSE), INDIRECT("Data!L3C" &amp; (MATCH(D$8,Data!$A$1:$BH$1,0)+2) &amp; LastRow &amp; (MATCH(D$8,Data!$A$1:$BH$1,0)+2),FALSE)))</f>
        <v/>
      </c>
      <c r="E21" s="98" t="str">
        <f ca="1">IF(OR($B21 = "", E$8 = ""), "", _xlfn.COVARIANCE.S(INDIRECT("Data!L3C" &amp; (MATCH($B21,Data!$A$1:$BH$1,0)+2) &amp; LastRow &amp; (MATCH($B21,Data!$A$1:$BH$1,0)+2),FALSE), INDIRECT("Data!L3C" &amp; (MATCH(E$8,Data!$A$1:$BH$1,0)+2) &amp; LastRow &amp; (MATCH(E$8,Data!$A$1:$BH$1,0)+2),FALSE)))</f>
        <v/>
      </c>
      <c r="F21" s="98" t="str">
        <f ca="1">IF(OR($B21 = "", F$8 = ""), "", _xlfn.COVARIANCE.S(INDIRECT("Data!L3C" &amp; (MATCH($B21,Data!$A$1:$BH$1,0)+2) &amp; LastRow &amp; (MATCH($B21,Data!$A$1:$BH$1,0)+2),FALSE), INDIRECT("Data!L3C" &amp; (MATCH(F$8,Data!$A$1:$BH$1,0)+2) &amp; LastRow &amp; (MATCH(F$8,Data!$A$1:$BH$1,0)+2),FALSE)))</f>
        <v/>
      </c>
      <c r="G21" s="98" t="str">
        <f ca="1">IF(OR($B21 = "", G$8 = ""), "", _xlfn.COVARIANCE.S(INDIRECT("Data!L3C" &amp; (MATCH($B21,Data!$A$1:$BH$1,0)+2) &amp; LastRow &amp; (MATCH($B21,Data!$A$1:$BH$1,0)+2),FALSE), INDIRECT("Data!L3C" &amp; (MATCH(G$8,Data!$A$1:$BH$1,0)+2) &amp; LastRow &amp; (MATCH(G$8,Data!$A$1:$BH$1,0)+2),FALSE)))</f>
        <v/>
      </c>
      <c r="H21" s="98" t="str">
        <f ca="1">IF(OR($B21 = "", H$8 = ""), "", _xlfn.COVARIANCE.S(INDIRECT("Data!L3C" &amp; (MATCH($B21,Data!$A$1:$BH$1,0)+2) &amp; LastRow &amp; (MATCH($B21,Data!$A$1:$BH$1,0)+2),FALSE), INDIRECT("Data!L3C" &amp; (MATCH(H$8,Data!$A$1:$BH$1,0)+2) &amp; LastRow &amp; (MATCH(H$8,Data!$A$1:$BH$1,0)+2),FALSE)))</f>
        <v/>
      </c>
      <c r="I21" s="98" t="str">
        <f ca="1">IF(OR($B21 = "", I$8 = ""), "", _xlfn.COVARIANCE.S(INDIRECT("Data!L3C" &amp; (MATCH($B21,Data!$A$1:$BH$1,0)+2) &amp; LastRow &amp; (MATCH($B21,Data!$A$1:$BH$1,0)+2),FALSE), INDIRECT("Data!L3C" &amp; (MATCH(I$8,Data!$A$1:$BH$1,0)+2) &amp; LastRow &amp; (MATCH(I$8,Data!$A$1:$BH$1,0)+2),FALSE)))</f>
        <v/>
      </c>
      <c r="J21" s="98" t="str">
        <f ca="1">IF(OR($B21 = "", J$8 = ""), "", _xlfn.COVARIANCE.S(INDIRECT("Data!L3C" &amp; (MATCH($B21,Data!$A$1:$BH$1,0)+2) &amp; LastRow &amp; (MATCH($B21,Data!$A$1:$BH$1,0)+2),FALSE), INDIRECT("Data!L3C" &amp; (MATCH(J$8,Data!$A$1:$BH$1,0)+2) &amp; LastRow &amp; (MATCH(J$8,Data!$A$1:$BH$1,0)+2),FALSE)))</f>
        <v/>
      </c>
      <c r="K21" s="98" t="str">
        <f ca="1">IF(OR($B21 = "", K$8 = ""), "", _xlfn.COVARIANCE.S(INDIRECT("Data!L3C" &amp; (MATCH($B21,Data!$A$1:$BH$1,0)+2) &amp; LastRow &amp; (MATCH($B21,Data!$A$1:$BH$1,0)+2),FALSE), INDIRECT("Data!L3C" &amp; (MATCH(K$8,Data!$A$1:$BH$1,0)+2) &amp; LastRow &amp; (MATCH(K$8,Data!$A$1:$BH$1,0)+2),FALSE)))</f>
        <v/>
      </c>
      <c r="L21" s="98" t="str">
        <f ca="1">IF(OR($B21 = "", L$8 = ""), "", _xlfn.COVARIANCE.S(INDIRECT("Data!L3C" &amp; (MATCH($B21,Data!$A$1:$BH$1,0)+2) &amp; LastRow &amp; (MATCH($B21,Data!$A$1:$BH$1,0)+2),FALSE), INDIRECT("Data!L3C" &amp; (MATCH(L$8,Data!$A$1:$BH$1,0)+2) &amp; LastRow &amp; (MATCH(L$8,Data!$A$1:$BH$1,0)+2),FALSE)))</f>
        <v/>
      </c>
      <c r="M21" s="98" t="str">
        <f ca="1">IF(OR($B21 = "", M$8 = ""), "", _xlfn.COVARIANCE.S(INDIRECT("Data!L3C" &amp; (MATCH($B21,Data!$A$1:$BH$1,0)+2) &amp; LastRow &amp; (MATCH($B21,Data!$A$1:$BH$1,0)+2),FALSE), INDIRECT("Data!L3C" &amp; (MATCH(M$8,Data!$A$1:$BH$1,0)+2) &amp; LastRow &amp; (MATCH(M$8,Data!$A$1:$BH$1,0)+2),FALSE)))</f>
        <v/>
      </c>
      <c r="N21" s="98" t="str">
        <f ca="1">IF(OR($B21 = "", N$8 = ""), "", _xlfn.COVARIANCE.S(INDIRECT("Data!L3C" &amp; (MATCH($B21,Data!$A$1:$BH$1,0)+2) &amp; LastRow &amp; (MATCH($B21,Data!$A$1:$BH$1,0)+2),FALSE), INDIRECT("Data!L3C" &amp; (MATCH(N$8,Data!$A$1:$BH$1,0)+2) &amp; LastRow &amp; (MATCH(N$8,Data!$A$1:$BH$1,0)+2),FALSE)))</f>
        <v/>
      </c>
      <c r="O21" s="98" t="str">
        <f ca="1">IF(OR($B21 = "", O$8 = ""), "", _xlfn.COVARIANCE.S(INDIRECT("Data!L3C" &amp; (MATCH($B21,Data!$A$1:$BH$1,0)+2) &amp; LastRow &amp; (MATCH($B21,Data!$A$1:$BH$1,0)+2),FALSE), INDIRECT("Data!L3C" &amp; (MATCH(O$8,Data!$A$1:$BH$1,0)+2) &amp; LastRow &amp; (MATCH(O$8,Data!$A$1:$BH$1,0)+2),FALSE)))</f>
        <v/>
      </c>
      <c r="P21" s="98" t="str">
        <f ca="1">IF(OR($B21 = "", P$8 = ""), "", _xlfn.COVARIANCE.S(INDIRECT("Data!L3C" &amp; (MATCH($B21,Data!$A$1:$BH$1,0)+2) &amp; LastRow &amp; (MATCH($B21,Data!$A$1:$BH$1,0)+2),FALSE), INDIRECT("Data!L3C" &amp; (MATCH(P$8,Data!$A$1:$BH$1,0)+2) &amp; LastRow &amp; (MATCH(P$8,Data!$A$1:$BH$1,0)+2),FALSE)))</f>
        <v/>
      </c>
      <c r="Q21" s="98" t="str">
        <f ca="1">IF(OR($B21 = "", Q$8 = ""), "", _xlfn.COVARIANCE.S(INDIRECT("Data!L3C" &amp; (MATCH($B21,Data!$A$1:$BH$1,0)+2) &amp; LastRow &amp; (MATCH($B21,Data!$A$1:$BH$1,0)+2),FALSE), INDIRECT("Data!L3C" &amp; (MATCH(Q$8,Data!$A$1:$BH$1,0)+2) &amp; LastRow &amp; (MATCH(Q$8,Data!$A$1:$BH$1,0)+2),FALSE)))</f>
        <v/>
      </c>
      <c r="R21" s="98" t="str">
        <f ca="1">IF(OR($B21 = "", R$8 = ""), "", _xlfn.COVARIANCE.S(INDIRECT("Data!L3C" &amp; (MATCH($B21,Data!$A$1:$BH$1,0)+2) &amp; LastRow &amp; (MATCH($B21,Data!$A$1:$BH$1,0)+2),FALSE), INDIRECT("Data!L3C" &amp; (MATCH(R$8,Data!$A$1:$BH$1,0)+2) &amp; LastRow &amp; (MATCH(R$8,Data!$A$1:$BH$1,0)+2),FALSE)))</f>
        <v/>
      </c>
      <c r="S21" s="98" t="str">
        <f ca="1">IF(OR($B21 = "", S$8 = ""), "", _xlfn.COVARIANCE.S(INDIRECT("Data!L3C" &amp; (MATCH($B21,Data!$A$1:$BH$1,0)+2) &amp; LastRow &amp; (MATCH($B21,Data!$A$1:$BH$1,0)+2),FALSE), INDIRECT("Data!L3C" &amp; (MATCH(S$8,Data!$A$1:$BH$1,0)+2) &amp; LastRow &amp; (MATCH(S$8,Data!$A$1:$BH$1,0)+2),FALSE)))</f>
        <v/>
      </c>
      <c r="T21" s="115" t="str">
        <f ca="1">IF(OR($B21 = "", T$8 = ""), "", _xlfn.COVARIANCE.S(INDIRECT("Data!L3C" &amp; (MATCH($B21,Data!$A$1:$BH$1,0)+2) &amp; LastRow &amp; (MATCH($B21,Data!$A$1:$BH$1,0)+2),FALSE), INDIRECT("Data!L3C" &amp; (MATCH(T$8,Data!$A$1:$BH$1,0)+2) &amp; LastRow &amp; (MATCH(T$8,Data!$A$1:$BH$1,0)+2),FALSE)))</f>
        <v/>
      </c>
      <c r="U21" s="105" t="str">
        <f ca="1">IF(COUNTBLANK(LongTickers)+COUNTBLANK(ShortTickers) &lt; 6, INDIRECT("Summary!F" &amp; 27 - 9 + COUNTBLANK(LongTickers)), "")</f>
        <v/>
      </c>
      <c r="V21" s="50" t="str">
        <f t="shared" ca="1" si="0"/>
        <v/>
      </c>
      <c r="X21" s="100"/>
    </row>
    <row r="22" spans="1:32" x14ac:dyDescent="0.25">
      <c r="A22" s="97"/>
      <c r="B22" s="60" t="str">
        <f ca="1">IF(COUNTBLANK(LongTickers)+COUNTBLANK(ShortTickers) &lt; 5, INDIRECT("Summary!B" &amp; 28 - 9 + COUNTBLANK(LongTickers)), "")</f>
        <v/>
      </c>
      <c r="C22" s="99" t="str">
        <f ca="1">IF(OR($B22 = "", C$8 = ""), "", _xlfn.COVARIANCE.S(INDIRECT("Data!L3C" &amp; (MATCH($B22,Data!$A$1:$BH$1,0)+2) &amp; LastRow &amp; (MATCH($B22,Data!$A$1:$BH$1,0)+2),FALSE), INDIRECT("Data!L3C" &amp; (MATCH(C$8,Data!$A$1:$BH$1,0)+2) &amp; LastRow &amp; (MATCH(C$8,Data!$A$1:$BH$1,0)+2),FALSE)))</f>
        <v/>
      </c>
      <c r="D22" s="98" t="str">
        <f ca="1">IF(OR($B22 = "", D$8 = ""), "", _xlfn.COVARIANCE.S(INDIRECT("Data!L3C" &amp; (MATCH($B22,Data!$A$1:$BH$1,0)+2) &amp; LastRow &amp; (MATCH($B22,Data!$A$1:$BH$1,0)+2),FALSE), INDIRECT("Data!L3C" &amp; (MATCH(D$8,Data!$A$1:$BH$1,0)+2) &amp; LastRow &amp; (MATCH(D$8,Data!$A$1:$BH$1,0)+2),FALSE)))</f>
        <v/>
      </c>
      <c r="E22" s="98" t="str">
        <f ca="1">IF(OR($B22 = "", E$8 = ""), "", _xlfn.COVARIANCE.S(INDIRECT("Data!L3C" &amp; (MATCH($B22,Data!$A$1:$BH$1,0)+2) &amp; LastRow &amp; (MATCH($B22,Data!$A$1:$BH$1,0)+2),FALSE), INDIRECT("Data!L3C" &amp; (MATCH(E$8,Data!$A$1:$BH$1,0)+2) &amp; LastRow &amp; (MATCH(E$8,Data!$A$1:$BH$1,0)+2),FALSE)))</f>
        <v/>
      </c>
      <c r="F22" s="98" t="str">
        <f ca="1">IF(OR($B22 = "", F$8 = ""), "", _xlfn.COVARIANCE.S(INDIRECT("Data!L3C" &amp; (MATCH($B22,Data!$A$1:$BH$1,0)+2) &amp; LastRow &amp; (MATCH($B22,Data!$A$1:$BH$1,0)+2),FALSE), INDIRECT("Data!L3C" &amp; (MATCH(F$8,Data!$A$1:$BH$1,0)+2) &amp; LastRow &amp; (MATCH(F$8,Data!$A$1:$BH$1,0)+2),FALSE)))</f>
        <v/>
      </c>
      <c r="G22" s="98" t="str">
        <f ca="1">IF(OR($B22 = "", G$8 = ""), "", _xlfn.COVARIANCE.S(INDIRECT("Data!L3C" &amp; (MATCH($B22,Data!$A$1:$BH$1,0)+2) &amp; LastRow &amp; (MATCH($B22,Data!$A$1:$BH$1,0)+2),FALSE), INDIRECT("Data!L3C" &amp; (MATCH(G$8,Data!$A$1:$BH$1,0)+2) &amp; LastRow &amp; (MATCH(G$8,Data!$A$1:$BH$1,0)+2),FALSE)))</f>
        <v/>
      </c>
      <c r="H22" s="98" t="str">
        <f ca="1">IF(OR($B22 = "", H$8 = ""), "", _xlfn.COVARIANCE.S(INDIRECT("Data!L3C" &amp; (MATCH($B22,Data!$A$1:$BH$1,0)+2) &amp; LastRow &amp; (MATCH($B22,Data!$A$1:$BH$1,0)+2),FALSE), INDIRECT("Data!L3C" &amp; (MATCH(H$8,Data!$A$1:$BH$1,0)+2) &amp; LastRow &amp; (MATCH(H$8,Data!$A$1:$BH$1,0)+2),FALSE)))</f>
        <v/>
      </c>
      <c r="I22" s="98" t="str">
        <f ca="1">IF(OR($B22 = "", I$8 = ""), "", _xlfn.COVARIANCE.S(INDIRECT("Data!L3C" &amp; (MATCH($B22,Data!$A$1:$BH$1,0)+2) &amp; LastRow &amp; (MATCH($B22,Data!$A$1:$BH$1,0)+2),FALSE), INDIRECT("Data!L3C" &amp; (MATCH(I$8,Data!$A$1:$BH$1,0)+2) &amp; LastRow &amp; (MATCH(I$8,Data!$A$1:$BH$1,0)+2),FALSE)))</f>
        <v/>
      </c>
      <c r="J22" s="98" t="str">
        <f ca="1">IF(OR($B22 = "", J$8 = ""), "", _xlfn.COVARIANCE.S(INDIRECT("Data!L3C" &amp; (MATCH($B22,Data!$A$1:$BH$1,0)+2) &amp; LastRow &amp; (MATCH($B22,Data!$A$1:$BH$1,0)+2),FALSE), INDIRECT("Data!L3C" &amp; (MATCH(J$8,Data!$A$1:$BH$1,0)+2) &amp; LastRow &amp; (MATCH(J$8,Data!$A$1:$BH$1,0)+2),FALSE)))</f>
        <v/>
      </c>
      <c r="K22" s="98" t="str">
        <f ca="1">IF(OR($B22 = "", K$8 = ""), "", _xlfn.COVARIANCE.S(INDIRECT("Data!L3C" &amp; (MATCH($B22,Data!$A$1:$BH$1,0)+2) &amp; LastRow &amp; (MATCH($B22,Data!$A$1:$BH$1,0)+2),FALSE), INDIRECT("Data!L3C" &amp; (MATCH(K$8,Data!$A$1:$BH$1,0)+2) &amp; LastRow &amp; (MATCH(K$8,Data!$A$1:$BH$1,0)+2),FALSE)))</f>
        <v/>
      </c>
      <c r="L22" s="98" t="str">
        <f ca="1">IF(OR($B22 = "", L$8 = ""), "", _xlfn.COVARIANCE.S(INDIRECT("Data!L3C" &amp; (MATCH($B22,Data!$A$1:$BH$1,0)+2) &amp; LastRow &amp; (MATCH($B22,Data!$A$1:$BH$1,0)+2),FALSE), INDIRECT("Data!L3C" &amp; (MATCH(L$8,Data!$A$1:$BH$1,0)+2) &amp; LastRow &amp; (MATCH(L$8,Data!$A$1:$BH$1,0)+2),FALSE)))</f>
        <v/>
      </c>
      <c r="M22" s="98" t="str">
        <f ca="1">IF(OR($B22 = "", M$8 = ""), "", _xlfn.COVARIANCE.S(INDIRECT("Data!L3C" &amp; (MATCH($B22,Data!$A$1:$BH$1,0)+2) &amp; LastRow &amp; (MATCH($B22,Data!$A$1:$BH$1,0)+2),FALSE), INDIRECT("Data!L3C" &amp; (MATCH(M$8,Data!$A$1:$BH$1,0)+2) &amp; LastRow &amp; (MATCH(M$8,Data!$A$1:$BH$1,0)+2),FALSE)))</f>
        <v/>
      </c>
      <c r="N22" s="98" t="str">
        <f ca="1">IF(OR($B22 = "", N$8 = ""), "", _xlfn.COVARIANCE.S(INDIRECT("Data!L3C" &amp; (MATCH($B22,Data!$A$1:$BH$1,0)+2) &amp; LastRow &amp; (MATCH($B22,Data!$A$1:$BH$1,0)+2),FALSE), INDIRECT("Data!L3C" &amp; (MATCH(N$8,Data!$A$1:$BH$1,0)+2) &amp; LastRow &amp; (MATCH(N$8,Data!$A$1:$BH$1,0)+2),FALSE)))</f>
        <v/>
      </c>
      <c r="O22" s="98" t="str">
        <f ca="1">IF(OR($B22 = "", O$8 = ""), "", _xlfn.COVARIANCE.S(INDIRECT("Data!L3C" &amp; (MATCH($B22,Data!$A$1:$BH$1,0)+2) &amp; LastRow &amp; (MATCH($B22,Data!$A$1:$BH$1,0)+2),FALSE), INDIRECT("Data!L3C" &amp; (MATCH(O$8,Data!$A$1:$BH$1,0)+2) &amp; LastRow &amp; (MATCH(O$8,Data!$A$1:$BH$1,0)+2),FALSE)))</f>
        <v/>
      </c>
      <c r="P22" s="98" t="str">
        <f ca="1">IF(OR($B22 = "", P$8 = ""), "", _xlfn.COVARIANCE.S(INDIRECT("Data!L3C" &amp; (MATCH($B22,Data!$A$1:$BH$1,0)+2) &amp; LastRow &amp; (MATCH($B22,Data!$A$1:$BH$1,0)+2),FALSE), INDIRECT("Data!L3C" &amp; (MATCH(P$8,Data!$A$1:$BH$1,0)+2) &amp; LastRow &amp; (MATCH(P$8,Data!$A$1:$BH$1,0)+2),FALSE)))</f>
        <v/>
      </c>
      <c r="Q22" s="98" t="str">
        <f ca="1">IF(OR($B22 = "", Q$8 = ""), "", _xlfn.COVARIANCE.S(INDIRECT("Data!L3C" &amp; (MATCH($B22,Data!$A$1:$BH$1,0)+2) &amp; LastRow &amp; (MATCH($B22,Data!$A$1:$BH$1,0)+2),FALSE), INDIRECT("Data!L3C" &amp; (MATCH(Q$8,Data!$A$1:$BH$1,0)+2) &amp; LastRow &amp; (MATCH(Q$8,Data!$A$1:$BH$1,0)+2),FALSE)))</f>
        <v/>
      </c>
      <c r="R22" s="98" t="str">
        <f ca="1">IF(OR($B22 = "", R$8 = ""), "", _xlfn.COVARIANCE.S(INDIRECT("Data!L3C" &amp; (MATCH($B22,Data!$A$1:$BH$1,0)+2) &amp; LastRow &amp; (MATCH($B22,Data!$A$1:$BH$1,0)+2),FALSE), INDIRECT("Data!L3C" &amp; (MATCH(R$8,Data!$A$1:$BH$1,0)+2) &amp; LastRow &amp; (MATCH(R$8,Data!$A$1:$BH$1,0)+2),FALSE)))</f>
        <v/>
      </c>
      <c r="S22" s="98" t="str">
        <f ca="1">IF(OR($B22 = "", S$8 = ""), "", _xlfn.COVARIANCE.S(INDIRECT("Data!L3C" &amp; (MATCH($B22,Data!$A$1:$BH$1,0)+2) &amp; LastRow &amp; (MATCH($B22,Data!$A$1:$BH$1,0)+2),FALSE), INDIRECT("Data!L3C" &amp; (MATCH(S$8,Data!$A$1:$BH$1,0)+2) &amp; LastRow &amp; (MATCH(S$8,Data!$A$1:$BH$1,0)+2),FALSE)))</f>
        <v/>
      </c>
      <c r="T22" s="115" t="str">
        <f ca="1">IF(OR($B22 = "", T$8 = ""), "", _xlfn.COVARIANCE.S(INDIRECT("Data!L3C" &amp; (MATCH($B22,Data!$A$1:$BH$1,0)+2) &amp; LastRow &amp; (MATCH($B22,Data!$A$1:$BH$1,0)+2),FALSE), INDIRECT("Data!L3C" &amp; (MATCH(T$8,Data!$A$1:$BH$1,0)+2) &amp; LastRow &amp; (MATCH(T$8,Data!$A$1:$BH$1,0)+2),FALSE)))</f>
        <v/>
      </c>
      <c r="U22" s="105" t="str">
        <f ca="1">IF(COUNTBLANK(LongTickers)+COUNTBLANK(ShortTickers) &lt; 5, INDIRECT("Summary!F" &amp; 28 - 9 + COUNTBLANK(LongTickers)), "")</f>
        <v/>
      </c>
      <c r="V22" s="50" t="str">
        <f t="shared" ca="1" si="0"/>
        <v/>
      </c>
    </row>
    <row r="23" spans="1:32" x14ac:dyDescent="0.25">
      <c r="A23" s="97"/>
      <c r="B23" s="60" t="str">
        <f ca="1">IF(COUNTBLANK(LongTickers)+COUNTBLANK(ShortTickers) &lt; 4, INDIRECT("Summary!B" &amp; 29 - 9 + COUNTBLANK(LongTickers)), "")</f>
        <v/>
      </c>
      <c r="C23" s="99" t="str">
        <f ca="1">IF(OR($B23 = "", C$8 = ""), "", _xlfn.COVARIANCE.S(INDIRECT("Data!L3C" &amp; (MATCH($B23,Data!$A$1:$BH$1,0)+2) &amp; LastRow &amp; (MATCH($B23,Data!$A$1:$BH$1,0)+2),FALSE), INDIRECT("Data!L3C" &amp; (MATCH(C$8,Data!$A$1:$BH$1,0)+2) &amp; LastRow &amp; (MATCH(C$8,Data!$A$1:$BH$1,0)+2),FALSE)))</f>
        <v/>
      </c>
      <c r="D23" s="98" t="str">
        <f ca="1">IF(OR($B23 = "", D$8 = ""), "", _xlfn.COVARIANCE.S(INDIRECT("Data!L3C" &amp; (MATCH($B23,Data!$A$1:$BH$1,0)+2) &amp; LastRow &amp; (MATCH($B23,Data!$A$1:$BH$1,0)+2),FALSE), INDIRECT("Data!L3C" &amp; (MATCH(D$8,Data!$A$1:$BH$1,0)+2) &amp; LastRow &amp; (MATCH(D$8,Data!$A$1:$BH$1,0)+2),FALSE)))</f>
        <v/>
      </c>
      <c r="E23" s="98" t="str">
        <f ca="1">IF(OR($B23 = "", E$8 = ""), "", _xlfn.COVARIANCE.S(INDIRECT("Data!L3C" &amp; (MATCH($B23,Data!$A$1:$BH$1,0)+2) &amp; LastRow &amp; (MATCH($B23,Data!$A$1:$BH$1,0)+2),FALSE), INDIRECT("Data!L3C" &amp; (MATCH(E$8,Data!$A$1:$BH$1,0)+2) &amp; LastRow &amp; (MATCH(E$8,Data!$A$1:$BH$1,0)+2),FALSE)))</f>
        <v/>
      </c>
      <c r="F23" s="98" t="str">
        <f ca="1">IF(OR($B23 = "", F$8 = ""), "", _xlfn.COVARIANCE.S(INDIRECT("Data!L3C" &amp; (MATCH($B23,Data!$A$1:$BH$1,0)+2) &amp; LastRow &amp; (MATCH($B23,Data!$A$1:$BH$1,0)+2),FALSE), INDIRECT("Data!L3C" &amp; (MATCH(F$8,Data!$A$1:$BH$1,0)+2) &amp; LastRow &amp; (MATCH(F$8,Data!$A$1:$BH$1,0)+2),FALSE)))</f>
        <v/>
      </c>
      <c r="G23" s="98" t="str">
        <f ca="1">IF(OR($B23 = "", G$8 = ""), "", _xlfn.COVARIANCE.S(INDIRECT("Data!L3C" &amp; (MATCH($B23,Data!$A$1:$BH$1,0)+2) &amp; LastRow &amp; (MATCH($B23,Data!$A$1:$BH$1,0)+2),FALSE), INDIRECT("Data!L3C" &amp; (MATCH(G$8,Data!$A$1:$BH$1,0)+2) &amp; LastRow &amp; (MATCH(G$8,Data!$A$1:$BH$1,0)+2),FALSE)))</f>
        <v/>
      </c>
      <c r="H23" s="98" t="str">
        <f ca="1">IF(OR($B23 = "", H$8 = ""), "", _xlfn.COVARIANCE.S(INDIRECT("Data!L3C" &amp; (MATCH($B23,Data!$A$1:$BH$1,0)+2) &amp; LastRow &amp; (MATCH($B23,Data!$A$1:$BH$1,0)+2),FALSE), INDIRECT("Data!L3C" &amp; (MATCH(H$8,Data!$A$1:$BH$1,0)+2) &amp; LastRow &amp; (MATCH(H$8,Data!$A$1:$BH$1,0)+2),FALSE)))</f>
        <v/>
      </c>
      <c r="I23" s="98" t="str">
        <f ca="1">IF(OR($B23 = "", I$8 = ""), "", _xlfn.COVARIANCE.S(INDIRECT("Data!L3C" &amp; (MATCH($B23,Data!$A$1:$BH$1,0)+2) &amp; LastRow &amp; (MATCH($B23,Data!$A$1:$BH$1,0)+2),FALSE), INDIRECT("Data!L3C" &amp; (MATCH(I$8,Data!$A$1:$BH$1,0)+2) &amp; LastRow &amp; (MATCH(I$8,Data!$A$1:$BH$1,0)+2),FALSE)))</f>
        <v/>
      </c>
      <c r="J23" s="98" t="str">
        <f ca="1">IF(OR($B23 = "", J$8 = ""), "", _xlfn.COVARIANCE.S(INDIRECT("Data!L3C" &amp; (MATCH($B23,Data!$A$1:$BH$1,0)+2) &amp; LastRow &amp; (MATCH($B23,Data!$A$1:$BH$1,0)+2),FALSE), INDIRECT("Data!L3C" &amp; (MATCH(J$8,Data!$A$1:$BH$1,0)+2) &amp; LastRow &amp; (MATCH(J$8,Data!$A$1:$BH$1,0)+2),FALSE)))</f>
        <v/>
      </c>
      <c r="K23" s="98" t="str">
        <f ca="1">IF(OR($B23 = "", K$8 = ""), "", _xlfn.COVARIANCE.S(INDIRECT("Data!L3C" &amp; (MATCH($B23,Data!$A$1:$BH$1,0)+2) &amp; LastRow &amp; (MATCH($B23,Data!$A$1:$BH$1,0)+2),FALSE), INDIRECT("Data!L3C" &amp; (MATCH(K$8,Data!$A$1:$BH$1,0)+2) &amp; LastRow &amp; (MATCH(K$8,Data!$A$1:$BH$1,0)+2),FALSE)))</f>
        <v/>
      </c>
      <c r="L23" s="98" t="str">
        <f ca="1">IF(OR($B23 = "", L$8 = ""), "", _xlfn.COVARIANCE.S(INDIRECT("Data!L3C" &amp; (MATCH($B23,Data!$A$1:$BH$1,0)+2) &amp; LastRow &amp; (MATCH($B23,Data!$A$1:$BH$1,0)+2),FALSE), INDIRECT("Data!L3C" &amp; (MATCH(L$8,Data!$A$1:$BH$1,0)+2) &amp; LastRow &amp; (MATCH(L$8,Data!$A$1:$BH$1,0)+2),FALSE)))</f>
        <v/>
      </c>
      <c r="M23" s="98" t="str">
        <f ca="1">IF(OR($B23 = "", M$8 = ""), "", _xlfn.COVARIANCE.S(INDIRECT("Data!L3C" &amp; (MATCH($B23,Data!$A$1:$BH$1,0)+2) &amp; LastRow &amp; (MATCH($B23,Data!$A$1:$BH$1,0)+2),FALSE), INDIRECT("Data!L3C" &amp; (MATCH(M$8,Data!$A$1:$BH$1,0)+2) &amp; LastRow &amp; (MATCH(M$8,Data!$A$1:$BH$1,0)+2),FALSE)))</f>
        <v/>
      </c>
      <c r="N23" s="98" t="str">
        <f ca="1">IF(OR($B23 = "", N$8 = ""), "", _xlfn.COVARIANCE.S(INDIRECT("Data!L3C" &amp; (MATCH($B23,Data!$A$1:$BH$1,0)+2) &amp; LastRow &amp; (MATCH($B23,Data!$A$1:$BH$1,0)+2),FALSE), INDIRECT("Data!L3C" &amp; (MATCH(N$8,Data!$A$1:$BH$1,0)+2) &amp; LastRow &amp; (MATCH(N$8,Data!$A$1:$BH$1,0)+2),FALSE)))</f>
        <v/>
      </c>
      <c r="O23" s="98" t="str">
        <f ca="1">IF(OR($B23 = "", O$8 = ""), "", _xlfn.COVARIANCE.S(INDIRECT("Data!L3C" &amp; (MATCH($B23,Data!$A$1:$BH$1,0)+2) &amp; LastRow &amp; (MATCH($B23,Data!$A$1:$BH$1,0)+2),FALSE), INDIRECT("Data!L3C" &amp; (MATCH(O$8,Data!$A$1:$BH$1,0)+2) &amp; LastRow &amp; (MATCH(O$8,Data!$A$1:$BH$1,0)+2),FALSE)))</f>
        <v/>
      </c>
      <c r="P23" s="98" t="str">
        <f ca="1">IF(OR($B23 = "", P$8 = ""), "", _xlfn.COVARIANCE.S(INDIRECT("Data!L3C" &amp; (MATCH($B23,Data!$A$1:$BH$1,0)+2) &amp; LastRow &amp; (MATCH($B23,Data!$A$1:$BH$1,0)+2),FALSE), INDIRECT("Data!L3C" &amp; (MATCH(P$8,Data!$A$1:$BH$1,0)+2) &amp; LastRow &amp; (MATCH(P$8,Data!$A$1:$BH$1,0)+2),FALSE)))</f>
        <v/>
      </c>
      <c r="Q23" s="98" t="str">
        <f ca="1">IF(OR($B23 = "", Q$8 = ""), "", _xlfn.COVARIANCE.S(INDIRECT("Data!L3C" &amp; (MATCH($B23,Data!$A$1:$BH$1,0)+2) &amp; LastRow &amp; (MATCH($B23,Data!$A$1:$BH$1,0)+2),FALSE), INDIRECT("Data!L3C" &amp; (MATCH(Q$8,Data!$A$1:$BH$1,0)+2) &amp; LastRow &amp; (MATCH(Q$8,Data!$A$1:$BH$1,0)+2),FALSE)))</f>
        <v/>
      </c>
      <c r="R23" s="98" t="str">
        <f ca="1">IF(OR($B23 = "", R$8 = ""), "", _xlfn.COVARIANCE.S(INDIRECT("Data!L3C" &amp; (MATCH($B23,Data!$A$1:$BH$1,0)+2) &amp; LastRow &amp; (MATCH($B23,Data!$A$1:$BH$1,0)+2),FALSE), INDIRECT("Data!L3C" &amp; (MATCH(R$8,Data!$A$1:$BH$1,0)+2) &amp; LastRow &amp; (MATCH(R$8,Data!$A$1:$BH$1,0)+2),FALSE)))</f>
        <v/>
      </c>
      <c r="S23" s="98" t="str">
        <f ca="1">IF(OR($B23 = "", S$8 = ""), "", _xlfn.COVARIANCE.S(INDIRECT("Data!L3C" &amp; (MATCH($B23,Data!$A$1:$BH$1,0)+2) &amp; LastRow &amp; (MATCH($B23,Data!$A$1:$BH$1,0)+2),FALSE), INDIRECT("Data!L3C" &amp; (MATCH(S$8,Data!$A$1:$BH$1,0)+2) &amp; LastRow &amp; (MATCH(S$8,Data!$A$1:$BH$1,0)+2),FALSE)))</f>
        <v/>
      </c>
      <c r="T23" s="115" t="str">
        <f ca="1">IF(OR($B23 = "", T$8 = ""), "", _xlfn.COVARIANCE.S(INDIRECT("Data!L3C" &amp; (MATCH($B23,Data!$A$1:$BH$1,0)+2) &amp; LastRow &amp; (MATCH($B23,Data!$A$1:$BH$1,0)+2),FALSE), INDIRECT("Data!L3C" &amp; (MATCH(T$8,Data!$A$1:$BH$1,0)+2) &amp; LastRow &amp; (MATCH(T$8,Data!$A$1:$BH$1,0)+2),FALSE)))</f>
        <v/>
      </c>
      <c r="U23" s="105" t="str">
        <f ca="1">IF(COUNTBLANK(LongTickers)+COUNTBLANK(ShortTickers) &lt; 4, INDIRECT("Summary!F" &amp; 29 - 9 + COUNTBLANK(LongTickers)), "")</f>
        <v/>
      </c>
      <c r="V23" s="50" t="str">
        <f t="shared" ca="1" si="0"/>
        <v/>
      </c>
      <c r="W23" s="55"/>
      <c r="Y23" s="55"/>
    </row>
    <row r="24" spans="1:32" x14ac:dyDescent="0.25">
      <c r="A24" s="97"/>
      <c r="B24" s="60" t="str">
        <f ca="1">IF(COUNTBLANK(LongTickers)+COUNTBLANK(ShortTickers) &lt; 3, INDIRECT("Summary!B" &amp; 30 - 9 + COUNTBLANK(LongTickers)), "")</f>
        <v/>
      </c>
      <c r="C24" s="99" t="str">
        <f ca="1">IF(OR($B24 = "", C$8 = ""), "", _xlfn.COVARIANCE.S(INDIRECT("Data!L3C" &amp; (MATCH($B24,Data!$A$1:$BH$1,0)+2) &amp; LastRow &amp; (MATCH($B24,Data!$A$1:$BH$1,0)+2),FALSE), INDIRECT("Data!L3C" &amp; (MATCH(C$8,Data!$A$1:$BH$1,0)+2) &amp; LastRow &amp; (MATCH(C$8,Data!$A$1:$BH$1,0)+2),FALSE)))</f>
        <v/>
      </c>
      <c r="D24" s="98" t="str">
        <f ca="1">IF(OR($B24 = "", D$8 = ""), "", _xlfn.COVARIANCE.S(INDIRECT("Data!L3C" &amp; (MATCH($B24,Data!$A$1:$BH$1,0)+2) &amp; LastRow &amp; (MATCH($B24,Data!$A$1:$BH$1,0)+2),FALSE), INDIRECT("Data!L3C" &amp; (MATCH(D$8,Data!$A$1:$BH$1,0)+2) &amp; LastRow &amp; (MATCH(D$8,Data!$A$1:$BH$1,0)+2),FALSE)))</f>
        <v/>
      </c>
      <c r="E24" s="98" t="str">
        <f ca="1">IF(OR($B24 = "", E$8 = ""), "", _xlfn.COVARIANCE.S(INDIRECT("Data!L3C" &amp; (MATCH($B24,Data!$A$1:$BH$1,0)+2) &amp; LastRow &amp; (MATCH($B24,Data!$A$1:$BH$1,0)+2),FALSE), INDIRECT("Data!L3C" &amp; (MATCH(E$8,Data!$A$1:$BH$1,0)+2) &amp; LastRow &amp; (MATCH(E$8,Data!$A$1:$BH$1,0)+2),FALSE)))</f>
        <v/>
      </c>
      <c r="F24" s="98" t="str">
        <f ca="1">IF(OR($B24 = "", F$8 = ""), "", _xlfn.COVARIANCE.S(INDIRECT("Data!L3C" &amp; (MATCH($B24,Data!$A$1:$BH$1,0)+2) &amp; LastRow &amp; (MATCH($B24,Data!$A$1:$BH$1,0)+2),FALSE), INDIRECT("Data!L3C" &amp; (MATCH(F$8,Data!$A$1:$BH$1,0)+2) &amp; LastRow &amp; (MATCH(F$8,Data!$A$1:$BH$1,0)+2),FALSE)))</f>
        <v/>
      </c>
      <c r="G24" s="98" t="str">
        <f ca="1">IF(OR($B24 = "", G$8 = ""), "", _xlfn.COVARIANCE.S(INDIRECT("Data!L3C" &amp; (MATCH($B24,Data!$A$1:$BH$1,0)+2) &amp; LastRow &amp; (MATCH($B24,Data!$A$1:$BH$1,0)+2),FALSE), INDIRECT("Data!L3C" &amp; (MATCH(G$8,Data!$A$1:$BH$1,0)+2) &amp; LastRow &amp; (MATCH(G$8,Data!$A$1:$BH$1,0)+2),FALSE)))</f>
        <v/>
      </c>
      <c r="H24" s="98" t="str">
        <f ca="1">IF(OR($B24 = "", H$8 = ""), "", _xlfn.COVARIANCE.S(INDIRECT("Data!L3C" &amp; (MATCH($B24,Data!$A$1:$BH$1,0)+2) &amp; LastRow &amp; (MATCH($B24,Data!$A$1:$BH$1,0)+2),FALSE), INDIRECT("Data!L3C" &amp; (MATCH(H$8,Data!$A$1:$BH$1,0)+2) &amp; LastRow &amp; (MATCH(H$8,Data!$A$1:$BH$1,0)+2),FALSE)))</f>
        <v/>
      </c>
      <c r="I24" s="98" t="str">
        <f ca="1">IF(OR($B24 = "", I$8 = ""), "", _xlfn.COVARIANCE.S(INDIRECT("Data!L3C" &amp; (MATCH($B24,Data!$A$1:$BH$1,0)+2) &amp; LastRow &amp; (MATCH($B24,Data!$A$1:$BH$1,0)+2),FALSE), INDIRECT("Data!L3C" &amp; (MATCH(I$8,Data!$A$1:$BH$1,0)+2) &amp; LastRow &amp; (MATCH(I$8,Data!$A$1:$BH$1,0)+2),FALSE)))</f>
        <v/>
      </c>
      <c r="J24" s="98" t="str">
        <f ca="1">IF(OR($B24 = "", J$8 = ""), "", _xlfn.COVARIANCE.S(INDIRECT("Data!L3C" &amp; (MATCH($B24,Data!$A$1:$BH$1,0)+2) &amp; LastRow &amp; (MATCH($B24,Data!$A$1:$BH$1,0)+2),FALSE), INDIRECT("Data!L3C" &amp; (MATCH(J$8,Data!$A$1:$BH$1,0)+2) &amp; LastRow &amp; (MATCH(J$8,Data!$A$1:$BH$1,0)+2),FALSE)))</f>
        <v/>
      </c>
      <c r="K24" s="98" t="str">
        <f ca="1">IF(OR($B24 = "", K$8 = ""), "", _xlfn.COVARIANCE.S(INDIRECT("Data!L3C" &amp; (MATCH($B24,Data!$A$1:$BH$1,0)+2) &amp; LastRow &amp; (MATCH($B24,Data!$A$1:$BH$1,0)+2),FALSE), INDIRECT("Data!L3C" &amp; (MATCH(K$8,Data!$A$1:$BH$1,0)+2) &amp; LastRow &amp; (MATCH(K$8,Data!$A$1:$BH$1,0)+2),FALSE)))</f>
        <v/>
      </c>
      <c r="L24" s="98" t="str">
        <f ca="1">IF(OR($B24 = "", L$8 = ""), "", _xlfn.COVARIANCE.S(INDIRECT("Data!L3C" &amp; (MATCH($B24,Data!$A$1:$BH$1,0)+2) &amp; LastRow &amp; (MATCH($B24,Data!$A$1:$BH$1,0)+2),FALSE), INDIRECT("Data!L3C" &amp; (MATCH(L$8,Data!$A$1:$BH$1,0)+2) &amp; LastRow &amp; (MATCH(L$8,Data!$A$1:$BH$1,0)+2),FALSE)))</f>
        <v/>
      </c>
      <c r="M24" s="98" t="str">
        <f ca="1">IF(OR($B24 = "", M$8 = ""), "", _xlfn.COVARIANCE.S(INDIRECT("Data!L3C" &amp; (MATCH($B24,Data!$A$1:$BH$1,0)+2) &amp; LastRow &amp; (MATCH($B24,Data!$A$1:$BH$1,0)+2),FALSE), INDIRECT("Data!L3C" &amp; (MATCH(M$8,Data!$A$1:$BH$1,0)+2) &amp; LastRow &amp; (MATCH(M$8,Data!$A$1:$BH$1,0)+2),FALSE)))</f>
        <v/>
      </c>
      <c r="N24" s="98" t="str">
        <f ca="1">IF(OR($B24 = "", N$8 = ""), "", _xlfn.COVARIANCE.S(INDIRECT("Data!L3C" &amp; (MATCH($B24,Data!$A$1:$BH$1,0)+2) &amp; LastRow &amp; (MATCH($B24,Data!$A$1:$BH$1,0)+2),FALSE), INDIRECT("Data!L3C" &amp; (MATCH(N$8,Data!$A$1:$BH$1,0)+2) &amp; LastRow &amp; (MATCH(N$8,Data!$A$1:$BH$1,0)+2),FALSE)))</f>
        <v/>
      </c>
      <c r="O24" s="98" t="str">
        <f ca="1">IF(OR($B24 = "", O$8 = ""), "", _xlfn.COVARIANCE.S(INDIRECT("Data!L3C" &amp; (MATCH($B24,Data!$A$1:$BH$1,0)+2) &amp; LastRow &amp; (MATCH($B24,Data!$A$1:$BH$1,0)+2),FALSE), INDIRECT("Data!L3C" &amp; (MATCH(O$8,Data!$A$1:$BH$1,0)+2) &amp; LastRow &amp; (MATCH(O$8,Data!$A$1:$BH$1,0)+2),FALSE)))</f>
        <v/>
      </c>
      <c r="P24" s="98" t="str">
        <f ca="1">IF(OR($B24 = "", P$8 = ""), "", _xlfn.COVARIANCE.S(INDIRECT("Data!L3C" &amp; (MATCH($B24,Data!$A$1:$BH$1,0)+2) &amp; LastRow &amp; (MATCH($B24,Data!$A$1:$BH$1,0)+2),FALSE), INDIRECT("Data!L3C" &amp; (MATCH(P$8,Data!$A$1:$BH$1,0)+2) &amp; LastRow &amp; (MATCH(P$8,Data!$A$1:$BH$1,0)+2),FALSE)))</f>
        <v/>
      </c>
      <c r="Q24" s="98" t="str">
        <f ca="1">IF(OR($B24 = "", Q$8 = ""), "", _xlfn.COVARIANCE.S(INDIRECT("Data!L3C" &amp; (MATCH($B24,Data!$A$1:$BH$1,0)+2) &amp; LastRow &amp; (MATCH($B24,Data!$A$1:$BH$1,0)+2),FALSE), INDIRECT("Data!L3C" &amp; (MATCH(Q$8,Data!$A$1:$BH$1,0)+2) &amp; LastRow &amp; (MATCH(Q$8,Data!$A$1:$BH$1,0)+2),FALSE)))</f>
        <v/>
      </c>
      <c r="R24" s="98" t="str">
        <f ca="1">IF(OR($B24 = "", R$8 = ""), "", _xlfn.COVARIANCE.S(INDIRECT("Data!L3C" &amp; (MATCH($B24,Data!$A$1:$BH$1,0)+2) &amp; LastRow &amp; (MATCH($B24,Data!$A$1:$BH$1,0)+2),FALSE), INDIRECT("Data!L3C" &amp; (MATCH(R$8,Data!$A$1:$BH$1,0)+2) &amp; LastRow &amp; (MATCH(R$8,Data!$A$1:$BH$1,0)+2),FALSE)))</f>
        <v/>
      </c>
      <c r="S24" s="98" t="str">
        <f ca="1">IF(OR($B24 = "", S$8 = ""), "", _xlfn.COVARIANCE.S(INDIRECT("Data!L3C" &amp; (MATCH($B24,Data!$A$1:$BH$1,0)+2) &amp; LastRow &amp; (MATCH($B24,Data!$A$1:$BH$1,0)+2),FALSE), INDIRECT("Data!L3C" &amp; (MATCH(S$8,Data!$A$1:$BH$1,0)+2) &amp; LastRow &amp; (MATCH(S$8,Data!$A$1:$BH$1,0)+2),FALSE)))</f>
        <v/>
      </c>
      <c r="T24" s="115" t="str">
        <f ca="1">IF(OR($B24 = "", T$8 = ""), "", _xlfn.COVARIANCE.S(INDIRECT("Data!L3C" &amp; (MATCH($B24,Data!$A$1:$BH$1,0)+2) &amp; LastRow &amp; (MATCH($B24,Data!$A$1:$BH$1,0)+2),FALSE), INDIRECT("Data!L3C" &amp; (MATCH(T$8,Data!$A$1:$BH$1,0)+2) &amp; LastRow &amp; (MATCH(T$8,Data!$A$1:$BH$1,0)+2),FALSE)))</f>
        <v/>
      </c>
      <c r="U24" s="105" t="str">
        <f ca="1">IF(COUNTBLANK(LongTickers)+COUNTBLANK(ShortTickers) &lt; 3, INDIRECT("Summary!F" &amp; 30 - 9 + COUNTBLANK(LongTickers)), "")</f>
        <v/>
      </c>
      <c r="V24" s="50" t="str">
        <f t="shared" ca="1" si="0"/>
        <v/>
      </c>
      <c r="W24" s="55"/>
    </row>
    <row r="25" spans="1:32" x14ac:dyDescent="0.25">
      <c r="A25" s="97"/>
      <c r="B25" s="60" t="str">
        <f ca="1">IF(COUNTBLANK(LongTickers)+COUNTBLANK(ShortTickers) &lt; 2, INDIRECT("Summary!B" &amp; 31 - 9 + COUNTBLANK(LongTickers)), "")</f>
        <v/>
      </c>
      <c r="C25" s="99" t="str">
        <f ca="1">IF(OR($B25 = "", C$8 = ""), "", _xlfn.COVARIANCE.S(INDIRECT("Data!L3C" &amp; (MATCH($B25,Data!$A$1:$BH$1,0)+2) &amp; LastRow &amp; (MATCH($B25,Data!$A$1:$BH$1,0)+2),FALSE), INDIRECT("Data!L3C" &amp; (MATCH(C$8,Data!$A$1:$BH$1,0)+2) &amp; LastRow &amp; (MATCH(C$8,Data!$A$1:$BH$1,0)+2),FALSE)))</f>
        <v/>
      </c>
      <c r="D25" s="98" t="str">
        <f ca="1">IF(OR($B25 = "", D$8 = ""), "", _xlfn.COVARIANCE.S(INDIRECT("Data!L3C" &amp; (MATCH($B25,Data!$A$1:$BH$1,0)+2) &amp; LastRow &amp; (MATCH($B25,Data!$A$1:$BH$1,0)+2),FALSE), INDIRECT("Data!L3C" &amp; (MATCH(D$8,Data!$A$1:$BH$1,0)+2) &amp; LastRow &amp; (MATCH(D$8,Data!$A$1:$BH$1,0)+2),FALSE)))</f>
        <v/>
      </c>
      <c r="E25" s="98" t="str">
        <f ca="1">IF(OR($B25 = "", E$8 = ""), "", _xlfn.COVARIANCE.S(INDIRECT("Data!L3C" &amp; (MATCH($B25,Data!$A$1:$BH$1,0)+2) &amp; LastRow &amp; (MATCH($B25,Data!$A$1:$BH$1,0)+2),FALSE), INDIRECT("Data!L3C" &amp; (MATCH(E$8,Data!$A$1:$BH$1,0)+2) &amp; LastRow &amp; (MATCH(E$8,Data!$A$1:$BH$1,0)+2),FALSE)))</f>
        <v/>
      </c>
      <c r="F25" s="98" t="str">
        <f ca="1">IF(OR($B25 = "", F$8 = ""), "", _xlfn.COVARIANCE.S(INDIRECT("Data!L3C" &amp; (MATCH($B25,Data!$A$1:$BH$1,0)+2) &amp; LastRow &amp; (MATCH($B25,Data!$A$1:$BH$1,0)+2),FALSE), INDIRECT("Data!L3C" &amp; (MATCH(F$8,Data!$A$1:$BH$1,0)+2) &amp; LastRow &amp; (MATCH(F$8,Data!$A$1:$BH$1,0)+2),FALSE)))</f>
        <v/>
      </c>
      <c r="G25" s="98" t="str">
        <f ca="1">IF(OR($B25 = "", G$8 = ""), "", _xlfn.COVARIANCE.S(INDIRECT("Data!L3C" &amp; (MATCH($B25,Data!$A$1:$BH$1,0)+2) &amp; LastRow &amp; (MATCH($B25,Data!$A$1:$BH$1,0)+2),FALSE), INDIRECT("Data!L3C" &amp; (MATCH(G$8,Data!$A$1:$BH$1,0)+2) &amp; LastRow &amp; (MATCH(G$8,Data!$A$1:$BH$1,0)+2),FALSE)))</f>
        <v/>
      </c>
      <c r="H25" s="98" t="str">
        <f ca="1">IF(OR($B25 = "", H$8 = ""), "", _xlfn.COVARIANCE.S(INDIRECT("Data!L3C" &amp; (MATCH($B25,Data!$A$1:$BH$1,0)+2) &amp; LastRow &amp; (MATCH($B25,Data!$A$1:$BH$1,0)+2),FALSE), INDIRECT("Data!L3C" &amp; (MATCH(H$8,Data!$A$1:$BH$1,0)+2) &amp; LastRow &amp; (MATCH(H$8,Data!$A$1:$BH$1,0)+2),FALSE)))</f>
        <v/>
      </c>
      <c r="I25" s="98" t="str">
        <f ca="1">IF(OR($B25 = "", I$8 = ""), "", _xlfn.COVARIANCE.S(INDIRECT("Data!L3C" &amp; (MATCH($B25,Data!$A$1:$BH$1,0)+2) &amp; LastRow &amp; (MATCH($B25,Data!$A$1:$BH$1,0)+2),FALSE), INDIRECT("Data!L3C" &amp; (MATCH(I$8,Data!$A$1:$BH$1,0)+2) &amp; LastRow &amp; (MATCH(I$8,Data!$A$1:$BH$1,0)+2),FALSE)))</f>
        <v/>
      </c>
      <c r="J25" s="98" t="str">
        <f ca="1">IF(OR($B25 = "", J$8 = ""), "", _xlfn.COVARIANCE.S(INDIRECT("Data!L3C" &amp; (MATCH($B25,Data!$A$1:$BH$1,0)+2) &amp; LastRow &amp; (MATCH($B25,Data!$A$1:$BH$1,0)+2),FALSE), INDIRECT("Data!L3C" &amp; (MATCH(J$8,Data!$A$1:$BH$1,0)+2) &amp; LastRow &amp; (MATCH(J$8,Data!$A$1:$BH$1,0)+2),FALSE)))</f>
        <v/>
      </c>
      <c r="K25" s="98" t="str">
        <f ca="1">IF(OR($B25 = "", K$8 = ""), "", _xlfn.COVARIANCE.S(INDIRECT("Data!L3C" &amp; (MATCH($B25,Data!$A$1:$BH$1,0)+2) &amp; LastRow &amp; (MATCH($B25,Data!$A$1:$BH$1,0)+2),FALSE), INDIRECT("Data!L3C" &amp; (MATCH(K$8,Data!$A$1:$BH$1,0)+2) &amp; LastRow &amp; (MATCH(K$8,Data!$A$1:$BH$1,0)+2),FALSE)))</f>
        <v/>
      </c>
      <c r="L25" s="98" t="str">
        <f ca="1">IF(OR($B25 = "", L$8 = ""), "", _xlfn.COVARIANCE.S(INDIRECT("Data!L3C" &amp; (MATCH($B25,Data!$A$1:$BH$1,0)+2) &amp; LastRow &amp; (MATCH($B25,Data!$A$1:$BH$1,0)+2),FALSE), INDIRECT("Data!L3C" &amp; (MATCH(L$8,Data!$A$1:$BH$1,0)+2) &amp; LastRow &amp; (MATCH(L$8,Data!$A$1:$BH$1,0)+2),FALSE)))</f>
        <v/>
      </c>
      <c r="M25" s="98" t="str">
        <f ca="1">IF(OR($B25 = "", M$8 = ""), "", _xlfn.COVARIANCE.S(INDIRECT("Data!L3C" &amp; (MATCH($B25,Data!$A$1:$BH$1,0)+2) &amp; LastRow &amp; (MATCH($B25,Data!$A$1:$BH$1,0)+2),FALSE), INDIRECT("Data!L3C" &amp; (MATCH(M$8,Data!$A$1:$BH$1,0)+2) &amp; LastRow &amp; (MATCH(M$8,Data!$A$1:$BH$1,0)+2),FALSE)))</f>
        <v/>
      </c>
      <c r="N25" s="98" t="str">
        <f ca="1">IF(OR($B25 = "", N$8 = ""), "", _xlfn.COVARIANCE.S(INDIRECT("Data!L3C" &amp; (MATCH($B25,Data!$A$1:$BH$1,0)+2) &amp; LastRow &amp; (MATCH($B25,Data!$A$1:$BH$1,0)+2),FALSE), INDIRECT("Data!L3C" &amp; (MATCH(N$8,Data!$A$1:$BH$1,0)+2) &amp; LastRow &amp; (MATCH(N$8,Data!$A$1:$BH$1,0)+2),FALSE)))</f>
        <v/>
      </c>
      <c r="O25" s="98" t="str">
        <f ca="1">IF(OR($B25 = "", O$8 = ""), "", _xlfn.COVARIANCE.S(INDIRECT("Data!L3C" &amp; (MATCH($B25,Data!$A$1:$BH$1,0)+2) &amp; LastRow &amp; (MATCH($B25,Data!$A$1:$BH$1,0)+2),FALSE), INDIRECT("Data!L3C" &amp; (MATCH(O$8,Data!$A$1:$BH$1,0)+2) &amp; LastRow &amp; (MATCH(O$8,Data!$A$1:$BH$1,0)+2),FALSE)))</f>
        <v/>
      </c>
      <c r="P25" s="98" t="str">
        <f ca="1">IF(OR($B25 = "", P$8 = ""), "", _xlfn.COVARIANCE.S(INDIRECT("Data!L3C" &amp; (MATCH($B25,Data!$A$1:$BH$1,0)+2) &amp; LastRow &amp; (MATCH($B25,Data!$A$1:$BH$1,0)+2),FALSE), INDIRECT("Data!L3C" &amp; (MATCH(P$8,Data!$A$1:$BH$1,0)+2) &amp; LastRow &amp; (MATCH(P$8,Data!$A$1:$BH$1,0)+2),FALSE)))</f>
        <v/>
      </c>
      <c r="Q25" s="98" t="str">
        <f ca="1">IF(OR($B25 = "", Q$8 = ""), "", _xlfn.COVARIANCE.S(INDIRECT("Data!L3C" &amp; (MATCH($B25,Data!$A$1:$BH$1,0)+2) &amp; LastRow &amp; (MATCH($B25,Data!$A$1:$BH$1,0)+2),FALSE), INDIRECT("Data!L3C" &amp; (MATCH(Q$8,Data!$A$1:$BH$1,0)+2) &amp; LastRow &amp; (MATCH(Q$8,Data!$A$1:$BH$1,0)+2),FALSE)))</f>
        <v/>
      </c>
      <c r="R25" s="98" t="str">
        <f ca="1">IF(OR($B25 = "", R$8 = ""), "", _xlfn.COVARIANCE.S(INDIRECT("Data!L3C" &amp; (MATCH($B25,Data!$A$1:$BH$1,0)+2) &amp; LastRow &amp; (MATCH($B25,Data!$A$1:$BH$1,0)+2),FALSE), INDIRECT("Data!L3C" &amp; (MATCH(R$8,Data!$A$1:$BH$1,0)+2) &amp; LastRow &amp; (MATCH(R$8,Data!$A$1:$BH$1,0)+2),FALSE)))</f>
        <v/>
      </c>
      <c r="S25" s="98" t="str">
        <f ca="1">IF(OR($B25 = "", S$8 = ""), "", _xlfn.COVARIANCE.S(INDIRECT("Data!L3C" &amp; (MATCH($B25,Data!$A$1:$BH$1,0)+2) &amp; LastRow &amp; (MATCH($B25,Data!$A$1:$BH$1,0)+2),FALSE), INDIRECT("Data!L3C" &amp; (MATCH(S$8,Data!$A$1:$BH$1,0)+2) &amp; LastRow &amp; (MATCH(S$8,Data!$A$1:$BH$1,0)+2),FALSE)))</f>
        <v/>
      </c>
      <c r="T25" s="115" t="str">
        <f ca="1">IF(OR($B25 = "", T$8 = ""), "", _xlfn.COVARIANCE.S(INDIRECT("Data!L3C" &amp; (MATCH($B25,Data!$A$1:$BH$1,0)+2) &amp; LastRow &amp; (MATCH($B25,Data!$A$1:$BH$1,0)+2),FALSE), INDIRECT("Data!L3C" &amp; (MATCH(T$8,Data!$A$1:$BH$1,0)+2) &amp; LastRow &amp; (MATCH(T$8,Data!$A$1:$BH$1,0)+2),FALSE)))</f>
        <v/>
      </c>
      <c r="U25" s="105" t="str">
        <f ca="1">IF(COUNTBLANK(LongTickers)+COUNTBLANK(ShortTickers) &lt; 2, INDIRECT("Summary!F" &amp; 31 - 9 + COUNTBLANK(LongTickers)), "")</f>
        <v/>
      </c>
      <c r="V25" s="50" t="str">
        <f t="shared" ca="1" si="0"/>
        <v/>
      </c>
      <c r="W25" s="55"/>
    </row>
    <row r="26" spans="1:32" ht="15.75" thickBot="1" x14ac:dyDescent="0.3">
      <c r="A26" s="97"/>
      <c r="B26" s="110" t="str">
        <f ca="1">IF(COUNTBLANK(LongTickers)+COUNTBLANK(ShortTickers) &lt; 1, INDIRECT("Summary!B" &amp; 32 - 9 + COUNTBLANK(LongTickers)), "")</f>
        <v/>
      </c>
      <c r="C26" s="96" t="str">
        <f ca="1">IF(OR($B26 = "", C$8 = ""), "", _xlfn.COVARIANCE.S(INDIRECT("Data!L3C" &amp; (MATCH($B26,Data!$A$1:$BH$1,0)+2) &amp; LastRow &amp; (MATCH($B26,Data!$A$1:$BH$1,0)+2),FALSE), INDIRECT("Data!L3C" &amp; (MATCH(C$8,Data!$A$1:$BH$1,0)+2) &amp; LastRow &amp; (MATCH(C$8,Data!$A$1:$BH$1,0)+2),FALSE)))</f>
        <v/>
      </c>
      <c r="D26" s="95" t="str">
        <f ca="1">IF(OR($B26 = "", D$8 = ""), "", _xlfn.COVARIANCE.S(INDIRECT("Data!L3C" &amp; (MATCH($B26,Data!$A$1:$BH$1,0)+2) &amp; LastRow &amp; (MATCH($B26,Data!$A$1:$BH$1,0)+2),FALSE), INDIRECT("Data!L3C" &amp; (MATCH(D$8,Data!$A$1:$BH$1,0)+2) &amp; LastRow &amp; (MATCH(D$8,Data!$A$1:$BH$1,0)+2),FALSE)))</f>
        <v/>
      </c>
      <c r="E26" s="95" t="str">
        <f ca="1">IF(OR($B26 = "", E$8 = ""), "", _xlfn.COVARIANCE.S(INDIRECT("Data!L3C" &amp; (MATCH($B26,Data!$A$1:$BH$1,0)+2) &amp; LastRow &amp; (MATCH($B26,Data!$A$1:$BH$1,0)+2),FALSE), INDIRECT("Data!L3C" &amp; (MATCH(E$8,Data!$A$1:$BH$1,0)+2) &amp; LastRow &amp; (MATCH(E$8,Data!$A$1:$BH$1,0)+2),FALSE)))</f>
        <v/>
      </c>
      <c r="F26" s="95" t="str">
        <f ca="1">IF(OR($B26 = "", F$8 = ""), "", _xlfn.COVARIANCE.S(INDIRECT("Data!L3C" &amp; (MATCH($B26,Data!$A$1:$BH$1,0)+2) &amp; LastRow &amp; (MATCH($B26,Data!$A$1:$BH$1,0)+2),FALSE), INDIRECT("Data!L3C" &amp; (MATCH(F$8,Data!$A$1:$BH$1,0)+2) &amp; LastRow &amp; (MATCH(F$8,Data!$A$1:$BH$1,0)+2),FALSE)))</f>
        <v/>
      </c>
      <c r="G26" s="95" t="str">
        <f ca="1">IF(OR($B26 = "", G$8 = ""), "", _xlfn.COVARIANCE.S(INDIRECT("Data!L3C" &amp; (MATCH($B26,Data!$A$1:$BH$1,0)+2) &amp; LastRow &amp; (MATCH($B26,Data!$A$1:$BH$1,0)+2),FALSE), INDIRECT("Data!L3C" &amp; (MATCH(G$8,Data!$A$1:$BH$1,0)+2) &amp; LastRow &amp; (MATCH(G$8,Data!$A$1:$BH$1,0)+2),FALSE)))</f>
        <v/>
      </c>
      <c r="H26" s="95" t="str">
        <f ca="1">IF(OR($B26 = "", H$8 = ""), "", _xlfn.COVARIANCE.S(INDIRECT("Data!L3C" &amp; (MATCH($B26,Data!$A$1:$BH$1,0)+2) &amp; LastRow &amp; (MATCH($B26,Data!$A$1:$BH$1,0)+2),FALSE), INDIRECT("Data!L3C" &amp; (MATCH(H$8,Data!$A$1:$BH$1,0)+2) &amp; LastRow &amp; (MATCH(H$8,Data!$A$1:$BH$1,0)+2),FALSE)))</f>
        <v/>
      </c>
      <c r="I26" s="95" t="str">
        <f ca="1">IF(OR($B26 = "", I$8 = ""), "", _xlfn.COVARIANCE.S(INDIRECT("Data!L3C" &amp; (MATCH($B26,Data!$A$1:$BH$1,0)+2) &amp; LastRow &amp; (MATCH($B26,Data!$A$1:$BH$1,0)+2),FALSE), INDIRECT("Data!L3C" &amp; (MATCH(I$8,Data!$A$1:$BH$1,0)+2) &amp; LastRow &amp; (MATCH(I$8,Data!$A$1:$BH$1,0)+2),FALSE)))</f>
        <v/>
      </c>
      <c r="J26" s="95" t="str">
        <f ca="1">IF(OR($B26 = "", J$8 = ""), "", _xlfn.COVARIANCE.S(INDIRECT("Data!L3C" &amp; (MATCH($B26,Data!$A$1:$BH$1,0)+2) &amp; LastRow &amp; (MATCH($B26,Data!$A$1:$BH$1,0)+2),FALSE), INDIRECT("Data!L3C" &amp; (MATCH(J$8,Data!$A$1:$BH$1,0)+2) &amp; LastRow &amp; (MATCH(J$8,Data!$A$1:$BH$1,0)+2),FALSE)))</f>
        <v/>
      </c>
      <c r="K26" s="95" t="str">
        <f ca="1">IF(OR($B26 = "", K$8 = ""), "", _xlfn.COVARIANCE.S(INDIRECT("Data!L3C" &amp; (MATCH($B26,Data!$A$1:$BH$1,0)+2) &amp; LastRow &amp; (MATCH($B26,Data!$A$1:$BH$1,0)+2),FALSE), INDIRECT("Data!L3C" &amp; (MATCH(K$8,Data!$A$1:$BH$1,0)+2) &amp; LastRow &amp; (MATCH(K$8,Data!$A$1:$BH$1,0)+2),FALSE)))</f>
        <v/>
      </c>
      <c r="L26" s="95" t="str">
        <f ca="1">IF(OR($B26 = "", L$8 = ""), "", _xlfn.COVARIANCE.S(INDIRECT("Data!L3C" &amp; (MATCH($B26,Data!$A$1:$BH$1,0)+2) &amp; LastRow &amp; (MATCH($B26,Data!$A$1:$BH$1,0)+2),FALSE), INDIRECT("Data!L3C" &amp; (MATCH(L$8,Data!$A$1:$BH$1,0)+2) &amp; LastRow &amp; (MATCH(L$8,Data!$A$1:$BH$1,0)+2),FALSE)))</f>
        <v/>
      </c>
      <c r="M26" s="95" t="str">
        <f ca="1">IF(OR($B26 = "", M$8 = ""), "", _xlfn.COVARIANCE.S(INDIRECT("Data!L3C" &amp; (MATCH($B26,Data!$A$1:$BH$1,0)+2) &amp; LastRow &amp; (MATCH($B26,Data!$A$1:$BH$1,0)+2),FALSE), INDIRECT("Data!L3C" &amp; (MATCH(M$8,Data!$A$1:$BH$1,0)+2) &amp; LastRow &amp; (MATCH(M$8,Data!$A$1:$BH$1,0)+2),FALSE)))</f>
        <v/>
      </c>
      <c r="N26" s="95" t="str">
        <f ca="1">IF(OR($B26 = "", N$8 = ""), "", _xlfn.COVARIANCE.S(INDIRECT("Data!L3C" &amp; (MATCH($B26,Data!$A$1:$BH$1,0)+2) &amp; LastRow &amp; (MATCH($B26,Data!$A$1:$BH$1,0)+2),FALSE), INDIRECT("Data!L3C" &amp; (MATCH(N$8,Data!$A$1:$BH$1,0)+2) &amp; LastRow &amp; (MATCH(N$8,Data!$A$1:$BH$1,0)+2),FALSE)))</f>
        <v/>
      </c>
      <c r="O26" s="95" t="str">
        <f ca="1">IF(OR($B26 = "", O$8 = ""), "", _xlfn.COVARIANCE.S(INDIRECT("Data!L3C" &amp; (MATCH($B26,Data!$A$1:$BH$1,0)+2) &amp; LastRow &amp; (MATCH($B26,Data!$A$1:$BH$1,0)+2),FALSE), INDIRECT("Data!L3C" &amp; (MATCH(O$8,Data!$A$1:$BH$1,0)+2) &amp; LastRow &amp; (MATCH(O$8,Data!$A$1:$BH$1,0)+2),FALSE)))</f>
        <v/>
      </c>
      <c r="P26" s="95" t="str">
        <f ca="1">IF(OR($B26 = "", P$8 = ""), "", _xlfn.COVARIANCE.S(INDIRECT("Data!L3C" &amp; (MATCH($B26,Data!$A$1:$BH$1,0)+2) &amp; LastRow &amp; (MATCH($B26,Data!$A$1:$BH$1,0)+2),FALSE), INDIRECT("Data!L3C" &amp; (MATCH(P$8,Data!$A$1:$BH$1,0)+2) &amp; LastRow &amp; (MATCH(P$8,Data!$A$1:$BH$1,0)+2),FALSE)))</f>
        <v/>
      </c>
      <c r="Q26" s="95" t="str">
        <f ca="1">IF(OR($B26 = "", Q$8 = ""), "", _xlfn.COVARIANCE.S(INDIRECT("Data!L3C" &amp; (MATCH($B26,Data!$A$1:$BH$1,0)+2) &amp; LastRow &amp; (MATCH($B26,Data!$A$1:$BH$1,0)+2),FALSE), INDIRECT("Data!L3C" &amp; (MATCH(Q$8,Data!$A$1:$BH$1,0)+2) &amp; LastRow &amp; (MATCH(Q$8,Data!$A$1:$BH$1,0)+2),FALSE)))</f>
        <v/>
      </c>
      <c r="R26" s="95" t="str">
        <f ca="1">IF(OR($B26 = "", R$8 = ""), "", _xlfn.COVARIANCE.S(INDIRECT("Data!L3C" &amp; (MATCH($B26,Data!$A$1:$BH$1,0)+2) &amp; LastRow &amp; (MATCH($B26,Data!$A$1:$BH$1,0)+2),FALSE), INDIRECT("Data!L3C" &amp; (MATCH(R$8,Data!$A$1:$BH$1,0)+2) &amp; LastRow &amp; (MATCH(R$8,Data!$A$1:$BH$1,0)+2),FALSE)))</f>
        <v/>
      </c>
      <c r="S26" s="95" t="str">
        <f ca="1">IF(OR($B26 = "", S$8 = ""), "", _xlfn.COVARIANCE.S(INDIRECT("Data!L3C" &amp; (MATCH($B26,Data!$A$1:$BH$1,0)+2) &amp; LastRow &amp; (MATCH($B26,Data!$A$1:$BH$1,0)+2),FALSE), INDIRECT("Data!L3C" &amp; (MATCH(S$8,Data!$A$1:$BH$1,0)+2) &amp; LastRow &amp; (MATCH(S$8,Data!$A$1:$BH$1,0)+2),FALSE)))</f>
        <v/>
      </c>
      <c r="T26" s="116" t="str">
        <f ca="1">IF(OR($B26 = "", T$8 = ""), "", _xlfn.COVARIANCE.S(INDIRECT("Data!L3C" &amp; (MATCH($B26,Data!$A$1:$BH$1,0)+2) &amp; LastRow &amp; (MATCH($B26,Data!$A$1:$BH$1,0)+2),FALSE), INDIRECT("Data!L3C" &amp; (MATCH(T$8,Data!$A$1:$BH$1,0)+2) &amp; LastRow &amp; (MATCH(T$8,Data!$A$1:$BH$1,0)+2),FALSE)))</f>
        <v/>
      </c>
      <c r="U26" s="106" t="str">
        <f ca="1">IF(COUNTBLANK(LongTickers)+COUNTBLANK(ShortTickers) &lt; 1, INDIRECT("Summary!F" &amp; 32 - 9 + COUNTBLANK(LongTickers)), "")</f>
        <v/>
      </c>
      <c r="V26" s="46" t="str">
        <f t="shared" ca="1" si="0"/>
        <v/>
      </c>
      <c r="W26" s="55"/>
    </row>
    <row r="27" spans="1:32" ht="15.75" thickBot="1" x14ac:dyDescent="0.3">
      <c r="C27" s="33"/>
      <c r="U27" s="108">
        <f t="array" aca="1" ref="U27" ca="1">SUM(IF(ISNUMBER(U9:U26), ABS(U9:U26)))</f>
        <v>89981.559941</v>
      </c>
      <c r="V27" s="109">
        <f t="array" aca="1" ref="V27" ca="1">SUM(ABS(OFFSET(V9,0,0,COUNT(V9:V26))))</f>
        <v>1</v>
      </c>
    </row>
    <row r="28" spans="1:32" ht="15.75" thickBot="1" x14ac:dyDescent="0.3"/>
    <row r="29" spans="1:32" ht="16.5" thickBot="1" x14ac:dyDescent="0.3">
      <c r="B29" s="94" t="s">
        <v>42</v>
      </c>
      <c r="C29" s="92"/>
      <c r="D29" s="92"/>
      <c r="E29" s="92"/>
      <c r="F29" s="93"/>
      <c r="G29" s="92"/>
      <c r="H29" s="91"/>
      <c r="K29" s="90"/>
      <c r="L29" s="89" t="s">
        <v>41</v>
      </c>
      <c r="M29" s="88"/>
      <c r="N29" s="87"/>
    </row>
    <row r="30" spans="1:32" ht="15.75" x14ac:dyDescent="0.25">
      <c r="B30" s="86">
        <f t="array" aca="1" ref="B30" ca="1">MMULT(MMULT(TRANSPOSE(OFFSET($V$9,0,0,COUNT($V$9:$V$26))),OFFSET($C$9,0,0,COUNT($C$9:$C$26),COUNT($C$9:$T$9))),OFFSET($V$9,0,0,COUNT($V$9:$V$26)))</f>
        <v>2.6150560596053575E-4</v>
      </c>
      <c r="C30" s="80" t="s">
        <v>40</v>
      </c>
      <c r="D30" s="73"/>
      <c r="E30" s="73"/>
      <c r="G30" s="73"/>
      <c r="H30" s="72"/>
      <c r="K30" s="55"/>
      <c r="L30" s="145" t="s">
        <v>39</v>
      </c>
      <c r="M30" s="147" t="s">
        <v>38</v>
      </c>
      <c r="N30" s="149" t="s">
        <v>37</v>
      </c>
    </row>
    <row r="31" spans="1:32" ht="15.75" thickBot="1" x14ac:dyDescent="0.3">
      <c r="B31" s="79"/>
      <c r="C31" s="73"/>
      <c r="D31" s="73"/>
      <c r="E31" s="73"/>
      <c r="F31" s="73"/>
      <c r="G31" s="73"/>
      <c r="H31" s="72"/>
      <c r="L31" s="146"/>
      <c r="M31" s="148"/>
      <c r="N31" s="150"/>
      <c r="U31" s="107"/>
    </row>
    <row r="32" spans="1:32" ht="15.75" x14ac:dyDescent="0.25">
      <c r="B32" s="75" t="s">
        <v>36</v>
      </c>
      <c r="C32" s="53"/>
      <c r="D32" s="73"/>
      <c r="E32" s="73"/>
      <c r="F32" s="74" t="s">
        <v>35</v>
      </c>
      <c r="G32" s="73"/>
      <c r="H32" s="72"/>
      <c r="L32" s="85">
        <v>0.5</v>
      </c>
      <c r="M32" s="84">
        <f ca="1">$B$36</f>
        <v>0.11661171257617246</v>
      </c>
      <c r="N32" s="83">
        <f ca="1">M32*L32</f>
        <v>5.8305856288086232E-2</v>
      </c>
    </row>
    <row r="33" spans="1:32" ht="15.75" x14ac:dyDescent="0.25">
      <c r="B33" s="82">
        <f ca="1">SQRT(B30)</f>
        <v>1.6171134962040722E-2</v>
      </c>
      <c r="C33" s="80" t="s">
        <v>34</v>
      </c>
      <c r="D33" s="73"/>
      <c r="E33" s="73"/>
      <c r="F33" s="81">
        <f ca="1">SQRT(AVERAGE(C9,D10,E11,F12,G13,H14,I15,J16,K17,L18,M19,N20,O21,P22,Q23,R24,S25,T26))</f>
        <v>5.9498495431866166E-2</v>
      </c>
      <c r="G33" s="80" t="s">
        <v>34</v>
      </c>
      <c r="H33" s="72"/>
      <c r="L33" s="78">
        <v>1</v>
      </c>
      <c r="M33" s="77">
        <f ca="1">$B$36</f>
        <v>0.11661171257617246</v>
      </c>
      <c r="N33" s="76">
        <f ca="1">M33*L33</f>
        <v>0.11661171257617246</v>
      </c>
    </row>
    <row r="34" spans="1:32" ht="15.75" x14ac:dyDescent="0.25">
      <c r="B34" s="79"/>
      <c r="C34" s="73"/>
      <c r="D34" s="73"/>
      <c r="E34" s="73"/>
      <c r="F34" s="73"/>
      <c r="G34" s="73"/>
      <c r="H34" s="72"/>
      <c r="L34" s="78">
        <v>1.5</v>
      </c>
      <c r="M34" s="77">
        <f ca="1">$B$36</f>
        <v>0.11661171257617246</v>
      </c>
      <c r="N34" s="76">
        <f ca="1">M34*L34</f>
        <v>0.17491756886425869</v>
      </c>
    </row>
    <row r="35" spans="1:32" ht="16.5" thickBot="1" x14ac:dyDescent="0.3">
      <c r="B35" s="75" t="s">
        <v>33</v>
      </c>
      <c r="C35" s="53"/>
      <c r="D35" s="73"/>
      <c r="E35" s="73"/>
      <c r="F35" s="74" t="s">
        <v>32</v>
      </c>
      <c r="G35" s="73"/>
      <c r="H35" s="72"/>
      <c r="L35" s="71">
        <v>2</v>
      </c>
      <c r="M35" s="70">
        <f ca="1">$B$36</f>
        <v>0.11661171257617246</v>
      </c>
      <c r="N35" s="69">
        <f ca="1">M35*L35</f>
        <v>0.23322342515234493</v>
      </c>
    </row>
    <row r="36" spans="1:32" ht="16.5" thickBot="1" x14ac:dyDescent="0.3">
      <c r="B36" s="68">
        <f ca="1">B33*SQRT(52)</f>
        <v>0.11661171257617246</v>
      </c>
      <c r="C36" s="66"/>
      <c r="D36" s="66"/>
      <c r="E36" s="66"/>
      <c r="F36" s="67">
        <f ca="1">F33*SQRT(52)</f>
        <v>0.42904975218510677</v>
      </c>
      <c r="G36" s="66"/>
      <c r="H36" s="65"/>
    </row>
    <row r="37" spans="1:32" ht="15.75" thickBot="1" x14ac:dyDescent="0.3"/>
    <row r="38" spans="1:32" ht="17.25" customHeight="1" x14ac:dyDescent="0.25">
      <c r="A38" s="136" t="s">
        <v>31</v>
      </c>
      <c r="B38" s="137"/>
      <c r="C38" s="137"/>
      <c r="D38" s="137"/>
      <c r="E38" s="137"/>
      <c r="F38" s="137"/>
      <c r="G38" s="137"/>
      <c r="H38" s="137"/>
      <c r="I38" s="137"/>
      <c r="J38" s="137"/>
      <c r="K38" s="137"/>
      <c r="L38" s="137"/>
      <c r="M38" s="137"/>
      <c r="N38" s="137"/>
      <c r="O38" s="137"/>
      <c r="P38" s="137"/>
      <c r="Q38" s="137"/>
      <c r="R38" s="137"/>
      <c r="S38" s="137"/>
      <c r="T38" s="137"/>
      <c r="U38" s="137"/>
      <c r="V38" s="137"/>
      <c r="W38" s="137"/>
      <c r="X38" s="137"/>
      <c r="Y38" s="137"/>
      <c r="Z38" s="137"/>
      <c r="AA38" s="137"/>
      <c r="AB38" s="137"/>
      <c r="AC38" s="137"/>
      <c r="AD38" s="137"/>
      <c r="AE38" s="137"/>
      <c r="AF38" s="138"/>
    </row>
    <row r="39" spans="1:32" ht="15.75" customHeight="1" thickBot="1" x14ac:dyDescent="0.3">
      <c r="A39" s="142"/>
      <c r="B39" s="143"/>
      <c r="C39" s="143"/>
      <c r="D39" s="143"/>
      <c r="E39" s="143"/>
      <c r="F39" s="143"/>
      <c r="G39" s="143"/>
      <c r="H39" s="143"/>
      <c r="I39" s="143"/>
      <c r="J39" s="143"/>
      <c r="K39" s="143"/>
      <c r="L39" s="143"/>
      <c r="M39" s="143"/>
      <c r="N39" s="143"/>
      <c r="O39" s="143"/>
      <c r="P39" s="143"/>
      <c r="Q39" s="143"/>
      <c r="R39" s="143"/>
      <c r="S39" s="143"/>
      <c r="T39" s="143"/>
      <c r="U39" s="143"/>
      <c r="V39" s="143"/>
      <c r="W39" s="143"/>
      <c r="X39" s="143"/>
      <c r="Y39" s="143"/>
      <c r="Z39" s="143"/>
      <c r="AA39" s="143"/>
      <c r="AB39" s="143"/>
      <c r="AC39" s="143"/>
      <c r="AD39" s="143"/>
      <c r="AE39" s="143"/>
      <c r="AF39" s="144"/>
    </row>
    <row r="40" spans="1:32" ht="15.75" thickBot="1" x14ac:dyDescent="0.3"/>
    <row r="41" spans="1:32" ht="15.75" customHeight="1" thickBot="1" x14ac:dyDescent="0.3">
      <c r="A41" s="64" t="s">
        <v>30</v>
      </c>
      <c r="B41" s="61" t="s">
        <v>2</v>
      </c>
      <c r="C41" s="63" t="str">
        <f ca="1">IF($B$42="","",$B$42)</f>
        <v>VTRS</v>
      </c>
      <c r="D41" s="63" t="str">
        <f ca="1">IF($B$43="","",$B$43)</f>
        <v>XPO</v>
      </c>
      <c r="E41" s="63" t="str">
        <f ca="1">IF($B$44="","",$B$44)</f>
        <v>MOS</v>
      </c>
      <c r="F41" s="63" t="str">
        <f ca="1">IF($B$45="","",$B$45)</f>
        <v>PPL</v>
      </c>
      <c r="G41" s="63" t="str">
        <f ca="1">IF($B$46="","",$B$46)</f>
        <v>TTEC</v>
      </c>
      <c r="H41" s="63" t="str">
        <f ca="1">IF($B$47="","",$B$47)</f>
        <v>WING</v>
      </c>
      <c r="I41" s="63" t="str">
        <f ca="1">IF($B$48="","",$B$48)</f>
        <v>OLED</v>
      </c>
      <c r="J41" s="63" t="str">
        <f ca="1">IF($B$49="","",$B$49)</f>
        <v>LVS</v>
      </c>
      <c r="K41" s="63" t="str">
        <f ca="1">IF($B$50="","",$B$50)</f>
        <v>BBY</v>
      </c>
      <c r="L41" s="63" t="str">
        <f ca="1">IF($B$51="","",$B$51)</f>
        <v>LEN</v>
      </c>
      <c r="M41" s="63" t="str">
        <f ca="1">IF($B$52="","",$B$52)</f>
        <v>SPLK</v>
      </c>
      <c r="N41" s="63" t="str">
        <f ca="1">IF($B$53="","",$B$53)</f>
        <v/>
      </c>
      <c r="O41" s="63" t="str">
        <f ca="1">IF($B$54="","",$B$54)</f>
        <v/>
      </c>
      <c r="P41" s="63" t="str">
        <f ca="1">IF($B$55="","",$B$55)</f>
        <v/>
      </c>
      <c r="Q41" s="63" t="str">
        <f ca="1">IF($B$56="","",$B$56)</f>
        <v/>
      </c>
      <c r="R41" s="63" t="str">
        <f ca="1">IF($B$57="","",$B$57)</f>
        <v/>
      </c>
      <c r="S41" s="63" t="str">
        <f ca="1">IF($B$58="","",$B$58)</f>
        <v/>
      </c>
      <c r="T41" s="63" t="str">
        <f>IF($B$59="","",$B$59)</f>
        <v/>
      </c>
      <c r="U41" s="62" t="s">
        <v>29</v>
      </c>
      <c r="V41" s="61" t="s">
        <v>28</v>
      </c>
    </row>
    <row r="42" spans="1:32" x14ac:dyDescent="0.25">
      <c r="A42" s="49">
        <f t="shared" ref="A42:A59" ca="1" si="1">IF(B42=B9,1,0)</f>
        <v>1</v>
      </c>
      <c r="B42" s="60" t="str">
        <f ca="1">B9</f>
        <v>VTRS</v>
      </c>
      <c r="C42" s="59"/>
      <c r="D42" s="58">
        <f ca="1">IF(OR($B9 = "", D$8 = ""), "", CORREL(INDIRECT("Data!L3C" &amp; (MATCH($B9,Data!$A$1:$BH$1,0)+2) &amp; LastRow &amp; (MATCH($B9,Data!$A$1:$BH$1,0)+2),FALSE), INDIRECT("Data!L3C" &amp; (MATCH(D$8,Data!$A$1:$BH$1,0)+2) &amp; LastRow &amp; (MATCH(D$8,Data!$A$1:$BH$1,0)+2),FALSE)) * VLOOKUP(D$41,$B$41:$U$59,20,FALSE) * $U42)</f>
        <v>0.35466222533850067</v>
      </c>
      <c r="E42" s="58">
        <f ca="1">IF(OR($B9 = "", E$8 = ""), "", CORREL(INDIRECT("Data!L3C" &amp; (MATCH($B9,Data!$A$1:$BH$1,0)+2) &amp; LastRow &amp; (MATCH($B9,Data!$A$1:$BH$1,0)+2),FALSE), INDIRECT("Data!L3C" &amp; (MATCH(E$8,Data!$A$1:$BH$1,0)+2) &amp; LastRow &amp; (MATCH(E$8,Data!$A$1:$BH$1,0)+2),FALSE)) * VLOOKUP(E$41,$B$41:$U$59,20,FALSE) * $U42)</f>
        <v>0.34192034129502408</v>
      </c>
      <c r="F42" s="58">
        <f ca="1">IF(OR($B9 = "", F$8 = ""), "", CORREL(INDIRECT("Data!L3C" &amp; (MATCH($B9,Data!$A$1:$BH$1,0)+2) &amp; LastRow &amp; (MATCH($B9,Data!$A$1:$BH$1,0)+2),FALSE), INDIRECT("Data!L3C" &amp; (MATCH(F$8,Data!$A$1:$BH$1,0)+2) &amp; LastRow &amp; (MATCH(F$8,Data!$A$1:$BH$1,0)+2),FALSE)) * VLOOKUP(F$41,$B$41:$U$59,20,FALSE) * $U42)</f>
        <v>0.27065318231841812</v>
      </c>
      <c r="G42" s="58">
        <f ca="1">IF(OR($B9 = "", G$8 = ""), "", CORREL(INDIRECT("Data!L3C" &amp; (MATCH($B9,Data!$A$1:$BH$1,0)+2) &amp; LastRow &amp; (MATCH($B9,Data!$A$1:$BH$1,0)+2),FALSE), INDIRECT("Data!L3C" &amp; (MATCH(G$8,Data!$A$1:$BH$1,0)+2) &amp; LastRow &amp; (MATCH(G$8,Data!$A$1:$BH$1,0)+2),FALSE)) * VLOOKUP(G$41,$B$41:$U$59,20,FALSE) * $U42)</f>
        <v>0.33298271782183736</v>
      </c>
      <c r="H42" s="58">
        <f ca="1">IF(OR($B9 = "", H$8 = ""), "", CORREL(INDIRECT("Data!L3C" &amp; (MATCH($B9,Data!$A$1:$BH$1,0)+2) &amp; LastRow &amp; (MATCH($B9,Data!$A$1:$BH$1,0)+2),FALSE), INDIRECT("Data!L3C" &amp; (MATCH(H$8,Data!$A$1:$BH$1,0)+2) &amp; LastRow &amp; (MATCH(H$8,Data!$A$1:$BH$1,0)+2),FALSE)) * VLOOKUP(H$41,$B$41:$U$59,20,FALSE) * $U42)</f>
        <v>0.1767182102514856</v>
      </c>
      <c r="I42" s="58">
        <f ca="1">IF(OR($B9 = "", I$8 = ""), "", CORREL(INDIRECT("Data!L3C" &amp; (MATCH($B9,Data!$A$1:$BH$1,0)+2) &amp; LastRow &amp; (MATCH($B9,Data!$A$1:$BH$1,0)+2),FALSE), INDIRECT("Data!L3C" &amp; (MATCH(I$8,Data!$A$1:$BH$1,0)+2) &amp; LastRow &amp; (MATCH(I$8,Data!$A$1:$BH$1,0)+2),FALSE)) * VLOOKUP(I$41,$B$41:$U$59,20,FALSE) * $U42)</f>
        <v>0.21397649496949273</v>
      </c>
      <c r="J42" s="58">
        <f ca="1">IF(OR($B9 = "", J$8 = ""), "", CORREL(INDIRECT("Data!L3C" &amp; (MATCH($B9,Data!$A$1:$BH$1,0)+2) &amp; LastRow &amp; (MATCH($B9,Data!$A$1:$BH$1,0)+2),FALSE), INDIRECT("Data!L3C" &amp; (MATCH(J$8,Data!$A$1:$BH$1,0)+2) &amp; LastRow &amp; (MATCH(J$8,Data!$A$1:$BH$1,0)+2),FALSE)) * VLOOKUP(J$41,$B$41:$U$59,20,FALSE) * $U42)</f>
        <v>-0.32447305232699208</v>
      </c>
      <c r="K42" s="58">
        <f ca="1">IF(OR($B9 = "", K$8 = ""), "", CORREL(INDIRECT("Data!L3C" &amp; (MATCH($B9,Data!$A$1:$BH$1,0)+2) &amp; LastRow &amp; (MATCH($B9,Data!$A$1:$BH$1,0)+2),FALSE), INDIRECT("Data!L3C" &amp; (MATCH(K$8,Data!$A$1:$BH$1,0)+2) &amp; LastRow &amp; (MATCH(K$8,Data!$A$1:$BH$1,0)+2),FALSE)) * VLOOKUP(K$41,$B$41:$U$59,20,FALSE) * $U42)</f>
        <v>-0.26703055121538216</v>
      </c>
      <c r="L42" s="58">
        <f ca="1">IF(OR($B9 = "", L$8 = ""), "", CORREL(INDIRECT("Data!L3C" &amp; (MATCH($B9,Data!$A$1:$BH$1,0)+2) &amp; LastRow &amp; (MATCH($B9,Data!$A$1:$BH$1,0)+2),FALSE), INDIRECT("Data!L3C" &amp; (MATCH(L$8,Data!$A$1:$BH$1,0)+2) &amp; LastRow &amp; (MATCH(L$8,Data!$A$1:$BH$1,0)+2),FALSE)) * VLOOKUP(L$41,$B$41:$U$59,20,FALSE) * $U42)</f>
        <v>-0.30165987945289729</v>
      </c>
      <c r="M42" s="58">
        <f ca="1">IF(OR($B9 = "", M$8 = ""), "", CORREL(INDIRECT("Data!L3C" &amp; (MATCH($B9,Data!$A$1:$BH$1,0)+2) &amp; LastRow &amp; (MATCH($B9,Data!$A$1:$BH$1,0)+2),FALSE), INDIRECT("Data!L3C" &amp; (MATCH(M$8,Data!$A$1:$BH$1,0)+2) &amp; LastRow &amp; (MATCH(M$8,Data!$A$1:$BH$1,0)+2),FALSE)) * VLOOKUP(M$41,$B$41:$U$59,20,FALSE) * $U42)</f>
        <v>-0.29398056792923455</v>
      </c>
      <c r="N42" s="58" t="str">
        <f ca="1">IF(OR($B9 = "", N$8 = ""), "", CORREL(INDIRECT("Data!L3C" &amp; (MATCH($B9,Data!$A$1:$BH$1,0)+2) &amp; LastRow &amp; (MATCH($B9,Data!$A$1:$BH$1,0)+2),FALSE), INDIRECT("Data!L3C" &amp; (MATCH(N$8,Data!$A$1:$BH$1,0)+2) &amp; LastRow &amp; (MATCH(N$8,Data!$A$1:$BH$1,0)+2),FALSE)) * VLOOKUP(N$41,$B$41:$U$59,20,FALSE) * $U42)</f>
        <v/>
      </c>
      <c r="O42" s="58" t="str">
        <f ca="1">IF(OR($B9 = "", O$8 = ""), "", CORREL(INDIRECT("Data!L3C" &amp; (MATCH($B9,Data!$A$1:$BH$1,0)+2) &amp; LastRow &amp; (MATCH($B9,Data!$A$1:$BH$1,0)+2),FALSE), INDIRECT("Data!L3C" &amp; (MATCH(O$8,Data!$A$1:$BH$1,0)+2) &amp; LastRow &amp; (MATCH(O$8,Data!$A$1:$BH$1,0)+2),FALSE)) * VLOOKUP(O$41,$B$41:$U$59,20,FALSE) * $U42)</f>
        <v/>
      </c>
      <c r="P42" s="58" t="str">
        <f ca="1">IF(OR($B9 = "", P$8 = ""), "", CORREL(INDIRECT("Data!L3C" &amp; (MATCH($B9,Data!$A$1:$BH$1,0)+2) &amp; LastRow &amp; (MATCH($B9,Data!$A$1:$BH$1,0)+2),FALSE), INDIRECT("Data!L3C" &amp; (MATCH(P$8,Data!$A$1:$BH$1,0)+2) &amp; LastRow &amp; (MATCH(P$8,Data!$A$1:$BH$1,0)+2),FALSE)) * VLOOKUP(P$41,$B$41:$U$59,20,FALSE) * $U42)</f>
        <v/>
      </c>
      <c r="Q42" s="58" t="str">
        <f ca="1">IF(OR($B9 = "", Q$8 = ""), "", CORREL(INDIRECT("Data!L3C" &amp; (MATCH($B9,Data!$A$1:$BH$1,0)+2) &amp; LastRow &amp; (MATCH($B9,Data!$A$1:$BH$1,0)+2),FALSE), INDIRECT("Data!L3C" &amp; (MATCH(Q$8,Data!$A$1:$BH$1,0)+2) &amp; LastRow &amp; (MATCH(Q$8,Data!$A$1:$BH$1,0)+2),FALSE)) * VLOOKUP(Q$41,$B$41:$U$59,20,FALSE) * $U42)</f>
        <v/>
      </c>
      <c r="R42" s="58" t="str">
        <f ca="1">IF(OR($B9 = "", R$8 = ""), "", CORREL(INDIRECT("Data!L3C" &amp; (MATCH($B9,Data!$A$1:$BH$1,0)+2) &amp; LastRow &amp; (MATCH($B9,Data!$A$1:$BH$1,0)+2),FALSE), INDIRECT("Data!L3C" &amp; (MATCH(R$8,Data!$A$1:$BH$1,0)+2) &amp; LastRow &amp; (MATCH(R$8,Data!$A$1:$BH$1,0)+2),FALSE)) * VLOOKUP(R$41,$B$41:$U$59,20,FALSE) * $U42)</f>
        <v/>
      </c>
      <c r="S42" s="58" t="str">
        <f ca="1">IF(OR($B9 = "", S$8 = ""), "", CORREL(INDIRECT("Data!L3C" &amp; (MATCH($B9,Data!$A$1:$BH$1,0)+2) &amp; LastRow &amp; (MATCH($B9,Data!$A$1:$BH$1,0)+2),FALSE), INDIRECT("Data!L3C" &amp; (MATCH(S$8,Data!$A$1:$BH$1,0)+2) &amp; LastRow &amp; (MATCH(S$8,Data!$A$1:$BH$1,0)+2),FALSE)) * VLOOKUP(S$41,$B$41:$U$59,20,FALSE) * $U42)</f>
        <v/>
      </c>
      <c r="T42" s="117" t="str">
        <f ca="1">IF(OR($B9 = "", T$8 = ""), "", CORREL(INDIRECT("Data!L3C" &amp; (MATCH($B9,Data!$A$1:$BH$1,0)+2) &amp; LastRow &amp; (MATCH($B9,Data!$A$1:$BH$1,0)+2),FALSE), INDIRECT("Data!L3C" &amp; (MATCH(T$8,Data!$A$1:$BH$1,0)+2) &amp; LastRow &amp; (MATCH(T$8,Data!$A$1:$BH$1,0)+2),FALSE)) * VLOOKUP(T$41,$B$41:$U$59,20,FALSE) * $U42)</f>
        <v/>
      </c>
      <c r="U42" s="57">
        <f>IF(COUNTBLANK(LongTickers) &lt; 9, 1, IF(COUNTBLANK(LongTickers)+COUNTBLANK(ShortTickers) &lt; 18, -1, "")   )</f>
        <v>1</v>
      </c>
      <c r="V42" s="56">
        <f t="shared" ref="V42:V59" ca="1" si="2">IFERROR(AVERAGE(C42:T42),"")</f>
        <v>5.0376912107025253E-2</v>
      </c>
      <c r="X42" s="135" t="s">
        <v>27</v>
      </c>
      <c r="Y42" s="135"/>
      <c r="Z42" s="135"/>
      <c r="AA42" s="135"/>
      <c r="AB42" s="135"/>
      <c r="AC42" s="135"/>
      <c r="AD42" s="135"/>
      <c r="AE42" s="135"/>
      <c r="AF42" s="135"/>
    </row>
    <row r="43" spans="1:32" x14ac:dyDescent="0.25">
      <c r="A43" s="49">
        <f t="shared" ca="1" si="1"/>
        <v>1</v>
      </c>
      <c r="B43" s="60" t="str">
        <f t="shared" ref="B43:B58" ca="1" si="3">B10</f>
        <v>XPO</v>
      </c>
      <c r="C43" s="54">
        <f ca="1">IF(OR($B10 = "", C$8 = ""), "", CORREL(INDIRECT("Data!L3C" &amp; (MATCH($B10,Data!$A$1:$BH$1,0)+2) &amp; LastRow &amp; (MATCH($B10,Data!$A$1:$BH$1,0)+2),FALSE), INDIRECT("Data!L3C" &amp; (MATCH(C$8,Data!$A$1:$BH$1,0)+2) &amp; LastRow &amp; (MATCH(C$8,Data!$A$1:$BH$1,0)+2),FALSE)) * VLOOKUP(C$41,$B$41:$U$59,20,FALSE) * $U43)</f>
        <v>0.35466222533850067</v>
      </c>
      <c r="D43" s="52"/>
      <c r="E43" s="53">
        <f ca="1">IF(OR($B10 = "", E$8 = ""), "", CORREL(INDIRECT("Data!L3C" &amp; (MATCH($B10,Data!$A$1:$BH$1,0)+2) &amp; LastRow &amp; (MATCH($B10,Data!$A$1:$BH$1,0)+2),FALSE), INDIRECT("Data!L3C" &amp; (MATCH(E$8,Data!$A$1:$BH$1,0)+2) &amp; LastRow &amp; (MATCH(E$8,Data!$A$1:$BH$1,0)+2),FALSE)) * VLOOKUP(E$41,$B$41:$U$59,20,FALSE) * $U43)</f>
        <v>0.41086824008428047</v>
      </c>
      <c r="F43" s="53">
        <f ca="1">IF(OR($B10 = "", F$8 = ""), "", CORREL(INDIRECT("Data!L3C" &amp; (MATCH($B10,Data!$A$1:$BH$1,0)+2) &amp; LastRow &amp; (MATCH($B10,Data!$A$1:$BH$1,0)+2),FALSE), INDIRECT("Data!L3C" &amp; (MATCH(F$8,Data!$A$1:$BH$1,0)+2) &amp; LastRow &amp; (MATCH(F$8,Data!$A$1:$BH$1,0)+2),FALSE)) * VLOOKUP(F$41,$B$41:$U$59,20,FALSE) * $U43)</f>
        <v>0.43613739924869616</v>
      </c>
      <c r="G43" s="53">
        <f ca="1">IF(OR($B10 = "", G$8 = ""), "", CORREL(INDIRECT("Data!L3C" &amp; (MATCH($B10,Data!$A$1:$BH$1,0)+2) &amp; LastRow &amp; (MATCH($B10,Data!$A$1:$BH$1,0)+2),FALSE), INDIRECT("Data!L3C" &amp; (MATCH(G$8,Data!$A$1:$BH$1,0)+2) &amp; LastRow &amp; (MATCH(G$8,Data!$A$1:$BH$1,0)+2),FALSE)) * VLOOKUP(G$41,$B$41:$U$59,20,FALSE) * $U43)</f>
        <v>0.41054621806943037</v>
      </c>
      <c r="H43" s="53">
        <f ca="1">IF(OR($B10 = "", H$8 = ""), "", CORREL(INDIRECT("Data!L3C" &amp; (MATCH($B10,Data!$A$1:$BH$1,0)+2) &amp; LastRow &amp; (MATCH($B10,Data!$A$1:$BH$1,0)+2),FALSE), INDIRECT("Data!L3C" &amp; (MATCH(H$8,Data!$A$1:$BH$1,0)+2) &amp; LastRow &amp; (MATCH(H$8,Data!$A$1:$BH$1,0)+2),FALSE)) * VLOOKUP(H$41,$B$41:$U$59,20,FALSE) * $U43)</f>
        <v>0.42866875016503964</v>
      </c>
      <c r="I43" s="53">
        <f ca="1">IF(OR($B10 = "", I$8 = ""), "", CORREL(INDIRECT("Data!L3C" &amp; (MATCH($B10,Data!$A$1:$BH$1,0)+2) &amp; LastRow &amp; (MATCH($B10,Data!$A$1:$BH$1,0)+2),FALSE), INDIRECT("Data!L3C" &amp; (MATCH(I$8,Data!$A$1:$BH$1,0)+2) &amp; LastRow &amp; (MATCH(I$8,Data!$A$1:$BH$1,0)+2),FALSE)) * VLOOKUP(I$41,$B$41:$U$59,20,FALSE) * $U43)</f>
        <v>0.40967388811947669</v>
      </c>
      <c r="J43" s="53">
        <f ca="1">IF(OR($B10 = "", J$8 = ""), "", CORREL(INDIRECT("Data!L3C" &amp; (MATCH($B10,Data!$A$1:$BH$1,0)+2) &amp; LastRow &amp; (MATCH($B10,Data!$A$1:$BH$1,0)+2),FALSE), INDIRECT("Data!L3C" &amp; (MATCH(J$8,Data!$A$1:$BH$1,0)+2) &amp; LastRow &amp; (MATCH(J$8,Data!$A$1:$BH$1,0)+2),FALSE)) * VLOOKUP(J$41,$B$41:$U$59,20,FALSE) * $U43)</f>
        <v>-0.4791777774156899</v>
      </c>
      <c r="K43" s="53">
        <f ca="1">IF(OR($B10 = "", K$8 = ""), "", CORREL(INDIRECT("Data!L3C" &amp; (MATCH($B10,Data!$A$1:$BH$1,0)+2) &amp; LastRow &amp; (MATCH($B10,Data!$A$1:$BH$1,0)+2),FALSE), INDIRECT("Data!L3C" &amp; (MATCH(K$8,Data!$A$1:$BH$1,0)+2) &amp; LastRow &amp; (MATCH(K$8,Data!$A$1:$BH$1,0)+2),FALSE)) * VLOOKUP(K$41,$B$41:$U$59,20,FALSE) * $U43)</f>
        <v>-0.47431878982861686</v>
      </c>
      <c r="L43" s="53">
        <f ca="1">IF(OR($B10 = "", L$8 = ""), "", CORREL(INDIRECT("Data!L3C" &amp; (MATCH($B10,Data!$A$1:$BH$1,0)+2) &amp; LastRow &amp; (MATCH($B10,Data!$A$1:$BH$1,0)+2),FALSE), INDIRECT("Data!L3C" &amp; (MATCH(L$8,Data!$A$1:$BH$1,0)+2) &amp; LastRow &amp; (MATCH(L$8,Data!$A$1:$BH$1,0)+2),FALSE)) * VLOOKUP(L$41,$B$41:$U$59,20,FALSE) * $U43)</f>
        <v>-0.54046282326403672</v>
      </c>
      <c r="M43" s="53">
        <f ca="1">IF(OR($B10 = "", M$8 = ""), "", CORREL(INDIRECT("Data!L3C" &amp; (MATCH($B10,Data!$A$1:$BH$1,0)+2) &amp; LastRow &amp; (MATCH($B10,Data!$A$1:$BH$1,0)+2),FALSE), INDIRECT("Data!L3C" &amp; (MATCH(M$8,Data!$A$1:$BH$1,0)+2) &amp; LastRow &amp; (MATCH(M$8,Data!$A$1:$BH$1,0)+2),FALSE)) * VLOOKUP(M$41,$B$41:$U$59,20,FALSE) * $U43)</f>
        <v>-0.36911405652939699</v>
      </c>
      <c r="N43" s="53" t="str">
        <f ca="1">IF(OR($B10 = "", N$8 = ""), "", CORREL(INDIRECT("Data!L3C" &amp; (MATCH($B10,Data!$A$1:$BH$1,0)+2) &amp; LastRow &amp; (MATCH($B10,Data!$A$1:$BH$1,0)+2),FALSE), INDIRECT("Data!L3C" &amp; (MATCH(N$8,Data!$A$1:$BH$1,0)+2) &amp; LastRow &amp; (MATCH(N$8,Data!$A$1:$BH$1,0)+2),FALSE)) * VLOOKUP(N$41,$B$41:$U$59,20,FALSE) * $U43)</f>
        <v/>
      </c>
      <c r="O43" s="53" t="str">
        <f ca="1">IF(OR($B10 = "", O$8 = ""), "", CORREL(INDIRECT("Data!L3C" &amp; (MATCH($B10,Data!$A$1:$BH$1,0)+2) &amp; LastRow &amp; (MATCH($B10,Data!$A$1:$BH$1,0)+2),FALSE), INDIRECT("Data!L3C" &amp; (MATCH(O$8,Data!$A$1:$BH$1,0)+2) &amp; LastRow &amp; (MATCH(O$8,Data!$A$1:$BH$1,0)+2),FALSE)) * VLOOKUP(O$41,$B$41:$U$59,20,FALSE) * $U43)</f>
        <v/>
      </c>
      <c r="P43" s="53" t="str">
        <f ca="1">IF(OR($B10 = "", P$8 = ""), "", CORREL(INDIRECT("Data!L3C" &amp; (MATCH($B10,Data!$A$1:$BH$1,0)+2) &amp; LastRow &amp; (MATCH($B10,Data!$A$1:$BH$1,0)+2),FALSE), INDIRECT("Data!L3C" &amp; (MATCH(P$8,Data!$A$1:$BH$1,0)+2) &amp; LastRow &amp; (MATCH(P$8,Data!$A$1:$BH$1,0)+2),FALSE)) * VLOOKUP(P$41,$B$41:$U$59,20,FALSE) * $U43)</f>
        <v/>
      </c>
      <c r="Q43" s="53" t="str">
        <f ca="1">IF(OR($B10 = "", Q$8 = ""), "", CORREL(INDIRECT("Data!L3C" &amp; (MATCH($B10,Data!$A$1:$BH$1,0)+2) &amp; LastRow &amp; (MATCH($B10,Data!$A$1:$BH$1,0)+2),FALSE), INDIRECT("Data!L3C" &amp; (MATCH(Q$8,Data!$A$1:$BH$1,0)+2) &amp; LastRow &amp; (MATCH(Q$8,Data!$A$1:$BH$1,0)+2),FALSE)) * VLOOKUP(Q$41,$B$41:$U$59,20,FALSE) * $U43)</f>
        <v/>
      </c>
      <c r="R43" s="53" t="str">
        <f ca="1">IF(OR($B10 = "", R$8 = ""), "", CORREL(INDIRECT("Data!L3C" &amp; (MATCH($B10,Data!$A$1:$BH$1,0)+2) &amp; LastRow &amp; (MATCH($B10,Data!$A$1:$BH$1,0)+2),FALSE), INDIRECT("Data!L3C" &amp; (MATCH(R$8,Data!$A$1:$BH$1,0)+2) &amp; LastRow &amp; (MATCH(R$8,Data!$A$1:$BH$1,0)+2),FALSE)) * VLOOKUP(R$41,$B$41:$U$59,20,FALSE) * $U43)</f>
        <v/>
      </c>
      <c r="S43" s="53" t="str">
        <f ca="1">IF(OR($B10 = "", S$8 = ""), "", CORREL(INDIRECT("Data!L3C" &amp; (MATCH($B10,Data!$A$1:$BH$1,0)+2) &amp; LastRow &amp; (MATCH($B10,Data!$A$1:$BH$1,0)+2),FALSE), INDIRECT("Data!L3C" &amp; (MATCH(S$8,Data!$A$1:$BH$1,0)+2) &amp; LastRow &amp; (MATCH(S$8,Data!$A$1:$BH$1,0)+2),FALSE)) * VLOOKUP(S$41,$B$41:$U$59,20,FALSE) * $U43)</f>
        <v/>
      </c>
      <c r="T43" s="118" t="str">
        <f ca="1">IF(OR($B10 = "", T$8 = ""), "", CORREL(INDIRECT("Data!L3C" &amp; (MATCH($B10,Data!$A$1:$BH$1,0)+2) &amp; LastRow &amp; (MATCH($B10,Data!$A$1:$BH$1,0)+2),FALSE), INDIRECT("Data!L3C" &amp; (MATCH(T$8,Data!$A$1:$BH$1,0)+2) &amp; LastRow &amp; (MATCH(T$8,Data!$A$1:$BH$1,0)+2),FALSE)) * VLOOKUP(T$41,$B$41:$U$59,20,FALSE) * $U43)</f>
        <v/>
      </c>
      <c r="U43" s="51">
        <f>IF(COUNTBLANK(LongTickers) &lt; 8, 1, IF(COUNTBLANK(LongTickers)+COUNTBLANK(ShortTickers) &lt; 17, -1, "")   )</f>
        <v>1</v>
      </c>
      <c r="V43" s="50">
        <f t="shared" ca="1" si="2"/>
        <v>5.8748327398768327E-2</v>
      </c>
      <c r="X43" s="135"/>
      <c r="Y43" s="135"/>
      <c r="Z43" s="135"/>
      <c r="AA43" s="135"/>
      <c r="AB43" s="135"/>
      <c r="AC43" s="135"/>
      <c r="AD43" s="135"/>
      <c r="AE43" s="135"/>
      <c r="AF43" s="135"/>
    </row>
    <row r="44" spans="1:32" x14ac:dyDescent="0.25">
      <c r="A44" s="49">
        <f t="shared" ca="1" si="1"/>
        <v>1</v>
      </c>
      <c r="B44" s="60" t="str">
        <f t="shared" ca="1" si="3"/>
        <v>MOS</v>
      </c>
      <c r="C44" s="54">
        <f ca="1">IF(OR($B11 = "", C$8 = ""), "", CORREL(INDIRECT("Data!L3C" &amp; (MATCH($B11,Data!$A$1:$BH$1,0)+2) &amp; LastRow &amp; (MATCH($B11,Data!$A$1:$BH$1,0)+2),FALSE), INDIRECT("Data!L3C" &amp; (MATCH(C$8,Data!$A$1:$BH$1,0)+2) &amp; LastRow &amp; (MATCH(C$8,Data!$A$1:$BH$1,0)+2),FALSE)) * VLOOKUP(C$41,$B$41:$U$59,20,FALSE) * $U44)</f>
        <v>0.34192034129502408</v>
      </c>
      <c r="D44" s="53">
        <f ca="1">IF(OR($B11 = "", D$8 = ""), "", CORREL(INDIRECT("Data!L3C" &amp; (MATCH($B11,Data!$A$1:$BH$1,0)+2) &amp; LastRow &amp; (MATCH($B11,Data!$A$1:$BH$1,0)+2),FALSE), INDIRECT("Data!L3C" &amp; (MATCH(D$8,Data!$A$1:$BH$1,0)+2) &amp; LastRow &amp; (MATCH(D$8,Data!$A$1:$BH$1,0)+2),FALSE)) * VLOOKUP(D$41,$B$41:$U$59,20,FALSE) * $U44)</f>
        <v>0.41086824008428047</v>
      </c>
      <c r="E44" s="52"/>
      <c r="F44" s="53">
        <f ca="1">IF(OR($B11 = "", F$8 = ""), "", CORREL(INDIRECT("Data!L3C" &amp; (MATCH($B11,Data!$A$1:$BH$1,0)+2) &amp; LastRow &amp; (MATCH($B11,Data!$A$1:$BH$1,0)+2),FALSE), INDIRECT("Data!L3C" &amp; (MATCH(F$8,Data!$A$1:$BH$1,0)+2) &amp; LastRow &amp; (MATCH(F$8,Data!$A$1:$BH$1,0)+2),FALSE)) * VLOOKUP(F$41,$B$41:$U$59,20,FALSE) * $U44)</f>
        <v>0.33140349483837483</v>
      </c>
      <c r="G44" s="53">
        <f ca="1">IF(OR($B11 = "", G$8 = ""), "", CORREL(INDIRECT("Data!L3C" &amp; (MATCH($B11,Data!$A$1:$BH$1,0)+2) &amp; LastRow &amp; (MATCH($B11,Data!$A$1:$BH$1,0)+2),FALSE), INDIRECT("Data!L3C" &amp; (MATCH(G$8,Data!$A$1:$BH$1,0)+2) &amp; LastRow &amp; (MATCH(G$8,Data!$A$1:$BH$1,0)+2),FALSE)) * VLOOKUP(G$41,$B$41:$U$59,20,FALSE) * $U44)</f>
        <v>0.36256865820786277</v>
      </c>
      <c r="H44" s="53">
        <f ca="1">IF(OR($B11 = "", H$8 = ""), "", CORREL(INDIRECT("Data!L3C" &amp; (MATCH($B11,Data!$A$1:$BH$1,0)+2) &amp; LastRow &amp; (MATCH($B11,Data!$A$1:$BH$1,0)+2),FALSE), INDIRECT("Data!L3C" &amp; (MATCH(H$8,Data!$A$1:$BH$1,0)+2) &amp; LastRow &amp; (MATCH(H$8,Data!$A$1:$BH$1,0)+2),FALSE)) * VLOOKUP(H$41,$B$41:$U$59,20,FALSE) * $U44)</f>
        <v>0.16649057442877541</v>
      </c>
      <c r="I44" s="53">
        <f ca="1">IF(OR($B11 = "", I$8 = ""), "", CORREL(INDIRECT("Data!L3C" &amp; (MATCH($B11,Data!$A$1:$BH$1,0)+2) &amp; LastRow &amp; (MATCH($B11,Data!$A$1:$BH$1,0)+2),FALSE), INDIRECT("Data!L3C" &amp; (MATCH(I$8,Data!$A$1:$BH$1,0)+2) &amp; LastRow &amp; (MATCH(I$8,Data!$A$1:$BH$1,0)+2),FALSE)) * VLOOKUP(I$41,$B$41:$U$59,20,FALSE) * $U44)</f>
        <v>0.28241579840242897</v>
      </c>
      <c r="J44" s="53">
        <f ca="1">IF(OR($B11 = "", J$8 = ""), "", CORREL(INDIRECT("Data!L3C" &amp; (MATCH($B11,Data!$A$1:$BH$1,0)+2) &amp; LastRow &amp; (MATCH($B11,Data!$A$1:$BH$1,0)+2),FALSE), INDIRECT("Data!L3C" &amp; (MATCH(J$8,Data!$A$1:$BH$1,0)+2) &amp; LastRow &amp; (MATCH(J$8,Data!$A$1:$BH$1,0)+2),FALSE)) * VLOOKUP(J$41,$B$41:$U$59,20,FALSE) * $U44)</f>
        <v>-0.38653822705532903</v>
      </c>
      <c r="K44" s="53">
        <f ca="1">IF(OR($B11 = "", K$8 = ""), "", CORREL(INDIRECT("Data!L3C" &amp; (MATCH($B11,Data!$A$1:$BH$1,0)+2) &amp; LastRow &amp; (MATCH($B11,Data!$A$1:$BH$1,0)+2),FALSE), INDIRECT("Data!L3C" &amp; (MATCH(K$8,Data!$A$1:$BH$1,0)+2) &amp; LastRow &amp; (MATCH(K$8,Data!$A$1:$BH$1,0)+2),FALSE)) * VLOOKUP(K$41,$B$41:$U$59,20,FALSE) * $U44)</f>
        <v>-0.34740983821883215</v>
      </c>
      <c r="L44" s="53">
        <f ca="1">IF(OR($B11 = "", L$8 = ""), "", CORREL(INDIRECT("Data!L3C" &amp; (MATCH($B11,Data!$A$1:$BH$1,0)+2) &amp; LastRow &amp; (MATCH($B11,Data!$A$1:$BH$1,0)+2),FALSE), INDIRECT("Data!L3C" &amp; (MATCH(L$8,Data!$A$1:$BH$1,0)+2) &amp; LastRow &amp; (MATCH(L$8,Data!$A$1:$BH$1,0)+2),FALSE)) * VLOOKUP(L$41,$B$41:$U$59,20,FALSE) * $U44)</f>
        <v>-0.27553157794441502</v>
      </c>
      <c r="M44" s="53">
        <f ca="1">IF(OR($B11 = "", M$8 = ""), "", CORREL(INDIRECT("Data!L3C" &amp; (MATCH($B11,Data!$A$1:$BH$1,0)+2) &amp; LastRow &amp; (MATCH($B11,Data!$A$1:$BH$1,0)+2),FALSE), INDIRECT("Data!L3C" &amp; (MATCH(M$8,Data!$A$1:$BH$1,0)+2) &amp; LastRow &amp; (MATCH(M$8,Data!$A$1:$BH$1,0)+2),FALSE)) * VLOOKUP(M$41,$B$41:$U$59,20,FALSE) * $U44)</f>
        <v>-0.25210117253729158</v>
      </c>
      <c r="N44" s="53" t="str">
        <f ca="1">IF(OR($B11 = "", N$8 = ""), "", CORREL(INDIRECT("Data!L3C" &amp; (MATCH($B11,Data!$A$1:$BH$1,0)+2) &amp; LastRow &amp; (MATCH($B11,Data!$A$1:$BH$1,0)+2),FALSE), INDIRECT("Data!L3C" &amp; (MATCH(N$8,Data!$A$1:$BH$1,0)+2) &amp; LastRow &amp; (MATCH(N$8,Data!$A$1:$BH$1,0)+2),FALSE)) * VLOOKUP(N$41,$B$41:$U$59,20,FALSE) * $U44)</f>
        <v/>
      </c>
      <c r="O44" s="53" t="str">
        <f ca="1">IF(OR($B11 = "", O$8 = ""), "", CORREL(INDIRECT("Data!L3C" &amp; (MATCH($B11,Data!$A$1:$BH$1,0)+2) &amp; LastRow &amp; (MATCH($B11,Data!$A$1:$BH$1,0)+2),FALSE), INDIRECT("Data!L3C" &amp; (MATCH(O$8,Data!$A$1:$BH$1,0)+2) &amp; LastRow &amp; (MATCH(O$8,Data!$A$1:$BH$1,0)+2),FALSE)) * VLOOKUP(O$41,$B$41:$U$59,20,FALSE) * $U44)</f>
        <v/>
      </c>
      <c r="P44" s="53" t="str">
        <f ca="1">IF(OR($B11 = "", P$8 = ""), "", CORREL(INDIRECT("Data!L3C" &amp; (MATCH($B11,Data!$A$1:$BH$1,0)+2) &amp; LastRow &amp; (MATCH($B11,Data!$A$1:$BH$1,0)+2),FALSE), INDIRECT("Data!L3C" &amp; (MATCH(P$8,Data!$A$1:$BH$1,0)+2) &amp; LastRow &amp; (MATCH(P$8,Data!$A$1:$BH$1,0)+2),FALSE)) * VLOOKUP(P$41,$B$41:$U$59,20,FALSE) * $U44)</f>
        <v/>
      </c>
      <c r="Q44" s="53" t="str">
        <f ca="1">IF(OR($B11 = "", Q$8 = ""), "", CORREL(INDIRECT("Data!L3C" &amp; (MATCH($B11,Data!$A$1:$BH$1,0)+2) &amp; LastRow &amp; (MATCH($B11,Data!$A$1:$BH$1,0)+2),FALSE), INDIRECT("Data!L3C" &amp; (MATCH(Q$8,Data!$A$1:$BH$1,0)+2) &amp; LastRow &amp; (MATCH(Q$8,Data!$A$1:$BH$1,0)+2),FALSE)) * VLOOKUP(Q$41,$B$41:$U$59,20,FALSE) * $U44)</f>
        <v/>
      </c>
      <c r="R44" s="53" t="str">
        <f ca="1">IF(OR($B11 = "", R$8 = ""), "", CORREL(INDIRECT("Data!L3C" &amp; (MATCH($B11,Data!$A$1:$BH$1,0)+2) &amp; LastRow &amp; (MATCH($B11,Data!$A$1:$BH$1,0)+2),FALSE), INDIRECT("Data!L3C" &amp; (MATCH(R$8,Data!$A$1:$BH$1,0)+2) &amp; LastRow &amp; (MATCH(R$8,Data!$A$1:$BH$1,0)+2),FALSE)) * VLOOKUP(R$41,$B$41:$U$59,20,FALSE) * $U44)</f>
        <v/>
      </c>
      <c r="S44" s="53" t="str">
        <f ca="1">IF(OR($B11 = "", S$8 = ""), "", CORREL(INDIRECT("Data!L3C" &amp; (MATCH($B11,Data!$A$1:$BH$1,0)+2) &amp; LastRow &amp; (MATCH($B11,Data!$A$1:$BH$1,0)+2),FALSE), INDIRECT("Data!L3C" &amp; (MATCH(S$8,Data!$A$1:$BH$1,0)+2) &amp; LastRow &amp; (MATCH(S$8,Data!$A$1:$BH$1,0)+2),FALSE)) * VLOOKUP(S$41,$B$41:$U$59,20,FALSE) * $U44)</f>
        <v/>
      </c>
      <c r="T44" s="118" t="str">
        <f ca="1">IF(OR($B11 = "", T$8 = ""), "", CORREL(INDIRECT("Data!L3C" &amp; (MATCH($B11,Data!$A$1:$BH$1,0)+2) &amp; LastRow &amp; (MATCH($B11,Data!$A$1:$BH$1,0)+2),FALSE), INDIRECT("Data!L3C" &amp; (MATCH(T$8,Data!$A$1:$BH$1,0)+2) &amp; LastRow &amp; (MATCH(T$8,Data!$A$1:$BH$1,0)+2),FALSE)) * VLOOKUP(T$41,$B$41:$U$59,20,FALSE) * $U44)</f>
        <v/>
      </c>
      <c r="U44" s="51">
        <f>IF(COUNTBLANK(LongTickers) &lt; 7, 1, IF(COUNTBLANK(LongTickers)+COUNTBLANK(ShortTickers) &lt; 16, -1, "")   )</f>
        <v>1</v>
      </c>
      <c r="V44" s="50">
        <f t="shared" ca="1" si="2"/>
        <v>6.3408629150087853E-2</v>
      </c>
      <c r="X44" s="135"/>
      <c r="Y44" s="135"/>
      <c r="Z44" s="135"/>
      <c r="AA44" s="135"/>
      <c r="AB44" s="135"/>
      <c r="AC44" s="135"/>
      <c r="AD44" s="135"/>
      <c r="AE44" s="135"/>
      <c r="AF44" s="135"/>
    </row>
    <row r="45" spans="1:32" x14ac:dyDescent="0.25">
      <c r="A45" s="49">
        <f t="shared" ca="1" si="1"/>
        <v>1</v>
      </c>
      <c r="B45" s="60" t="str">
        <f t="shared" ca="1" si="3"/>
        <v>PPL</v>
      </c>
      <c r="C45" s="54">
        <f ca="1">IF(OR($B12 = "", C$8 = ""), "", CORREL(INDIRECT("Data!L3C" &amp; (MATCH($B12,Data!$A$1:$BH$1,0)+2) &amp; LastRow &amp; (MATCH($B12,Data!$A$1:$BH$1,0)+2),FALSE), INDIRECT("Data!L3C" &amp; (MATCH(C$8,Data!$A$1:$BH$1,0)+2) &amp; LastRow &amp; (MATCH(C$8,Data!$A$1:$BH$1,0)+2),FALSE)) * VLOOKUP(C$41,$B$41:$U$59,20,FALSE) * $U45)</f>
        <v>0.27065318231841812</v>
      </c>
      <c r="D45" s="53">
        <f ca="1">IF(OR($B12 = "", D$8 = ""), "", CORREL(INDIRECT("Data!L3C" &amp; (MATCH($B12,Data!$A$1:$BH$1,0)+2) &amp; LastRow &amp; (MATCH($B12,Data!$A$1:$BH$1,0)+2),FALSE), INDIRECT("Data!L3C" &amp; (MATCH(D$8,Data!$A$1:$BH$1,0)+2) &amp; LastRow &amp; (MATCH(D$8,Data!$A$1:$BH$1,0)+2),FALSE)) * VLOOKUP(D$41,$B$41:$U$59,20,FALSE) * $U45)</f>
        <v>0.43613739924869616</v>
      </c>
      <c r="E45" s="53">
        <f ca="1">IF(OR($B12 = "", E$8 = ""), "", CORREL(INDIRECT("Data!L3C" &amp; (MATCH($B12,Data!$A$1:$BH$1,0)+2) &amp; LastRow &amp; (MATCH($B12,Data!$A$1:$BH$1,0)+2),FALSE), INDIRECT("Data!L3C" &amp; (MATCH(E$8,Data!$A$1:$BH$1,0)+2) &amp; LastRow &amp; (MATCH(E$8,Data!$A$1:$BH$1,0)+2),FALSE)) * VLOOKUP(E$41,$B$41:$U$59,20,FALSE) * $U45)</f>
        <v>0.33140349483837483</v>
      </c>
      <c r="F45" s="52"/>
      <c r="G45" s="53">
        <f ca="1">IF(OR($B12 = "", G$8 = ""), "", CORREL(INDIRECT("Data!L3C" &amp; (MATCH($B12,Data!$A$1:$BH$1,0)+2) &amp; LastRow &amp; (MATCH($B12,Data!$A$1:$BH$1,0)+2),FALSE), INDIRECT("Data!L3C" &amp; (MATCH(G$8,Data!$A$1:$BH$1,0)+2) &amp; LastRow &amp; (MATCH(G$8,Data!$A$1:$BH$1,0)+2),FALSE)) * VLOOKUP(G$41,$B$41:$U$59,20,FALSE) * $U45)</f>
        <v>0.31469305041787926</v>
      </c>
      <c r="H45" s="53">
        <f ca="1">IF(OR($B12 = "", H$8 = ""), "", CORREL(INDIRECT("Data!L3C" &amp; (MATCH($B12,Data!$A$1:$BH$1,0)+2) &amp; LastRow &amp; (MATCH($B12,Data!$A$1:$BH$1,0)+2),FALSE), INDIRECT("Data!L3C" &amp; (MATCH(H$8,Data!$A$1:$BH$1,0)+2) &amp; LastRow &amp; (MATCH(H$8,Data!$A$1:$BH$1,0)+2),FALSE)) * VLOOKUP(H$41,$B$41:$U$59,20,FALSE) * $U45)</f>
        <v>0.3778156172018004</v>
      </c>
      <c r="I45" s="53">
        <f ca="1">IF(OR($B12 = "", I$8 = ""), "", CORREL(INDIRECT("Data!L3C" &amp; (MATCH($B12,Data!$A$1:$BH$1,0)+2) &amp; LastRow &amp; (MATCH($B12,Data!$A$1:$BH$1,0)+2),FALSE), INDIRECT("Data!L3C" &amp; (MATCH(I$8,Data!$A$1:$BH$1,0)+2) &amp; LastRow &amp; (MATCH(I$8,Data!$A$1:$BH$1,0)+2),FALSE)) * VLOOKUP(I$41,$B$41:$U$59,20,FALSE) * $U45)</f>
        <v>0.35476046920841553</v>
      </c>
      <c r="J45" s="53">
        <f ca="1">IF(OR($B12 = "", J$8 = ""), "", CORREL(INDIRECT("Data!L3C" &amp; (MATCH($B12,Data!$A$1:$BH$1,0)+2) &amp; LastRow &amp; (MATCH($B12,Data!$A$1:$BH$1,0)+2),FALSE), INDIRECT("Data!L3C" &amp; (MATCH(J$8,Data!$A$1:$BH$1,0)+2) &amp; LastRow &amp; (MATCH(J$8,Data!$A$1:$BH$1,0)+2),FALSE)) * VLOOKUP(J$41,$B$41:$U$59,20,FALSE) * $U45)</f>
        <v>-0.34077620812583731</v>
      </c>
      <c r="K45" s="53">
        <f ca="1">IF(OR($B12 = "", K$8 = ""), "", CORREL(INDIRECT("Data!L3C" &amp; (MATCH($B12,Data!$A$1:$BH$1,0)+2) &amp; LastRow &amp; (MATCH($B12,Data!$A$1:$BH$1,0)+2),FALSE), INDIRECT("Data!L3C" &amp; (MATCH(K$8,Data!$A$1:$BH$1,0)+2) &amp; LastRow &amp; (MATCH(K$8,Data!$A$1:$BH$1,0)+2),FALSE)) * VLOOKUP(K$41,$B$41:$U$59,20,FALSE) * $U45)</f>
        <v>-0.47807878402577636</v>
      </c>
      <c r="L45" s="53">
        <f ca="1">IF(OR($B12 = "", L$8 = ""), "", CORREL(INDIRECT("Data!L3C" &amp; (MATCH($B12,Data!$A$1:$BH$1,0)+2) &amp; LastRow &amp; (MATCH($B12,Data!$A$1:$BH$1,0)+2),FALSE), INDIRECT("Data!L3C" &amp; (MATCH(L$8,Data!$A$1:$BH$1,0)+2) &amp; LastRow &amp; (MATCH(L$8,Data!$A$1:$BH$1,0)+2),FALSE)) * VLOOKUP(L$41,$B$41:$U$59,20,FALSE) * $U45)</f>
        <v>-0.51828901968983121</v>
      </c>
      <c r="M45" s="53">
        <f ca="1">IF(OR($B12 = "", M$8 = ""), "", CORREL(INDIRECT("Data!L3C" &amp; (MATCH($B12,Data!$A$1:$BH$1,0)+2) &amp; LastRow &amp; (MATCH($B12,Data!$A$1:$BH$1,0)+2),FALSE), INDIRECT("Data!L3C" &amp; (MATCH(M$8,Data!$A$1:$BH$1,0)+2) &amp; LastRow &amp; (MATCH(M$8,Data!$A$1:$BH$1,0)+2),FALSE)) * VLOOKUP(M$41,$B$41:$U$59,20,FALSE) * $U45)</f>
        <v>-0.25120734098129799</v>
      </c>
      <c r="N45" s="53" t="str">
        <f ca="1">IF(OR($B12 = "", N$8 = ""), "", CORREL(INDIRECT("Data!L3C" &amp; (MATCH($B12,Data!$A$1:$BH$1,0)+2) &amp; LastRow &amp; (MATCH($B12,Data!$A$1:$BH$1,0)+2),FALSE), INDIRECT("Data!L3C" &amp; (MATCH(N$8,Data!$A$1:$BH$1,0)+2) &amp; LastRow &amp; (MATCH(N$8,Data!$A$1:$BH$1,0)+2),FALSE)) * VLOOKUP(N$41,$B$41:$U$59,20,FALSE) * $U45)</f>
        <v/>
      </c>
      <c r="O45" s="53" t="str">
        <f ca="1">IF(OR($B12 = "", O$8 = ""), "", CORREL(INDIRECT("Data!L3C" &amp; (MATCH($B12,Data!$A$1:$BH$1,0)+2) &amp; LastRow &amp; (MATCH($B12,Data!$A$1:$BH$1,0)+2),FALSE), INDIRECT("Data!L3C" &amp; (MATCH(O$8,Data!$A$1:$BH$1,0)+2) &amp; LastRow &amp; (MATCH(O$8,Data!$A$1:$BH$1,0)+2),FALSE)) * VLOOKUP(O$41,$B$41:$U$59,20,FALSE) * $U45)</f>
        <v/>
      </c>
      <c r="P45" s="53" t="str">
        <f ca="1">IF(OR($B12 = "", P$8 = ""), "", CORREL(INDIRECT("Data!L3C" &amp; (MATCH($B12,Data!$A$1:$BH$1,0)+2) &amp; LastRow &amp; (MATCH($B12,Data!$A$1:$BH$1,0)+2),FALSE), INDIRECT("Data!L3C" &amp; (MATCH(P$8,Data!$A$1:$BH$1,0)+2) &amp; LastRow &amp; (MATCH(P$8,Data!$A$1:$BH$1,0)+2),FALSE)) * VLOOKUP(P$41,$B$41:$U$59,20,FALSE) * $U45)</f>
        <v/>
      </c>
      <c r="Q45" s="53" t="str">
        <f ca="1">IF(OR($B12 = "", Q$8 = ""), "", CORREL(INDIRECT("Data!L3C" &amp; (MATCH($B12,Data!$A$1:$BH$1,0)+2) &amp; LastRow &amp; (MATCH($B12,Data!$A$1:$BH$1,0)+2),FALSE), INDIRECT("Data!L3C" &amp; (MATCH(Q$8,Data!$A$1:$BH$1,0)+2) &amp; LastRow &amp; (MATCH(Q$8,Data!$A$1:$BH$1,0)+2),FALSE)) * VLOOKUP(Q$41,$B$41:$U$59,20,FALSE) * $U45)</f>
        <v/>
      </c>
      <c r="R45" s="53" t="str">
        <f ca="1">IF(OR($B12 = "", R$8 = ""), "", CORREL(INDIRECT("Data!L3C" &amp; (MATCH($B12,Data!$A$1:$BH$1,0)+2) &amp; LastRow &amp; (MATCH($B12,Data!$A$1:$BH$1,0)+2),FALSE), INDIRECT("Data!L3C" &amp; (MATCH(R$8,Data!$A$1:$BH$1,0)+2) &amp; LastRow &amp; (MATCH(R$8,Data!$A$1:$BH$1,0)+2),FALSE)) * VLOOKUP(R$41,$B$41:$U$59,20,FALSE) * $U45)</f>
        <v/>
      </c>
      <c r="S45" s="53" t="str">
        <f ca="1">IF(OR($B12 = "", S$8 = ""), "", CORREL(INDIRECT("Data!L3C" &amp; (MATCH($B12,Data!$A$1:$BH$1,0)+2) &amp; LastRow &amp; (MATCH($B12,Data!$A$1:$BH$1,0)+2),FALSE), INDIRECT("Data!L3C" &amp; (MATCH(S$8,Data!$A$1:$BH$1,0)+2) &amp; LastRow &amp; (MATCH(S$8,Data!$A$1:$BH$1,0)+2),FALSE)) * VLOOKUP(S$41,$B$41:$U$59,20,FALSE) * $U45)</f>
        <v/>
      </c>
      <c r="T45" s="118" t="str">
        <f ca="1">IF(OR($B12 = "", T$8 = ""), "", CORREL(INDIRECT("Data!L3C" &amp; (MATCH($B12,Data!$A$1:$BH$1,0)+2) &amp; LastRow &amp; (MATCH($B12,Data!$A$1:$BH$1,0)+2),FALSE), INDIRECT("Data!L3C" &amp; (MATCH(T$8,Data!$A$1:$BH$1,0)+2) &amp; LastRow &amp; (MATCH(T$8,Data!$A$1:$BH$1,0)+2),FALSE)) * VLOOKUP(T$41,$B$41:$U$59,20,FALSE) * $U45)</f>
        <v/>
      </c>
      <c r="U45" s="51">
        <f>IF(COUNTBLANK(LongTickers) &lt; 6, 1, IF(COUNTBLANK(LongTickers)+COUNTBLANK(ShortTickers) &lt; 15, -1, "")   )</f>
        <v>1</v>
      </c>
      <c r="V45" s="50">
        <f t="shared" ca="1" si="2"/>
        <v>4.9711186041084147E-2</v>
      </c>
      <c r="W45" s="55"/>
      <c r="X45" s="135"/>
      <c r="Y45" s="135"/>
      <c r="Z45" s="135"/>
      <c r="AA45" s="135"/>
      <c r="AB45" s="135"/>
      <c r="AC45" s="135"/>
      <c r="AD45" s="135"/>
      <c r="AE45" s="135"/>
      <c r="AF45" s="135"/>
    </row>
    <row r="46" spans="1:32" x14ac:dyDescent="0.25">
      <c r="A46" s="49">
        <f t="shared" ca="1" si="1"/>
        <v>1</v>
      </c>
      <c r="B46" s="60" t="str">
        <f t="shared" ca="1" si="3"/>
        <v>TTEC</v>
      </c>
      <c r="C46" s="54">
        <f ca="1">IF(OR($B13 = "", C$8 = ""), "", CORREL(INDIRECT("Data!L3C" &amp; (MATCH($B13,Data!$A$1:$BH$1,0)+2) &amp; LastRow &amp; (MATCH($B13,Data!$A$1:$BH$1,0)+2),FALSE), INDIRECT("Data!L3C" &amp; (MATCH(C$8,Data!$A$1:$BH$1,0)+2) &amp; LastRow &amp; (MATCH(C$8,Data!$A$1:$BH$1,0)+2),FALSE)) * VLOOKUP(C$41,$B$41:$U$59,20,FALSE) * $U46)</f>
        <v>0.33298271782183736</v>
      </c>
      <c r="D46" s="53">
        <f ca="1">IF(OR($B13 = "", D$8 = ""), "", CORREL(INDIRECT("Data!L3C" &amp; (MATCH($B13,Data!$A$1:$BH$1,0)+2) &amp; LastRow &amp; (MATCH($B13,Data!$A$1:$BH$1,0)+2),FALSE), INDIRECT("Data!L3C" &amp; (MATCH(D$8,Data!$A$1:$BH$1,0)+2) &amp; LastRow &amp; (MATCH(D$8,Data!$A$1:$BH$1,0)+2),FALSE)) * VLOOKUP(D$41,$B$41:$U$59,20,FALSE) * $U46)</f>
        <v>0.41054621806943037</v>
      </c>
      <c r="E46" s="53">
        <f ca="1">IF(OR($B13 = "", E$8 = ""), "", CORREL(INDIRECT("Data!L3C" &amp; (MATCH($B13,Data!$A$1:$BH$1,0)+2) &amp; LastRow &amp; (MATCH($B13,Data!$A$1:$BH$1,0)+2),FALSE), INDIRECT("Data!L3C" &amp; (MATCH(E$8,Data!$A$1:$BH$1,0)+2) &amp; LastRow &amp; (MATCH(E$8,Data!$A$1:$BH$1,0)+2),FALSE)) * VLOOKUP(E$41,$B$41:$U$59,20,FALSE) * $U46)</f>
        <v>0.36256865820786277</v>
      </c>
      <c r="F46" s="53">
        <f ca="1">IF(OR($B13 = "", F$8 = ""), "", CORREL(INDIRECT("Data!L3C" &amp; (MATCH($B13,Data!$A$1:$BH$1,0)+2) &amp; LastRow &amp; (MATCH($B13,Data!$A$1:$BH$1,0)+2),FALSE), INDIRECT("Data!L3C" &amp; (MATCH(F$8,Data!$A$1:$BH$1,0)+2) &amp; LastRow &amp; (MATCH(F$8,Data!$A$1:$BH$1,0)+2),FALSE)) * VLOOKUP(F$41,$B$41:$U$59,20,FALSE) * $U46)</f>
        <v>0.31469305041787926</v>
      </c>
      <c r="G46" s="52"/>
      <c r="H46" s="53">
        <f ca="1">IF(OR($B13 = "", H$8 = ""), "", CORREL(INDIRECT("Data!L3C" &amp; (MATCH($B13,Data!$A$1:$BH$1,0)+2) &amp; LastRow &amp; (MATCH($B13,Data!$A$1:$BH$1,0)+2),FALSE), INDIRECT("Data!L3C" &amp; (MATCH(H$8,Data!$A$1:$BH$1,0)+2) &amp; LastRow &amp; (MATCH(H$8,Data!$A$1:$BH$1,0)+2),FALSE)) * VLOOKUP(H$41,$B$41:$U$59,20,FALSE) * $U46)</f>
        <v>0.37218587220594956</v>
      </c>
      <c r="I46" s="53">
        <f ca="1">IF(OR($B13 = "", I$8 = ""), "", CORREL(INDIRECT("Data!L3C" &amp; (MATCH($B13,Data!$A$1:$BH$1,0)+2) &amp; LastRow &amp; (MATCH($B13,Data!$A$1:$BH$1,0)+2),FALSE), INDIRECT("Data!L3C" &amp; (MATCH(I$8,Data!$A$1:$BH$1,0)+2) &amp; LastRow &amp; (MATCH(I$8,Data!$A$1:$BH$1,0)+2),FALSE)) * VLOOKUP(I$41,$B$41:$U$59,20,FALSE) * $U46)</f>
        <v>0.33175265582660352</v>
      </c>
      <c r="J46" s="53">
        <f ca="1">IF(OR($B13 = "", J$8 = ""), "", CORREL(INDIRECT("Data!L3C" &amp; (MATCH($B13,Data!$A$1:$BH$1,0)+2) &amp; LastRow &amp; (MATCH($B13,Data!$A$1:$BH$1,0)+2),FALSE), INDIRECT("Data!L3C" &amp; (MATCH(J$8,Data!$A$1:$BH$1,0)+2) &amp; LastRow &amp; (MATCH(J$8,Data!$A$1:$BH$1,0)+2),FALSE)) * VLOOKUP(J$41,$B$41:$U$59,20,FALSE) * $U46)</f>
        <v>-0.35017303721626952</v>
      </c>
      <c r="K46" s="53">
        <f ca="1">IF(OR($B13 = "", K$8 = ""), "", CORREL(INDIRECT("Data!L3C" &amp; (MATCH($B13,Data!$A$1:$BH$1,0)+2) &amp; LastRow &amp; (MATCH($B13,Data!$A$1:$BH$1,0)+2),FALSE), INDIRECT("Data!L3C" &amp; (MATCH(K$8,Data!$A$1:$BH$1,0)+2) &amp; LastRow &amp; (MATCH(K$8,Data!$A$1:$BH$1,0)+2),FALSE)) * VLOOKUP(K$41,$B$41:$U$59,20,FALSE) * $U46)</f>
        <v>-0.36306645809338034</v>
      </c>
      <c r="L46" s="53">
        <f ca="1">IF(OR($B13 = "", L$8 = ""), "", CORREL(INDIRECT("Data!L3C" &amp; (MATCH($B13,Data!$A$1:$BH$1,0)+2) &amp; LastRow &amp; (MATCH($B13,Data!$A$1:$BH$1,0)+2),FALSE), INDIRECT("Data!L3C" &amp; (MATCH(L$8,Data!$A$1:$BH$1,0)+2) &amp; LastRow &amp; (MATCH(L$8,Data!$A$1:$BH$1,0)+2),FALSE)) * VLOOKUP(L$41,$B$41:$U$59,20,FALSE) * $U46)</f>
        <v>-0.43350677146429123</v>
      </c>
      <c r="M46" s="53">
        <f ca="1">IF(OR($B13 = "", M$8 = ""), "", CORREL(INDIRECT("Data!L3C" &amp; (MATCH($B13,Data!$A$1:$BH$1,0)+2) &amp; LastRow &amp; (MATCH($B13,Data!$A$1:$BH$1,0)+2),FALSE), INDIRECT("Data!L3C" &amp; (MATCH(M$8,Data!$A$1:$BH$1,0)+2) &amp; LastRow &amp; (MATCH(M$8,Data!$A$1:$BH$1,0)+2),FALSE)) * VLOOKUP(M$41,$B$41:$U$59,20,FALSE) * $U46)</f>
        <v>-0.34714050516670863</v>
      </c>
      <c r="N46" s="53" t="str">
        <f ca="1">IF(OR($B13 = "", N$8 = ""), "", CORREL(INDIRECT("Data!L3C" &amp; (MATCH($B13,Data!$A$1:$BH$1,0)+2) &amp; LastRow &amp; (MATCH($B13,Data!$A$1:$BH$1,0)+2),FALSE), INDIRECT("Data!L3C" &amp; (MATCH(N$8,Data!$A$1:$BH$1,0)+2) &amp; LastRow &amp; (MATCH(N$8,Data!$A$1:$BH$1,0)+2),FALSE)) * VLOOKUP(N$41,$B$41:$U$59,20,FALSE) * $U46)</f>
        <v/>
      </c>
      <c r="O46" s="53" t="str">
        <f ca="1">IF(OR($B13 = "", O$8 = ""), "", CORREL(INDIRECT("Data!L3C" &amp; (MATCH($B13,Data!$A$1:$BH$1,0)+2) &amp; LastRow &amp; (MATCH($B13,Data!$A$1:$BH$1,0)+2),FALSE), INDIRECT("Data!L3C" &amp; (MATCH(O$8,Data!$A$1:$BH$1,0)+2) &amp; LastRow &amp; (MATCH(O$8,Data!$A$1:$BH$1,0)+2),FALSE)) * VLOOKUP(O$41,$B$41:$U$59,20,FALSE) * $U46)</f>
        <v/>
      </c>
      <c r="P46" s="53" t="str">
        <f ca="1">IF(OR($B13 = "", P$8 = ""), "", CORREL(INDIRECT("Data!L3C" &amp; (MATCH($B13,Data!$A$1:$BH$1,0)+2) &amp; LastRow &amp; (MATCH($B13,Data!$A$1:$BH$1,0)+2),FALSE), INDIRECT("Data!L3C" &amp; (MATCH(P$8,Data!$A$1:$BH$1,0)+2) &amp; LastRow &amp; (MATCH(P$8,Data!$A$1:$BH$1,0)+2),FALSE)) * VLOOKUP(P$41,$B$41:$U$59,20,FALSE) * $U46)</f>
        <v/>
      </c>
      <c r="Q46" s="53" t="str">
        <f ca="1">IF(OR($B13 = "", Q$8 = ""), "", CORREL(INDIRECT("Data!L3C" &amp; (MATCH($B13,Data!$A$1:$BH$1,0)+2) &amp; LastRow &amp; (MATCH($B13,Data!$A$1:$BH$1,0)+2),FALSE), INDIRECT("Data!L3C" &amp; (MATCH(Q$8,Data!$A$1:$BH$1,0)+2) &amp; LastRow &amp; (MATCH(Q$8,Data!$A$1:$BH$1,0)+2),FALSE)) * VLOOKUP(Q$41,$B$41:$U$59,20,FALSE) * $U46)</f>
        <v/>
      </c>
      <c r="R46" s="53" t="str">
        <f ca="1">IF(OR($B13 = "", R$8 = ""), "", CORREL(INDIRECT("Data!L3C" &amp; (MATCH($B13,Data!$A$1:$BH$1,0)+2) &amp; LastRow &amp; (MATCH($B13,Data!$A$1:$BH$1,0)+2),FALSE), INDIRECT("Data!L3C" &amp; (MATCH(R$8,Data!$A$1:$BH$1,0)+2) &amp; LastRow &amp; (MATCH(R$8,Data!$A$1:$BH$1,0)+2),FALSE)) * VLOOKUP(R$41,$B$41:$U$59,20,FALSE) * $U46)</f>
        <v/>
      </c>
      <c r="S46" s="53" t="str">
        <f ca="1">IF(OR($B13 = "", S$8 = ""), "", CORREL(INDIRECT("Data!L3C" &amp; (MATCH($B13,Data!$A$1:$BH$1,0)+2) &amp; LastRow &amp; (MATCH($B13,Data!$A$1:$BH$1,0)+2),FALSE), INDIRECT("Data!L3C" &amp; (MATCH(S$8,Data!$A$1:$BH$1,0)+2) &amp; LastRow &amp; (MATCH(S$8,Data!$A$1:$BH$1,0)+2),FALSE)) * VLOOKUP(S$41,$B$41:$U$59,20,FALSE) * $U46)</f>
        <v/>
      </c>
      <c r="T46" s="118" t="str">
        <f ca="1">IF(OR($B13 = "", T$8 = ""), "", CORREL(INDIRECT("Data!L3C" &amp; (MATCH($B13,Data!$A$1:$BH$1,0)+2) &amp; LastRow &amp; (MATCH($B13,Data!$A$1:$BH$1,0)+2),FALSE), INDIRECT("Data!L3C" &amp; (MATCH(T$8,Data!$A$1:$BH$1,0)+2) &amp; LastRow &amp; (MATCH(T$8,Data!$A$1:$BH$1,0)+2),FALSE)) * VLOOKUP(T$41,$B$41:$U$59,20,FALSE) * $U46)</f>
        <v/>
      </c>
      <c r="U46" s="51">
        <f>IF(COUNTBLANK(LongTickers) &lt; 5, 1, IF(COUNTBLANK(LongTickers)+COUNTBLANK(ShortTickers) &lt; 14, -1, "")   )</f>
        <v>1</v>
      </c>
      <c r="V46" s="50">
        <f t="shared" ca="1" si="2"/>
        <v>6.3084240060891306E-2</v>
      </c>
      <c r="W46" s="55"/>
      <c r="X46" s="135"/>
      <c r="Y46" s="135"/>
      <c r="Z46" s="135"/>
      <c r="AA46" s="135"/>
      <c r="AB46" s="135"/>
      <c r="AC46" s="135"/>
      <c r="AD46" s="135"/>
      <c r="AE46" s="135"/>
      <c r="AF46" s="135"/>
    </row>
    <row r="47" spans="1:32" x14ac:dyDescent="0.25">
      <c r="A47" s="49">
        <f t="shared" ca="1" si="1"/>
        <v>1</v>
      </c>
      <c r="B47" s="60" t="str">
        <f t="shared" ca="1" si="3"/>
        <v>WING</v>
      </c>
      <c r="C47" s="54">
        <f ca="1">IF(OR($B14 = "", C$8 = ""), "", CORREL(INDIRECT("Data!L3C" &amp; (MATCH($B14,Data!$A$1:$BH$1,0)+2) &amp; LastRow &amp; (MATCH($B14,Data!$A$1:$BH$1,0)+2),FALSE), INDIRECT("Data!L3C" &amp; (MATCH(C$8,Data!$A$1:$BH$1,0)+2) &amp; LastRow &amp; (MATCH(C$8,Data!$A$1:$BH$1,0)+2),FALSE)) * VLOOKUP(C$41,$B$41:$U$59,20,FALSE) * $U47)</f>
        <v>0.1767182102514856</v>
      </c>
      <c r="D47" s="53">
        <f ca="1">IF(OR($B14 = "", D$8 = ""), "", CORREL(INDIRECT("Data!L3C" &amp; (MATCH($B14,Data!$A$1:$BH$1,0)+2) &amp; LastRow &amp; (MATCH($B14,Data!$A$1:$BH$1,0)+2),FALSE), INDIRECT("Data!L3C" &amp; (MATCH(D$8,Data!$A$1:$BH$1,0)+2) &amp; LastRow &amp; (MATCH(D$8,Data!$A$1:$BH$1,0)+2),FALSE)) * VLOOKUP(D$41,$B$41:$U$59,20,FALSE) * $U47)</f>
        <v>0.42866875016503964</v>
      </c>
      <c r="E47" s="53">
        <f ca="1">IF(OR($B14 = "", E$8 = ""), "", CORREL(INDIRECT("Data!L3C" &amp; (MATCH($B14,Data!$A$1:$BH$1,0)+2) &amp; LastRow &amp; (MATCH($B14,Data!$A$1:$BH$1,0)+2),FALSE), INDIRECT("Data!L3C" &amp; (MATCH(E$8,Data!$A$1:$BH$1,0)+2) &amp; LastRow &amp; (MATCH(E$8,Data!$A$1:$BH$1,0)+2),FALSE)) * VLOOKUP(E$41,$B$41:$U$59,20,FALSE) * $U47)</f>
        <v>0.16649057442877541</v>
      </c>
      <c r="F47" s="53">
        <f ca="1">IF(OR($B14 = "", F$8 = ""), "", CORREL(INDIRECT("Data!L3C" &amp; (MATCH($B14,Data!$A$1:$BH$1,0)+2) &amp; LastRow &amp; (MATCH($B14,Data!$A$1:$BH$1,0)+2),FALSE), INDIRECT("Data!L3C" &amp; (MATCH(F$8,Data!$A$1:$BH$1,0)+2) &amp; LastRow &amp; (MATCH(F$8,Data!$A$1:$BH$1,0)+2),FALSE)) * VLOOKUP(F$41,$B$41:$U$59,20,FALSE) * $U47)</f>
        <v>0.3778156172018004</v>
      </c>
      <c r="G47" s="53">
        <f ca="1">IF(OR($B14 = "", G$8 = ""), "", CORREL(INDIRECT("Data!L3C" &amp; (MATCH($B14,Data!$A$1:$BH$1,0)+2) &amp; LastRow &amp; (MATCH($B14,Data!$A$1:$BH$1,0)+2),FALSE), INDIRECT("Data!L3C" &amp; (MATCH(G$8,Data!$A$1:$BH$1,0)+2) &amp; LastRow &amp; (MATCH(G$8,Data!$A$1:$BH$1,0)+2),FALSE)) * VLOOKUP(G$41,$B$41:$U$59,20,FALSE) * $U47)</f>
        <v>0.37218587220594956</v>
      </c>
      <c r="H47" s="52"/>
      <c r="I47" s="53">
        <f ca="1">IF(OR($B14 = "", I$8 = ""), "", CORREL(INDIRECT("Data!L3C" &amp; (MATCH($B14,Data!$A$1:$BH$1,0)+2) &amp; LastRow &amp; (MATCH($B14,Data!$A$1:$BH$1,0)+2),FALSE), INDIRECT("Data!L3C" &amp; (MATCH(I$8,Data!$A$1:$BH$1,0)+2) &amp; LastRow &amp; (MATCH(I$8,Data!$A$1:$BH$1,0)+2),FALSE)) * VLOOKUP(I$41,$B$41:$U$59,20,FALSE) * $U47)</f>
        <v>0.41759758263613322</v>
      </c>
      <c r="J47" s="53">
        <f ca="1">IF(OR($B14 = "", J$8 = ""), "", CORREL(INDIRECT("Data!L3C" &amp; (MATCH($B14,Data!$A$1:$BH$1,0)+2) &amp; LastRow &amp; (MATCH($B14,Data!$A$1:$BH$1,0)+2),FALSE), INDIRECT("Data!L3C" &amp; (MATCH(J$8,Data!$A$1:$BH$1,0)+2) &amp; LastRow &amp; (MATCH(J$8,Data!$A$1:$BH$1,0)+2),FALSE)) * VLOOKUP(J$41,$B$41:$U$59,20,FALSE) * $U47)</f>
        <v>-0.24080916294434443</v>
      </c>
      <c r="K47" s="53">
        <f ca="1">IF(OR($B14 = "", K$8 = ""), "", CORREL(INDIRECT("Data!L3C" &amp; (MATCH($B14,Data!$A$1:$BH$1,0)+2) &amp; LastRow &amp; (MATCH($B14,Data!$A$1:$BH$1,0)+2),FALSE), INDIRECT("Data!L3C" &amp; (MATCH(K$8,Data!$A$1:$BH$1,0)+2) &amp; LastRow &amp; (MATCH(K$8,Data!$A$1:$BH$1,0)+2),FALSE)) * VLOOKUP(K$41,$B$41:$U$59,20,FALSE) * $U47)</f>
        <v>-0.47628232219780892</v>
      </c>
      <c r="L47" s="53">
        <f ca="1">IF(OR($B14 = "", L$8 = ""), "", CORREL(INDIRECT("Data!L3C" &amp; (MATCH($B14,Data!$A$1:$BH$1,0)+2) &amp; LastRow &amp; (MATCH($B14,Data!$A$1:$BH$1,0)+2),FALSE), INDIRECT("Data!L3C" &amp; (MATCH(L$8,Data!$A$1:$BH$1,0)+2) &amp; LastRow &amp; (MATCH(L$8,Data!$A$1:$BH$1,0)+2),FALSE)) * VLOOKUP(L$41,$B$41:$U$59,20,FALSE) * $U47)</f>
        <v>-0.46022263113564427</v>
      </c>
      <c r="M47" s="53">
        <f ca="1">IF(OR($B14 = "", M$8 = ""), "", CORREL(INDIRECT("Data!L3C" &amp; (MATCH($B14,Data!$A$1:$BH$1,0)+2) &amp; LastRow &amp; (MATCH($B14,Data!$A$1:$BH$1,0)+2),FALSE), INDIRECT("Data!L3C" &amp; (MATCH(M$8,Data!$A$1:$BH$1,0)+2) &amp; LastRow &amp; (MATCH(M$8,Data!$A$1:$BH$1,0)+2),FALSE)) * VLOOKUP(M$41,$B$41:$U$59,20,FALSE) * $U47)</f>
        <v>-0.37749865830222257</v>
      </c>
      <c r="N47" s="53" t="str">
        <f ca="1">IF(OR($B14 = "", N$8 = ""), "", CORREL(INDIRECT("Data!L3C" &amp; (MATCH($B14,Data!$A$1:$BH$1,0)+2) &amp; LastRow &amp; (MATCH($B14,Data!$A$1:$BH$1,0)+2),FALSE), INDIRECT("Data!L3C" &amp; (MATCH(N$8,Data!$A$1:$BH$1,0)+2) &amp; LastRow &amp; (MATCH(N$8,Data!$A$1:$BH$1,0)+2),FALSE)) * VLOOKUP(N$41,$B$41:$U$59,20,FALSE) * $U47)</f>
        <v/>
      </c>
      <c r="O47" s="53" t="str">
        <f ca="1">IF(OR($B14 = "", O$8 = ""), "", CORREL(INDIRECT("Data!L3C" &amp; (MATCH($B14,Data!$A$1:$BH$1,0)+2) &amp; LastRow &amp; (MATCH($B14,Data!$A$1:$BH$1,0)+2),FALSE), INDIRECT("Data!L3C" &amp; (MATCH(O$8,Data!$A$1:$BH$1,0)+2) &amp; LastRow &amp; (MATCH(O$8,Data!$A$1:$BH$1,0)+2),FALSE)) * VLOOKUP(O$41,$B$41:$U$59,20,FALSE) * $U47)</f>
        <v/>
      </c>
      <c r="P47" s="53" t="str">
        <f ca="1">IF(OR($B14 = "", P$8 = ""), "", CORREL(INDIRECT("Data!L3C" &amp; (MATCH($B14,Data!$A$1:$BH$1,0)+2) &amp; LastRow &amp; (MATCH($B14,Data!$A$1:$BH$1,0)+2),FALSE), INDIRECT("Data!L3C" &amp; (MATCH(P$8,Data!$A$1:$BH$1,0)+2) &amp; LastRow &amp; (MATCH(P$8,Data!$A$1:$BH$1,0)+2),FALSE)) * VLOOKUP(P$41,$B$41:$U$59,20,FALSE) * $U47)</f>
        <v/>
      </c>
      <c r="Q47" s="53" t="str">
        <f ca="1">IF(OR($B14 = "", Q$8 = ""), "", CORREL(INDIRECT("Data!L3C" &amp; (MATCH($B14,Data!$A$1:$BH$1,0)+2) &amp; LastRow &amp; (MATCH($B14,Data!$A$1:$BH$1,0)+2),FALSE), INDIRECT("Data!L3C" &amp; (MATCH(Q$8,Data!$A$1:$BH$1,0)+2) &amp; LastRow &amp; (MATCH(Q$8,Data!$A$1:$BH$1,0)+2),FALSE)) * VLOOKUP(Q$41,$B$41:$U$59,20,FALSE) * $U47)</f>
        <v/>
      </c>
      <c r="R47" s="53" t="str">
        <f ca="1">IF(OR($B14 = "", R$8 = ""), "", CORREL(INDIRECT("Data!L3C" &amp; (MATCH($B14,Data!$A$1:$BH$1,0)+2) &amp; LastRow &amp; (MATCH($B14,Data!$A$1:$BH$1,0)+2),FALSE), INDIRECT("Data!L3C" &amp; (MATCH(R$8,Data!$A$1:$BH$1,0)+2) &amp; LastRow &amp; (MATCH(R$8,Data!$A$1:$BH$1,0)+2),FALSE)) * VLOOKUP(R$41,$B$41:$U$59,20,FALSE) * $U47)</f>
        <v/>
      </c>
      <c r="S47" s="53" t="str">
        <f ca="1">IF(OR($B14 = "", S$8 = ""), "", CORREL(INDIRECT("Data!L3C" &amp; (MATCH($B14,Data!$A$1:$BH$1,0)+2) &amp; LastRow &amp; (MATCH($B14,Data!$A$1:$BH$1,0)+2),FALSE), INDIRECT("Data!L3C" &amp; (MATCH(S$8,Data!$A$1:$BH$1,0)+2) &amp; LastRow &amp; (MATCH(S$8,Data!$A$1:$BH$1,0)+2),FALSE)) * VLOOKUP(S$41,$B$41:$U$59,20,FALSE) * $U47)</f>
        <v/>
      </c>
      <c r="T47" s="118" t="str">
        <f ca="1">IF(OR($B14 = "", T$8 = ""), "", CORREL(INDIRECT("Data!L3C" &amp; (MATCH($B14,Data!$A$1:$BH$1,0)+2) &amp; LastRow &amp; (MATCH($B14,Data!$A$1:$BH$1,0)+2),FALSE), INDIRECT("Data!L3C" &amp; (MATCH(T$8,Data!$A$1:$BH$1,0)+2) &amp; LastRow &amp; (MATCH(T$8,Data!$A$1:$BH$1,0)+2),FALSE)) * VLOOKUP(T$41,$B$41:$U$59,20,FALSE) * $U47)</f>
        <v/>
      </c>
      <c r="U47" s="51">
        <f>IF(COUNTBLANK(LongTickers) &lt; 4, 1, IF(COUNTBLANK(LongTickers)+COUNTBLANK(ShortTickers) &lt; 13, -1, "")   )</f>
        <v>1</v>
      </c>
      <c r="V47" s="50">
        <f t="shared" ca="1" si="2"/>
        <v>3.8466383230916341E-2</v>
      </c>
      <c r="X47" s="135"/>
      <c r="Y47" s="135"/>
      <c r="Z47" s="135"/>
      <c r="AA47" s="135"/>
      <c r="AB47" s="135"/>
      <c r="AC47" s="135"/>
      <c r="AD47" s="135"/>
      <c r="AE47" s="135"/>
      <c r="AF47" s="135"/>
    </row>
    <row r="48" spans="1:32" x14ac:dyDescent="0.25">
      <c r="A48" s="49">
        <f t="shared" ca="1" si="1"/>
        <v>1</v>
      </c>
      <c r="B48" s="60" t="str">
        <f t="shared" ca="1" si="3"/>
        <v>OLED</v>
      </c>
      <c r="C48" s="54">
        <f ca="1">IF(OR($B15 = "", C$8 = ""), "", CORREL(INDIRECT("Data!L3C" &amp; (MATCH($B15,Data!$A$1:$BH$1,0)+2) &amp; LastRow &amp; (MATCH($B15,Data!$A$1:$BH$1,0)+2),FALSE), INDIRECT("Data!L3C" &amp; (MATCH(C$8,Data!$A$1:$BH$1,0)+2) &amp; LastRow &amp; (MATCH(C$8,Data!$A$1:$BH$1,0)+2),FALSE)) * VLOOKUP(C$41,$B$41:$U$59,20,FALSE) * $U48)</f>
        <v>0.21397649496949273</v>
      </c>
      <c r="D48" s="53">
        <f ca="1">IF(OR($B15 = "", D$8 = ""), "", CORREL(INDIRECT("Data!L3C" &amp; (MATCH($B15,Data!$A$1:$BH$1,0)+2) &amp; LastRow &amp; (MATCH($B15,Data!$A$1:$BH$1,0)+2),FALSE), INDIRECT("Data!L3C" &amp; (MATCH(D$8,Data!$A$1:$BH$1,0)+2) &amp; LastRow &amp; (MATCH(D$8,Data!$A$1:$BH$1,0)+2),FALSE)) * VLOOKUP(D$41,$B$41:$U$59,20,FALSE) * $U48)</f>
        <v>0.40967388811947669</v>
      </c>
      <c r="E48" s="53">
        <f ca="1">IF(OR($B15 = "", E$8 = ""), "", CORREL(INDIRECT("Data!L3C" &amp; (MATCH($B15,Data!$A$1:$BH$1,0)+2) &amp; LastRow &amp; (MATCH($B15,Data!$A$1:$BH$1,0)+2),FALSE), INDIRECT("Data!L3C" &amp; (MATCH(E$8,Data!$A$1:$BH$1,0)+2) &amp; LastRow &amp; (MATCH(E$8,Data!$A$1:$BH$1,0)+2),FALSE)) * VLOOKUP(E$41,$B$41:$U$59,20,FALSE) * $U48)</f>
        <v>0.28241579840242897</v>
      </c>
      <c r="F48" s="53">
        <f ca="1">IF(OR($B15 = "", F$8 = ""), "", CORREL(INDIRECT("Data!L3C" &amp; (MATCH($B15,Data!$A$1:$BH$1,0)+2) &amp; LastRow &amp; (MATCH($B15,Data!$A$1:$BH$1,0)+2),FALSE), INDIRECT("Data!L3C" &amp; (MATCH(F$8,Data!$A$1:$BH$1,0)+2) &amp; LastRow &amp; (MATCH(F$8,Data!$A$1:$BH$1,0)+2),FALSE)) * VLOOKUP(F$41,$B$41:$U$59,20,FALSE) * $U48)</f>
        <v>0.35476046920841553</v>
      </c>
      <c r="G48" s="53">
        <f ca="1">IF(OR($B15 = "", G$8 = ""), "", CORREL(INDIRECT("Data!L3C" &amp; (MATCH($B15,Data!$A$1:$BH$1,0)+2) &amp; LastRow &amp; (MATCH($B15,Data!$A$1:$BH$1,0)+2),FALSE), INDIRECT("Data!L3C" &amp; (MATCH(G$8,Data!$A$1:$BH$1,0)+2) &amp; LastRow &amp; (MATCH(G$8,Data!$A$1:$BH$1,0)+2),FALSE)) * VLOOKUP(G$41,$B$41:$U$59,20,FALSE) * $U48)</f>
        <v>0.33175265582660352</v>
      </c>
      <c r="H48" s="53">
        <f ca="1">IF(OR($B15 = "", H$8 = ""), "", CORREL(INDIRECT("Data!L3C" &amp; (MATCH($B15,Data!$A$1:$BH$1,0)+2) &amp; LastRow &amp; (MATCH($B15,Data!$A$1:$BH$1,0)+2),FALSE), INDIRECT("Data!L3C" &amp; (MATCH(H$8,Data!$A$1:$BH$1,0)+2) &amp; LastRow &amp; (MATCH(H$8,Data!$A$1:$BH$1,0)+2),FALSE)) * VLOOKUP(H$41,$B$41:$U$59,20,FALSE) * $U48)</f>
        <v>0.41759758263613322</v>
      </c>
      <c r="I48" s="52"/>
      <c r="J48" s="53">
        <f ca="1">IF(OR($B15 = "", J$8 = ""), "", CORREL(INDIRECT("Data!L3C" &amp; (MATCH($B15,Data!$A$1:$BH$1,0)+2) &amp; LastRow &amp; (MATCH($B15,Data!$A$1:$BH$1,0)+2),FALSE), INDIRECT("Data!L3C" &amp; (MATCH(J$8,Data!$A$1:$BH$1,0)+2) &amp; LastRow &amp; (MATCH(J$8,Data!$A$1:$BH$1,0)+2),FALSE)) * VLOOKUP(J$41,$B$41:$U$59,20,FALSE) * $U48)</f>
        <v>-0.33806007892955348</v>
      </c>
      <c r="K48" s="53">
        <f ca="1">IF(OR($B15 = "", K$8 = ""), "", CORREL(INDIRECT("Data!L3C" &amp; (MATCH($B15,Data!$A$1:$BH$1,0)+2) &amp; LastRow &amp; (MATCH($B15,Data!$A$1:$BH$1,0)+2),FALSE), INDIRECT("Data!L3C" &amp; (MATCH(K$8,Data!$A$1:$BH$1,0)+2) &amp; LastRow &amp; (MATCH(K$8,Data!$A$1:$BH$1,0)+2),FALSE)) * VLOOKUP(K$41,$B$41:$U$59,20,FALSE) * $U48)</f>
        <v>-0.39542326274763562</v>
      </c>
      <c r="L48" s="53">
        <f ca="1">IF(OR($B15 = "", L$8 = ""), "", CORREL(INDIRECT("Data!L3C" &amp; (MATCH($B15,Data!$A$1:$BH$1,0)+2) &amp; LastRow &amp; (MATCH($B15,Data!$A$1:$BH$1,0)+2),FALSE), INDIRECT("Data!L3C" &amp; (MATCH(L$8,Data!$A$1:$BH$1,0)+2) &amp; LastRow &amp; (MATCH(L$8,Data!$A$1:$BH$1,0)+2),FALSE)) * VLOOKUP(L$41,$B$41:$U$59,20,FALSE) * $U48)</f>
        <v>-0.42304734280053635</v>
      </c>
      <c r="M48" s="53">
        <f ca="1">IF(OR($B15 = "", M$8 = ""), "", CORREL(INDIRECT("Data!L3C" &amp; (MATCH($B15,Data!$A$1:$BH$1,0)+2) &amp; LastRow &amp; (MATCH($B15,Data!$A$1:$BH$1,0)+2),FALSE), INDIRECT("Data!L3C" &amp; (MATCH(M$8,Data!$A$1:$BH$1,0)+2) &amp; LastRow &amp; (MATCH(M$8,Data!$A$1:$BH$1,0)+2),FALSE)) * VLOOKUP(M$41,$B$41:$U$59,20,FALSE) * $U48)</f>
        <v>-0.42834062482486202</v>
      </c>
      <c r="N48" s="53" t="str">
        <f ca="1">IF(OR($B15 = "", N$8 = ""), "", CORREL(INDIRECT("Data!L3C" &amp; (MATCH($B15,Data!$A$1:$BH$1,0)+2) &amp; LastRow &amp; (MATCH($B15,Data!$A$1:$BH$1,0)+2),FALSE), INDIRECT("Data!L3C" &amp; (MATCH(N$8,Data!$A$1:$BH$1,0)+2) &amp; LastRow &amp; (MATCH(N$8,Data!$A$1:$BH$1,0)+2),FALSE)) * VLOOKUP(N$41,$B$41:$U$59,20,FALSE) * $U48)</f>
        <v/>
      </c>
      <c r="O48" s="53" t="str">
        <f ca="1">IF(OR($B15 = "", O$8 = ""), "", CORREL(INDIRECT("Data!L3C" &amp; (MATCH($B15,Data!$A$1:$BH$1,0)+2) &amp; LastRow &amp; (MATCH($B15,Data!$A$1:$BH$1,0)+2),FALSE), INDIRECT("Data!L3C" &amp; (MATCH(O$8,Data!$A$1:$BH$1,0)+2) &amp; LastRow &amp; (MATCH(O$8,Data!$A$1:$BH$1,0)+2),FALSE)) * VLOOKUP(O$41,$B$41:$U$59,20,FALSE) * $U48)</f>
        <v/>
      </c>
      <c r="P48" s="53" t="str">
        <f ca="1">IF(OR($B15 = "", P$8 = ""), "", CORREL(INDIRECT("Data!L3C" &amp; (MATCH($B15,Data!$A$1:$BH$1,0)+2) &amp; LastRow &amp; (MATCH($B15,Data!$A$1:$BH$1,0)+2),FALSE), INDIRECT("Data!L3C" &amp; (MATCH(P$8,Data!$A$1:$BH$1,0)+2) &amp; LastRow &amp; (MATCH(P$8,Data!$A$1:$BH$1,0)+2),FALSE)) * VLOOKUP(P$41,$B$41:$U$59,20,FALSE) * $U48)</f>
        <v/>
      </c>
      <c r="Q48" s="53" t="str">
        <f ca="1">IF(OR($B15 = "", Q$8 = ""), "", CORREL(INDIRECT("Data!L3C" &amp; (MATCH($B15,Data!$A$1:$BH$1,0)+2) &amp; LastRow &amp; (MATCH($B15,Data!$A$1:$BH$1,0)+2),FALSE), INDIRECT("Data!L3C" &amp; (MATCH(Q$8,Data!$A$1:$BH$1,0)+2) &amp; LastRow &amp; (MATCH(Q$8,Data!$A$1:$BH$1,0)+2),FALSE)) * VLOOKUP(Q$41,$B$41:$U$59,20,FALSE) * $U48)</f>
        <v/>
      </c>
      <c r="R48" s="53" t="str">
        <f ca="1">IF(OR($B15 = "", R$8 = ""), "", CORREL(INDIRECT("Data!L3C" &amp; (MATCH($B15,Data!$A$1:$BH$1,0)+2) &amp; LastRow &amp; (MATCH($B15,Data!$A$1:$BH$1,0)+2),FALSE), INDIRECT("Data!L3C" &amp; (MATCH(R$8,Data!$A$1:$BH$1,0)+2) &amp; LastRow &amp; (MATCH(R$8,Data!$A$1:$BH$1,0)+2),FALSE)) * VLOOKUP(R$41,$B$41:$U$59,20,FALSE) * $U48)</f>
        <v/>
      </c>
      <c r="S48" s="53" t="str">
        <f ca="1">IF(OR($B15 = "", S$8 = ""), "", CORREL(INDIRECT("Data!L3C" &amp; (MATCH($B15,Data!$A$1:$BH$1,0)+2) &amp; LastRow &amp; (MATCH($B15,Data!$A$1:$BH$1,0)+2),FALSE), INDIRECT("Data!L3C" &amp; (MATCH(S$8,Data!$A$1:$BH$1,0)+2) &amp; LastRow &amp; (MATCH(S$8,Data!$A$1:$BH$1,0)+2),FALSE)) * VLOOKUP(S$41,$B$41:$U$59,20,FALSE) * $U48)</f>
        <v/>
      </c>
      <c r="T48" s="118" t="str">
        <f ca="1">IF(OR($B15 = "", T$8 = ""), "", CORREL(INDIRECT("Data!L3C" &amp; (MATCH($B15,Data!$A$1:$BH$1,0)+2) &amp; LastRow &amp; (MATCH($B15,Data!$A$1:$BH$1,0)+2),FALSE), INDIRECT("Data!L3C" &amp; (MATCH(T$8,Data!$A$1:$BH$1,0)+2) &amp; LastRow &amp; (MATCH(T$8,Data!$A$1:$BH$1,0)+2),FALSE)) * VLOOKUP(T$41,$B$41:$U$59,20,FALSE) * $U48)</f>
        <v/>
      </c>
      <c r="U48" s="51">
        <f>IF(COUNTBLANK(LongTickers) &lt; 3, 1, IF(COUNTBLANK(LongTickers)+COUNTBLANK(ShortTickers) &lt; 12, -1, "")   )</f>
        <v>1</v>
      </c>
      <c r="V48" s="50">
        <f t="shared" ca="1" si="2"/>
        <v>4.2530557985996295E-2</v>
      </c>
      <c r="X48" s="135"/>
      <c r="Y48" s="135"/>
      <c r="Z48" s="135"/>
      <c r="AA48" s="135"/>
      <c r="AB48" s="135"/>
      <c r="AC48" s="135"/>
      <c r="AD48" s="135"/>
      <c r="AE48" s="135"/>
      <c r="AF48" s="135"/>
    </row>
    <row r="49" spans="1:32" x14ac:dyDescent="0.25">
      <c r="A49" s="49">
        <f t="shared" ca="1" si="1"/>
        <v>1</v>
      </c>
      <c r="B49" s="60" t="str">
        <f t="shared" ca="1" si="3"/>
        <v>LVS</v>
      </c>
      <c r="C49" s="54">
        <f ca="1">IF(OR($B16 = "", C$8 = ""), "", CORREL(INDIRECT("Data!L3C" &amp; (MATCH($B16,Data!$A$1:$BH$1,0)+2) &amp; LastRow &amp; (MATCH($B16,Data!$A$1:$BH$1,0)+2),FALSE), INDIRECT("Data!L3C" &amp; (MATCH(C$8,Data!$A$1:$BH$1,0)+2) &amp; LastRow &amp; (MATCH(C$8,Data!$A$1:$BH$1,0)+2),FALSE)) * VLOOKUP(C$41,$B$41:$U$59,20,FALSE) * $U49)</f>
        <v>-0.32447305232699208</v>
      </c>
      <c r="D49" s="53">
        <f ca="1">IF(OR($B16 = "", D$8 = ""), "", CORREL(INDIRECT("Data!L3C" &amp; (MATCH($B16,Data!$A$1:$BH$1,0)+2) &amp; LastRow &amp; (MATCH($B16,Data!$A$1:$BH$1,0)+2),FALSE), INDIRECT("Data!L3C" &amp; (MATCH(D$8,Data!$A$1:$BH$1,0)+2) &amp; LastRow &amp; (MATCH(D$8,Data!$A$1:$BH$1,0)+2),FALSE)) * VLOOKUP(D$41,$B$41:$U$59,20,FALSE) * $U49)</f>
        <v>-0.4791777774156899</v>
      </c>
      <c r="E49" s="53">
        <f ca="1">IF(OR($B16 = "", E$8 = ""), "", CORREL(INDIRECT("Data!L3C" &amp; (MATCH($B16,Data!$A$1:$BH$1,0)+2) &amp; LastRow &amp; (MATCH($B16,Data!$A$1:$BH$1,0)+2),FALSE), INDIRECT("Data!L3C" &amp; (MATCH(E$8,Data!$A$1:$BH$1,0)+2) &amp; LastRow &amp; (MATCH(E$8,Data!$A$1:$BH$1,0)+2),FALSE)) * VLOOKUP(E$41,$B$41:$U$59,20,FALSE) * $U49)</f>
        <v>-0.38653822705532903</v>
      </c>
      <c r="F49" s="53">
        <f ca="1">IF(OR($B16 = "", F$8 = ""), "", CORREL(INDIRECT("Data!L3C" &amp; (MATCH($B16,Data!$A$1:$BH$1,0)+2) &amp; LastRow &amp; (MATCH($B16,Data!$A$1:$BH$1,0)+2),FALSE), INDIRECT("Data!L3C" &amp; (MATCH(F$8,Data!$A$1:$BH$1,0)+2) &amp; LastRow &amp; (MATCH(F$8,Data!$A$1:$BH$1,0)+2),FALSE)) * VLOOKUP(F$41,$B$41:$U$59,20,FALSE) * $U49)</f>
        <v>-0.34077620812583731</v>
      </c>
      <c r="G49" s="53">
        <f ca="1">IF(OR($B16 = "", G$8 = ""), "", CORREL(INDIRECT("Data!L3C" &amp; (MATCH($B16,Data!$A$1:$BH$1,0)+2) &amp; LastRow &amp; (MATCH($B16,Data!$A$1:$BH$1,0)+2),FALSE), INDIRECT("Data!L3C" &amp; (MATCH(G$8,Data!$A$1:$BH$1,0)+2) &amp; LastRow &amp; (MATCH(G$8,Data!$A$1:$BH$1,0)+2),FALSE)) * VLOOKUP(G$41,$B$41:$U$59,20,FALSE) * $U49)</f>
        <v>-0.35017303721626952</v>
      </c>
      <c r="H49" s="53">
        <f ca="1">IF(OR($B16 = "", H$8 = ""), "", CORREL(INDIRECT("Data!L3C" &amp; (MATCH($B16,Data!$A$1:$BH$1,0)+2) &amp; LastRow &amp; (MATCH($B16,Data!$A$1:$BH$1,0)+2),FALSE), INDIRECT("Data!L3C" &amp; (MATCH(H$8,Data!$A$1:$BH$1,0)+2) &amp; LastRow &amp; (MATCH(H$8,Data!$A$1:$BH$1,0)+2),FALSE)) * VLOOKUP(H$41,$B$41:$U$59,20,FALSE) * $U49)</f>
        <v>-0.24080916294434443</v>
      </c>
      <c r="I49" s="53">
        <f ca="1">IF(OR($B16 = "", I$8 = ""), "", CORREL(INDIRECT("Data!L3C" &amp; (MATCH($B16,Data!$A$1:$BH$1,0)+2) &amp; LastRow &amp; (MATCH($B16,Data!$A$1:$BH$1,0)+2),FALSE), INDIRECT("Data!L3C" &amp; (MATCH(I$8,Data!$A$1:$BH$1,0)+2) &amp; LastRow &amp; (MATCH(I$8,Data!$A$1:$BH$1,0)+2),FALSE)) * VLOOKUP(I$41,$B$41:$U$59,20,FALSE) * $U49)</f>
        <v>-0.33806007892955348</v>
      </c>
      <c r="J49" s="52"/>
      <c r="K49" s="53">
        <f ca="1">IF(OR($B16 = "", K$8 = ""), "", CORREL(INDIRECT("Data!L3C" &amp; (MATCH($B16,Data!$A$1:$BH$1,0)+2) &amp; LastRow &amp; (MATCH($B16,Data!$A$1:$BH$1,0)+2),FALSE), INDIRECT("Data!L3C" &amp; (MATCH(K$8,Data!$A$1:$BH$1,0)+2) &amp; LastRow &amp; (MATCH(K$8,Data!$A$1:$BH$1,0)+2),FALSE)) * VLOOKUP(K$41,$B$41:$U$59,20,FALSE) * $U49)</f>
        <v>0.35411701527227446</v>
      </c>
      <c r="L49" s="53">
        <f ca="1">IF(OR($B16 = "", L$8 = ""), "", CORREL(INDIRECT("Data!L3C" &amp; (MATCH($B16,Data!$A$1:$BH$1,0)+2) &amp; LastRow &amp; (MATCH($B16,Data!$A$1:$BH$1,0)+2),FALSE), INDIRECT("Data!L3C" &amp; (MATCH(L$8,Data!$A$1:$BH$1,0)+2) &amp; LastRow &amp; (MATCH(L$8,Data!$A$1:$BH$1,0)+2),FALSE)) * VLOOKUP(L$41,$B$41:$U$59,20,FALSE) * $U49)</f>
        <v>0.38432063657775944</v>
      </c>
      <c r="M49" s="53">
        <f ca="1">IF(OR($B16 = "", M$8 = ""), "", CORREL(INDIRECT("Data!L3C" &amp; (MATCH($B16,Data!$A$1:$BH$1,0)+2) &amp; LastRow &amp; (MATCH($B16,Data!$A$1:$BH$1,0)+2),FALSE), INDIRECT("Data!L3C" &amp; (MATCH(M$8,Data!$A$1:$BH$1,0)+2) &amp; LastRow &amp; (MATCH(M$8,Data!$A$1:$BH$1,0)+2),FALSE)) * VLOOKUP(M$41,$B$41:$U$59,20,FALSE) * $U49)</f>
        <v>0.36213430431841009</v>
      </c>
      <c r="N49" s="53" t="str">
        <f ca="1">IF(OR($B16 = "", N$8 = ""), "", CORREL(INDIRECT("Data!L3C" &amp; (MATCH($B16,Data!$A$1:$BH$1,0)+2) &amp; LastRow &amp; (MATCH($B16,Data!$A$1:$BH$1,0)+2),FALSE), INDIRECT("Data!L3C" &amp; (MATCH(N$8,Data!$A$1:$BH$1,0)+2) &amp; LastRow &amp; (MATCH(N$8,Data!$A$1:$BH$1,0)+2),FALSE)) * VLOOKUP(N$41,$B$41:$U$59,20,FALSE) * $U49)</f>
        <v/>
      </c>
      <c r="O49" s="53" t="str">
        <f ca="1">IF(OR($B16 = "", O$8 = ""), "", CORREL(INDIRECT("Data!L3C" &amp; (MATCH($B16,Data!$A$1:$BH$1,0)+2) &amp; LastRow &amp; (MATCH($B16,Data!$A$1:$BH$1,0)+2),FALSE), INDIRECT("Data!L3C" &amp; (MATCH(O$8,Data!$A$1:$BH$1,0)+2) &amp; LastRow &amp; (MATCH(O$8,Data!$A$1:$BH$1,0)+2),FALSE)) * VLOOKUP(O$41,$B$41:$U$59,20,FALSE) * $U49)</f>
        <v/>
      </c>
      <c r="P49" s="53" t="str">
        <f ca="1">IF(OR($B16 = "", P$8 = ""), "", CORREL(INDIRECT("Data!L3C" &amp; (MATCH($B16,Data!$A$1:$BH$1,0)+2) &amp; LastRow &amp; (MATCH($B16,Data!$A$1:$BH$1,0)+2),FALSE), INDIRECT("Data!L3C" &amp; (MATCH(P$8,Data!$A$1:$BH$1,0)+2) &amp; LastRow &amp; (MATCH(P$8,Data!$A$1:$BH$1,0)+2),FALSE)) * VLOOKUP(P$41,$B$41:$U$59,20,FALSE) * $U49)</f>
        <v/>
      </c>
      <c r="Q49" s="53" t="str">
        <f ca="1">IF(OR($B16 = "", Q$8 = ""), "", CORREL(INDIRECT("Data!L3C" &amp; (MATCH($B16,Data!$A$1:$BH$1,0)+2) &amp; LastRow &amp; (MATCH($B16,Data!$A$1:$BH$1,0)+2),FALSE), INDIRECT("Data!L3C" &amp; (MATCH(Q$8,Data!$A$1:$BH$1,0)+2) &amp; LastRow &amp; (MATCH(Q$8,Data!$A$1:$BH$1,0)+2),FALSE)) * VLOOKUP(Q$41,$B$41:$U$59,20,FALSE) * $U49)</f>
        <v/>
      </c>
      <c r="R49" s="53" t="str">
        <f ca="1">IF(OR($B16 = "", R$8 = ""), "", CORREL(INDIRECT("Data!L3C" &amp; (MATCH($B16,Data!$A$1:$BH$1,0)+2) &amp; LastRow &amp; (MATCH($B16,Data!$A$1:$BH$1,0)+2),FALSE), INDIRECT("Data!L3C" &amp; (MATCH(R$8,Data!$A$1:$BH$1,0)+2) &amp; LastRow &amp; (MATCH(R$8,Data!$A$1:$BH$1,0)+2),FALSE)) * VLOOKUP(R$41,$B$41:$U$59,20,FALSE) * $U49)</f>
        <v/>
      </c>
      <c r="S49" s="53" t="str">
        <f ca="1">IF(OR($B16 = "", S$8 = ""), "", CORREL(INDIRECT("Data!L3C" &amp; (MATCH($B16,Data!$A$1:$BH$1,0)+2) &amp; LastRow &amp; (MATCH($B16,Data!$A$1:$BH$1,0)+2),FALSE), INDIRECT("Data!L3C" &amp; (MATCH(S$8,Data!$A$1:$BH$1,0)+2) &amp; LastRow &amp; (MATCH(S$8,Data!$A$1:$BH$1,0)+2),FALSE)) * VLOOKUP(S$41,$B$41:$U$59,20,FALSE) * $U49)</f>
        <v/>
      </c>
      <c r="T49" s="118" t="str">
        <f ca="1">IF(OR($B16 = "", T$8 = ""), "", CORREL(INDIRECT("Data!L3C" &amp; (MATCH($B16,Data!$A$1:$BH$1,0)+2) &amp; LastRow &amp; (MATCH($B16,Data!$A$1:$BH$1,0)+2),FALSE), INDIRECT("Data!L3C" &amp; (MATCH(T$8,Data!$A$1:$BH$1,0)+2) &amp; LastRow &amp; (MATCH(T$8,Data!$A$1:$BH$1,0)+2),FALSE)) * VLOOKUP(T$41,$B$41:$U$59,20,FALSE) * $U49)</f>
        <v/>
      </c>
      <c r="U49" s="51">
        <f>IF(COUNTBLANK(LongTickers) &lt; 2, 1, IF(COUNTBLANK(LongTickers)+COUNTBLANK(ShortTickers) &lt; 11, -1, "")   )</f>
        <v>-1</v>
      </c>
      <c r="V49" s="50">
        <f t="shared" ca="1" si="2"/>
        <v>-0.13594355878455716</v>
      </c>
      <c r="X49" s="135"/>
      <c r="Y49" s="135"/>
      <c r="Z49" s="135"/>
      <c r="AA49" s="135"/>
      <c r="AB49" s="135"/>
      <c r="AC49" s="135"/>
      <c r="AD49" s="135"/>
      <c r="AE49" s="135"/>
      <c r="AF49" s="135"/>
    </row>
    <row r="50" spans="1:32" x14ac:dyDescent="0.25">
      <c r="A50" s="49">
        <f t="shared" ca="1" si="1"/>
        <v>1</v>
      </c>
      <c r="B50" s="60" t="str">
        <f t="shared" ca="1" si="3"/>
        <v>BBY</v>
      </c>
      <c r="C50" s="54">
        <f ca="1">IF(OR($B17 = "", C$8 = ""), "", CORREL(INDIRECT("Data!L3C" &amp; (MATCH($B17,Data!$A$1:$BH$1,0)+2) &amp; LastRow &amp; (MATCH($B17,Data!$A$1:$BH$1,0)+2),FALSE), INDIRECT("Data!L3C" &amp; (MATCH(C$8,Data!$A$1:$BH$1,0)+2) &amp; LastRow &amp; (MATCH(C$8,Data!$A$1:$BH$1,0)+2),FALSE)) * VLOOKUP(C$41,$B$41:$U$59,20,FALSE) * $U50)</f>
        <v>-0.26703055121538216</v>
      </c>
      <c r="D50" s="53">
        <f ca="1">IF(OR($B17 = "", D$8 = ""), "", CORREL(INDIRECT("Data!L3C" &amp; (MATCH($B17,Data!$A$1:$BH$1,0)+2) &amp; LastRow &amp; (MATCH($B17,Data!$A$1:$BH$1,0)+2),FALSE), INDIRECT("Data!L3C" &amp; (MATCH(D$8,Data!$A$1:$BH$1,0)+2) &amp; LastRow &amp; (MATCH(D$8,Data!$A$1:$BH$1,0)+2),FALSE)) * VLOOKUP(D$41,$B$41:$U$59,20,FALSE) * $U50)</f>
        <v>-0.47431878982861686</v>
      </c>
      <c r="E50" s="53">
        <f ca="1">IF(OR($B17 = "", E$8 = ""), "", CORREL(INDIRECT("Data!L3C" &amp; (MATCH($B17,Data!$A$1:$BH$1,0)+2) &amp; LastRow &amp; (MATCH($B17,Data!$A$1:$BH$1,0)+2),FALSE), INDIRECT("Data!L3C" &amp; (MATCH(E$8,Data!$A$1:$BH$1,0)+2) &amp; LastRow &amp; (MATCH(E$8,Data!$A$1:$BH$1,0)+2),FALSE)) * VLOOKUP(E$41,$B$41:$U$59,20,FALSE) * $U50)</f>
        <v>-0.34740983821883215</v>
      </c>
      <c r="F50" s="53">
        <f ca="1">IF(OR($B17 = "", F$8 = ""), "", CORREL(INDIRECT("Data!L3C" &amp; (MATCH($B17,Data!$A$1:$BH$1,0)+2) &amp; LastRow &amp; (MATCH($B17,Data!$A$1:$BH$1,0)+2),FALSE), INDIRECT("Data!L3C" &amp; (MATCH(F$8,Data!$A$1:$BH$1,0)+2) &amp; LastRow &amp; (MATCH(F$8,Data!$A$1:$BH$1,0)+2),FALSE)) * VLOOKUP(F$41,$B$41:$U$59,20,FALSE) * $U50)</f>
        <v>-0.47807878402577636</v>
      </c>
      <c r="G50" s="53">
        <f ca="1">IF(OR($B17 = "", G$8 = ""), "", CORREL(INDIRECT("Data!L3C" &amp; (MATCH($B17,Data!$A$1:$BH$1,0)+2) &amp; LastRow &amp; (MATCH($B17,Data!$A$1:$BH$1,0)+2),FALSE), INDIRECT("Data!L3C" &amp; (MATCH(G$8,Data!$A$1:$BH$1,0)+2) &amp; LastRow &amp; (MATCH(G$8,Data!$A$1:$BH$1,0)+2),FALSE)) * VLOOKUP(G$41,$B$41:$U$59,20,FALSE) * $U50)</f>
        <v>-0.36306645809338034</v>
      </c>
      <c r="H50" s="53">
        <f ca="1">IF(OR($B17 = "", H$8 = ""), "", CORREL(INDIRECT("Data!L3C" &amp; (MATCH($B17,Data!$A$1:$BH$1,0)+2) &amp; LastRow &amp; (MATCH($B17,Data!$A$1:$BH$1,0)+2),FALSE), INDIRECT("Data!L3C" &amp; (MATCH(H$8,Data!$A$1:$BH$1,0)+2) &amp; LastRow &amp; (MATCH(H$8,Data!$A$1:$BH$1,0)+2),FALSE)) * VLOOKUP(H$41,$B$41:$U$59,20,FALSE) * $U50)</f>
        <v>-0.47628232219780892</v>
      </c>
      <c r="I50" s="53">
        <f ca="1">IF(OR($B17 = "", I$8 = ""), "", CORREL(INDIRECT("Data!L3C" &amp; (MATCH($B17,Data!$A$1:$BH$1,0)+2) &amp; LastRow &amp; (MATCH($B17,Data!$A$1:$BH$1,0)+2),FALSE), INDIRECT("Data!L3C" &amp; (MATCH(I$8,Data!$A$1:$BH$1,0)+2) &amp; LastRow &amp; (MATCH(I$8,Data!$A$1:$BH$1,0)+2),FALSE)) * VLOOKUP(I$41,$B$41:$U$59,20,FALSE) * $U50)</f>
        <v>-0.39542326274763562</v>
      </c>
      <c r="J50" s="53">
        <f ca="1">IF(OR($B17 = "", J$8 = ""), "", CORREL(INDIRECT("Data!L3C" &amp; (MATCH($B17,Data!$A$1:$BH$1,0)+2) &amp; LastRow &amp; (MATCH($B17,Data!$A$1:$BH$1,0)+2),FALSE), INDIRECT("Data!L3C" &amp; (MATCH(J$8,Data!$A$1:$BH$1,0)+2) &amp; LastRow &amp; (MATCH(J$8,Data!$A$1:$BH$1,0)+2),FALSE)) * VLOOKUP(J$41,$B$41:$U$59,20,FALSE) * $U50)</f>
        <v>0.35411701527227446</v>
      </c>
      <c r="K50" s="52"/>
      <c r="L50" s="53">
        <f ca="1">IF(OR($B17 = "", L$8 = ""), "", CORREL(INDIRECT("Data!L3C" &amp; (MATCH($B17,Data!$A$1:$BH$1,0)+2) &amp; LastRow &amp; (MATCH($B17,Data!$A$1:$BH$1,0)+2),FALSE), INDIRECT("Data!L3C" &amp; (MATCH(L$8,Data!$A$1:$BH$1,0)+2) &amp; LastRow &amp; (MATCH(L$8,Data!$A$1:$BH$1,0)+2),FALSE)) * VLOOKUP(L$41,$B$41:$U$59,20,FALSE) * $U50)</f>
        <v>0.52102378786540327</v>
      </c>
      <c r="M50" s="53">
        <f ca="1">IF(OR($B17 = "", M$8 = ""), "", CORREL(INDIRECT("Data!L3C" &amp; (MATCH($B17,Data!$A$1:$BH$1,0)+2) &amp; LastRow &amp; (MATCH($B17,Data!$A$1:$BH$1,0)+2),FALSE), INDIRECT("Data!L3C" &amp; (MATCH(M$8,Data!$A$1:$BH$1,0)+2) &amp; LastRow &amp; (MATCH(M$8,Data!$A$1:$BH$1,0)+2),FALSE)) * VLOOKUP(M$41,$B$41:$U$59,20,FALSE) * $U50)</f>
        <v>0.480881548798197</v>
      </c>
      <c r="N50" s="53" t="str">
        <f ca="1">IF(OR($B17 = "", N$8 = ""), "", CORREL(INDIRECT("Data!L3C" &amp; (MATCH($B17,Data!$A$1:$BH$1,0)+2) &amp; LastRow &amp; (MATCH($B17,Data!$A$1:$BH$1,0)+2),FALSE), INDIRECT("Data!L3C" &amp; (MATCH(N$8,Data!$A$1:$BH$1,0)+2) &amp; LastRow &amp; (MATCH(N$8,Data!$A$1:$BH$1,0)+2),FALSE)) * VLOOKUP(N$41,$B$41:$U$59,20,FALSE) * $U50)</f>
        <v/>
      </c>
      <c r="O50" s="53" t="str">
        <f ca="1">IF(OR($B17 = "", O$8 = ""), "", CORREL(INDIRECT("Data!L3C" &amp; (MATCH($B17,Data!$A$1:$BH$1,0)+2) &amp; LastRow &amp; (MATCH($B17,Data!$A$1:$BH$1,0)+2),FALSE), INDIRECT("Data!L3C" &amp; (MATCH(O$8,Data!$A$1:$BH$1,0)+2) &amp; LastRow &amp; (MATCH(O$8,Data!$A$1:$BH$1,0)+2),FALSE)) * VLOOKUP(O$41,$B$41:$U$59,20,FALSE) * $U50)</f>
        <v/>
      </c>
      <c r="P50" s="53" t="str">
        <f ca="1">IF(OR($B17 = "", P$8 = ""), "", CORREL(INDIRECT("Data!L3C" &amp; (MATCH($B17,Data!$A$1:$BH$1,0)+2) &amp; LastRow &amp; (MATCH($B17,Data!$A$1:$BH$1,0)+2),FALSE), INDIRECT("Data!L3C" &amp; (MATCH(P$8,Data!$A$1:$BH$1,0)+2) &amp; LastRow &amp; (MATCH(P$8,Data!$A$1:$BH$1,0)+2),FALSE)) * VLOOKUP(P$41,$B$41:$U$59,20,FALSE) * $U50)</f>
        <v/>
      </c>
      <c r="Q50" s="53" t="str">
        <f ca="1">IF(OR($B17 = "", Q$8 = ""), "", CORREL(INDIRECT("Data!L3C" &amp; (MATCH($B17,Data!$A$1:$BH$1,0)+2) &amp; LastRow &amp; (MATCH($B17,Data!$A$1:$BH$1,0)+2),FALSE), INDIRECT("Data!L3C" &amp; (MATCH(Q$8,Data!$A$1:$BH$1,0)+2) &amp; LastRow &amp; (MATCH(Q$8,Data!$A$1:$BH$1,0)+2),FALSE)) * VLOOKUP(Q$41,$B$41:$U$59,20,FALSE) * $U50)</f>
        <v/>
      </c>
      <c r="R50" s="53" t="str">
        <f ca="1">IF(OR($B17 = "", R$8 = ""), "", CORREL(INDIRECT("Data!L3C" &amp; (MATCH($B17,Data!$A$1:$BH$1,0)+2) &amp; LastRow &amp; (MATCH($B17,Data!$A$1:$BH$1,0)+2),FALSE), INDIRECT("Data!L3C" &amp; (MATCH(R$8,Data!$A$1:$BH$1,0)+2) &amp; LastRow &amp; (MATCH(R$8,Data!$A$1:$BH$1,0)+2),FALSE)) * VLOOKUP(R$41,$B$41:$U$59,20,FALSE) * $U50)</f>
        <v/>
      </c>
      <c r="S50" s="53" t="str">
        <f ca="1">IF(OR($B17 = "", S$8 = ""), "", CORREL(INDIRECT("Data!L3C" &amp; (MATCH($B17,Data!$A$1:$BH$1,0)+2) &amp; LastRow &amp; (MATCH($B17,Data!$A$1:$BH$1,0)+2),FALSE), INDIRECT("Data!L3C" &amp; (MATCH(S$8,Data!$A$1:$BH$1,0)+2) &amp; LastRow &amp; (MATCH(S$8,Data!$A$1:$BH$1,0)+2),FALSE)) * VLOOKUP(S$41,$B$41:$U$59,20,FALSE) * $U50)</f>
        <v/>
      </c>
      <c r="T50" s="118" t="str">
        <f ca="1">IF(OR($B17 = "", T$8 = ""), "", CORREL(INDIRECT("Data!L3C" &amp; (MATCH($B17,Data!$A$1:$BH$1,0)+2) &amp; LastRow &amp; (MATCH($B17,Data!$A$1:$BH$1,0)+2),FALSE), INDIRECT("Data!L3C" &amp; (MATCH(T$8,Data!$A$1:$BH$1,0)+2) &amp; LastRow &amp; (MATCH(T$8,Data!$A$1:$BH$1,0)+2),FALSE)) * VLOOKUP(T$41,$B$41:$U$59,20,FALSE) * $U50)</f>
        <v/>
      </c>
      <c r="U50" s="51">
        <f>IF(COUNTBLANK(LongTickers) &lt; 1, 1, IF(COUNTBLANK(LongTickers)+COUNTBLANK(ShortTickers) &lt; 10, -1, "")   )</f>
        <v>-1</v>
      </c>
      <c r="V50" s="50">
        <f t="shared" ca="1" si="2"/>
        <v>-0.14455876543915577</v>
      </c>
      <c r="X50" s="135"/>
      <c r="Y50" s="135"/>
      <c r="Z50" s="135"/>
      <c r="AA50" s="135"/>
      <c r="AB50" s="135"/>
      <c r="AC50" s="135"/>
      <c r="AD50" s="135"/>
      <c r="AE50" s="135"/>
      <c r="AF50" s="135"/>
    </row>
    <row r="51" spans="1:32" x14ac:dyDescent="0.25">
      <c r="A51" s="49">
        <f t="shared" ca="1" si="1"/>
        <v>1</v>
      </c>
      <c r="B51" s="60" t="str">
        <f t="shared" ca="1" si="3"/>
        <v>LEN</v>
      </c>
      <c r="C51" s="54">
        <f ca="1">IF(OR($B18 = "", C$8 = ""), "", CORREL(INDIRECT("Data!L3C" &amp; (MATCH($B18,Data!$A$1:$BH$1,0)+2) &amp; LastRow &amp; (MATCH($B18,Data!$A$1:$BH$1,0)+2),FALSE), INDIRECT("Data!L3C" &amp; (MATCH(C$8,Data!$A$1:$BH$1,0)+2) &amp; LastRow &amp; (MATCH(C$8,Data!$A$1:$BH$1,0)+2),FALSE)) * VLOOKUP(C$41,$B$41:$U$59,20,FALSE) * $U51)</f>
        <v>-0.30165987945289729</v>
      </c>
      <c r="D51" s="53">
        <f ca="1">IF(OR($B18 = "", D$8 = ""), "", CORREL(INDIRECT("Data!L3C" &amp; (MATCH($B18,Data!$A$1:$BH$1,0)+2) &amp; LastRow &amp; (MATCH($B18,Data!$A$1:$BH$1,0)+2),FALSE), INDIRECT("Data!L3C" &amp; (MATCH(D$8,Data!$A$1:$BH$1,0)+2) &amp; LastRow &amp; (MATCH(D$8,Data!$A$1:$BH$1,0)+2),FALSE)) * VLOOKUP(D$41,$B$41:$U$59,20,FALSE) * $U51)</f>
        <v>-0.54046282326403672</v>
      </c>
      <c r="E51" s="53">
        <f ca="1">IF(OR($B18 = "", E$8 = ""), "", CORREL(INDIRECT("Data!L3C" &amp; (MATCH($B18,Data!$A$1:$BH$1,0)+2) &amp; LastRow &amp; (MATCH($B18,Data!$A$1:$BH$1,0)+2),FALSE), INDIRECT("Data!L3C" &amp; (MATCH(E$8,Data!$A$1:$BH$1,0)+2) &amp; LastRow &amp; (MATCH(E$8,Data!$A$1:$BH$1,0)+2),FALSE)) * VLOOKUP(E$41,$B$41:$U$59,20,FALSE) * $U51)</f>
        <v>-0.27553157794441502</v>
      </c>
      <c r="F51" s="53">
        <f ca="1">IF(OR($B18 = "", F$8 = ""), "", CORREL(INDIRECT("Data!L3C" &amp; (MATCH($B18,Data!$A$1:$BH$1,0)+2) &amp; LastRow &amp; (MATCH($B18,Data!$A$1:$BH$1,0)+2),FALSE), INDIRECT("Data!L3C" &amp; (MATCH(F$8,Data!$A$1:$BH$1,0)+2) &amp; LastRow &amp; (MATCH(F$8,Data!$A$1:$BH$1,0)+2),FALSE)) * VLOOKUP(F$41,$B$41:$U$59,20,FALSE) * $U51)</f>
        <v>-0.51828901968983121</v>
      </c>
      <c r="G51" s="53">
        <f ca="1">IF(OR($B18 = "", G$8 = ""), "", CORREL(INDIRECT("Data!L3C" &amp; (MATCH($B18,Data!$A$1:$BH$1,0)+2) &amp; LastRow &amp; (MATCH($B18,Data!$A$1:$BH$1,0)+2),FALSE), INDIRECT("Data!L3C" &amp; (MATCH(G$8,Data!$A$1:$BH$1,0)+2) &amp; LastRow &amp; (MATCH(G$8,Data!$A$1:$BH$1,0)+2),FALSE)) * VLOOKUP(G$41,$B$41:$U$59,20,FALSE) * $U51)</f>
        <v>-0.43350677146429123</v>
      </c>
      <c r="H51" s="53">
        <f ca="1">IF(OR($B18 = "", H$8 = ""), "", CORREL(INDIRECT("Data!L3C" &amp; (MATCH($B18,Data!$A$1:$BH$1,0)+2) &amp; LastRow &amp; (MATCH($B18,Data!$A$1:$BH$1,0)+2),FALSE), INDIRECT("Data!L3C" &amp; (MATCH(H$8,Data!$A$1:$BH$1,0)+2) &amp; LastRow &amp; (MATCH(H$8,Data!$A$1:$BH$1,0)+2),FALSE)) * VLOOKUP(H$41,$B$41:$U$59,20,FALSE) * $U51)</f>
        <v>-0.46022263113564427</v>
      </c>
      <c r="I51" s="53">
        <f ca="1">IF(OR($B18 = "", I$8 = ""), "", CORREL(INDIRECT("Data!L3C" &amp; (MATCH($B18,Data!$A$1:$BH$1,0)+2) &amp; LastRow &amp; (MATCH($B18,Data!$A$1:$BH$1,0)+2),FALSE), INDIRECT("Data!L3C" &amp; (MATCH(I$8,Data!$A$1:$BH$1,0)+2) &amp; LastRow &amp; (MATCH(I$8,Data!$A$1:$BH$1,0)+2),FALSE)) * VLOOKUP(I$41,$B$41:$U$59,20,FALSE) * $U51)</f>
        <v>-0.42304734280053635</v>
      </c>
      <c r="J51" s="53">
        <f ca="1">IF(OR($B18 = "", J$8 = ""), "", CORREL(INDIRECT("Data!L3C" &amp; (MATCH($B18,Data!$A$1:$BH$1,0)+2) &amp; LastRow &amp; (MATCH($B18,Data!$A$1:$BH$1,0)+2),FALSE), INDIRECT("Data!L3C" &amp; (MATCH(J$8,Data!$A$1:$BH$1,0)+2) &amp; LastRow &amp; (MATCH(J$8,Data!$A$1:$BH$1,0)+2),FALSE)) * VLOOKUP(J$41,$B$41:$U$59,20,FALSE) * $U51)</f>
        <v>0.38432063657775944</v>
      </c>
      <c r="K51" s="53">
        <f ca="1">IF(OR($B18 = "", K$8 = ""), "", CORREL(INDIRECT("Data!L3C" &amp; (MATCH($B18,Data!$A$1:$BH$1,0)+2) &amp; LastRow &amp; (MATCH($B18,Data!$A$1:$BH$1,0)+2),FALSE), INDIRECT("Data!L3C" &amp; (MATCH(K$8,Data!$A$1:$BH$1,0)+2) &amp; LastRow &amp; (MATCH(K$8,Data!$A$1:$BH$1,0)+2),FALSE)) * VLOOKUP(K$41,$B$41:$U$59,20,FALSE) * $U51)</f>
        <v>0.52102378786540327</v>
      </c>
      <c r="L51" s="52"/>
      <c r="M51" s="53">
        <f ca="1">IF(OR($B18 = "", M$8 = ""), "", CORREL(INDIRECT("Data!L3C" &amp; (MATCH($B18,Data!$A$1:$BH$1,0)+2) &amp; LastRow &amp; (MATCH($B18,Data!$A$1:$BH$1,0)+2),FALSE), INDIRECT("Data!L3C" &amp; (MATCH(M$8,Data!$A$1:$BH$1,0)+2) &amp; LastRow &amp; (MATCH(M$8,Data!$A$1:$BH$1,0)+2),FALSE)) * VLOOKUP(M$41,$B$41:$U$59,20,FALSE) * $U51)</f>
        <v>0.40268027924342931</v>
      </c>
      <c r="N51" s="53" t="str">
        <f ca="1">IF(OR($B18 = "", N$8 = ""), "", CORREL(INDIRECT("Data!L3C" &amp; (MATCH($B18,Data!$A$1:$BH$1,0)+2) &amp; LastRow &amp; (MATCH($B18,Data!$A$1:$BH$1,0)+2),FALSE), INDIRECT("Data!L3C" &amp; (MATCH(N$8,Data!$A$1:$BH$1,0)+2) &amp; LastRow &amp; (MATCH(N$8,Data!$A$1:$BH$1,0)+2),FALSE)) * VLOOKUP(N$41,$B$41:$U$59,20,FALSE) * $U51)</f>
        <v/>
      </c>
      <c r="O51" s="53" t="str">
        <f ca="1">IF(OR($B18 = "", O$8 = ""), "", CORREL(INDIRECT("Data!L3C" &amp; (MATCH($B18,Data!$A$1:$BH$1,0)+2) &amp; LastRow &amp; (MATCH($B18,Data!$A$1:$BH$1,0)+2),FALSE), INDIRECT("Data!L3C" &amp; (MATCH(O$8,Data!$A$1:$BH$1,0)+2) &amp; LastRow &amp; (MATCH(O$8,Data!$A$1:$BH$1,0)+2),FALSE)) * VLOOKUP(O$41,$B$41:$U$59,20,FALSE) * $U51)</f>
        <v/>
      </c>
      <c r="P51" s="53" t="str">
        <f ca="1">IF(OR($B18 = "", P$8 = ""), "", CORREL(INDIRECT("Data!L3C" &amp; (MATCH($B18,Data!$A$1:$BH$1,0)+2) &amp; LastRow &amp; (MATCH($B18,Data!$A$1:$BH$1,0)+2),FALSE), INDIRECT("Data!L3C" &amp; (MATCH(P$8,Data!$A$1:$BH$1,0)+2) &amp; LastRow &amp; (MATCH(P$8,Data!$A$1:$BH$1,0)+2),FALSE)) * VLOOKUP(P$41,$B$41:$U$59,20,FALSE) * $U51)</f>
        <v/>
      </c>
      <c r="Q51" s="53" t="str">
        <f ca="1">IF(OR($B18 = "", Q$8 = ""), "", CORREL(INDIRECT("Data!L3C" &amp; (MATCH($B18,Data!$A$1:$BH$1,0)+2) &amp; LastRow &amp; (MATCH($B18,Data!$A$1:$BH$1,0)+2),FALSE), INDIRECT("Data!L3C" &amp; (MATCH(Q$8,Data!$A$1:$BH$1,0)+2) &amp; LastRow &amp; (MATCH(Q$8,Data!$A$1:$BH$1,0)+2),FALSE)) * VLOOKUP(Q$41,$B$41:$U$59,20,FALSE) * $U51)</f>
        <v/>
      </c>
      <c r="R51" s="53" t="str">
        <f ca="1">IF(OR($B18 = "", R$8 = ""), "", CORREL(INDIRECT("Data!L3C" &amp; (MATCH($B18,Data!$A$1:$BH$1,0)+2) &amp; LastRow &amp; (MATCH($B18,Data!$A$1:$BH$1,0)+2),FALSE), INDIRECT("Data!L3C" &amp; (MATCH(R$8,Data!$A$1:$BH$1,0)+2) &amp; LastRow &amp; (MATCH(R$8,Data!$A$1:$BH$1,0)+2),FALSE)) * VLOOKUP(R$41,$B$41:$U$59,20,FALSE) * $U51)</f>
        <v/>
      </c>
      <c r="S51" s="53" t="str">
        <f ca="1">IF(OR($B18 = "", S$8 = ""), "", CORREL(INDIRECT("Data!L3C" &amp; (MATCH($B18,Data!$A$1:$BH$1,0)+2) &amp; LastRow &amp; (MATCH($B18,Data!$A$1:$BH$1,0)+2),FALSE), INDIRECT("Data!L3C" &amp; (MATCH(S$8,Data!$A$1:$BH$1,0)+2) &amp; LastRow &amp; (MATCH(S$8,Data!$A$1:$BH$1,0)+2),FALSE)) * VLOOKUP(S$41,$B$41:$U$59,20,FALSE) * $U51)</f>
        <v/>
      </c>
      <c r="T51" s="118" t="str">
        <f ca="1">IF(OR($B18 = "", T$8 = ""), "", CORREL(INDIRECT("Data!L3C" &amp; (MATCH($B18,Data!$A$1:$BH$1,0)+2) &amp; LastRow &amp; (MATCH($B18,Data!$A$1:$BH$1,0)+2),FALSE), INDIRECT("Data!L3C" &amp; (MATCH(T$8,Data!$A$1:$BH$1,0)+2) &amp; LastRow &amp; (MATCH(T$8,Data!$A$1:$BH$1,0)+2),FALSE)) * VLOOKUP(T$41,$B$41:$U$59,20,FALSE) * $U51)</f>
        <v/>
      </c>
      <c r="U51" s="51">
        <f>IF(COUNTBLANK(LongTickers)+COUNTBLANK(ShortTickers) &lt; 9, -1, "")</f>
        <v>-1</v>
      </c>
      <c r="V51" s="50">
        <f t="shared" ca="1" si="2"/>
        <v>-0.16446953420650595</v>
      </c>
      <c r="X51" s="135"/>
      <c r="Y51" s="135"/>
      <c r="Z51" s="135"/>
      <c r="AA51" s="135"/>
      <c r="AB51" s="135"/>
      <c r="AC51" s="135"/>
      <c r="AD51" s="135"/>
      <c r="AE51" s="135"/>
      <c r="AF51" s="135"/>
    </row>
    <row r="52" spans="1:32" x14ac:dyDescent="0.25">
      <c r="A52" s="49">
        <f t="shared" ca="1" si="1"/>
        <v>1</v>
      </c>
      <c r="B52" s="60" t="str">
        <f t="shared" ca="1" si="3"/>
        <v>SPLK</v>
      </c>
      <c r="C52" s="54">
        <f ca="1">IF(OR($B19 = "", C$8 = ""), "", CORREL(INDIRECT("Data!L3C" &amp; (MATCH($B19,Data!$A$1:$BH$1,0)+2) &amp; LastRow &amp; (MATCH($B19,Data!$A$1:$BH$1,0)+2),FALSE), INDIRECT("Data!L3C" &amp; (MATCH(C$8,Data!$A$1:$BH$1,0)+2) &amp; LastRow &amp; (MATCH(C$8,Data!$A$1:$BH$1,0)+2),FALSE)) * VLOOKUP(C$41,$B$41:$U$59,20,FALSE) * $U52)</f>
        <v>-0.29398056792923455</v>
      </c>
      <c r="D52" s="53">
        <f ca="1">IF(OR($B19 = "", D$8 = ""), "", CORREL(INDIRECT("Data!L3C" &amp; (MATCH($B19,Data!$A$1:$BH$1,0)+2) &amp; LastRow &amp; (MATCH($B19,Data!$A$1:$BH$1,0)+2),FALSE), INDIRECT("Data!L3C" &amp; (MATCH(D$8,Data!$A$1:$BH$1,0)+2) &amp; LastRow &amp; (MATCH(D$8,Data!$A$1:$BH$1,0)+2),FALSE)) * VLOOKUP(D$41,$B$41:$U$59,20,FALSE) * $U52)</f>
        <v>-0.36911405652939699</v>
      </c>
      <c r="E52" s="53">
        <f ca="1">IF(OR($B19 = "", E$8 = ""), "", CORREL(INDIRECT("Data!L3C" &amp; (MATCH($B19,Data!$A$1:$BH$1,0)+2) &amp; LastRow &amp; (MATCH($B19,Data!$A$1:$BH$1,0)+2),FALSE), INDIRECT("Data!L3C" &amp; (MATCH(E$8,Data!$A$1:$BH$1,0)+2) &amp; LastRow &amp; (MATCH(E$8,Data!$A$1:$BH$1,0)+2),FALSE)) * VLOOKUP(E$41,$B$41:$U$59,20,FALSE) * $U52)</f>
        <v>-0.25210117253729158</v>
      </c>
      <c r="F52" s="53">
        <f ca="1">IF(OR($B19 = "", F$8 = ""), "", CORREL(INDIRECT("Data!L3C" &amp; (MATCH($B19,Data!$A$1:$BH$1,0)+2) &amp; LastRow &amp; (MATCH($B19,Data!$A$1:$BH$1,0)+2),FALSE), INDIRECT("Data!L3C" &amp; (MATCH(F$8,Data!$A$1:$BH$1,0)+2) &amp; LastRow &amp; (MATCH(F$8,Data!$A$1:$BH$1,0)+2),FALSE)) * VLOOKUP(F$41,$B$41:$U$59,20,FALSE) * $U52)</f>
        <v>-0.25120734098129799</v>
      </c>
      <c r="G52" s="53">
        <f ca="1">IF(OR($B19 = "", G$8 = ""), "", CORREL(INDIRECT("Data!L3C" &amp; (MATCH($B19,Data!$A$1:$BH$1,0)+2) &amp; LastRow &amp; (MATCH($B19,Data!$A$1:$BH$1,0)+2),FALSE), INDIRECT("Data!L3C" &amp; (MATCH(G$8,Data!$A$1:$BH$1,0)+2) &amp; LastRow &amp; (MATCH(G$8,Data!$A$1:$BH$1,0)+2),FALSE)) * VLOOKUP(G$41,$B$41:$U$59,20,FALSE) * $U52)</f>
        <v>-0.34714050516670863</v>
      </c>
      <c r="H52" s="53">
        <f ca="1">IF(OR($B19 = "", H$8 = ""), "", CORREL(INDIRECT("Data!L3C" &amp; (MATCH($B19,Data!$A$1:$BH$1,0)+2) &amp; LastRow &amp; (MATCH($B19,Data!$A$1:$BH$1,0)+2),FALSE), INDIRECT("Data!L3C" &amp; (MATCH(H$8,Data!$A$1:$BH$1,0)+2) &amp; LastRow &amp; (MATCH(H$8,Data!$A$1:$BH$1,0)+2),FALSE)) * VLOOKUP(H$41,$B$41:$U$59,20,FALSE) * $U52)</f>
        <v>-0.37749865830222257</v>
      </c>
      <c r="I52" s="53">
        <f ca="1">IF(OR($B19 = "", I$8 = ""), "", CORREL(INDIRECT("Data!L3C" &amp; (MATCH($B19,Data!$A$1:$BH$1,0)+2) &amp; LastRow &amp; (MATCH($B19,Data!$A$1:$BH$1,0)+2),FALSE), INDIRECT("Data!L3C" &amp; (MATCH(I$8,Data!$A$1:$BH$1,0)+2) &amp; LastRow &amp; (MATCH(I$8,Data!$A$1:$BH$1,0)+2),FALSE)) * VLOOKUP(I$41,$B$41:$U$59,20,FALSE) * $U52)</f>
        <v>-0.42834062482486202</v>
      </c>
      <c r="J52" s="53">
        <f ca="1">IF(OR($B19 = "", J$8 = ""), "", CORREL(INDIRECT("Data!L3C" &amp; (MATCH($B19,Data!$A$1:$BH$1,0)+2) &amp; LastRow &amp; (MATCH($B19,Data!$A$1:$BH$1,0)+2),FALSE), INDIRECT("Data!L3C" &amp; (MATCH(J$8,Data!$A$1:$BH$1,0)+2) &amp; LastRow &amp; (MATCH(J$8,Data!$A$1:$BH$1,0)+2),FALSE)) * VLOOKUP(J$41,$B$41:$U$59,20,FALSE) * $U52)</f>
        <v>0.36213430431841009</v>
      </c>
      <c r="K52" s="53">
        <f ca="1">IF(OR($B19 = "", K$8 = ""), "", CORREL(INDIRECT("Data!L3C" &amp; (MATCH($B19,Data!$A$1:$BH$1,0)+2) &amp; LastRow &amp; (MATCH($B19,Data!$A$1:$BH$1,0)+2),FALSE), INDIRECT("Data!L3C" &amp; (MATCH(K$8,Data!$A$1:$BH$1,0)+2) &amp; LastRow &amp; (MATCH(K$8,Data!$A$1:$BH$1,0)+2),FALSE)) * VLOOKUP(K$41,$B$41:$U$59,20,FALSE) * $U52)</f>
        <v>0.480881548798197</v>
      </c>
      <c r="L52" s="53">
        <f ca="1">IF(OR($B19 = "", L$8 = ""), "", CORREL(INDIRECT("Data!L3C" &amp; (MATCH($B19,Data!$A$1:$BH$1,0)+2) &amp; LastRow &amp; (MATCH($B19,Data!$A$1:$BH$1,0)+2),FALSE), INDIRECT("Data!L3C" &amp; (MATCH(L$8,Data!$A$1:$BH$1,0)+2) &amp; LastRow &amp; (MATCH(L$8,Data!$A$1:$BH$1,0)+2),FALSE)) * VLOOKUP(L$41,$B$41:$U$59,20,FALSE) * $U52)</f>
        <v>0.40268027924342931</v>
      </c>
      <c r="M52" s="52"/>
      <c r="N52" s="53" t="str">
        <f ca="1">IF(OR($B19 = "", N$8 = ""), "", CORREL(INDIRECT("Data!L3C" &amp; (MATCH($B19,Data!$A$1:$BH$1,0)+2) &amp; LastRow &amp; (MATCH($B19,Data!$A$1:$BH$1,0)+2),FALSE), INDIRECT("Data!L3C" &amp; (MATCH(N$8,Data!$A$1:$BH$1,0)+2) &amp; LastRow &amp; (MATCH(N$8,Data!$A$1:$BH$1,0)+2),FALSE)) * VLOOKUP(N$41,$B$41:$U$59,20,FALSE) * $U52)</f>
        <v/>
      </c>
      <c r="O52" s="53" t="str">
        <f ca="1">IF(OR($B19 = "", O$8 = ""), "", CORREL(INDIRECT("Data!L3C" &amp; (MATCH($B19,Data!$A$1:$BH$1,0)+2) &amp; LastRow &amp; (MATCH($B19,Data!$A$1:$BH$1,0)+2),FALSE), INDIRECT("Data!L3C" &amp; (MATCH(O$8,Data!$A$1:$BH$1,0)+2) &amp; LastRow &amp; (MATCH(O$8,Data!$A$1:$BH$1,0)+2),FALSE)) * VLOOKUP(O$41,$B$41:$U$59,20,FALSE) * $U52)</f>
        <v/>
      </c>
      <c r="P52" s="53" t="str">
        <f ca="1">IF(OR($B19 = "", P$8 = ""), "", CORREL(INDIRECT("Data!L3C" &amp; (MATCH($B19,Data!$A$1:$BH$1,0)+2) &amp; LastRow &amp; (MATCH($B19,Data!$A$1:$BH$1,0)+2),FALSE), INDIRECT("Data!L3C" &amp; (MATCH(P$8,Data!$A$1:$BH$1,0)+2) &amp; LastRow &amp; (MATCH(P$8,Data!$A$1:$BH$1,0)+2),FALSE)) * VLOOKUP(P$41,$B$41:$U$59,20,FALSE) * $U52)</f>
        <v/>
      </c>
      <c r="Q52" s="53" t="str">
        <f ca="1">IF(OR($B19 = "", Q$8 = ""), "", CORREL(INDIRECT("Data!L3C" &amp; (MATCH($B19,Data!$A$1:$BH$1,0)+2) &amp; LastRow &amp; (MATCH($B19,Data!$A$1:$BH$1,0)+2),FALSE), INDIRECT("Data!L3C" &amp; (MATCH(Q$8,Data!$A$1:$BH$1,0)+2) &amp; LastRow &amp; (MATCH(Q$8,Data!$A$1:$BH$1,0)+2),FALSE)) * VLOOKUP(Q$41,$B$41:$U$59,20,FALSE) * $U52)</f>
        <v/>
      </c>
      <c r="R52" s="53" t="str">
        <f ca="1">IF(OR($B19 = "", R$8 = ""), "", CORREL(INDIRECT("Data!L3C" &amp; (MATCH($B19,Data!$A$1:$BH$1,0)+2) &amp; LastRow &amp; (MATCH($B19,Data!$A$1:$BH$1,0)+2),FALSE), INDIRECT("Data!L3C" &amp; (MATCH(R$8,Data!$A$1:$BH$1,0)+2) &amp; LastRow &amp; (MATCH(R$8,Data!$A$1:$BH$1,0)+2),FALSE)) * VLOOKUP(R$41,$B$41:$U$59,20,FALSE) * $U52)</f>
        <v/>
      </c>
      <c r="S52" s="53" t="str">
        <f ca="1">IF(OR($B19 = "", S$8 = ""), "", CORREL(INDIRECT("Data!L3C" &amp; (MATCH($B19,Data!$A$1:$BH$1,0)+2) &amp; LastRow &amp; (MATCH($B19,Data!$A$1:$BH$1,0)+2),FALSE), INDIRECT("Data!L3C" &amp; (MATCH(S$8,Data!$A$1:$BH$1,0)+2) &amp; LastRow &amp; (MATCH(S$8,Data!$A$1:$BH$1,0)+2),FALSE)) * VLOOKUP(S$41,$B$41:$U$59,20,FALSE) * $U52)</f>
        <v/>
      </c>
      <c r="T52" s="118" t="str">
        <f ca="1">IF(OR($B19 = "", T$8 = ""), "", CORREL(INDIRECT("Data!L3C" &amp; (MATCH($B19,Data!$A$1:$BH$1,0)+2) &amp; LastRow &amp; (MATCH($B19,Data!$A$1:$BH$1,0)+2),FALSE), INDIRECT("Data!L3C" &amp; (MATCH(T$8,Data!$A$1:$BH$1,0)+2) &amp; LastRow &amp; (MATCH(T$8,Data!$A$1:$BH$1,0)+2),FALSE)) * VLOOKUP(T$41,$B$41:$U$59,20,FALSE) * $U52)</f>
        <v/>
      </c>
      <c r="U52" s="51">
        <f>IF(COUNTBLANK(LongTickers)+COUNTBLANK(ShortTickers) &lt; 8, -1, "")</f>
        <v>-1</v>
      </c>
      <c r="V52" s="50">
        <f t="shared" ca="1" si="2"/>
        <v>-0.10736867939109782</v>
      </c>
    </row>
    <row r="53" spans="1:32" x14ac:dyDescent="0.25">
      <c r="A53" s="49">
        <f t="shared" ca="1" si="1"/>
        <v>1</v>
      </c>
      <c r="B53" s="60" t="str">
        <f t="shared" ca="1" si="3"/>
        <v/>
      </c>
      <c r="C53" s="54" t="str">
        <f ca="1">IF(OR($B20 = "", C$8 = ""), "", CORREL(INDIRECT("Data!L3C" &amp; (MATCH($B20,Data!$A$1:$BH$1,0)+2) &amp; LastRow &amp; (MATCH($B20,Data!$A$1:$BH$1,0)+2),FALSE), INDIRECT("Data!L3C" &amp; (MATCH(C$8,Data!$A$1:$BH$1,0)+2) &amp; LastRow &amp; (MATCH(C$8,Data!$A$1:$BH$1,0)+2),FALSE)) * VLOOKUP(C$41,$B$41:$U$59,20,FALSE) * $U53)</f>
        <v/>
      </c>
      <c r="D53" s="53" t="str">
        <f ca="1">IF(OR($B20 = "", D$8 = ""), "", CORREL(INDIRECT("Data!L3C" &amp; (MATCH($B20,Data!$A$1:$BH$1,0)+2) &amp; LastRow &amp; (MATCH($B20,Data!$A$1:$BH$1,0)+2),FALSE), INDIRECT("Data!L3C" &amp; (MATCH(D$8,Data!$A$1:$BH$1,0)+2) &amp; LastRow &amp; (MATCH(D$8,Data!$A$1:$BH$1,0)+2),FALSE)) * VLOOKUP(D$41,$B$41:$U$59,20,FALSE) * $U53)</f>
        <v/>
      </c>
      <c r="E53" s="53" t="str">
        <f ca="1">IF(OR($B20 = "", E$8 = ""), "", CORREL(INDIRECT("Data!L3C" &amp; (MATCH($B20,Data!$A$1:$BH$1,0)+2) &amp; LastRow &amp; (MATCH($B20,Data!$A$1:$BH$1,0)+2),FALSE), INDIRECT("Data!L3C" &amp; (MATCH(E$8,Data!$A$1:$BH$1,0)+2) &amp; LastRow &amp; (MATCH(E$8,Data!$A$1:$BH$1,0)+2),FALSE)) * VLOOKUP(E$41,$B$41:$U$59,20,FALSE) * $U53)</f>
        <v/>
      </c>
      <c r="F53" s="53" t="str">
        <f ca="1">IF(OR($B20 = "", F$8 = ""), "", CORREL(INDIRECT("Data!L3C" &amp; (MATCH($B20,Data!$A$1:$BH$1,0)+2) &amp; LastRow &amp; (MATCH($B20,Data!$A$1:$BH$1,0)+2),FALSE), INDIRECT("Data!L3C" &amp; (MATCH(F$8,Data!$A$1:$BH$1,0)+2) &amp; LastRow &amp; (MATCH(F$8,Data!$A$1:$BH$1,0)+2),FALSE)) * VLOOKUP(F$41,$B$41:$U$59,20,FALSE) * $U53)</f>
        <v/>
      </c>
      <c r="G53" s="53" t="str">
        <f ca="1">IF(OR($B20 = "", G$8 = ""), "", CORREL(INDIRECT("Data!L3C" &amp; (MATCH($B20,Data!$A$1:$BH$1,0)+2) &amp; LastRow &amp; (MATCH($B20,Data!$A$1:$BH$1,0)+2),FALSE), INDIRECT("Data!L3C" &amp; (MATCH(G$8,Data!$A$1:$BH$1,0)+2) &amp; LastRow &amp; (MATCH(G$8,Data!$A$1:$BH$1,0)+2),FALSE)) * VLOOKUP(G$41,$B$41:$U$59,20,FALSE) * $U53)</f>
        <v/>
      </c>
      <c r="H53" s="53" t="str">
        <f ca="1">IF(OR($B20 = "", H$8 = ""), "", CORREL(INDIRECT("Data!L3C" &amp; (MATCH($B20,Data!$A$1:$BH$1,0)+2) &amp; LastRow &amp; (MATCH($B20,Data!$A$1:$BH$1,0)+2),FALSE), INDIRECT("Data!L3C" &amp; (MATCH(H$8,Data!$A$1:$BH$1,0)+2) &amp; LastRow &amp; (MATCH(H$8,Data!$A$1:$BH$1,0)+2),FALSE)) * VLOOKUP(H$41,$B$41:$U$59,20,FALSE) * $U53)</f>
        <v/>
      </c>
      <c r="I53" s="53" t="str">
        <f ca="1">IF(OR($B20 = "", I$8 = ""), "", CORREL(INDIRECT("Data!L3C" &amp; (MATCH($B20,Data!$A$1:$BH$1,0)+2) &amp; LastRow &amp; (MATCH($B20,Data!$A$1:$BH$1,0)+2),FALSE), INDIRECT("Data!L3C" &amp; (MATCH(I$8,Data!$A$1:$BH$1,0)+2) &amp; LastRow &amp; (MATCH(I$8,Data!$A$1:$BH$1,0)+2),FALSE)) * VLOOKUP(I$41,$B$41:$U$59,20,FALSE) * $U53)</f>
        <v/>
      </c>
      <c r="J53" s="53" t="str">
        <f ca="1">IF(OR($B20 = "", J$8 = ""), "", CORREL(INDIRECT("Data!L3C" &amp; (MATCH($B20,Data!$A$1:$BH$1,0)+2) &amp; LastRow &amp; (MATCH($B20,Data!$A$1:$BH$1,0)+2),FALSE), INDIRECT("Data!L3C" &amp; (MATCH(J$8,Data!$A$1:$BH$1,0)+2) &amp; LastRow &amp; (MATCH(J$8,Data!$A$1:$BH$1,0)+2),FALSE)) * VLOOKUP(J$41,$B$41:$U$59,20,FALSE) * $U53)</f>
        <v/>
      </c>
      <c r="K53" s="53" t="str">
        <f ca="1">IF(OR($B20 = "", K$8 = ""), "", CORREL(INDIRECT("Data!L3C" &amp; (MATCH($B20,Data!$A$1:$BH$1,0)+2) &amp; LastRow &amp; (MATCH($B20,Data!$A$1:$BH$1,0)+2),FALSE), INDIRECT("Data!L3C" &amp; (MATCH(K$8,Data!$A$1:$BH$1,0)+2) &amp; LastRow &amp; (MATCH(K$8,Data!$A$1:$BH$1,0)+2),FALSE)) * VLOOKUP(K$41,$B$41:$U$59,20,FALSE) * $U53)</f>
        <v/>
      </c>
      <c r="L53" s="53" t="str">
        <f ca="1">IF(OR($B20 = "", L$8 = ""), "", CORREL(INDIRECT("Data!L3C" &amp; (MATCH($B20,Data!$A$1:$BH$1,0)+2) &amp; LastRow &amp; (MATCH($B20,Data!$A$1:$BH$1,0)+2),FALSE), INDIRECT("Data!L3C" &amp; (MATCH(L$8,Data!$A$1:$BH$1,0)+2) &amp; LastRow &amp; (MATCH(L$8,Data!$A$1:$BH$1,0)+2),FALSE)) * VLOOKUP(L$41,$B$41:$U$59,20,FALSE) * $U53)</f>
        <v/>
      </c>
      <c r="M53" s="53" t="str">
        <f ca="1">IF(OR($B20 = "", M$8 = ""), "", CORREL(INDIRECT("Data!L3C" &amp; (MATCH($B20,Data!$A$1:$BH$1,0)+2) &amp; LastRow &amp; (MATCH($B20,Data!$A$1:$BH$1,0)+2),FALSE), INDIRECT("Data!L3C" &amp; (MATCH(M$8,Data!$A$1:$BH$1,0)+2) &amp; LastRow &amp; (MATCH(M$8,Data!$A$1:$BH$1,0)+2),FALSE)) * VLOOKUP(M$41,$B$41:$U$59,20,FALSE) * $U53)</f>
        <v/>
      </c>
      <c r="N53" s="52"/>
      <c r="O53" s="53" t="str">
        <f ca="1">IF(OR($B20 = "", O$8 = ""), "", CORREL(INDIRECT("Data!L3C" &amp; (MATCH($B20,Data!$A$1:$BH$1,0)+2) &amp; LastRow &amp; (MATCH($B20,Data!$A$1:$BH$1,0)+2),FALSE), INDIRECT("Data!L3C" &amp; (MATCH(O$8,Data!$A$1:$BH$1,0)+2) &amp; LastRow &amp; (MATCH(O$8,Data!$A$1:$BH$1,0)+2),FALSE)) * VLOOKUP(O$41,$B$41:$U$59,20,FALSE) * $U53)</f>
        <v/>
      </c>
      <c r="P53" s="53" t="str">
        <f ca="1">IF(OR($B20 = "", P$8 = ""), "", CORREL(INDIRECT("Data!L3C" &amp; (MATCH($B20,Data!$A$1:$BH$1,0)+2) &amp; LastRow &amp; (MATCH($B20,Data!$A$1:$BH$1,0)+2),FALSE), INDIRECT("Data!L3C" &amp; (MATCH(P$8,Data!$A$1:$BH$1,0)+2) &amp; LastRow &amp; (MATCH(P$8,Data!$A$1:$BH$1,0)+2),FALSE)) * VLOOKUP(P$41,$B$41:$U$59,20,FALSE) * $U53)</f>
        <v/>
      </c>
      <c r="Q53" s="53" t="str">
        <f ca="1">IF(OR($B20 = "", Q$8 = ""), "", CORREL(INDIRECT("Data!L3C" &amp; (MATCH($B20,Data!$A$1:$BH$1,0)+2) &amp; LastRow &amp; (MATCH($B20,Data!$A$1:$BH$1,0)+2),FALSE), INDIRECT("Data!L3C" &amp; (MATCH(Q$8,Data!$A$1:$BH$1,0)+2) &amp; LastRow &amp; (MATCH(Q$8,Data!$A$1:$BH$1,0)+2),FALSE)) * VLOOKUP(Q$41,$B$41:$U$59,20,FALSE) * $U53)</f>
        <v/>
      </c>
      <c r="R53" s="53" t="str">
        <f ca="1">IF(OR($B20 = "", R$8 = ""), "", CORREL(INDIRECT("Data!L3C" &amp; (MATCH($B20,Data!$A$1:$BH$1,0)+2) &amp; LastRow &amp; (MATCH($B20,Data!$A$1:$BH$1,0)+2),FALSE), INDIRECT("Data!L3C" &amp; (MATCH(R$8,Data!$A$1:$BH$1,0)+2) &amp; LastRow &amp; (MATCH(R$8,Data!$A$1:$BH$1,0)+2),FALSE)) * VLOOKUP(R$41,$B$41:$U$59,20,FALSE) * $U53)</f>
        <v/>
      </c>
      <c r="S53" s="53" t="str">
        <f ca="1">IF(OR($B20 = "", S$8 = ""), "", CORREL(INDIRECT("Data!L3C" &amp; (MATCH($B20,Data!$A$1:$BH$1,0)+2) &amp; LastRow &amp; (MATCH($B20,Data!$A$1:$BH$1,0)+2),FALSE), INDIRECT("Data!L3C" &amp; (MATCH(S$8,Data!$A$1:$BH$1,0)+2) &amp; LastRow &amp; (MATCH(S$8,Data!$A$1:$BH$1,0)+2),FALSE)) * VLOOKUP(S$41,$B$41:$U$59,20,FALSE) * $U53)</f>
        <v/>
      </c>
      <c r="T53" s="118" t="str">
        <f ca="1">IF(OR($B20 = "", T$8 = ""), "", CORREL(INDIRECT("Data!L3C" &amp; (MATCH($B20,Data!$A$1:$BH$1,0)+2) &amp; LastRow &amp; (MATCH($B20,Data!$A$1:$BH$1,0)+2),FALSE), INDIRECT("Data!L3C" &amp; (MATCH(T$8,Data!$A$1:$BH$1,0)+2) &amp; LastRow &amp; (MATCH(T$8,Data!$A$1:$BH$1,0)+2),FALSE)) * VLOOKUP(T$41,$B$41:$U$59,20,FALSE) * $U53)</f>
        <v/>
      </c>
      <c r="U53" s="51" t="str">
        <f>IF(COUNTBLANK(LongTickers)+COUNTBLANK(ShortTickers) &lt; 7, -1, "")</f>
        <v/>
      </c>
      <c r="V53" s="50" t="str">
        <f t="shared" ca="1" si="2"/>
        <v/>
      </c>
    </row>
    <row r="54" spans="1:32" x14ac:dyDescent="0.25">
      <c r="A54" s="49">
        <f t="shared" ca="1" si="1"/>
        <v>1</v>
      </c>
      <c r="B54" s="60" t="str">
        <f t="shared" ca="1" si="3"/>
        <v/>
      </c>
      <c r="C54" s="54" t="str">
        <f ca="1">IF(OR($B21 = "", C$8 = ""), "", CORREL(INDIRECT("Data!L3C" &amp; (MATCH($B21,Data!$A$1:$BH$1,0)+2) &amp; LastRow &amp; (MATCH($B21,Data!$A$1:$BH$1,0)+2),FALSE), INDIRECT("Data!L3C" &amp; (MATCH(C$8,Data!$A$1:$BH$1,0)+2) &amp; LastRow &amp; (MATCH(C$8,Data!$A$1:$BH$1,0)+2),FALSE)) * VLOOKUP(C$41,$B$41:$U$59,20,FALSE) * $U54)</f>
        <v/>
      </c>
      <c r="D54" s="53" t="str">
        <f ca="1">IF(OR($B21 = "", D$8 = ""), "", CORREL(INDIRECT("Data!L3C" &amp; (MATCH($B21,Data!$A$1:$BH$1,0)+2) &amp; LastRow &amp; (MATCH($B21,Data!$A$1:$BH$1,0)+2),FALSE), INDIRECT("Data!L3C" &amp; (MATCH(D$8,Data!$A$1:$BH$1,0)+2) &amp; LastRow &amp; (MATCH(D$8,Data!$A$1:$BH$1,0)+2),FALSE)) * VLOOKUP(D$41,$B$41:$U$59,20,FALSE) * $U54)</f>
        <v/>
      </c>
      <c r="E54" s="53" t="str">
        <f ca="1">IF(OR($B21 = "", E$8 = ""), "", CORREL(INDIRECT("Data!L3C" &amp; (MATCH($B21,Data!$A$1:$BH$1,0)+2) &amp; LastRow &amp; (MATCH($B21,Data!$A$1:$BH$1,0)+2),FALSE), INDIRECT("Data!L3C" &amp; (MATCH(E$8,Data!$A$1:$BH$1,0)+2) &amp; LastRow &amp; (MATCH(E$8,Data!$A$1:$BH$1,0)+2),FALSE)) * VLOOKUP(E$41,$B$41:$U$59,20,FALSE) * $U54)</f>
        <v/>
      </c>
      <c r="F54" s="53" t="str">
        <f ca="1">IF(OR($B21 = "", F$8 = ""), "", CORREL(INDIRECT("Data!L3C" &amp; (MATCH($B21,Data!$A$1:$BH$1,0)+2) &amp; LastRow &amp; (MATCH($B21,Data!$A$1:$BH$1,0)+2),FALSE), INDIRECT("Data!L3C" &amp; (MATCH(F$8,Data!$A$1:$BH$1,0)+2) &amp; LastRow &amp; (MATCH(F$8,Data!$A$1:$BH$1,0)+2),FALSE)) * VLOOKUP(F$41,$B$41:$U$59,20,FALSE) * $U54)</f>
        <v/>
      </c>
      <c r="G54" s="53" t="str">
        <f ca="1">IF(OR($B21 = "", G$8 = ""), "", CORREL(INDIRECT("Data!L3C" &amp; (MATCH($B21,Data!$A$1:$BH$1,0)+2) &amp; LastRow &amp; (MATCH($B21,Data!$A$1:$BH$1,0)+2),FALSE), INDIRECT("Data!L3C" &amp; (MATCH(G$8,Data!$A$1:$BH$1,0)+2) &amp; LastRow &amp; (MATCH(G$8,Data!$A$1:$BH$1,0)+2),FALSE)) * VLOOKUP(G$41,$B$41:$U$59,20,FALSE) * $U54)</f>
        <v/>
      </c>
      <c r="H54" s="53" t="str">
        <f ca="1">IF(OR($B21 = "", H$8 = ""), "", CORREL(INDIRECT("Data!L3C" &amp; (MATCH($B21,Data!$A$1:$BH$1,0)+2) &amp; LastRow &amp; (MATCH($B21,Data!$A$1:$BH$1,0)+2),FALSE), INDIRECT("Data!L3C" &amp; (MATCH(H$8,Data!$A$1:$BH$1,0)+2) &amp; LastRow &amp; (MATCH(H$8,Data!$A$1:$BH$1,0)+2),FALSE)) * VLOOKUP(H$41,$B$41:$U$59,20,FALSE) * $U54)</f>
        <v/>
      </c>
      <c r="I54" s="53" t="str">
        <f ca="1">IF(OR($B21 = "", I$8 = ""), "", CORREL(INDIRECT("Data!L3C" &amp; (MATCH($B21,Data!$A$1:$BH$1,0)+2) &amp; LastRow &amp; (MATCH($B21,Data!$A$1:$BH$1,0)+2),FALSE), INDIRECT("Data!L3C" &amp; (MATCH(I$8,Data!$A$1:$BH$1,0)+2) &amp; LastRow &amp; (MATCH(I$8,Data!$A$1:$BH$1,0)+2),FALSE)) * VLOOKUP(I$41,$B$41:$U$59,20,FALSE) * $U54)</f>
        <v/>
      </c>
      <c r="J54" s="53" t="str">
        <f ca="1">IF(OR($B21 = "", J$8 = ""), "", CORREL(INDIRECT("Data!L3C" &amp; (MATCH($B21,Data!$A$1:$BH$1,0)+2) &amp; LastRow &amp; (MATCH($B21,Data!$A$1:$BH$1,0)+2),FALSE), INDIRECT("Data!L3C" &amp; (MATCH(J$8,Data!$A$1:$BH$1,0)+2) &amp; LastRow &amp; (MATCH(J$8,Data!$A$1:$BH$1,0)+2),FALSE)) * VLOOKUP(J$41,$B$41:$U$59,20,FALSE) * $U54)</f>
        <v/>
      </c>
      <c r="K54" s="53" t="str">
        <f ca="1">IF(OR($B21 = "", K$8 = ""), "", CORREL(INDIRECT("Data!L3C" &amp; (MATCH($B21,Data!$A$1:$BH$1,0)+2) &amp; LastRow &amp; (MATCH($B21,Data!$A$1:$BH$1,0)+2),FALSE), INDIRECT("Data!L3C" &amp; (MATCH(K$8,Data!$A$1:$BH$1,0)+2) &amp; LastRow &amp; (MATCH(K$8,Data!$A$1:$BH$1,0)+2),FALSE)) * VLOOKUP(K$41,$B$41:$U$59,20,FALSE) * $U54)</f>
        <v/>
      </c>
      <c r="L54" s="53" t="str">
        <f ca="1">IF(OR($B21 = "", L$8 = ""), "", CORREL(INDIRECT("Data!L3C" &amp; (MATCH($B21,Data!$A$1:$BH$1,0)+2) &amp; LastRow &amp; (MATCH($B21,Data!$A$1:$BH$1,0)+2),FALSE), INDIRECT("Data!L3C" &amp; (MATCH(L$8,Data!$A$1:$BH$1,0)+2) &amp; LastRow &amp; (MATCH(L$8,Data!$A$1:$BH$1,0)+2),FALSE)) * VLOOKUP(L$41,$B$41:$U$59,20,FALSE) * $U54)</f>
        <v/>
      </c>
      <c r="M54" s="53" t="str">
        <f ca="1">IF(OR($B21 = "", M$8 = ""), "", CORREL(INDIRECT("Data!L3C" &amp; (MATCH($B21,Data!$A$1:$BH$1,0)+2) &amp; LastRow &amp; (MATCH($B21,Data!$A$1:$BH$1,0)+2),FALSE), INDIRECT("Data!L3C" &amp; (MATCH(M$8,Data!$A$1:$BH$1,0)+2) &amp; LastRow &amp; (MATCH(M$8,Data!$A$1:$BH$1,0)+2),FALSE)) * VLOOKUP(M$41,$B$41:$U$59,20,FALSE) * $U54)</f>
        <v/>
      </c>
      <c r="N54" s="53" t="str">
        <f ca="1">IF(OR($B21 = "", N$8 = ""), "", CORREL(INDIRECT("Data!L3C" &amp; (MATCH($B21,Data!$A$1:$BH$1,0)+2) &amp; LastRow &amp; (MATCH($B21,Data!$A$1:$BH$1,0)+2),FALSE), INDIRECT("Data!L3C" &amp; (MATCH(N$8,Data!$A$1:$BH$1,0)+2) &amp; LastRow &amp; (MATCH(N$8,Data!$A$1:$BH$1,0)+2),FALSE)) * VLOOKUP(N$41,$B$41:$U$59,20,FALSE) * $U54)</f>
        <v/>
      </c>
      <c r="O54" s="52"/>
      <c r="P54" s="53" t="str">
        <f ca="1">IF(OR($B21 = "", P$8 = ""), "", CORREL(INDIRECT("Data!L3C" &amp; (MATCH($B21,Data!$A$1:$BH$1,0)+2) &amp; LastRow &amp; (MATCH($B21,Data!$A$1:$BH$1,0)+2),FALSE), INDIRECT("Data!L3C" &amp; (MATCH(P$8,Data!$A$1:$BH$1,0)+2) &amp; LastRow &amp; (MATCH(P$8,Data!$A$1:$BH$1,0)+2),FALSE)) * VLOOKUP(P$41,$B$41:$U$59,20,FALSE) * $U54)</f>
        <v/>
      </c>
      <c r="Q54" s="53" t="str">
        <f ca="1">IF(OR($B21 = "", Q$8 = ""), "", CORREL(INDIRECT("Data!L3C" &amp; (MATCH($B21,Data!$A$1:$BH$1,0)+2) &amp; LastRow &amp; (MATCH($B21,Data!$A$1:$BH$1,0)+2),FALSE), INDIRECT("Data!L3C" &amp; (MATCH(Q$8,Data!$A$1:$BH$1,0)+2) &amp; LastRow &amp; (MATCH(Q$8,Data!$A$1:$BH$1,0)+2),FALSE)) * VLOOKUP(Q$41,$B$41:$U$59,20,FALSE) * $U54)</f>
        <v/>
      </c>
      <c r="R54" s="53" t="str">
        <f ca="1">IF(OR($B21 = "", R$8 = ""), "", CORREL(INDIRECT("Data!L3C" &amp; (MATCH($B21,Data!$A$1:$BH$1,0)+2) &amp; LastRow &amp; (MATCH($B21,Data!$A$1:$BH$1,0)+2),FALSE), INDIRECT("Data!L3C" &amp; (MATCH(R$8,Data!$A$1:$BH$1,0)+2) &amp; LastRow &amp; (MATCH(R$8,Data!$A$1:$BH$1,0)+2),FALSE)) * VLOOKUP(R$41,$B$41:$U$59,20,FALSE) * $U54)</f>
        <v/>
      </c>
      <c r="S54" s="53" t="str">
        <f ca="1">IF(OR($B21 = "", S$8 = ""), "", CORREL(INDIRECT("Data!L3C" &amp; (MATCH($B21,Data!$A$1:$BH$1,0)+2) &amp; LastRow &amp; (MATCH($B21,Data!$A$1:$BH$1,0)+2),FALSE), INDIRECT("Data!L3C" &amp; (MATCH(S$8,Data!$A$1:$BH$1,0)+2) &amp; LastRow &amp; (MATCH(S$8,Data!$A$1:$BH$1,0)+2),FALSE)) * VLOOKUP(S$41,$B$41:$U$59,20,FALSE) * $U54)</f>
        <v/>
      </c>
      <c r="T54" s="118" t="str">
        <f ca="1">IF(OR($B21 = "", T$8 = ""), "", CORREL(INDIRECT("Data!L3C" &amp; (MATCH($B21,Data!$A$1:$BH$1,0)+2) &amp; LastRow &amp; (MATCH($B21,Data!$A$1:$BH$1,0)+2),FALSE), INDIRECT("Data!L3C" &amp; (MATCH(T$8,Data!$A$1:$BH$1,0)+2) &amp; LastRow &amp; (MATCH(T$8,Data!$A$1:$BH$1,0)+2),FALSE)) * VLOOKUP(T$41,$B$41:$U$59,20,FALSE) * $U54)</f>
        <v/>
      </c>
      <c r="U54" s="51" t="str">
        <f>IF(COUNTBLANK(LongTickers)+COUNTBLANK(ShortTickers) &lt; 6, -1, "")</f>
        <v/>
      </c>
      <c r="V54" s="50" t="str">
        <f t="shared" ca="1" si="2"/>
        <v/>
      </c>
    </row>
    <row r="55" spans="1:32" x14ac:dyDescent="0.25">
      <c r="A55" s="49">
        <f t="shared" ca="1" si="1"/>
        <v>1</v>
      </c>
      <c r="B55" s="60" t="str">
        <f t="shared" ca="1" si="3"/>
        <v/>
      </c>
      <c r="C55" s="54" t="str">
        <f ca="1">IF(OR($B22 = "", C$8 = ""), "", CORREL(INDIRECT("Data!L3C" &amp; (MATCH($B22,Data!$A$1:$BH$1,0)+2) &amp; LastRow &amp; (MATCH($B22,Data!$A$1:$BH$1,0)+2),FALSE), INDIRECT("Data!L3C" &amp; (MATCH(C$8,Data!$A$1:$BH$1,0)+2) &amp; LastRow &amp; (MATCH(C$8,Data!$A$1:$BH$1,0)+2),FALSE)) * VLOOKUP(C$41,$B$41:$U$59,20,FALSE) * $U55)</f>
        <v/>
      </c>
      <c r="D55" s="53" t="str">
        <f ca="1">IF(OR($B22 = "", D$8 = ""), "", CORREL(INDIRECT("Data!L3C" &amp; (MATCH($B22,Data!$A$1:$BH$1,0)+2) &amp; LastRow &amp; (MATCH($B22,Data!$A$1:$BH$1,0)+2),FALSE), INDIRECT("Data!L3C" &amp; (MATCH(D$8,Data!$A$1:$BH$1,0)+2) &amp; LastRow &amp; (MATCH(D$8,Data!$A$1:$BH$1,0)+2),FALSE)) * VLOOKUP(D$41,$B$41:$U$59,20,FALSE) * $U55)</f>
        <v/>
      </c>
      <c r="E55" s="53" t="str">
        <f ca="1">IF(OR($B22 = "", E$8 = ""), "", CORREL(INDIRECT("Data!L3C" &amp; (MATCH($B22,Data!$A$1:$BH$1,0)+2) &amp; LastRow &amp; (MATCH($B22,Data!$A$1:$BH$1,0)+2),FALSE), INDIRECT("Data!L3C" &amp; (MATCH(E$8,Data!$A$1:$BH$1,0)+2) &amp; LastRow &amp; (MATCH(E$8,Data!$A$1:$BH$1,0)+2),FALSE)) * VLOOKUP(E$41,$B$41:$U$59,20,FALSE) * $U55)</f>
        <v/>
      </c>
      <c r="F55" s="53" t="str">
        <f ca="1">IF(OR($B22 = "", F$8 = ""), "", CORREL(INDIRECT("Data!L3C" &amp; (MATCH($B22,Data!$A$1:$BH$1,0)+2) &amp; LastRow &amp; (MATCH($B22,Data!$A$1:$BH$1,0)+2),FALSE), INDIRECT("Data!L3C" &amp; (MATCH(F$8,Data!$A$1:$BH$1,0)+2) &amp; LastRow &amp; (MATCH(F$8,Data!$A$1:$BH$1,0)+2),FALSE)) * VLOOKUP(F$41,$B$41:$U$59,20,FALSE) * $U55)</f>
        <v/>
      </c>
      <c r="G55" s="53" t="str">
        <f ca="1">IF(OR($B22 = "", G$8 = ""), "", CORREL(INDIRECT("Data!L3C" &amp; (MATCH($B22,Data!$A$1:$BH$1,0)+2) &amp; LastRow &amp; (MATCH($B22,Data!$A$1:$BH$1,0)+2),FALSE), INDIRECT("Data!L3C" &amp; (MATCH(G$8,Data!$A$1:$BH$1,0)+2) &amp; LastRow &amp; (MATCH(G$8,Data!$A$1:$BH$1,0)+2),FALSE)) * VLOOKUP(G$41,$B$41:$U$59,20,FALSE) * $U55)</f>
        <v/>
      </c>
      <c r="H55" s="53" t="str">
        <f ca="1">IF(OR($B22 = "", H$8 = ""), "", CORREL(INDIRECT("Data!L3C" &amp; (MATCH($B22,Data!$A$1:$BH$1,0)+2) &amp; LastRow &amp; (MATCH($B22,Data!$A$1:$BH$1,0)+2),FALSE), INDIRECT("Data!L3C" &amp; (MATCH(H$8,Data!$A$1:$BH$1,0)+2) &amp; LastRow &amp; (MATCH(H$8,Data!$A$1:$BH$1,0)+2),FALSE)) * VLOOKUP(H$41,$B$41:$U$59,20,FALSE) * $U55)</f>
        <v/>
      </c>
      <c r="I55" s="53" t="str">
        <f ca="1">IF(OR($B22 = "", I$8 = ""), "", CORREL(INDIRECT("Data!L3C" &amp; (MATCH($B22,Data!$A$1:$BH$1,0)+2) &amp; LastRow &amp; (MATCH($B22,Data!$A$1:$BH$1,0)+2),FALSE), INDIRECT("Data!L3C" &amp; (MATCH(I$8,Data!$A$1:$BH$1,0)+2) &amp; LastRow &amp; (MATCH(I$8,Data!$A$1:$BH$1,0)+2),FALSE)) * VLOOKUP(I$41,$B$41:$U$59,20,FALSE) * $U55)</f>
        <v/>
      </c>
      <c r="J55" s="53" t="str">
        <f ca="1">IF(OR($B22 = "", J$8 = ""), "", CORREL(INDIRECT("Data!L3C" &amp; (MATCH($B22,Data!$A$1:$BH$1,0)+2) &amp; LastRow &amp; (MATCH($B22,Data!$A$1:$BH$1,0)+2),FALSE), INDIRECT("Data!L3C" &amp; (MATCH(J$8,Data!$A$1:$BH$1,0)+2) &amp; LastRow &amp; (MATCH(J$8,Data!$A$1:$BH$1,0)+2),FALSE)) * VLOOKUP(J$41,$B$41:$U$59,20,FALSE) * $U55)</f>
        <v/>
      </c>
      <c r="K55" s="53" t="str">
        <f ca="1">IF(OR($B22 = "", K$8 = ""), "", CORREL(INDIRECT("Data!L3C" &amp; (MATCH($B22,Data!$A$1:$BH$1,0)+2) &amp; LastRow &amp; (MATCH($B22,Data!$A$1:$BH$1,0)+2),FALSE), INDIRECT("Data!L3C" &amp; (MATCH(K$8,Data!$A$1:$BH$1,0)+2) &amp; LastRow &amp; (MATCH(K$8,Data!$A$1:$BH$1,0)+2),FALSE)) * VLOOKUP(K$41,$B$41:$U$59,20,FALSE) * $U55)</f>
        <v/>
      </c>
      <c r="L55" s="53" t="str">
        <f ca="1">IF(OR($B22 = "", L$8 = ""), "", CORREL(INDIRECT("Data!L3C" &amp; (MATCH($B22,Data!$A$1:$BH$1,0)+2) &amp; LastRow &amp; (MATCH($B22,Data!$A$1:$BH$1,0)+2),FALSE), INDIRECT("Data!L3C" &amp; (MATCH(L$8,Data!$A$1:$BH$1,0)+2) &amp; LastRow &amp; (MATCH(L$8,Data!$A$1:$BH$1,0)+2),FALSE)) * VLOOKUP(L$41,$B$41:$U$59,20,FALSE) * $U55)</f>
        <v/>
      </c>
      <c r="M55" s="53" t="str">
        <f ca="1">IF(OR($B22 = "", M$8 = ""), "", CORREL(INDIRECT("Data!L3C" &amp; (MATCH($B22,Data!$A$1:$BH$1,0)+2) &amp; LastRow &amp; (MATCH($B22,Data!$A$1:$BH$1,0)+2),FALSE), INDIRECT("Data!L3C" &amp; (MATCH(M$8,Data!$A$1:$BH$1,0)+2) &amp; LastRow &amp; (MATCH(M$8,Data!$A$1:$BH$1,0)+2),FALSE)) * VLOOKUP(M$41,$B$41:$U$59,20,FALSE) * $U55)</f>
        <v/>
      </c>
      <c r="N55" s="53" t="str">
        <f ca="1">IF(OR($B22 = "", N$8 = ""), "", CORREL(INDIRECT("Data!L3C" &amp; (MATCH($B22,Data!$A$1:$BH$1,0)+2) &amp; LastRow &amp; (MATCH($B22,Data!$A$1:$BH$1,0)+2),FALSE), INDIRECT("Data!L3C" &amp; (MATCH(N$8,Data!$A$1:$BH$1,0)+2) &amp; LastRow &amp; (MATCH(N$8,Data!$A$1:$BH$1,0)+2),FALSE)) * VLOOKUP(N$41,$B$41:$U$59,20,FALSE) * $U55)</f>
        <v/>
      </c>
      <c r="O55" s="53" t="str">
        <f ca="1">IF(OR($B22 = "", O$8 = ""), "", CORREL(INDIRECT("Data!L3C" &amp; (MATCH($B22,Data!$A$1:$BH$1,0)+2) &amp; LastRow &amp; (MATCH($B22,Data!$A$1:$BH$1,0)+2),FALSE), INDIRECT("Data!L3C" &amp; (MATCH(O$8,Data!$A$1:$BH$1,0)+2) &amp; LastRow &amp; (MATCH(O$8,Data!$A$1:$BH$1,0)+2),FALSE)) * VLOOKUP(O$41,$B$41:$U$59,20,FALSE) * $U55)</f>
        <v/>
      </c>
      <c r="P55" s="52"/>
      <c r="Q55" s="53" t="str">
        <f ca="1">IF(OR($B22 = "", Q$8 = ""), "", CORREL(INDIRECT("Data!L3C" &amp; (MATCH($B22,Data!$A$1:$BH$1,0)+2) &amp; LastRow &amp; (MATCH($B22,Data!$A$1:$BH$1,0)+2),FALSE), INDIRECT("Data!L3C" &amp; (MATCH(Q$8,Data!$A$1:$BH$1,0)+2) &amp; LastRow &amp; (MATCH(Q$8,Data!$A$1:$BH$1,0)+2),FALSE)) * VLOOKUP(Q$41,$B$41:$U$59,20,FALSE) * $U55)</f>
        <v/>
      </c>
      <c r="R55" s="53" t="str">
        <f ca="1">IF(OR($B22 = "", R$8 = ""), "", CORREL(INDIRECT("Data!L3C" &amp; (MATCH($B22,Data!$A$1:$BH$1,0)+2) &amp; LastRow &amp; (MATCH($B22,Data!$A$1:$BH$1,0)+2),FALSE), INDIRECT("Data!L3C" &amp; (MATCH(R$8,Data!$A$1:$BH$1,0)+2) &amp; LastRow &amp; (MATCH(R$8,Data!$A$1:$BH$1,0)+2),FALSE)) * VLOOKUP(R$41,$B$41:$U$59,20,FALSE) * $U55)</f>
        <v/>
      </c>
      <c r="S55" s="53" t="str">
        <f ca="1">IF(OR($B22 = "", S$8 = ""), "", CORREL(INDIRECT("Data!L3C" &amp; (MATCH($B22,Data!$A$1:$BH$1,0)+2) &amp; LastRow &amp; (MATCH($B22,Data!$A$1:$BH$1,0)+2),FALSE), INDIRECT("Data!L3C" &amp; (MATCH(S$8,Data!$A$1:$BH$1,0)+2) &amp; LastRow &amp; (MATCH(S$8,Data!$A$1:$BH$1,0)+2),FALSE)) * VLOOKUP(S$41,$B$41:$U$59,20,FALSE) * $U55)</f>
        <v/>
      </c>
      <c r="T55" s="118" t="str">
        <f ca="1">IF(OR($B22 = "", T$8 = ""), "", CORREL(INDIRECT("Data!L3C" &amp; (MATCH($B22,Data!$A$1:$BH$1,0)+2) &amp; LastRow &amp; (MATCH($B22,Data!$A$1:$BH$1,0)+2),FALSE), INDIRECT("Data!L3C" &amp; (MATCH(T$8,Data!$A$1:$BH$1,0)+2) &amp; LastRow &amp; (MATCH(T$8,Data!$A$1:$BH$1,0)+2),FALSE)) * VLOOKUP(T$41,$B$41:$U$59,20,FALSE) * $U55)</f>
        <v/>
      </c>
      <c r="U55" s="51" t="str">
        <f>IF(COUNTBLANK(LongTickers)+COUNTBLANK(ShortTickers) &lt; 5, -1, "")</f>
        <v/>
      </c>
      <c r="V55" s="50" t="str">
        <f t="shared" ca="1" si="2"/>
        <v/>
      </c>
    </row>
    <row r="56" spans="1:32" x14ac:dyDescent="0.25">
      <c r="A56" s="49">
        <f t="shared" ca="1" si="1"/>
        <v>1</v>
      </c>
      <c r="B56" s="60" t="str">
        <f t="shared" ca="1" si="3"/>
        <v/>
      </c>
      <c r="C56" s="54" t="str">
        <f ca="1">IF(OR($B23 = "", C$8 = ""), "", CORREL(INDIRECT("Data!L3C" &amp; (MATCH($B23,Data!$A$1:$BH$1,0)+2) &amp; LastRow &amp; (MATCH($B23,Data!$A$1:$BH$1,0)+2),FALSE), INDIRECT("Data!L3C" &amp; (MATCH(C$8,Data!$A$1:$BH$1,0)+2) &amp; LastRow &amp; (MATCH(C$8,Data!$A$1:$BH$1,0)+2),FALSE)) * VLOOKUP(C$41,$B$41:$U$59,20,FALSE) * $U56)</f>
        <v/>
      </c>
      <c r="D56" s="53" t="str">
        <f ca="1">IF(OR($B23 = "", D$8 = ""), "", CORREL(INDIRECT("Data!L3C" &amp; (MATCH($B23,Data!$A$1:$BH$1,0)+2) &amp; LastRow &amp; (MATCH($B23,Data!$A$1:$BH$1,0)+2),FALSE), INDIRECT("Data!L3C" &amp; (MATCH(D$8,Data!$A$1:$BH$1,0)+2) &amp; LastRow &amp; (MATCH(D$8,Data!$A$1:$BH$1,0)+2),FALSE)) * VLOOKUP(D$41,$B$41:$U$59,20,FALSE) * $U56)</f>
        <v/>
      </c>
      <c r="E56" s="53" t="str">
        <f ca="1">IF(OR($B23 = "", E$8 = ""), "", CORREL(INDIRECT("Data!L3C" &amp; (MATCH($B23,Data!$A$1:$BH$1,0)+2) &amp; LastRow &amp; (MATCH($B23,Data!$A$1:$BH$1,0)+2),FALSE), INDIRECT("Data!L3C" &amp; (MATCH(E$8,Data!$A$1:$BH$1,0)+2) &amp; LastRow &amp; (MATCH(E$8,Data!$A$1:$BH$1,0)+2),FALSE)) * VLOOKUP(E$41,$B$41:$U$59,20,FALSE) * $U56)</f>
        <v/>
      </c>
      <c r="F56" s="53" t="str">
        <f ca="1">IF(OR($B23 = "", F$8 = ""), "", CORREL(INDIRECT("Data!L3C" &amp; (MATCH($B23,Data!$A$1:$BH$1,0)+2) &amp; LastRow &amp; (MATCH($B23,Data!$A$1:$BH$1,0)+2),FALSE), INDIRECT("Data!L3C" &amp; (MATCH(F$8,Data!$A$1:$BH$1,0)+2) &amp; LastRow &amp; (MATCH(F$8,Data!$A$1:$BH$1,0)+2),FALSE)) * VLOOKUP(F$41,$B$41:$U$59,20,FALSE) * $U56)</f>
        <v/>
      </c>
      <c r="G56" s="53" t="str">
        <f ca="1">IF(OR($B23 = "", G$8 = ""), "", CORREL(INDIRECT("Data!L3C" &amp; (MATCH($B23,Data!$A$1:$BH$1,0)+2) &amp; LastRow &amp; (MATCH($B23,Data!$A$1:$BH$1,0)+2),FALSE), INDIRECT("Data!L3C" &amp; (MATCH(G$8,Data!$A$1:$BH$1,0)+2) &amp; LastRow &amp; (MATCH(G$8,Data!$A$1:$BH$1,0)+2),FALSE)) * VLOOKUP(G$41,$B$41:$U$59,20,FALSE) * $U56)</f>
        <v/>
      </c>
      <c r="H56" s="53" t="str">
        <f ca="1">IF(OR($B23 = "", H$8 = ""), "", CORREL(INDIRECT("Data!L3C" &amp; (MATCH($B23,Data!$A$1:$BH$1,0)+2) &amp; LastRow &amp; (MATCH($B23,Data!$A$1:$BH$1,0)+2),FALSE), INDIRECT("Data!L3C" &amp; (MATCH(H$8,Data!$A$1:$BH$1,0)+2) &amp; LastRow &amp; (MATCH(H$8,Data!$A$1:$BH$1,0)+2),FALSE)) * VLOOKUP(H$41,$B$41:$U$59,20,FALSE) * $U56)</f>
        <v/>
      </c>
      <c r="I56" s="53" t="str">
        <f ca="1">IF(OR($B23 = "", I$8 = ""), "", CORREL(INDIRECT("Data!L3C" &amp; (MATCH($B23,Data!$A$1:$BH$1,0)+2) &amp; LastRow &amp; (MATCH($B23,Data!$A$1:$BH$1,0)+2),FALSE), INDIRECT("Data!L3C" &amp; (MATCH(I$8,Data!$A$1:$BH$1,0)+2) &amp; LastRow &amp; (MATCH(I$8,Data!$A$1:$BH$1,0)+2),FALSE)) * VLOOKUP(I$41,$B$41:$U$59,20,FALSE) * $U56)</f>
        <v/>
      </c>
      <c r="J56" s="53" t="str">
        <f ca="1">IF(OR($B23 = "", J$8 = ""), "", CORREL(INDIRECT("Data!L3C" &amp; (MATCH($B23,Data!$A$1:$BH$1,0)+2) &amp; LastRow &amp; (MATCH($B23,Data!$A$1:$BH$1,0)+2),FALSE), INDIRECT("Data!L3C" &amp; (MATCH(J$8,Data!$A$1:$BH$1,0)+2) &amp; LastRow &amp; (MATCH(J$8,Data!$A$1:$BH$1,0)+2),FALSE)) * VLOOKUP(J$41,$B$41:$U$59,20,FALSE) * $U56)</f>
        <v/>
      </c>
      <c r="K56" s="53" t="str">
        <f ca="1">IF(OR($B23 = "", K$8 = ""), "", CORREL(INDIRECT("Data!L3C" &amp; (MATCH($B23,Data!$A$1:$BH$1,0)+2) &amp; LastRow &amp; (MATCH($B23,Data!$A$1:$BH$1,0)+2),FALSE), INDIRECT("Data!L3C" &amp; (MATCH(K$8,Data!$A$1:$BH$1,0)+2) &amp; LastRow &amp; (MATCH(K$8,Data!$A$1:$BH$1,0)+2),FALSE)) * VLOOKUP(K$41,$B$41:$U$59,20,FALSE) * $U56)</f>
        <v/>
      </c>
      <c r="L56" s="53" t="str">
        <f ca="1">IF(OR($B23 = "", L$8 = ""), "", CORREL(INDIRECT("Data!L3C" &amp; (MATCH($B23,Data!$A$1:$BH$1,0)+2) &amp; LastRow &amp; (MATCH($B23,Data!$A$1:$BH$1,0)+2),FALSE), INDIRECT("Data!L3C" &amp; (MATCH(L$8,Data!$A$1:$BH$1,0)+2) &amp; LastRow &amp; (MATCH(L$8,Data!$A$1:$BH$1,0)+2),FALSE)) * VLOOKUP(L$41,$B$41:$U$59,20,FALSE) * $U56)</f>
        <v/>
      </c>
      <c r="M56" s="53" t="str">
        <f ca="1">IF(OR($B23 = "", M$8 = ""), "", CORREL(INDIRECT("Data!L3C" &amp; (MATCH($B23,Data!$A$1:$BH$1,0)+2) &amp; LastRow &amp; (MATCH($B23,Data!$A$1:$BH$1,0)+2),FALSE), INDIRECT("Data!L3C" &amp; (MATCH(M$8,Data!$A$1:$BH$1,0)+2) &amp; LastRow &amp; (MATCH(M$8,Data!$A$1:$BH$1,0)+2),FALSE)) * VLOOKUP(M$41,$B$41:$U$59,20,FALSE) * $U56)</f>
        <v/>
      </c>
      <c r="N56" s="53" t="str">
        <f ca="1">IF(OR($B23 = "", N$8 = ""), "", CORREL(INDIRECT("Data!L3C" &amp; (MATCH($B23,Data!$A$1:$BH$1,0)+2) &amp; LastRow &amp; (MATCH($B23,Data!$A$1:$BH$1,0)+2),FALSE), INDIRECT("Data!L3C" &amp; (MATCH(N$8,Data!$A$1:$BH$1,0)+2) &amp; LastRow &amp; (MATCH(N$8,Data!$A$1:$BH$1,0)+2),FALSE)) * VLOOKUP(N$41,$B$41:$U$59,20,FALSE) * $U56)</f>
        <v/>
      </c>
      <c r="O56" s="53" t="str">
        <f ca="1">IF(OR($B23 = "", O$8 = ""), "", CORREL(INDIRECT("Data!L3C" &amp; (MATCH($B23,Data!$A$1:$BH$1,0)+2) &amp; LastRow &amp; (MATCH($B23,Data!$A$1:$BH$1,0)+2),FALSE), INDIRECT("Data!L3C" &amp; (MATCH(O$8,Data!$A$1:$BH$1,0)+2) &amp; LastRow &amp; (MATCH(O$8,Data!$A$1:$BH$1,0)+2),FALSE)) * VLOOKUP(O$41,$B$41:$U$59,20,FALSE) * $U56)</f>
        <v/>
      </c>
      <c r="P56" s="53" t="str">
        <f ca="1">IF(OR($B23 = "", P$8 = ""), "", CORREL(INDIRECT("Data!L3C" &amp; (MATCH($B23,Data!$A$1:$BH$1,0)+2) &amp; LastRow &amp; (MATCH($B23,Data!$A$1:$BH$1,0)+2),FALSE), INDIRECT("Data!L3C" &amp; (MATCH(P$8,Data!$A$1:$BH$1,0)+2) &amp; LastRow &amp; (MATCH(P$8,Data!$A$1:$BH$1,0)+2),FALSE)) * VLOOKUP(P$41,$B$41:$U$59,20,FALSE) * $U56)</f>
        <v/>
      </c>
      <c r="Q56" s="52"/>
      <c r="R56" s="53" t="str">
        <f ca="1">IF(OR($B23 = "", R$8 = ""), "", CORREL(INDIRECT("Data!L3C" &amp; (MATCH($B23,Data!$A$1:$BH$1,0)+2) &amp; LastRow &amp; (MATCH($B23,Data!$A$1:$BH$1,0)+2),FALSE), INDIRECT("Data!L3C" &amp; (MATCH(R$8,Data!$A$1:$BH$1,0)+2) &amp; LastRow &amp; (MATCH(R$8,Data!$A$1:$BH$1,0)+2),FALSE)) * VLOOKUP(R$41,$B$41:$U$59,20,FALSE) * $U56)</f>
        <v/>
      </c>
      <c r="S56" s="53" t="str">
        <f ca="1">IF(OR($B23 = "", S$8 = ""), "", CORREL(INDIRECT("Data!L3C" &amp; (MATCH($B23,Data!$A$1:$BH$1,0)+2) &amp; LastRow &amp; (MATCH($B23,Data!$A$1:$BH$1,0)+2),FALSE), INDIRECT("Data!L3C" &amp; (MATCH(S$8,Data!$A$1:$BH$1,0)+2) &amp; LastRow &amp; (MATCH(S$8,Data!$A$1:$BH$1,0)+2),FALSE)) * VLOOKUP(S$41,$B$41:$U$59,20,FALSE) * $U56)</f>
        <v/>
      </c>
      <c r="T56" s="118" t="str">
        <f ca="1">IF(OR($B23 = "", T$8 = ""), "", CORREL(INDIRECT("Data!L3C" &amp; (MATCH($B23,Data!$A$1:$BH$1,0)+2) &amp; LastRow &amp; (MATCH($B23,Data!$A$1:$BH$1,0)+2),FALSE), INDIRECT("Data!L3C" &amp; (MATCH(T$8,Data!$A$1:$BH$1,0)+2) &amp; LastRow &amp; (MATCH(T$8,Data!$A$1:$BH$1,0)+2),FALSE)) * VLOOKUP(T$41,$B$41:$U$59,20,FALSE) * $U56)</f>
        <v/>
      </c>
      <c r="U56" s="51" t="str">
        <f>IF(COUNTBLANK(LongTickers)+COUNTBLANK(ShortTickers) &lt; 4, -1, "")</f>
        <v/>
      </c>
      <c r="V56" s="50" t="str">
        <f t="shared" ca="1" si="2"/>
        <v/>
      </c>
    </row>
    <row r="57" spans="1:32" x14ac:dyDescent="0.25">
      <c r="A57" s="49">
        <f t="shared" ca="1" si="1"/>
        <v>1</v>
      </c>
      <c r="B57" s="60" t="str">
        <f t="shared" ca="1" si="3"/>
        <v/>
      </c>
      <c r="C57" s="54" t="str">
        <f ca="1">IF(OR($B24 = "", C$8 = ""), "", CORREL(INDIRECT("Data!L3C" &amp; (MATCH($B24,Data!$A$1:$BH$1,0)+2) &amp; LastRow &amp; (MATCH($B24,Data!$A$1:$BH$1,0)+2),FALSE), INDIRECT("Data!L3C" &amp; (MATCH(C$8,Data!$A$1:$BH$1,0)+2) &amp; LastRow &amp; (MATCH(C$8,Data!$A$1:$BH$1,0)+2),FALSE)) * VLOOKUP(C$41,$B$41:$U$59,20,FALSE) * $U57)</f>
        <v/>
      </c>
      <c r="D57" s="53" t="str">
        <f ca="1">IF(OR($B24 = "", D$8 = ""), "", CORREL(INDIRECT("Data!L3C" &amp; (MATCH($B24,Data!$A$1:$BH$1,0)+2) &amp; LastRow &amp; (MATCH($B24,Data!$A$1:$BH$1,0)+2),FALSE), INDIRECT("Data!L3C" &amp; (MATCH(D$8,Data!$A$1:$BH$1,0)+2) &amp; LastRow &amp; (MATCH(D$8,Data!$A$1:$BH$1,0)+2),FALSE)) * VLOOKUP(D$41,$B$41:$U$59,20,FALSE) * $U57)</f>
        <v/>
      </c>
      <c r="E57" s="53" t="str">
        <f ca="1">IF(OR($B24 = "", E$8 = ""), "", CORREL(INDIRECT("Data!L3C" &amp; (MATCH($B24,Data!$A$1:$BH$1,0)+2) &amp; LastRow &amp; (MATCH($B24,Data!$A$1:$BH$1,0)+2),FALSE), INDIRECT("Data!L3C" &amp; (MATCH(E$8,Data!$A$1:$BH$1,0)+2) &amp; LastRow &amp; (MATCH(E$8,Data!$A$1:$BH$1,0)+2),FALSE)) * VLOOKUP(E$41,$B$41:$U$59,20,FALSE) * $U57)</f>
        <v/>
      </c>
      <c r="F57" s="53" t="str">
        <f ca="1">IF(OR($B24 = "", F$8 = ""), "", CORREL(INDIRECT("Data!L3C" &amp; (MATCH($B24,Data!$A$1:$BH$1,0)+2) &amp; LastRow &amp; (MATCH($B24,Data!$A$1:$BH$1,0)+2),FALSE), INDIRECT("Data!L3C" &amp; (MATCH(F$8,Data!$A$1:$BH$1,0)+2) &amp; LastRow &amp; (MATCH(F$8,Data!$A$1:$BH$1,0)+2),FALSE)) * VLOOKUP(F$41,$B$41:$U$59,20,FALSE) * $U57)</f>
        <v/>
      </c>
      <c r="G57" s="53" t="str">
        <f ca="1">IF(OR($B24 = "", G$8 = ""), "", CORREL(INDIRECT("Data!L3C" &amp; (MATCH($B24,Data!$A$1:$BH$1,0)+2) &amp; LastRow &amp; (MATCH($B24,Data!$A$1:$BH$1,0)+2),FALSE), INDIRECT("Data!L3C" &amp; (MATCH(G$8,Data!$A$1:$BH$1,0)+2) &amp; LastRow &amp; (MATCH(G$8,Data!$A$1:$BH$1,0)+2),FALSE)) * VLOOKUP(G$41,$B$41:$U$59,20,FALSE) * $U57)</f>
        <v/>
      </c>
      <c r="H57" s="53" t="str">
        <f ca="1">IF(OR($B24 = "", H$8 = ""), "", CORREL(INDIRECT("Data!L3C" &amp; (MATCH($B24,Data!$A$1:$BH$1,0)+2) &amp; LastRow &amp; (MATCH($B24,Data!$A$1:$BH$1,0)+2),FALSE), INDIRECT("Data!L3C" &amp; (MATCH(H$8,Data!$A$1:$BH$1,0)+2) &amp; LastRow &amp; (MATCH(H$8,Data!$A$1:$BH$1,0)+2),FALSE)) * VLOOKUP(H$41,$B$41:$U$59,20,FALSE) * $U57)</f>
        <v/>
      </c>
      <c r="I57" s="53" t="str">
        <f ca="1">IF(OR($B24 = "", I$8 = ""), "", CORREL(INDIRECT("Data!L3C" &amp; (MATCH($B24,Data!$A$1:$BH$1,0)+2) &amp; LastRow &amp; (MATCH($B24,Data!$A$1:$BH$1,0)+2),FALSE), INDIRECT("Data!L3C" &amp; (MATCH(I$8,Data!$A$1:$BH$1,0)+2) &amp; LastRow &amp; (MATCH(I$8,Data!$A$1:$BH$1,0)+2),FALSE)) * VLOOKUP(I$41,$B$41:$U$59,20,FALSE) * $U57)</f>
        <v/>
      </c>
      <c r="J57" s="53" t="str">
        <f ca="1">IF(OR($B24 = "", J$8 = ""), "", CORREL(INDIRECT("Data!L3C" &amp; (MATCH($B24,Data!$A$1:$BH$1,0)+2) &amp; LastRow &amp; (MATCH($B24,Data!$A$1:$BH$1,0)+2),FALSE), INDIRECT("Data!L3C" &amp; (MATCH(J$8,Data!$A$1:$BH$1,0)+2) &amp; LastRow &amp; (MATCH(J$8,Data!$A$1:$BH$1,0)+2),FALSE)) * VLOOKUP(J$41,$B$41:$U$59,20,FALSE) * $U57)</f>
        <v/>
      </c>
      <c r="K57" s="53" t="str">
        <f ca="1">IF(OR($B24 = "", K$8 = ""), "", CORREL(INDIRECT("Data!L3C" &amp; (MATCH($B24,Data!$A$1:$BH$1,0)+2) &amp; LastRow &amp; (MATCH($B24,Data!$A$1:$BH$1,0)+2),FALSE), INDIRECT("Data!L3C" &amp; (MATCH(K$8,Data!$A$1:$BH$1,0)+2) &amp; LastRow &amp; (MATCH(K$8,Data!$A$1:$BH$1,0)+2),FALSE)) * VLOOKUP(K$41,$B$41:$U$59,20,FALSE) * $U57)</f>
        <v/>
      </c>
      <c r="L57" s="53" t="str">
        <f ca="1">IF(OR($B24 = "", L$8 = ""), "", CORREL(INDIRECT("Data!L3C" &amp; (MATCH($B24,Data!$A$1:$BH$1,0)+2) &amp; LastRow &amp; (MATCH($B24,Data!$A$1:$BH$1,0)+2),FALSE), INDIRECT("Data!L3C" &amp; (MATCH(L$8,Data!$A$1:$BH$1,0)+2) &amp; LastRow &amp; (MATCH(L$8,Data!$A$1:$BH$1,0)+2),FALSE)) * VLOOKUP(L$41,$B$41:$U$59,20,FALSE) * $U57)</f>
        <v/>
      </c>
      <c r="M57" s="53" t="str">
        <f ca="1">IF(OR($B24 = "", M$8 = ""), "", CORREL(INDIRECT("Data!L3C" &amp; (MATCH($B24,Data!$A$1:$BH$1,0)+2) &amp; LastRow &amp; (MATCH($B24,Data!$A$1:$BH$1,0)+2),FALSE), INDIRECT("Data!L3C" &amp; (MATCH(M$8,Data!$A$1:$BH$1,0)+2) &amp; LastRow &amp; (MATCH(M$8,Data!$A$1:$BH$1,0)+2),FALSE)) * VLOOKUP(M$41,$B$41:$U$59,20,FALSE) * $U57)</f>
        <v/>
      </c>
      <c r="N57" s="53" t="str">
        <f ca="1">IF(OR($B24 = "", N$8 = ""), "", CORREL(INDIRECT("Data!L3C" &amp; (MATCH($B24,Data!$A$1:$BH$1,0)+2) &amp; LastRow &amp; (MATCH($B24,Data!$A$1:$BH$1,0)+2),FALSE), INDIRECT("Data!L3C" &amp; (MATCH(N$8,Data!$A$1:$BH$1,0)+2) &amp; LastRow &amp; (MATCH(N$8,Data!$A$1:$BH$1,0)+2),FALSE)) * VLOOKUP(N$41,$B$41:$U$59,20,FALSE) * $U57)</f>
        <v/>
      </c>
      <c r="O57" s="53" t="str">
        <f ca="1">IF(OR($B24 = "", O$8 = ""), "", CORREL(INDIRECT("Data!L3C" &amp; (MATCH($B24,Data!$A$1:$BH$1,0)+2) &amp; LastRow &amp; (MATCH($B24,Data!$A$1:$BH$1,0)+2),FALSE), INDIRECT("Data!L3C" &amp; (MATCH(O$8,Data!$A$1:$BH$1,0)+2) &amp; LastRow &amp; (MATCH(O$8,Data!$A$1:$BH$1,0)+2),FALSE)) * VLOOKUP(O$41,$B$41:$U$59,20,FALSE) * $U57)</f>
        <v/>
      </c>
      <c r="P57" s="53" t="str">
        <f ca="1">IF(OR($B24 = "", P$8 = ""), "", CORREL(INDIRECT("Data!L3C" &amp; (MATCH($B24,Data!$A$1:$BH$1,0)+2) &amp; LastRow &amp; (MATCH($B24,Data!$A$1:$BH$1,0)+2),FALSE), INDIRECT("Data!L3C" &amp; (MATCH(P$8,Data!$A$1:$BH$1,0)+2) &amp; LastRow &amp; (MATCH(P$8,Data!$A$1:$BH$1,0)+2),FALSE)) * VLOOKUP(P$41,$B$41:$U$59,20,FALSE) * $U57)</f>
        <v/>
      </c>
      <c r="Q57" s="53" t="str">
        <f ca="1">IF(OR($B24 = "", Q$8 = ""), "", CORREL(INDIRECT("Data!L3C" &amp; (MATCH($B24,Data!$A$1:$BH$1,0)+2) &amp; LastRow &amp; (MATCH($B24,Data!$A$1:$BH$1,0)+2),FALSE), INDIRECT("Data!L3C" &amp; (MATCH(Q$8,Data!$A$1:$BH$1,0)+2) &amp; LastRow &amp; (MATCH(Q$8,Data!$A$1:$BH$1,0)+2),FALSE)) * VLOOKUP(Q$41,$B$41:$U$59,20,FALSE) * $U57)</f>
        <v/>
      </c>
      <c r="R57" s="52"/>
      <c r="S57" s="53" t="str">
        <f ca="1">IF(OR($B24 = "", S$8 = ""), "", CORREL(INDIRECT("Data!L3C" &amp; (MATCH($B24,Data!$A$1:$BH$1,0)+2) &amp; LastRow &amp; (MATCH($B24,Data!$A$1:$BH$1,0)+2),FALSE), INDIRECT("Data!L3C" &amp; (MATCH(S$8,Data!$A$1:$BH$1,0)+2) &amp; LastRow &amp; (MATCH(S$8,Data!$A$1:$BH$1,0)+2),FALSE)) * VLOOKUP(S$41,$B$41:$U$59,20,FALSE) * $U57)</f>
        <v/>
      </c>
      <c r="T57" s="118" t="str">
        <f ca="1">IF(OR($B24 = "", T$8 = ""), "", CORREL(INDIRECT("Data!L3C" &amp; (MATCH($B24,Data!$A$1:$BH$1,0)+2) &amp; LastRow &amp; (MATCH($B24,Data!$A$1:$BH$1,0)+2),FALSE), INDIRECT("Data!L3C" &amp; (MATCH(T$8,Data!$A$1:$BH$1,0)+2) &amp; LastRow &amp; (MATCH(T$8,Data!$A$1:$BH$1,0)+2),FALSE)) * VLOOKUP(T$41,$B$41:$U$59,20,FALSE) * $U57)</f>
        <v/>
      </c>
      <c r="U57" s="51" t="str">
        <f>IF(COUNTBLANK(LongTickers)+COUNTBLANK(ShortTickers) &lt; 3, -1, "")</f>
        <v/>
      </c>
      <c r="V57" s="50" t="str">
        <f t="shared" ca="1" si="2"/>
        <v/>
      </c>
    </row>
    <row r="58" spans="1:32" x14ac:dyDescent="0.25">
      <c r="A58" s="49">
        <f t="shared" ca="1" si="1"/>
        <v>1</v>
      </c>
      <c r="B58" s="60" t="str">
        <f t="shared" ca="1" si="3"/>
        <v/>
      </c>
      <c r="C58" s="54" t="str">
        <f ca="1">IF(OR($B25 = "", C$8 = ""), "", CORREL(INDIRECT("Data!L3C" &amp; (MATCH($B25,Data!$A$1:$BH$1,0)+2) &amp; LastRow &amp; (MATCH($B25,Data!$A$1:$BH$1,0)+2),FALSE), INDIRECT("Data!L3C" &amp; (MATCH(C$8,Data!$A$1:$BH$1,0)+2) &amp; LastRow &amp; (MATCH(C$8,Data!$A$1:$BH$1,0)+2),FALSE)) * VLOOKUP(C$41,$B$41:$U$59,20,FALSE) * $U58)</f>
        <v/>
      </c>
      <c r="D58" s="53" t="str">
        <f ca="1">IF(OR($B25 = "", D$8 = ""), "", CORREL(INDIRECT("Data!L3C" &amp; (MATCH($B25,Data!$A$1:$BH$1,0)+2) &amp; LastRow &amp; (MATCH($B25,Data!$A$1:$BH$1,0)+2),FALSE), INDIRECT("Data!L3C" &amp; (MATCH(D$8,Data!$A$1:$BH$1,0)+2) &amp; LastRow &amp; (MATCH(D$8,Data!$A$1:$BH$1,0)+2),FALSE)) * VLOOKUP(D$41,$B$41:$U$59,20,FALSE) * $U58)</f>
        <v/>
      </c>
      <c r="E58" s="53" t="str">
        <f ca="1">IF(OR($B25 = "", E$8 = ""), "", CORREL(INDIRECT("Data!L3C" &amp; (MATCH($B25,Data!$A$1:$BH$1,0)+2) &amp; LastRow &amp; (MATCH($B25,Data!$A$1:$BH$1,0)+2),FALSE), INDIRECT("Data!L3C" &amp; (MATCH(E$8,Data!$A$1:$BH$1,0)+2) &amp; LastRow &amp; (MATCH(E$8,Data!$A$1:$BH$1,0)+2),FALSE)) * VLOOKUP(E$41,$B$41:$U$59,20,FALSE) * $U58)</f>
        <v/>
      </c>
      <c r="F58" s="53" t="str">
        <f ca="1">IF(OR($B25 = "", F$8 = ""), "", CORREL(INDIRECT("Data!L3C" &amp; (MATCH($B25,Data!$A$1:$BH$1,0)+2) &amp; LastRow &amp; (MATCH($B25,Data!$A$1:$BH$1,0)+2),FALSE), INDIRECT("Data!L3C" &amp; (MATCH(F$8,Data!$A$1:$BH$1,0)+2) &amp; LastRow &amp; (MATCH(F$8,Data!$A$1:$BH$1,0)+2),FALSE)) * VLOOKUP(F$41,$B$41:$U$59,20,FALSE) * $U58)</f>
        <v/>
      </c>
      <c r="G58" s="53" t="str">
        <f ca="1">IF(OR($B25 = "", G$8 = ""), "", CORREL(INDIRECT("Data!L3C" &amp; (MATCH($B25,Data!$A$1:$BH$1,0)+2) &amp; LastRow &amp; (MATCH($B25,Data!$A$1:$BH$1,0)+2),FALSE), INDIRECT("Data!L3C" &amp; (MATCH(G$8,Data!$A$1:$BH$1,0)+2) &amp; LastRow &amp; (MATCH(G$8,Data!$A$1:$BH$1,0)+2),FALSE)) * VLOOKUP(G$41,$B$41:$U$59,20,FALSE) * $U58)</f>
        <v/>
      </c>
      <c r="H58" s="53" t="str">
        <f ca="1">IF(OR($B25 = "", H$8 = ""), "", CORREL(INDIRECT("Data!L3C" &amp; (MATCH($B25,Data!$A$1:$BH$1,0)+2) &amp; LastRow &amp; (MATCH($B25,Data!$A$1:$BH$1,0)+2),FALSE), INDIRECT("Data!L3C" &amp; (MATCH(H$8,Data!$A$1:$BH$1,0)+2) &amp; LastRow &amp; (MATCH(H$8,Data!$A$1:$BH$1,0)+2),FALSE)) * VLOOKUP(H$41,$B$41:$U$59,20,FALSE) * $U58)</f>
        <v/>
      </c>
      <c r="I58" s="53" t="str">
        <f ca="1">IF(OR($B25 = "", I$8 = ""), "", CORREL(INDIRECT("Data!L3C" &amp; (MATCH($B25,Data!$A$1:$BH$1,0)+2) &amp; LastRow &amp; (MATCH($B25,Data!$A$1:$BH$1,0)+2),FALSE), INDIRECT("Data!L3C" &amp; (MATCH(I$8,Data!$A$1:$BH$1,0)+2) &amp; LastRow &amp; (MATCH(I$8,Data!$A$1:$BH$1,0)+2),FALSE)) * VLOOKUP(I$41,$B$41:$U$59,20,FALSE) * $U58)</f>
        <v/>
      </c>
      <c r="J58" s="53" t="str">
        <f ca="1">IF(OR($B25 = "", J$8 = ""), "", CORREL(INDIRECT("Data!L3C" &amp; (MATCH($B25,Data!$A$1:$BH$1,0)+2) &amp; LastRow &amp; (MATCH($B25,Data!$A$1:$BH$1,0)+2),FALSE), INDIRECT("Data!L3C" &amp; (MATCH(J$8,Data!$A$1:$BH$1,0)+2) &amp; LastRow &amp; (MATCH(J$8,Data!$A$1:$BH$1,0)+2),FALSE)) * VLOOKUP(J$41,$B$41:$U$59,20,FALSE) * $U58)</f>
        <v/>
      </c>
      <c r="K58" s="53" t="str">
        <f ca="1">IF(OR($B25 = "", K$8 = ""), "", CORREL(INDIRECT("Data!L3C" &amp; (MATCH($B25,Data!$A$1:$BH$1,0)+2) &amp; LastRow &amp; (MATCH($B25,Data!$A$1:$BH$1,0)+2),FALSE), INDIRECT("Data!L3C" &amp; (MATCH(K$8,Data!$A$1:$BH$1,0)+2) &amp; LastRow &amp; (MATCH(K$8,Data!$A$1:$BH$1,0)+2),FALSE)) * VLOOKUP(K$41,$B$41:$U$59,20,FALSE) * $U58)</f>
        <v/>
      </c>
      <c r="L58" s="53" t="str">
        <f ca="1">IF(OR($B25 = "", L$8 = ""), "", CORREL(INDIRECT("Data!L3C" &amp; (MATCH($B25,Data!$A$1:$BH$1,0)+2) &amp; LastRow &amp; (MATCH($B25,Data!$A$1:$BH$1,0)+2),FALSE), INDIRECT("Data!L3C" &amp; (MATCH(L$8,Data!$A$1:$BH$1,0)+2) &amp; LastRow &amp; (MATCH(L$8,Data!$A$1:$BH$1,0)+2),FALSE)) * VLOOKUP(L$41,$B$41:$U$59,20,FALSE) * $U58)</f>
        <v/>
      </c>
      <c r="M58" s="53" t="str">
        <f ca="1">IF(OR($B25 = "", M$8 = ""), "", CORREL(INDIRECT("Data!L3C" &amp; (MATCH($B25,Data!$A$1:$BH$1,0)+2) &amp; LastRow &amp; (MATCH($B25,Data!$A$1:$BH$1,0)+2),FALSE), INDIRECT("Data!L3C" &amp; (MATCH(M$8,Data!$A$1:$BH$1,0)+2) &amp; LastRow &amp; (MATCH(M$8,Data!$A$1:$BH$1,0)+2),FALSE)) * VLOOKUP(M$41,$B$41:$U$59,20,FALSE) * $U58)</f>
        <v/>
      </c>
      <c r="N58" s="53" t="str">
        <f ca="1">IF(OR($B25 = "", N$8 = ""), "", CORREL(INDIRECT("Data!L3C" &amp; (MATCH($B25,Data!$A$1:$BH$1,0)+2) &amp; LastRow &amp; (MATCH($B25,Data!$A$1:$BH$1,0)+2),FALSE), INDIRECT("Data!L3C" &amp; (MATCH(N$8,Data!$A$1:$BH$1,0)+2) &amp; LastRow &amp; (MATCH(N$8,Data!$A$1:$BH$1,0)+2),FALSE)) * VLOOKUP(N$41,$B$41:$U$59,20,FALSE) * $U58)</f>
        <v/>
      </c>
      <c r="O58" s="53" t="str">
        <f ca="1">IF(OR($B25 = "", O$8 = ""), "", CORREL(INDIRECT("Data!L3C" &amp; (MATCH($B25,Data!$A$1:$BH$1,0)+2) &amp; LastRow &amp; (MATCH($B25,Data!$A$1:$BH$1,0)+2),FALSE), INDIRECT("Data!L3C" &amp; (MATCH(O$8,Data!$A$1:$BH$1,0)+2) &amp; LastRow &amp; (MATCH(O$8,Data!$A$1:$BH$1,0)+2),FALSE)) * VLOOKUP(O$41,$B$41:$U$59,20,FALSE) * $U58)</f>
        <v/>
      </c>
      <c r="P58" s="53" t="str">
        <f ca="1">IF(OR($B25 = "", P$8 = ""), "", CORREL(INDIRECT("Data!L3C" &amp; (MATCH($B25,Data!$A$1:$BH$1,0)+2) &amp; LastRow &amp; (MATCH($B25,Data!$A$1:$BH$1,0)+2),FALSE), INDIRECT("Data!L3C" &amp; (MATCH(P$8,Data!$A$1:$BH$1,0)+2) &amp; LastRow &amp; (MATCH(P$8,Data!$A$1:$BH$1,0)+2),FALSE)) * VLOOKUP(P$41,$B$41:$U$59,20,FALSE) * $U58)</f>
        <v/>
      </c>
      <c r="Q58" s="53" t="str">
        <f ca="1">IF(OR($B25 = "", Q$8 = ""), "", CORREL(INDIRECT("Data!L3C" &amp; (MATCH($B25,Data!$A$1:$BH$1,0)+2) &amp; LastRow &amp; (MATCH($B25,Data!$A$1:$BH$1,0)+2),FALSE), INDIRECT("Data!L3C" &amp; (MATCH(Q$8,Data!$A$1:$BH$1,0)+2) &amp; LastRow &amp; (MATCH(Q$8,Data!$A$1:$BH$1,0)+2),FALSE)) * VLOOKUP(Q$41,$B$41:$U$59,20,FALSE) * $U58)</f>
        <v/>
      </c>
      <c r="R58" s="53" t="str">
        <f ca="1">IF(OR($B25 = "", R$8 = ""), "", CORREL(INDIRECT("Data!L3C" &amp; (MATCH($B25,Data!$A$1:$BH$1,0)+2) &amp; LastRow &amp; (MATCH($B25,Data!$A$1:$BH$1,0)+2),FALSE), INDIRECT("Data!L3C" &amp; (MATCH(R$8,Data!$A$1:$BH$1,0)+2) &amp; LastRow &amp; (MATCH(R$8,Data!$A$1:$BH$1,0)+2),FALSE)) * VLOOKUP(R$41,$B$41:$U$59,20,FALSE) * $U58)</f>
        <v/>
      </c>
      <c r="S58" s="52"/>
      <c r="T58" s="118" t="str">
        <f ca="1">IF(OR($B25 = "", T$8 = ""), "", CORREL(INDIRECT("Data!L3C" &amp; (MATCH($B25,Data!$A$1:$BH$1,0)+2) &amp; LastRow &amp; (MATCH($B25,Data!$A$1:$BH$1,0)+2),FALSE), INDIRECT("Data!L3C" &amp; (MATCH(T$8,Data!$A$1:$BH$1,0)+2) &amp; LastRow &amp; (MATCH(T$8,Data!$A$1:$BH$1,0)+2),FALSE)) * VLOOKUP(T$41,$B$41:$U$59,20,FALSE) * $U58)</f>
        <v/>
      </c>
      <c r="U58" s="51" t="str">
        <f>IF(COUNTBLANK(LongTickers)+COUNTBLANK(ShortTickers) &lt; 2, -1, "")</f>
        <v/>
      </c>
      <c r="V58" s="50" t="str">
        <f t="shared" ca="1" si="2"/>
        <v/>
      </c>
    </row>
    <row r="59" spans="1:32" ht="15.75" thickBot="1" x14ac:dyDescent="0.3">
      <c r="A59" s="49">
        <f t="shared" ca="1" si="1"/>
        <v>1</v>
      </c>
      <c r="B59" s="110"/>
      <c r="C59" s="48" t="str">
        <f ca="1">IF(OR($B26 = "", C$8 = ""), "", CORREL(INDIRECT("Data!L3C" &amp; (MATCH($B26,Data!$A$1:$BH$1,0)+2) &amp; LastRow &amp; (MATCH($B26,Data!$A$1:$BH$1,0)+2),FALSE), INDIRECT("Data!L3C" &amp; (MATCH(C$8,Data!$A$1:$BH$1,0)+2) &amp; LastRow &amp; (MATCH(C$8,Data!$A$1:$BH$1,0)+2),FALSE)) * VLOOKUP(C$41,$B$41:$U$59,20,FALSE) * $U59)</f>
        <v/>
      </c>
      <c r="D59" s="47" t="str">
        <f ca="1">IF(OR($B26 = "", D$8 = ""), "", CORREL(INDIRECT("Data!L3C" &amp; (MATCH($B26,Data!$A$1:$BH$1,0)+2) &amp; LastRow &amp; (MATCH($B26,Data!$A$1:$BH$1,0)+2),FALSE), INDIRECT("Data!L3C" &amp; (MATCH(D$8,Data!$A$1:$BH$1,0)+2) &amp; LastRow &amp; (MATCH(D$8,Data!$A$1:$BH$1,0)+2),FALSE)) * VLOOKUP(D$41,$B$41:$U$59,20,FALSE) * $U59)</f>
        <v/>
      </c>
      <c r="E59" s="47" t="str">
        <f ca="1">IF(OR($B26 = "", E$8 = ""), "", CORREL(INDIRECT("Data!L3C" &amp; (MATCH($B26,Data!$A$1:$BH$1,0)+2) &amp; LastRow &amp; (MATCH($B26,Data!$A$1:$BH$1,0)+2),FALSE), INDIRECT("Data!L3C" &amp; (MATCH(E$8,Data!$A$1:$BH$1,0)+2) &amp; LastRow &amp; (MATCH(E$8,Data!$A$1:$BH$1,0)+2),FALSE)) * VLOOKUP(E$41,$B$41:$U$59,20,FALSE) * $U59)</f>
        <v/>
      </c>
      <c r="F59" s="47" t="str">
        <f ca="1">IF(OR($B26 = "", F$8 = ""), "", CORREL(INDIRECT("Data!L3C" &amp; (MATCH($B26,Data!$A$1:$BH$1,0)+2) &amp; LastRow &amp; (MATCH($B26,Data!$A$1:$BH$1,0)+2),FALSE), INDIRECT("Data!L3C" &amp; (MATCH(F$8,Data!$A$1:$BH$1,0)+2) &amp; LastRow &amp; (MATCH(F$8,Data!$A$1:$BH$1,0)+2),FALSE)) * VLOOKUP(F$41,$B$41:$U$59,20,FALSE) * $U59)</f>
        <v/>
      </c>
      <c r="G59" s="47" t="str">
        <f ca="1">IF(OR($B26 = "", G$8 = ""), "", CORREL(INDIRECT("Data!L3C" &amp; (MATCH($B26,Data!$A$1:$BH$1,0)+2) &amp; LastRow &amp; (MATCH($B26,Data!$A$1:$BH$1,0)+2),FALSE), INDIRECT("Data!L3C" &amp; (MATCH(G$8,Data!$A$1:$BH$1,0)+2) &amp; LastRow &amp; (MATCH(G$8,Data!$A$1:$BH$1,0)+2),FALSE)) * VLOOKUP(G$41,$B$41:$U$59,20,FALSE) * $U59)</f>
        <v/>
      </c>
      <c r="H59" s="47" t="str">
        <f ca="1">IF(OR($B26 = "", H$8 = ""), "", CORREL(INDIRECT("Data!L3C" &amp; (MATCH($B26,Data!$A$1:$BH$1,0)+2) &amp; LastRow &amp; (MATCH($B26,Data!$A$1:$BH$1,0)+2),FALSE), INDIRECT("Data!L3C" &amp; (MATCH(H$8,Data!$A$1:$BH$1,0)+2) &amp; LastRow &amp; (MATCH(H$8,Data!$A$1:$BH$1,0)+2),FALSE)) * VLOOKUP(H$41,$B$41:$U$59,20,FALSE) * $U59)</f>
        <v/>
      </c>
      <c r="I59" s="47" t="str">
        <f ca="1">IF(OR($B26 = "", I$8 = ""), "", CORREL(INDIRECT("Data!L3C" &amp; (MATCH($B26,Data!$A$1:$BH$1,0)+2) &amp; LastRow &amp; (MATCH($B26,Data!$A$1:$BH$1,0)+2),FALSE), INDIRECT("Data!L3C" &amp; (MATCH(I$8,Data!$A$1:$BH$1,0)+2) &amp; LastRow &amp; (MATCH(I$8,Data!$A$1:$BH$1,0)+2),FALSE)) * VLOOKUP(I$41,$B$41:$U$59,20,FALSE) * $U59)</f>
        <v/>
      </c>
      <c r="J59" s="47" t="str">
        <f ca="1">IF(OR($B26 = "", J$8 = ""), "", CORREL(INDIRECT("Data!L3C" &amp; (MATCH($B26,Data!$A$1:$BH$1,0)+2) &amp; LastRow &amp; (MATCH($B26,Data!$A$1:$BH$1,0)+2),FALSE), INDIRECT("Data!L3C" &amp; (MATCH(J$8,Data!$A$1:$BH$1,0)+2) &amp; LastRow &amp; (MATCH(J$8,Data!$A$1:$BH$1,0)+2),FALSE)) * VLOOKUP(J$41,$B$41:$U$59,20,FALSE) * $U59)</f>
        <v/>
      </c>
      <c r="K59" s="47" t="str">
        <f ca="1">IF(OR($B26 = "", K$8 = ""), "", CORREL(INDIRECT("Data!L3C" &amp; (MATCH($B26,Data!$A$1:$BH$1,0)+2) &amp; LastRow &amp; (MATCH($B26,Data!$A$1:$BH$1,0)+2),FALSE), INDIRECT("Data!L3C" &amp; (MATCH(K$8,Data!$A$1:$BH$1,0)+2) &amp; LastRow &amp; (MATCH(K$8,Data!$A$1:$BH$1,0)+2),FALSE)) * VLOOKUP(K$41,$B$41:$U$59,20,FALSE) * $U59)</f>
        <v/>
      </c>
      <c r="L59" s="47" t="str">
        <f ca="1">IF(OR($B26 = "", L$8 = ""), "", CORREL(INDIRECT("Data!L3C" &amp; (MATCH($B26,Data!$A$1:$BH$1,0)+2) &amp; LastRow &amp; (MATCH($B26,Data!$A$1:$BH$1,0)+2),FALSE), INDIRECT("Data!L3C" &amp; (MATCH(L$8,Data!$A$1:$BH$1,0)+2) &amp; LastRow &amp; (MATCH(L$8,Data!$A$1:$BH$1,0)+2),FALSE)) * VLOOKUP(L$41,$B$41:$U$59,20,FALSE) * $U59)</f>
        <v/>
      </c>
      <c r="M59" s="47" t="str">
        <f ca="1">IF(OR($B26 = "", M$8 = ""), "", CORREL(INDIRECT("Data!L3C" &amp; (MATCH($B26,Data!$A$1:$BH$1,0)+2) &amp; LastRow &amp; (MATCH($B26,Data!$A$1:$BH$1,0)+2),FALSE), INDIRECT("Data!L3C" &amp; (MATCH(M$8,Data!$A$1:$BH$1,0)+2) &amp; LastRow &amp; (MATCH(M$8,Data!$A$1:$BH$1,0)+2),FALSE)) * VLOOKUP(M$41,$B$41:$U$59,20,FALSE) * $U59)</f>
        <v/>
      </c>
      <c r="N59" s="47" t="str">
        <f ca="1">IF(OR($B26 = "", N$8 = ""), "", CORREL(INDIRECT("Data!L3C" &amp; (MATCH($B26,Data!$A$1:$BH$1,0)+2) &amp; LastRow &amp; (MATCH($B26,Data!$A$1:$BH$1,0)+2),FALSE), INDIRECT("Data!L3C" &amp; (MATCH(N$8,Data!$A$1:$BH$1,0)+2) &amp; LastRow &amp; (MATCH(N$8,Data!$A$1:$BH$1,0)+2),FALSE)) * VLOOKUP(N$41,$B$41:$U$59,20,FALSE) * $U59)</f>
        <v/>
      </c>
      <c r="O59" s="47" t="str">
        <f ca="1">IF(OR($B26 = "", O$8 = ""), "", CORREL(INDIRECT("Data!L3C" &amp; (MATCH($B26,Data!$A$1:$BH$1,0)+2) &amp; LastRow &amp; (MATCH($B26,Data!$A$1:$BH$1,0)+2),FALSE), INDIRECT("Data!L3C" &amp; (MATCH(O$8,Data!$A$1:$BH$1,0)+2) &amp; LastRow &amp; (MATCH(O$8,Data!$A$1:$BH$1,0)+2),FALSE)) * VLOOKUP(O$41,$B$41:$U$59,20,FALSE) * $U59)</f>
        <v/>
      </c>
      <c r="P59" s="47" t="str">
        <f ca="1">IF(OR($B26 = "", P$8 = ""), "", CORREL(INDIRECT("Data!L3C" &amp; (MATCH($B26,Data!$A$1:$BH$1,0)+2) &amp; LastRow &amp; (MATCH($B26,Data!$A$1:$BH$1,0)+2),FALSE), INDIRECT("Data!L3C" &amp; (MATCH(P$8,Data!$A$1:$BH$1,0)+2) &amp; LastRow &amp; (MATCH(P$8,Data!$A$1:$BH$1,0)+2),FALSE)) * VLOOKUP(P$41,$B$41:$U$59,20,FALSE) * $U59)</f>
        <v/>
      </c>
      <c r="Q59" s="47" t="str">
        <f ca="1">IF(OR($B26 = "", Q$8 = ""), "", CORREL(INDIRECT("Data!L3C" &amp; (MATCH($B26,Data!$A$1:$BH$1,0)+2) &amp; LastRow &amp; (MATCH($B26,Data!$A$1:$BH$1,0)+2),FALSE), INDIRECT("Data!L3C" &amp; (MATCH(Q$8,Data!$A$1:$BH$1,0)+2) &amp; LastRow &amp; (MATCH(Q$8,Data!$A$1:$BH$1,0)+2),FALSE)) * VLOOKUP(Q$41,$B$41:$U$59,20,FALSE) * $U59)</f>
        <v/>
      </c>
      <c r="R59" s="47" t="str">
        <f ca="1">IF(OR($B26 = "", R$8 = ""), "", CORREL(INDIRECT("Data!L3C" &amp; (MATCH($B26,Data!$A$1:$BH$1,0)+2) &amp; LastRow &amp; (MATCH($B26,Data!$A$1:$BH$1,0)+2),FALSE), INDIRECT("Data!L3C" &amp; (MATCH(R$8,Data!$A$1:$BH$1,0)+2) &amp; LastRow &amp; (MATCH(R$8,Data!$A$1:$BH$1,0)+2),FALSE)) * VLOOKUP(R$41,$B$41:$U$59,20,FALSE) * $U59)</f>
        <v/>
      </c>
      <c r="S59" s="47" t="str">
        <f ca="1">IF(OR($B26 = "", S$8 = ""), "", CORREL(INDIRECT("Data!L3C" &amp; (MATCH($B26,Data!$A$1:$BH$1,0)+2) &amp; LastRow &amp; (MATCH($B26,Data!$A$1:$BH$1,0)+2),FALSE), INDIRECT("Data!L3C" &amp; (MATCH(S$8,Data!$A$1:$BH$1,0)+2) &amp; LastRow &amp; (MATCH(S$8,Data!$A$1:$BH$1,0)+2),FALSE)) * VLOOKUP(S$41,$B$41:$U$59,20,FALSE) * $U59)</f>
        <v/>
      </c>
      <c r="T59" s="119"/>
      <c r="U59" s="51" t="str">
        <f>IF(COUNTBLANK(LongTickers)+COUNTBLANK(ShortTickers) &lt; 1, -1, "")</f>
        <v/>
      </c>
      <c r="V59" s="46" t="str">
        <f t="shared" ca="1" si="2"/>
        <v/>
      </c>
    </row>
    <row r="60" spans="1:32" ht="15.75" thickBot="1" x14ac:dyDescent="0.3"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45"/>
      <c r="N60" s="45"/>
      <c r="O60" s="45"/>
      <c r="P60" s="45"/>
      <c r="Q60" s="45"/>
      <c r="R60" s="45"/>
      <c r="S60" s="45"/>
      <c r="T60" s="45"/>
      <c r="U60" s="108"/>
      <c r="V60" s="109">
        <f ca="1">AVERAGE(C43:C59,D44:D59,E45:E59,F46:F59,G47:G59,H48:H59,I49:I59,J50:J59,K51:K59,L52:L59,M53:M59,N54:N59,O55:O59,P56:P59,Q57:Q59,R58:R59,S59:S59)</f>
        <v>-1.6910391076958832E-2</v>
      </c>
    </row>
  </sheetData>
  <mergeCells count="9">
    <mergeCell ref="X42:AF51"/>
    <mergeCell ref="A1:AF3"/>
    <mergeCell ref="A4:AF5"/>
    <mergeCell ref="X9:AF18"/>
    <mergeCell ref="A38:AF39"/>
    <mergeCell ref="L30:L31"/>
    <mergeCell ref="M30:M31"/>
    <mergeCell ref="N30:N31"/>
    <mergeCell ref="A6:AF6"/>
  </mergeCells>
  <conditionalFormatting sqref="A42:A59">
    <cfRule type="iconSet" priority="2">
      <iconSet iconSet="3Symbols" showValue="0">
        <cfvo type="percent" val="0"/>
        <cfvo type="num" val="-1"/>
        <cfvo type="num" val="1"/>
      </iconSet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F272C-BA62-4E66-A8D8-BFC17F650E70}">
  <dimension ref="A1:BH2789"/>
  <sheetViews>
    <sheetView workbookViewId="0">
      <pane ySplit="2" topLeftCell="A3" activePane="bottomLeft" state="frozen"/>
      <selection pane="bottomLeft" activeCell="D420" sqref="D420"/>
    </sheetView>
  </sheetViews>
  <sheetFormatPr baseColWidth="10" defaultRowHeight="15" x14ac:dyDescent="0.25"/>
  <cols>
    <col min="1" max="1" width="10.85546875" style="34" bestFit="1" customWidth="1"/>
    <col min="2" max="2" width="11.5703125" style="39" bestFit="1" customWidth="1"/>
    <col min="3" max="3" width="9.28515625" style="36" bestFit="1" customWidth="1"/>
    <col min="4" max="5" width="9.28515625" style="39" customWidth="1"/>
    <col min="6" max="6" width="9.28515625" style="11" customWidth="1"/>
    <col min="7" max="7" width="10.85546875" style="34" bestFit="1" customWidth="1"/>
    <col min="8" max="8" width="11.5703125" style="35" bestFit="1" customWidth="1"/>
    <col min="9" max="9" width="9.28515625" style="36" bestFit="1" customWidth="1"/>
    <col min="10" max="10" width="10.85546875" style="34" bestFit="1" customWidth="1"/>
    <col min="11" max="11" width="11.5703125" style="35" bestFit="1" customWidth="1"/>
    <col min="12" max="12" width="9.28515625" style="36" bestFit="1" customWidth="1"/>
    <col min="13" max="13" width="10.85546875" style="34" bestFit="1" customWidth="1"/>
    <col min="14" max="14" width="11.5703125" style="35" bestFit="1" customWidth="1"/>
    <col min="15" max="15" width="9.28515625" style="36" bestFit="1" customWidth="1"/>
    <col min="16" max="16" width="10.85546875" bestFit="1" customWidth="1"/>
    <col min="17" max="17" width="11.5703125" bestFit="1" customWidth="1"/>
    <col min="18" max="18" width="9.28515625" style="33" bestFit="1" customWidth="1"/>
    <col min="19" max="19" width="10.85546875" style="34" bestFit="1" customWidth="1"/>
    <col min="20" max="20" width="11.5703125" style="35" bestFit="1" customWidth="1"/>
    <col min="21" max="21" width="9.28515625" style="36" bestFit="1" customWidth="1"/>
    <col min="22" max="22" width="10.85546875" bestFit="1" customWidth="1"/>
    <col min="23" max="23" width="11.5703125" bestFit="1" customWidth="1"/>
    <col min="24" max="24" width="9.28515625" style="33" bestFit="1" customWidth="1"/>
    <col min="25" max="25" width="10.85546875" style="34" bestFit="1" customWidth="1"/>
    <col min="26" max="26" width="11.5703125" style="35" bestFit="1" customWidth="1"/>
    <col min="27" max="27" width="9.28515625" style="36" bestFit="1" customWidth="1"/>
    <col min="28" max="28" width="7.42578125" bestFit="1" customWidth="1"/>
    <col min="29" max="29" width="11.5703125" bestFit="1" customWidth="1"/>
    <col min="30" max="30" width="9.28515625" style="33" bestFit="1" customWidth="1"/>
    <col min="31" max="31" width="7.42578125" style="34" bestFit="1" customWidth="1"/>
    <col min="32" max="32" width="11.5703125" style="39" bestFit="1" customWidth="1"/>
    <col min="33" max="33" width="9.28515625" style="38" bestFit="1" customWidth="1"/>
    <col min="34" max="34" width="10.85546875" bestFit="1" customWidth="1"/>
    <col min="35" max="35" width="11.5703125" style="44" bestFit="1" customWidth="1"/>
    <col min="36" max="36" width="9.28515625" style="33" bestFit="1" customWidth="1"/>
    <col min="37" max="37" width="10.85546875" style="34" bestFit="1" customWidth="1"/>
    <col min="38" max="38" width="11.5703125" style="39" bestFit="1" customWidth="1"/>
    <col min="39" max="39" width="9.28515625" style="36" bestFit="1" customWidth="1"/>
    <col min="40" max="40" width="10.85546875" bestFit="1" customWidth="1"/>
    <col min="41" max="41" width="11.5703125" style="44" bestFit="1" customWidth="1"/>
    <col min="42" max="42" width="9.28515625" style="33" bestFit="1" customWidth="1"/>
    <col min="43" max="43" width="10.85546875" style="34" bestFit="1" customWidth="1"/>
    <col min="44" max="44" width="11.5703125" style="39" bestFit="1" customWidth="1"/>
    <col min="45" max="45" width="9.28515625" style="36" bestFit="1" customWidth="1"/>
    <col min="46" max="46" width="7.42578125" bestFit="1" customWidth="1"/>
    <col min="47" max="47" width="11.5703125" style="44" bestFit="1" customWidth="1"/>
    <col min="48" max="48" width="9.28515625" style="33" bestFit="1" customWidth="1"/>
    <col min="49" max="49" width="7.42578125" style="34" bestFit="1" customWidth="1"/>
    <col min="50" max="50" width="11.5703125" style="39" bestFit="1" customWidth="1"/>
    <col min="51" max="51" width="9.28515625" style="36" bestFit="1" customWidth="1"/>
    <col min="52" max="52" width="7.42578125" bestFit="1" customWidth="1"/>
    <col min="53" max="53" width="11.5703125" style="44" bestFit="1" customWidth="1"/>
    <col min="54" max="54" width="9.28515625" style="33" bestFit="1" customWidth="1"/>
    <col min="55" max="55" width="7.42578125" style="34" bestFit="1" customWidth="1"/>
    <col min="56" max="56" width="11.5703125" style="39" bestFit="1" customWidth="1"/>
    <col min="57" max="57" width="9.28515625" style="36" bestFit="1" customWidth="1"/>
    <col min="58" max="58" width="7.42578125" style="34" bestFit="1" customWidth="1"/>
    <col min="59" max="59" width="11.5703125" style="39" bestFit="1" customWidth="1"/>
    <col min="60" max="60" width="9.28515625" style="36" bestFit="1" customWidth="1"/>
  </cols>
  <sheetData>
    <row r="1" spans="1:60" s="30" customFormat="1" ht="18.75" x14ac:dyDescent="0.3">
      <c r="A1" s="154" t="s">
        <v>16</v>
      </c>
      <c r="B1" s="155"/>
      <c r="C1" s="156"/>
      <c r="D1" s="154" t="s">
        <v>56</v>
      </c>
      <c r="E1" s="155"/>
      <c r="F1" s="156"/>
      <c r="G1" s="154" t="str">
        <f>IF(Summary!B3 = "", "", Summary!B3)</f>
        <v>VTRS</v>
      </c>
      <c r="H1" s="155"/>
      <c r="I1" s="156"/>
      <c r="J1" s="154" t="str">
        <f>IF(Summary!B4 = "", "", Summary!B4)</f>
        <v>XPO</v>
      </c>
      <c r="K1" s="155"/>
      <c r="L1" s="156"/>
      <c r="M1" s="154" t="str">
        <f>IF(Summary!B5 = "", "", Summary!B5)</f>
        <v>MOS</v>
      </c>
      <c r="N1" s="155"/>
      <c r="O1" s="156"/>
      <c r="P1" s="155" t="str">
        <f>IF(Summary!B6 = "", "", Summary!B6)</f>
        <v>PPL</v>
      </c>
      <c r="Q1" s="155"/>
      <c r="R1" s="155"/>
      <c r="S1" s="154" t="str">
        <f>IF(Summary!B7 = "", "", Summary!B7)</f>
        <v>TTEC</v>
      </c>
      <c r="T1" s="155"/>
      <c r="U1" s="156"/>
      <c r="V1" s="155" t="str">
        <f>IF(Summary!B8 = "", "", Summary!B8)</f>
        <v>WING</v>
      </c>
      <c r="W1" s="155"/>
      <c r="X1" s="155"/>
      <c r="Y1" s="154" t="str">
        <f>IF(Summary!B9 = "", "", Summary!B9)</f>
        <v>OLED</v>
      </c>
      <c r="Z1" s="155"/>
      <c r="AA1" s="156"/>
      <c r="AB1" s="159" t="str">
        <f>IF(Summary!B10 = "", "", Summary!B10)</f>
        <v/>
      </c>
      <c r="AC1" s="159"/>
      <c r="AD1" s="159"/>
      <c r="AE1" s="154" t="str">
        <f>IF(Summary!B11 = "", "", Summary!B11)</f>
        <v/>
      </c>
      <c r="AF1" s="155"/>
      <c r="AG1" s="156"/>
      <c r="AH1" s="157" t="str">
        <f>IF(Summary!B15 = "", "", Summary!B15)</f>
        <v>LVS</v>
      </c>
      <c r="AI1" s="158"/>
      <c r="AJ1" s="158"/>
      <c r="AK1" s="154" t="str">
        <f>IF(Summary!B16 = "", "", Summary!B16)</f>
        <v>BBY</v>
      </c>
      <c r="AL1" s="155"/>
      <c r="AM1" s="156"/>
      <c r="AN1" s="155" t="str">
        <f>IF(Summary!B17 = "", "", Summary!B17)</f>
        <v>LEN</v>
      </c>
      <c r="AO1" s="155"/>
      <c r="AP1" s="155"/>
      <c r="AQ1" s="154" t="str">
        <f>IF(Summary!B18 = "", "", Summary!B18)</f>
        <v>SPLK</v>
      </c>
      <c r="AR1" s="155"/>
      <c r="AS1" s="156"/>
      <c r="AT1" s="155" t="str">
        <f>IF(Summary!B19 = "", "", Summary!B19)</f>
        <v/>
      </c>
      <c r="AU1" s="155"/>
      <c r="AV1" s="155"/>
      <c r="AW1" s="154" t="str">
        <f>IF(Summary!B20 = "", "", Summary!B20)</f>
        <v/>
      </c>
      <c r="AX1" s="155"/>
      <c r="AY1" s="156"/>
      <c r="AZ1" s="155" t="str">
        <f>IF(Summary!B21 = "", "", Summary!B21)</f>
        <v/>
      </c>
      <c r="BA1" s="155"/>
      <c r="BB1" s="155"/>
      <c r="BC1" s="154" t="str">
        <f>IF(Summary!B22 = "", "", Summary!B22)</f>
        <v/>
      </c>
      <c r="BD1" s="155"/>
      <c r="BE1" s="156"/>
      <c r="BF1" s="154" t="str">
        <f>IF(Summary!B23 = "", "", Summary!B23)</f>
        <v/>
      </c>
      <c r="BG1" s="155"/>
      <c r="BH1" s="156"/>
    </row>
    <row r="2" spans="1:60" ht="15.75" thickBot="1" x14ac:dyDescent="0.3">
      <c r="A2" s="160" t="s">
        <v>14</v>
      </c>
      <c r="B2" s="161" t="s">
        <v>15</v>
      </c>
      <c r="C2" s="162" t="s">
        <v>17</v>
      </c>
      <c r="D2" s="161" t="s">
        <v>53</v>
      </c>
      <c r="E2" s="161" t="s">
        <v>54</v>
      </c>
      <c r="F2" s="163" t="s">
        <v>55</v>
      </c>
      <c r="G2" s="18" t="s">
        <v>14</v>
      </c>
      <c r="H2" s="19" t="s">
        <v>15</v>
      </c>
      <c r="I2" s="40" t="s">
        <v>17</v>
      </c>
      <c r="J2" s="18" t="s">
        <v>14</v>
      </c>
      <c r="K2" s="19" t="s">
        <v>15</v>
      </c>
      <c r="L2" s="40" t="s">
        <v>17</v>
      </c>
      <c r="M2" s="18" t="s">
        <v>14</v>
      </c>
      <c r="N2" s="19" t="s">
        <v>15</v>
      </c>
      <c r="O2" s="40" t="s">
        <v>17</v>
      </c>
      <c r="P2" s="19" t="s">
        <v>14</v>
      </c>
      <c r="Q2" s="19" t="s">
        <v>15</v>
      </c>
      <c r="R2" s="17" t="s">
        <v>17</v>
      </c>
      <c r="S2" s="18" t="s">
        <v>14</v>
      </c>
      <c r="T2" s="19" t="s">
        <v>15</v>
      </c>
      <c r="U2" s="40" t="s">
        <v>17</v>
      </c>
      <c r="V2" s="19" t="s">
        <v>14</v>
      </c>
      <c r="W2" s="19" t="s">
        <v>15</v>
      </c>
      <c r="X2" s="17" t="s">
        <v>17</v>
      </c>
      <c r="Y2" s="18" t="s">
        <v>14</v>
      </c>
      <c r="Z2" s="19" t="s">
        <v>15</v>
      </c>
      <c r="AA2" s="40" t="s">
        <v>17</v>
      </c>
      <c r="AB2" s="19" t="s">
        <v>14</v>
      </c>
      <c r="AC2" s="19" t="s">
        <v>15</v>
      </c>
      <c r="AD2" s="17" t="s">
        <v>17</v>
      </c>
      <c r="AE2" s="18" t="s">
        <v>14</v>
      </c>
      <c r="AF2" s="20" t="s">
        <v>15</v>
      </c>
      <c r="AG2" s="19" t="s">
        <v>17</v>
      </c>
      <c r="AH2" s="19" t="s">
        <v>14</v>
      </c>
      <c r="AI2" s="20" t="s">
        <v>15</v>
      </c>
      <c r="AJ2" s="17" t="s">
        <v>17</v>
      </c>
      <c r="AK2" s="18" t="s">
        <v>14</v>
      </c>
      <c r="AL2" s="20" t="s">
        <v>15</v>
      </c>
      <c r="AM2" s="40" t="s">
        <v>17</v>
      </c>
      <c r="AN2" s="19" t="s">
        <v>14</v>
      </c>
      <c r="AO2" s="20" t="s">
        <v>15</v>
      </c>
      <c r="AP2" s="17" t="s">
        <v>17</v>
      </c>
      <c r="AQ2" s="18" t="s">
        <v>14</v>
      </c>
      <c r="AR2" s="20" t="s">
        <v>15</v>
      </c>
      <c r="AS2" s="40" t="s">
        <v>17</v>
      </c>
      <c r="AT2" s="19" t="s">
        <v>14</v>
      </c>
      <c r="AU2" s="20" t="s">
        <v>15</v>
      </c>
      <c r="AV2" s="17" t="s">
        <v>17</v>
      </c>
      <c r="AW2" s="18" t="s">
        <v>14</v>
      </c>
      <c r="AX2" s="20" t="s">
        <v>15</v>
      </c>
      <c r="AY2" s="40" t="s">
        <v>17</v>
      </c>
      <c r="AZ2" s="19" t="s">
        <v>14</v>
      </c>
      <c r="BA2" s="20" t="s">
        <v>15</v>
      </c>
      <c r="BB2" s="17" t="s">
        <v>17</v>
      </c>
      <c r="BC2" s="18" t="s">
        <v>14</v>
      </c>
      <c r="BD2" s="20" t="s">
        <v>15</v>
      </c>
      <c r="BE2" s="40" t="s">
        <v>17</v>
      </c>
      <c r="BF2" s="18" t="s">
        <v>14</v>
      </c>
      <c r="BG2" s="20" t="s">
        <v>15</v>
      </c>
      <c r="BH2" s="40" t="s">
        <v>17</v>
      </c>
    </row>
    <row r="3" spans="1:60" x14ac:dyDescent="0.25">
      <c r="A3" s="37">
        <v>45076</v>
      </c>
      <c r="B3" s="39">
        <v>4221.0498049999997</v>
      </c>
      <c r="C3" s="36">
        <f>IF(ISBLANK(B4), "", GSPC[[#This Row],[Adj Close]]/B4-1)</f>
        <v>3.7093793236562256E-3</v>
      </c>
      <c r="D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53955.486302999998</v>
      </c>
      <c r="E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36026.073638000002</v>
      </c>
      <c r="F3" s="11">
        <f>IF(ISBLANK(GSPC[[#This Row],[Long Exp.]]), "", (GSPC[[#This Row],[Long Exp.]]/D4-1)+(E4/GSPC[[#This Row],[Short Exp.]]-1))</f>
        <v>6.1424887251457783E-3</v>
      </c>
      <c r="G3" s="37">
        <v>45076</v>
      </c>
      <c r="H3" s="44">
        <v>9.0950000000000006</v>
      </c>
      <c r="I3" s="36">
        <f>IF(ISBLANK(H4), "", Long0[[#This Row],[Adj Close]]/H4-1)</f>
        <v>1.1166637260006551E-2</v>
      </c>
      <c r="J3" s="37">
        <v>45076</v>
      </c>
      <c r="K3" s="44">
        <v>48.77</v>
      </c>
      <c r="L3" s="36">
        <f>IF(ISBLANK(K4),"",Long1[[#This Row],[Adj Close]]/K4-1)</f>
        <v>8.6867014968645684E-3</v>
      </c>
      <c r="M3" s="37">
        <v>45076</v>
      </c>
      <c r="N3" s="44">
        <v>33.389301000000003</v>
      </c>
      <c r="O3" s="36">
        <f>IF(ISBLANK(N4),"",Long2[[#This Row],[Adj Close]]/N4-1)</f>
        <v>-1.4774211117563052E-2</v>
      </c>
      <c r="P3" s="29">
        <v>45076</v>
      </c>
      <c r="Q3" s="44">
        <v>26.16</v>
      </c>
      <c r="R3" s="33">
        <f>IF(ISBLANK(Q4),"",Long3[[#This Row],[Adj Close]]/Q4-1)</f>
        <v>5.7670126874278527E-3</v>
      </c>
      <c r="S3" s="37">
        <v>45076</v>
      </c>
      <c r="T3" s="44">
        <v>32.229999999999997</v>
      </c>
      <c r="U3" s="36">
        <f>IF(ISBLANK(T4),"",Long4[[#This Row],[Adj Close]]/T4-1)</f>
        <v>2.1766169154229242E-3</v>
      </c>
      <c r="V3" s="29">
        <v>45076</v>
      </c>
      <c r="W3" s="44">
        <v>204.66000399999999</v>
      </c>
      <c r="X3" s="33">
        <f>IF(ISBLANK(W4),"",Long5[[#This Row],[Adj Close]]/W4-1)</f>
        <v>1.9375404305914001E-2</v>
      </c>
      <c r="Y3" s="37">
        <v>45076</v>
      </c>
      <c r="Z3" s="44">
        <v>156.240005</v>
      </c>
      <c r="AA3" s="36">
        <f>IF(ISBLANK(Z4),"",Long6[[#This Row],[Adj Close]]/Z4-1)</f>
        <v>1.5072810746788123E-2</v>
      </c>
      <c r="AB3" s="120" t="s">
        <v>18</v>
      </c>
      <c r="AC3" s="120" t="s">
        <v>18</v>
      </c>
      <c r="AD3" s="33" t="str">
        <f>IF(ISBLANK(AC4),"",Long7[[#This Row],[Adj Close]]/AC4-1)</f>
        <v/>
      </c>
      <c r="AE3" s="34" t="s">
        <v>18</v>
      </c>
      <c r="AF3" s="39" t="s">
        <v>18</v>
      </c>
      <c r="AG3" s="35" t="str">
        <f>IF(ISBLANK(AF4),"",Long8[[#This Row],[Adj Close]]/WAC-1)</f>
        <v/>
      </c>
      <c r="AH3" s="29">
        <v>45076</v>
      </c>
      <c r="AI3" s="44">
        <v>55.959999000000003</v>
      </c>
      <c r="AJ3" s="33">
        <f>IF(ISBLANK(AI4),"",Short0[[#This Row],[Adj Close]]/AI4-1)</f>
        <v>-6.9210117806924876E-3</v>
      </c>
      <c r="AK3" s="37">
        <v>45076</v>
      </c>
      <c r="AL3" s="44">
        <v>74.25</v>
      </c>
      <c r="AM3" s="36">
        <f>IF(ISBLANK(AL4),"",Short1[[#This Row],[Adj Close]]/AL4-1)</f>
        <v>-1.0763083256744022E-3</v>
      </c>
      <c r="AN3" s="29">
        <v>45076</v>
      </c>
      <c r="AO3" s="44">
        <v>108.029999</v>
      </c>
      <c r="AP3" s="33">
        <f>IF(ISBLANK(AO4),"",Short2[[#This Row],[Adj Close]]/AO4-1)</f>
        <v>5.3978782335377673E-3</v>
      </c>
      <c r="AQ3" s="37">
        <v>45076</v>
      </c>
      <c r="AR3" s="44">
        <v>100.356903</v>
      </c>
      <c r="AS3" s="36">
        <f>IF(ISBLANK(AR4),"",Short3[[#This Row],[Adj Close]]/AR4-1)</f>
        <v>7.8017773086609399E-3</v>
      </c>
      <c r="AT3" s="120" t="s">
        <v>18</v>
      </c>
      <c r="AU3" s="120" t="s">
        <v>18</v>
      </c>
      <c r="AV3" s="33" t="str">
        <f>IF(ISBLANK(AU4),"",Short4[[#This Row],[Adj Close]]/AU4-1)</f>
        <v/>
      </c>
      <c r="AW3" s="121" t="s">
        <v>18</v>
      </c>
      <c r="AX3" s="122" t="s">
        <v>18</v>
      </c>
      <c r="AY3" s="36" t="str">
        <f>IF(ISBLANK(AX4),"",Short5[[#This Row],[Adj Close]]/AX4-1)</f>
        <v/>
      </c>
      <c r="AZ3" s="120" t="s">
        <v>18</v>
      </c>
      <c r="BA3" s="120" t="s">
        <v>18</v>
      </c>
      <c r="BB3" s="33" t="str">
        <f>IF(ISBLANK(BA4),"",Short6[[#This Row],[Adj Close]]/BA4-1)</f>
        <v/>
      </c>
      <c r="BC3" s="121" t="s">
        <v>18</v>
      </c>
      <c r="BD3" s="122" t="s">
        <v>18</v>
      </c>
      <c r="BE3" s="36" t="str">
        <f>IF(ISBLANK(BD4),"",Short7[[#This Row],[Adj Close]]/BD4-1)</f>
        <v/>
      </c>
      <c r="BF3" s="34" t="s">
        <v>18</v>
      </c>
      <c r="BG3" s="39" t="s">
        <v>18</v>
      </c>
      <c r="BH3" s="36" t="str">
        <f>IF(ISBLANK(BG4),"",Short8[[#This Row],[Adj Close]]/BG4-1)</f>
        <v/>
      </c>
    </row>
    <row r="4" spans="1:60" x14ac:dyDescent="0.25">
      <c r="A4" s="37">
        <v>45068</v>
      </c>
      <c r="B4" s="39">
        <v>4205.4501950000003</v>
      </c>
      <c r="C4" s="36">
        <f>IF(ISBLANK(B5), "", GSPC[[#This Row],[Adj Close]]/B5-1)</f>
        <v>3.2133299930503512E-3</v>
      </c>
      <c r="D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53545.986916000009</v>
      </c>
      <c r="E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35971.849649999996</v>
      </c>
      <c r="F4" s="11">
        <f>IF(ISBLANK(GSPC[[#This Row],[Long Exp.]]), "", (GSPC[[#This Row],[Long Exp.]]/D5-1)+(E5/GSPC[[#This Row],[Short Exp.]]-1))</f>
        <v>-3.4137522207514648E-3</v>
      </c>
      <c r="G4" s="37">
        <v>45068</v>
      </c>
      <c r="H4" s="44">
        <v>8.9945609999999991</v>
      </c>
      <c r="I4" s="36">
        <f>IF(ISBLANK(H5), "", Long0[[#This Row],[Adj Close]]/H5-1)</f>
        <v>-2.3579931509392305E-2</v>
      </c>
      <c r="J4" s="37">
        <v>45068</v>
      </c>
      <c r="K4" s="44">
        <v>48.349997999999999</v>
      </c>
      <c r="L4" s="36">
        <f>IF(ISBLANK(K5),"",Long1[[#This Row],[Adj Close]]/K5-1)</f>
        <v>3.0038326161873075E-2</v>
      </c>
      <c r="M4" s="37">
        <v>45068</v>
      </c>
      <c r="N4" s="44">
        <v>33.889999000000003</v>
      </c>
      <c r="O4" s="36">
        <f>IF(ISBLANK(N5),"",Long2[[#This Row],[Adj Close]]/N5-1)</f>
        <v>-5.2293039837418287E-2</v>
      </c>
      <c r="P4" s="29">
        <v>45068</v>
      </c>
      <c r="Q4" s="44">
        <v>26.01</v>
      </c>
      <c r="R4" s="33">
        <f>IF(ISBLANK(Q5),"",Long3[[#This Row],[Adj Close]]/Q5-1)</f>
        <v>-3.8802625232913002E-2</v>
      </c>
      <c r="S4" s="37">
        <v>45068</v>
      </c>
      <c r="T4" s="44">
        <v>32.159999999999997</v>
      </c>
      <c r="U4" s="36">
        <f>IF(ISBLANK(T5),"",Long4[[#This Row],[Adj Close]]/T5-1)</f>
        <v>-4.399521533874029E-2</v>
      </c>
      <c r="V4" s="29">
        <v>45068</v>
      </c>
      <c r="W4" s="44">
        <v>200.770004</v>
      </c>
      <c r="X4" s="33">
        <f>IF(ISBLANK(W5),"",Long5[[#This Row],[Adj Close]]/W5-1)</f>
        <v>-2.7969171038501606E-2</v>
      </c>
      <c r="Y4" s="37">
        <v>45068</v>
      </c>
      <c r="Z4" s="44">
        <v>153.91999799999999</v>
      </c>
      <c r="AA4" s="36">
        <f>IF(ISBLANK(Z5),"",Long6[[#This Row],[Adj Close]]/Z5-1)</f>
        <v>2.2792164835133022E-2</v>
      </c>
      <c r="AH4" s="29">
        <v>45068</v>
      </c>
      <c r="AI4" s="44">
        <v>56.349997999999999</v>
      </c>
      <c r="AJ4" s="33">
        <f>IF(ISBLANK(AI5),"",Short0[[#This Row],[Adj Close]]/AI5-1)</f>
        <v>-6.8441128502525039E-2</v>
      </c>
      <c r="AK4" s="37">
        <v>45068</v>
      </c>
      <c r="AL4" s="44">
        <v>74.330001999999993</v>
      </c>
      <c r="AM4" s="36">
        <f>IF(ISBLANK(AL5),"",Short1[[#This Row],[Adj Close]]/AL5-1)</f>
        <v>5.38778258028898E-2</v>
      </c>
      <c r="AN4" s="29">
        <v>45068</v>
      </c>
      <c r="AO4" s="44">
        <v>107.449997</v>
      </c>
      <c r="AP4" s="33">
        <f>IF(ISBLANK(AO5),"",Short2[[#This Row],[Adj Close]]/AO5-1)</f>
        <v>-5.4054047153941243E-2</v>
      </c>
      <c r="AQ4" s="37">
        <v>45068</v>
      </c>
      <c r="AR4" s="44">
        <v>99.580001999999993</v>
      </c>
      <c r="AS4" s="36">
        <f>IF(ISBLANK(AR5),"",Short3[[#This Row],[Adj Close]]/AR5-1)</f>
        <v>3.4812417079525648E-2</v>
      </c>
    </row>
    <row r="5" spans="1:60" x14ac:dyDescent="0.25">
      <c r="A5" s="37">
        <v>45061</v>
      </c>
      <c r="B5" s="39">
        <v>4191.9799800000001</v>
      </c>
      <c r="C5" s="36">
        <f>IF(ISBLANK(B6), "", GSPC[[#This Row],[Adj Close]]/B6-1)</f>
        <v>1.6464254019269431E-2</v>
      </c>
      <c r="D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54963.927266000006</v>
      </c>
      <c r="E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36777.039981000002</v>
      </c>
      <c r="F5" s="11">
        <f>IF(ISBLANK(GSPC[[#This Row],[Long Exp.]]), "", (GSPC[[#This Row],[Long Exp.]]/D6-1)+(E6/GSPC[[#This Row],[Short Exp.]]-1))</f>
        <v>-1.8178280953743409E-2</v>
      </c>
      <c r="G5" s="37">
        <v>45061</v>
      </c>
      <c r="H5" s="44">
        <v>9.2117740000000001</v>
      </c>
      <c r="I5" s="36">
        <f>IF(ISBLANK(H6), "", Long0[[#This Row],[Adj Close]]/H6-1)</f>
        <v>5.3879946612283014E-3</v>
      </c>
      <c r="J5" s="37">
        <v>45061</v>
      </c>
      <c r="K5" s="44">
        <v>46.939999</v>
      </c>
      <c r="L5" s="36">
        <f>IF(ISBLANK(K6),"",Long1[[#This Row],[Adj Close]]/K6-1)</f>
        <v>2.1349060631938865E-3</v>
      </c>
      <c r="M5" s="37">
        <v>45061</v>
      </c>
      <c r="N5" s="44">
        <v>35.759998000000003</v>
      </c>
      <c r="O5" s="36">
        <f>IF(ISBLANK(N6),"",Long2[[#This Row],[Adj Close]]/N6-1)</f>
        <v>1.1598303343610006E-2</v>
      </c>
      <c r="P5" s="29">
        <v>45061</v>
      </c>
      <c r="Q5" s="44">
        <v>27.059999000000001</v>
      </c>
      <c r="R5" s="33">
        <f>IF(ISBLANK(Q6),"",Long3[[#This Row],[Adj Close]]/Q6-1)</f>
        <v>-4.8857713572663775E-2</v>
      </c>
      <c r="S5" s="37">
        <v>45061</v>
      </c>
      <c r="T5" s="44">
        <v>33.639999000000003</v>
      </c>
      <c r="U5" s="36">
        <f>IF(ISBLANK(T6),"",Long4[[#This Row],[Adj Close]]/T6-1)</f>
        <v>2.0321443120368654E-2</v>
      </c>
      <c r="V5" s="29">
        <v>45061</v>
      </c>
      <c r="W5" s="44">
        <v>206.54695100000001</v>
      </c>
      <c r="X5" s="33">
        <f>IF(ISBLANK(W6),"",Long5[[#This Row],[Adj Close]]/W6-1)</f>
        <v>-3.2303101757561459E-3</v>
      </c>
      <c r="Y5" s="37">
        <v>45061</v>
      </c>
      <c r="Z5" s="44">
        <v>150.490005</v>
      </c>
      <c r="AA5" s="36">
        <f>IF(ISBLANK(Z6),"",Long6[[#This Row],[Adj Close]]/Z6-1)</f>
        <v>0.10063635926676984</v>
      </c>
      <c r="AH5" s="29">
        <v>45061</v>
      </c>
      <c r="AI5" s="44">
        <v>60.490001999999997</v>
      </c>
      <c r="AJ5" s="33">
        <f>IF(ISBLANK(AI6),"",Short0[[#This Row],[Adj Close]]/AI6-1)</f>
        <v>6.1544079533333296E-3</v>
      </c>
      <c r="AK5" s="37">
        <v>45061</v>
      </c>
      <c r="AL5" s="44">
        <v>70.529999000000004</v>
      </c>
      <c r="AM5" s="36">
        <f>IF(ISBLANK(AL6),"",Short1[[#This Row],[Adj Close]]/AL6-1)</f>
        <v>-1.6729456988869629E-2</v>
      </c>
      <c r="AN5" s="29">
        <v>45061</v>
      </c>
      <c r="AO5" s="44">
        <v>113.589996</v>
      </c>
      <c r="AP5" s="33">
        <f>IF(ISBLANK(AO6),"",Short2[[#This Row],[Adj Close]]/AO6-1)</f>
        <v>3.1793075197570353E-3</v>
      </c>
      <c r="AQ5" s="37">
        <v>45061</v>
      </c>
      <c r="AR5" s="44">
        <v>96.230002999999996</v>
      </c>
      <c r="AS5" s="36">
        <f>IF(ISBLANK(AR6),"",Short3[[#This Row],[Adj Close]]/AR6-1)</f>
        <v>0.13425279982332849</v>
      </c>
    </row>
    <row r="6" spans="1:60" x14ac:dyDescent="0.25">
      <c r="A6" s="37">
        <v>45054</v>
      </c>
      <c r="B6" s="39">
        <v>4124.080078</v>
      </c>
      <c r="C6" s="36">
        <f>IF(ISBLANK(B7), "", GSPC[[#This Row],[Adj Close]]/B7-1)</f>
        <v>-2.9422597763675284E-3</v>
      </c>
      <c r="D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54732.780315999997</v>
      </c>
      <c r="E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35953.180175000001</v>
      </c>
      <c r="F6" s="11">
        <f>IF(ISBLANK(GSPC[[#This Row],[Long Exp.]]), "", (GSPC[[#This Row],[Long Exp.]]/D7-1)+(E7/GSPC[[#This Row],[Short Exp.]]-1))</f>
        <v>-1.5300508584559558E-2</v>
      </c>
      <c r="G6" s="37">
        <v>45054</v>
      </c>
      <c r="H6" s="44">
        <v>9.162407</v>
      </c>
      <c r="I6" s="36">
        <f>IF(ISBLANK(H7), "", Long0[[#This Row],[Adj Close]]/H7-1)</f>
        <v>0</v>
      </c>
      <c r="J6" s="37">
        <v>45054</v>
      </c>
      <c r="K6" s="44">
        <v>46.84</v>
      </c>
      <c r="L6" s="36">
        <f>IF(ISBLANK(K7),"",Long1[[#This Row],[Adj Close]]/K7-1)</f>
        <v>-2.2129477155345412E-2</v>
      </c>
      <c r="M6" s="37">
        <v>45054</v>
      </c>
      <c r="N6" s="44">
        <v>35.349997999999999</v>
      </c>
      <c r="O6" s="36">
        <f>IF(ISBLANK(N7),"",Long2[[#This Row],[Adj Close]]/N7-1)</f>
        <v>-9.6139169109200395E-2</v>
      </c>
      <c r="P6" s="29">
        <v>45054</v>
      </c>
      <c r="Q6" s="44">
        <v>28.450001</v>
      </c>
      <c r="R6" s="33">
        <f>IF(ISBLANK(Q7),"",Long3[[#This Row],[Adj Close]]/Q7-1)</f>
        <v>-1.0434747826086999E-2</v>
      </c>
      <c r="S6" s="37">
        <v>45054</v>
      </c>
      <c r="T6" s="44">
        <v>32.970001000000003</v>
      </c>
      <c r="U6" s="36">
        <f>IF(ISBLANK(T7),"",Long4[[#This Row],[Adj Close]]/T7-1)</f>
        <v>-2.9151885428500779E-2</v>
      </c>
      <c r="V6" s="29">
        <v>45054</v>
      </c>
      <c r="W6" s="44">
        <v>207.21632399999999</v>
      </c>
      <c r="X6" s="33">
        <f>IF(ISBLANK(W7),"",Long5[[#This Row],[Adj Close]]/W7-1)</f>
        <v>-1.3413810840505525E-2</v>
      </c>
      <c r="Y6" s="37">
        <v>45054</v>
      </c>
      <c r="Z6" s="44">
        <v>136.729996</v>
      </c>
      <c r="AA6" s="36">
        <f>IF(ISBLANK(Z7),"",Long6[[#This Row],[Adj Close]]/Z7-1)</f>
        <v>-5.2382758509627037E-3</v>
      </c>
      <c r="AH6" s="29">
        <v>45054</v>
      </c>
      <c r="AI6" s="44">
        <v>60.119999</v>
      </c>
      <c r="AJ6" s="33">
        <f>IF(ISBLANK(AI7),"",Short0[[#This Row],[Adj Close]]/AI7-1)</f>
        <v>-2.4817566104864075E-2</v>
      </c>
      <c r="AK6" s="37">
        <v>45054</v>
      </c>
      <c r="AL6" s="44">
        <v>71.730002999999996</v>
      </c>
      <c r="AM6" s="36">
        <f>IF(ISBLANK(AL7),"",Short1[[#This Row],[Adj Close]]/AL7-1)</f>
        <v>-2.5010153595215412E-2</v>
      </c>
      <c r="AN6" s="29">
        <v>45054</v>
      </c>
      <c r="AO6" s="44">
        <v>113.230003</v>
      </c>
      <c r="AP6" s="33">
        <f>IF(ISBLANK(AO7),"",Short2[[#This Row],[Adj Close]]/AO7-1)</f>
        <v>-1.8511900237802026E-3</v>
      </c>
      <c r="AQ6" s="37">
        <v>45054</v>
      </c>
      <c r="AR6" s="44">
        <v>84.839995999999999</v>
      </c>
      <c r="AS6" s="36">
        <f>IF(ISBLANK(AR7),"",Short3[[#This Row],[Adj Close]]/AR7-1)</f>
        <v>-4.809431085043947E-3</v>
      </c>
    </row>
    <row r="7" spans="1:60" x14ac:dyDescent="0.25">
      <c r="A7" s="37">
        <v>45047</v>
      </c>
      <c r="B7" s="39">
        <v>4136.25</v>
      </c>
      <c r="C7" s="36">
        <f>IF(ISBLANK(B8), "", GSPC[[#This Row],[Adj Close]]/B8-1)</f>
        <v>-7.9698140198288803E-3</v>
      </c>
      <c r="D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56336.516876000002</v>
      </c>
      <c r="E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36426.560561999999</v>
      </c>
      <c r="F7" s="11">
        <f>IF(ISBLANK(GSPC[[#This Row],[Long Exp.]]), "", (GSPC[[#This Row],[Long Exp.]]/D8-1)+(E8/GSPC[[#This Row],[Short Exp.]]-1))</f>
        <v>1.2776390492525991E-2</v>
      </c>
      <c r="G7" s="37">
        <v>45047</v>
      </c>
      <c r="H7" s="44">
        <v>9.162407</v>
      </c>
      <c r="I7" s="36">
        <f>IF(ISBLANK(H8), "", Long0[[#This Row],[Adj Close]]/H8-1)</f>
        <v>-5.3591197526122736E-3</v>
      </c>
      <c r="J7" s="37">
        <v>45047</v>
      </c>
      <c r="K7" s="44">
        <v>47.900002000000001</v>
      </c>
      <c r="L7" s="36">
        <f>IF(ISBLANK(K8),"",Long1[[#This Row],[Adj Close]]/K8-1)</f>
        <v>8.4201041195110848E-2</v>
      </c>
      <c r="M7" s="37">
        <v>45047</v>
      </c>
      <c r="N7" s="44">
        <v>39.110000999999997</v>
      </c>
      <c r="O7" s="36">
        <f>IF(ISBLANK(N8),"",Long2[[#This Row],[Adj Close]]/N8-1)</f>
        <v>-8.7281147597719877E-2</v>
      </c>
      <c r="P7" s="29">
        <v>45047</v>
      </c>
      <c r="Q7" s="44">
        <v>28.75</v>
      </c>
      <c r="R7" s="33">
        <f>IF(ISBLANK(Q8),"",Long3[[#This Row],[Adj Close]]/Q8-1)</f>
        <v>1.0446031004387457E-3</v>
      </c>
      <c r="S7" s="37">
        <v>45047</v>
      </c>
      <c r="T7" s="44">
        <v>33.959999000000003</v>
      </c>
      <c r="U7" s="36">
        <f>IF(ISBLANK(T8),"",Long4[[#This Row],[Adj Close]]/T8-1)</f>
        <v>-3.2286762547695247E-3</v>
      </c>
      <c r="V7" s="29">
        <v>45047</v>
      </c>
      <c r="W7" s="44">
        <v>210.03367600000001</v>
      </c>
      <c r="X7" s="33">
        <f>IF(ISBLANK(W8),"",Long5[[#This Row],[Adj Close]]/W8-1)</f>
        <v>5.0572188432067788E-2</v>
      </c>
      <c r="Y7" s="37">
        <v>45047</v>
      </c>
      <c r="Z7" s="44">
        <v>137.449997</v>
      </c>
      <c r="AA7" s="36">
        <f>IF(ISBLANK(Z8),"",Long6[[#This Row],[Adj Close]]/Z8-1)</f>
        <v>2.9896521734784631E-2</v>
      </c>
      <c r="AH7" s="29">
        <v>45047</v>
      </c>
      <c r="AI7" s="44">
        <v>61.650002000000001</v>
      </c>
      <c r="AJ7" s="33">
        <f>IF(ISBLANK(AI8),"",Short0[[#This Row],[Adj Close]]/AI8-1)</f>
        <v>-3.4455694109810309E-2</v>
      </c>
      <c r="AK7" s="37">
        <v>45047</v>
      </c>
      <c r="AL7" s="44">
        <v>73.569999999999993</v>
      </c>
      <c r="AM7" s="36">
        <f>IF(ISBLANK(AL8),"",Short1[[#This Row],[Adj Close]]/AL8-1)</f>
        <v>-1.2748215757443115E-2</v>
      </c>
      <c r="AN7" s="29">
        <v>45047</v>
      </c>
      <c r="AO7" s="44">
        <v>113.44000200000001</v>
      </c>
      <c r="AP7" s="33">
        <f>IF(ISBLANK(AO8),"",Short2[[#This Row],[Adj Close]]/AO8-1)</f>
        <v>8.9589397478264665E-3</v>
      </c>
      <c r="AQ7" s="37">
        <v>45047</v>
      </c>
      <c r="AR7" s="44">
        <v>85.25</v>
      </c>
      <c r="AS7" s="36">
        <f>IF(ISBLANK(AR8),"",Short3[[#This Row],[Adj Close]]/AR8-1)</f>
        <v>-1.1479568911863858E-2</v>
      </c>
    </row>
    <row r="8" spans="1:60" x14ac:dyDescent="0.25">
      <c r="A8" s="37">
        <v>45040</v>
      </c>
      <c r="B8" s="39">
        <v>4169.4799800000001</v>
      </c>
      <c r="C8" s="36">
        <f>IF(ISBLANK(B9), "", GSPC[[#This Row],[Adj Close]]/B9-1)</f>
        <v>8.6995973954422379E-3</v>
      </c>
      <c r="D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56234.642994999995</v>
      </c>
      <c r="E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36825.970684</v>
      </c>
      <c r="F8" s="11">
        <f>IF(ISBLANK(GSPC[[#This Row],[Long Exp.]]), "", (GSPC[[#This Row],[Long Exp.]]/D9-1)+(E9/GSPC[[#This Row],[Short Exp.]]-1))</f>
        <v>-7.9258806645257085E-3</v>
      </c>
      <c r="G8" s="37">
        <v>45040</v>
      </c>
      <c r="H8" s="44">
        <v>9.2117740000000001</v>
      </c>
      <c r="I8" s="36">
        <f>IF(ISBLANK(H9), "", Long0[[#This Row],[Adj Close]]/H9-1)</f>
        <v>-3.3160612734275619E-2</v>
      </c>
      <c r="J8" s="37">
        <v>45040</v>
      </c>
      <c r="K8" s="44">
        <v>44.18</v>
      </c>
      <c r="L8" s="36">
        <f>IF(ISBLANK(K9),"",Long1[[#This Row],[Adj Close]]/K9-1)</f>
        <v>3.6347114947750114E-3</v>
      </c>
      <c r="M8" s="37">
        <v>45040</v>
      </c>
      <c r="N8" s="44">
        <v>42.849997999999999</v>
      </c>
      <c r="O8" s="36">
        <f>IF(ISBLANK(N9),"",Long2[[#This Row],[Adj Close]]/N9-1)</f>
        <v>-2.7241794035001043E-2</v>
      </c>
      <c r="P8" s="29">
        <v>45040</v>
      </c>
      <c r="Q8" s="44">
        <v>28.719999000000001</v>
      </c>
      <c r="R8" s="33">
        <f>IF(ISBLANK(Q9),"",Long3[[#This Row],[Adj Close]]/Q9-1)</f>
        <v>1.0455907617432647E-3</v>
      </c>
      <c r="S8" s="37">
        <v>45040</v>
      </c>
      <c r="T8" s="44">
        <v>34.07</v>
      </c>
      <c r="U8" s="36">
        <f>IF(ISBLANK(T9),"",Long4[[#This Row],[Adj Close]]/T9-1)</f>
        <v>-3.811400554003419E-2</v>
      </c>
      <c r="V8" s="29">
        <v>45040</v>
      </c>
      <c r="W8" s="44">
        <v>199.923126</v>
      </c>
      <c r="X8" s="33">
        <f>IF(ISBLANK(W9),"",Long5[[#This Row],[Adj Close]]/W9-1)</f>
        <v>5.1218716347409154E-2</v>
      </c>
      <c r="Y8" s="37">
        <v>45040</v>
      </c>
      <c r="Z8" s="44">
        <v>133.46000699999999</v>
      </c>
      <c r="AA8" s="36">
        <f>IF(ISBLANK(Z9),"",Long6[[#This Row],[Adj Close]]/Z9-1)</f>
        <v>-5.8416803357668856E-2</v>
      </c>
      <c r="AH8" s="29">
        <v>45040</v>
      </c>
      <c r="AI8" s="44">
        <v>63.849997999999999</v>
      </c>
      <c r="AJ8" s="33">
        <f>IF(ISBLANK(AI9),"",Short0[[#This Row],[Adj Close]]/AI9-1)</f>
        <v>1.2688326926063809E-2</v>
      </c>
      <c r="AK8" s="37">
        <v>45040</v>
      </c>
      <c r="AL8" s="44">
        <v>74.519997000000004</v>
      </c>
      <c r="AM8" s="36">
        <f>IF(ISBLANK(AL9),"",Short1[[#This Row],[Adj Close]]/AL9-1)</f>
        <v>2.4189045514319885E-2</v>
      </c>
      <c r="AN8" s="29">
        <v>45040</v>
      </c>
      <c r="AO8" s="44">
        <v>112.43272399999999</v>
      </c>
      <c r="AP8" s="33">
        <f>IF(ISBLANK(AO9),"",Short2[[#This Row],[Adj Close]]/AO9-1)</f>
        <v>1.4478475865263851E-2</v>
      </c>
      <c r="AQ8" s="37">
        <v>45040</v>
      </c>
      <c r="AR8" s="44">
        <v>86.239998</v>
      </c>
      <c r="AS8" s="36">
        <f>IF(ISBLANK(AR9),"",Short3[[#This Row],[Adj Close]]/AR9-1)</f>
        <v>-5.355580376791691E-2</v>
      </c>
    </row>
    <row r="9" spans="1:60" x14ac:dyDescent="0.25">
      <c r="A9" s="37">
        <v>45033</v>
      </c>
      <c r="B9" s="39">
        <v>4133.5200199999999</v>
      </c>
      <c r="C9" s="36">
        <f>IF(ISBLANK(B10), "", GSPC[[#This Row],[Adj Close]]/B10-1)</f>
        <v>-9.9576494416642181E-4</v>
      </c>
      <c r="D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56489.978392999998</v>
      </c>
      <c r="E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36700.546275999994</v>
      </c>
      <c r="F9" s="11">
        <f>IF(ISBLANK(GSPC[[#This Row],[Long Exp.]]), "", (GSPC[[#This Row],[Long Exp.]]/D10-1)+(E10/GSPC[[#This Row],[Short Exp.]]-1))</f>
        <v>-4.1801066729727721E-2</v>
      </c>
      <c r="G9" s="37">
        <v>45033</v>
      </c>
      <c r="H9" s="44">
        <v>9.5277189999999994</v>
      </c>
      <c r="I9" s="36">
        <f>IF(ISBLANK(H10), "", Long0[[#This Row],[Adj Close]]/H10-1)</f>
        <v>-2.22897422259839E-2</v>
      </c>
      <c r="J9" s="37">
        <v>45033</v>
      </c>
      <c r="K9" s="44">
        <v>44.02</v>
      </c>
      <c r="L9" s="36">
        <f>IF(ISBLANK(K10),"",Long1[[#This Row],[Adj Close]]/K10-1)</f>
        <v>0.32192196161927833</v>
      </c>
      <c r="M9" s="37">
        <v>45033</v>
      </c>
      <c r="N9" s="44">
        <v>44.049999</v>
      </c>
      <c r="O9" s="36">
        <f>IF(ISBLANK(N10),"",Long2[[#This Row],[Adj Close]]/N10-1)</f>
        <v>-6.2566564691782678E-2</v>
      </c>
      <c r="P9" s="29">
        <v>45033</v>
      </c>
      <c r="Q9" s="44">
        <v>28.690000999999999</v>
      </c>
      <c r="R9" s="33">
        <f>IF(ISBLANK(Q10),"",Long3[[#This Row],[Adj Close]]/Q10-1)</f>
        <v>4.2002450122504698E-3</v>
      </c>
      <c r="S9" s="37">
        <v>45033</v>
      </c>
      <c r="T9" s="44">
        <v>35.419998</v>
      </c>
      <c r="U9" s="36">
        <f>IF(ISBLANK(T10),"",Long4[[#This Row],[Adj Close]]/T10-1)</f>
        <v>-3.5140316947434469E-2</v>
      </c>
      <c r="V9" s="29">
        <v>45033</v>
      </c>
      <c r="W9" s="44">
        <v>190.18223599999999</v>
      </c>
      <c r="X9" s="33">
        <f>IF(ISBLANK(W10),"",Long5[[#This Row],[Adj Close]]/W10-1)</f>
        <v>2.6808372906716782E-2</v>
      </c>
      <c r="Y9" s="37">
        <v>45033</v>
      </c>
      <c r="Z9" s="44">
        <v>141.740005</v>
      </c>
      <c r="AA9" s="36">
        <f>IF(ISBLANK(Z10),"",Long6[[#This Row],[Adj Close]]/Z10-1)</f>
        <v>-2.5908804408934283E-2</v>
      </c>
      <c r="AH9" s="29">
        <v>45033</v>
      </c>
      <c r="AI9" s="44">
        <v>63.049999</v>
      </c>
      <c r="AJ9" s="33">
        <f>IF(ISBLANK(AI10),"",Short0[[#This Row],[Adj Close]]/AI10-1)</f>
        <v>8.2403416309012822E-2</v>
      </c>
      <c r="AK9" s="37">
        <v>45033</v>
      </c>
      <c r="AL9" s="44">
        <v>72.760002</v>
      </c>
      <c r="AM9" s="36">
        <f>IF(ISBLANK(AL10),"",Short1[[#This Row],[Adj Close]]/AL10-1)</f>
        <v>-8.449100917788277E-3</v>
      </c>
      <c r="AN9" s="29">
        <v>45033</v>
      </c>
      <c r="AO9" s="44">
        <v>110.828102</v>
      </c>
      <c r="AP9" s="33">
        <f>IF(ISBLANK(AO10),"",Short2[[#This Row],[Adj Close]]/AO10-1)</f>
        <v>5.9047571687415257E-2</v>
      </c>
      <c r="AQ9" s="37">
        <v>45033</v>
      </c>
      <c r="AR9" s="44">
        <v>91.120002999999997</v>
      </c>
      <c r="AS9" s="36">
        <f>IF(ISBLANK(AR10),"",Short3[[#This Row],[Adj Close]]/AR10-1)</f>
        <v>1.3187142857142842E-3</v>
      </c>
    </row>
    <row r="10" spans="1:60" x14ac:dyDescent="0.25">
      <c r="A10" s="37">
        <v>45026</v>
      </c>
      <c r="B10" s="39">
        <v>4137.6401370000003</v>
      </c>
      <c r="C10" s="36">
        <f>IF(ISBLANK(B11), "", GSPC[[#This Row],[Adj Close]]/B11-1)</f>
        <v>7.9463965683657101E-3</v>
      </c>
      <c r="D1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56599.240734000006</v>
      </c>
      <c r="E1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35237.273079999999</v>
      </c>
      <c r="F10" s="11">
        <f>IF(ISBLANK(GSPC[[#This Row],[Long Exp.]]), "", (GSPC[[#This Row],[Long Exp.]]/D11-1)+(E11/GSPC[[#This Row],[Short Exp.]]-1))</f>
        <v>1.8376864167960583E-2</v>
      </c>
      <c r="G10" s="37">
        <v>45026</v>
      </c>
      <c r="H10" s="44">
        <v>9.7449309999999993</v>
      </c>
      <c r="I10" s="36">
        <f>IF(ISBLANK(H11), "", Long0[[#This Row],[Adj Close]]/H11-1)</f>
        <v>-5.0403816587978323E-3</v>
      </c>
      <c r="J10" s="37">
        <v>45026</v>
      </c>
      <c r="K10" s="44">
        <v>33.299999</v>
      </c>
      <c r="L10" s="36">
        <f>IF(ISBLANK(K11),"",Long1[[#This Row],[Adj Close]]/K11-1)</f>
        <v>0.10521075689381854</v>
      </c>
      <c r="M10" s="37">
        <v>45026</v>
      </c>
      <c r="N10" s="44">
        <v>46.990001999999997</v>
      </c>
      <c r="O10" s="36">
        <f>IF(ISBLANK(N11),"",Long2[[#This Row],[Adj Close]]/N11-1)</f>
        <v>7.602482601441829E-2</v>
      </c>
      <c r="P10" s="29">
        <v>45026</v>
      </c>
      <c r="Q10" s="44">
        <v>28.57</v>
      </c>
      <c r="R10" s="33">
        <f>IF(ISBLANK(Q11),"",Long3[[#This Row],[Adj Close]]/Q11-1)</f>
        <v>7.0056044485333757E-4</v>
      </c>
      <c r="S10" s="37">
        <v>45026</v>
      </c>
      <c r="T10" s="44">
        <v>36.709999000000003</v>
      </c>
      <c r="U10" s="36">
        <f>IF(ISBLANK(T11),"",Long4[[#This Row],[Adj Close]]/T11-1)</f>
        <v>-1.0778819434685394E-2</v>
      </c>
      <c r="V10" s="29">
        <v>45026</v>
      </c>
      <c r="W10" s="44">
        <v>185.21687299999999</v>
      </c>
      <c r="X10" s="33">
        <f>IF(ISBLANK(W11),"",Long5[[#This Row],[Adj Close]]/W11-1)</f>
        <v>2.9201092863089473E-2</v>
      </c>
      <c r="Y10" s="37">
        <v>45026</v>
      </c>
      <c r="Z10" s="44">
        <v>145.509995</v>
      </c>
      <c r="AA10" s="36">
        <f>IF(ISBLANK(Z11),"",Long6[[#This Row],[Adj Close]]/Z11-1)</f>
        <v>-3.0837911488197034E-2</v>
      </c>
      <c r="AH10" s="29">
        <v>45026</v>
      </c>
      <c r="AI10" s="44">
        <v>58.25</v>
      </c>
      <c r="AJ10" s="33">
        <f>IF(ISBLANK(AI11),"",Short0[[#This Row],[Adj Close]]/AI11-1)</f>
        <v>2.1750605920035193E-2</v>
      </c>
      <c r="AK10" s="37">
        <v>45026</v>
      </c>
      <c r="AL10" s="44">
        <v>73.379997000000003</v>
      </c>
      <c r="AM10" s="36">
        <f>IF(ISBLANK(AL11),"",Short1[[#This Row],[Adj Close]]/AL11-1)</f>
        <v>-2.2642580643511323E-2</v>
      </c>
      <c r="AN10" s="29">
        <v>45026</v>
      </c>
      <c r="AO10" s="44">
        <v>104.648842</v>
      </c>
      <c r="AP10" s="33">
        <f>IF(ISBLANK(AO11),"",Short2[[#This Row],[Adj Close]]/AO11-1)</f>
        <v>2.8806588650575726E-2</v>
      </c>
      <c r="AQ10" s="37">
        <v>45026</v>
      </c>
      <c r="AR10" s="44">
        <v>91</v>
      </c>
      <c r="AS10" s="36">
        <f>IF(ISBLANK(AR11),"",Short3[[#This Row],[Adj Close]]/AR11-1)</f>
        <v>-3.0057557024088633E-2</v>
      </c>
    </row>
    <row r="11" spans="1:60" x14ac:dyDescent="0.25">
      <c r="A11" s="37">
        <v>45019</v>
      </c>
      <c r="B11" s="39">
        <v>4105.0200199999999</v>
      </c>
      <c r="C11" s="36">
        <f>IF(ISBLANK(B12), "", GSPC[[#This Row],[Adj Close]]/B12-1)</f>
        <v>-1.043980361278507E-3</v>
      </c>
      <c r="D1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55291.887666999995</v>
      </c>
      <c r="E1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35051.653389999999</v>
      </c>
      <c r="F11" s="11">
        <f>IF(ISBLANK(GSPC[[#This Row],[Long Exp.]]), "", (GSPC[[#This Row],[Long Exp.]]/D12-1)+(E12/GSPC[[#This Row],[Short Exp.]]-1))</f>
        <v>1.2217333153260346E-2</v>
      </c>
      <c r="G11" s="37">
        <v>45019</v>
      </c>
      <c r="H11" s="44">
        <v>9.7942979999999995</v>
      </c>
      <c r="I11" s="36">
        <f>IF(ISBLANK(H12), "", Long0[[#This Row],[Adj Close]]/H12-1)</f>
        <v>3.1185082404384223E-2</v>
      </c>
      <c r="J11" s="37">
        <v>45019</v>
      </c>
      <c r="K11" s="44">
        <v>30.129999000000002</v>
      </c>
      <c r="L11" s="36">
        <f>IF(ISBLANK(K12),"",Long1[[#This Row],[Adj Close]]/K12-1)</f>
        <v>-5.5485924764890227E-2</v>
      </c>
      <c r="M11" s="37">
        <v>45019</v>
      </c>
      <c r="N11" s="44">
        <v>43.669998</v>
      </c>
      <c r="O11" s="36">
        <f>IF(ISBLANK(N12),"",Long2[[#This Row],[Adj Close]]/N12-1)</f>
        <v>-4.8169201216887503E-2</v>
      </c>
      <c r="P11" s="29">
        <v>45019</v>
      </c>
      <c r="Q11" s="44">
        <v>28.549999</v>
      </c>
      <c r="R11" s="33">
        <f>IF(ISBLANK(Q12),"",Long3[[#This Row],[Adj Close]]/Q12-1)</f>
        <v>2.734789394214121E-2</v>
      </c>
      <c r="S11" s="37">
        <v>45019</v>
      </c>
      <c r="T11" s="44">
        <v>37.110000999999997</v>
      </c>
      <c r="U11" s="36">
        <f>IF(ISBLANK(T12),"",Long4[[#This Row],[Adj Close]]/T12-1)</f>
        <v>1.1099149208178005E-2</v>
      </c>
      <c r="V11" s="29">
        <v>45019</v>
      </c>
      <c r="W11" s="44">
        <v>179.961792</v>
      </c>
      <c r="X11" s="33">
        <f>IF(ISBLANK(W12),"",Long5[[#This Row],[Adj Close]]/W12-1)</f>
        <v>-1.8792889660460776E-2</v>
      </c>
      <c r="Y11" s="37">
        <v>45019</v>
      </c>
      <c r="Z11" s="44">
        <v>150.13999899999999</v>
      </c>
      <c r="AA11" s="36">
        <f>IF(ISBLANK(Z12),"",Long6[[#This Row],[Adj Close]]/Z12-1)</f>
        <v>-3.2166607614046216E-2</v>
      </c>
      <c r="AH11" s="29">
        <v>45019</v>
      </c>
      <c r="AI11" s="44">
        <v>57.009998000000003</v>
      </c>
      <c r="AJ11" s="33">
        <f>IF(ISBLANK(AI12),"",Short0[[#This Row],[Adj Close]]/AI12-1)</f>
        <v>-7.6588858545014737E-3</v>
      </c>
      <c r="AK11" s="37">
        <v>45019</v>
      </c>
      <c r="AL11" s="44">
        <v>75.080001999999993</v>
      </c>
      <c r="AM11" s="36">
        <f>IF(ISBLANK(AL12),"",Short1[[#This Row],[Adj Close]]/AL12-1)</f>
        <v>-4.0756293883593919E-2</v>
      </c>
      <c r="AN11" s="29">
        <v>45019</v>
      </c>
      <c r="AO11" s="44">
        <v>101.71867399999999</v>
      </c>
      <c r="AP11" s="33">
        <f>IF(ISBLANK(AO12),"",Short2[[#This Row],[Adj Close]]/AO12-1)</f>
        <v>-2.9017241526117732E-2</v>
      </c>
      <c r="AQ11" s="37">
        <v>45019</v>
      </c>
      <c r="AR11" s="44">
        <v>93.82</v>
      </c>
      <c r="AS11" s="36">
        <f>IF(ISBLANK(AR12),"",Short3[[#This Row],[Adj Close]]/AR12-1)</f>
        <v>-2.1485159203749382E-2</v>
      </c>
    </row>
    <row r="12" spans="1:60" x14ac:dyDescent="0.25">
      <c r="A12" s="37">
        <v>45012</v>
      </c>
      <c r="B12" s="39">
        <v>4109.3100590000004</v>
      </c>
      <c r="C12" s="36">
        <f>IF(ISBLANK(B13), "", GSPC[[#This Row],[Adj Close]]/B13-1)</f>
        <v>3.4832641066415926E-2</v>
      </c>
      <c r="D1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56004.555913999997</v>
      </c>
      <c r="E1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35925.929835999996</v>
      </c>
      <c r="F12" s="11">
        <f>IF(ISBLANK(GSPC[[#This Row],[Long Exp.]]), "", (GSPC[[#This Row],[Long Exp.]]/D13-1)+(E13/GSPC[[#This Row],[Short Exp.]]-1))</f>
        <v>-2.3287086054397665E-3</v>
      </c>
      <c r="G12" s="37">
        <v>45012</v>
      </c>
      <c r="H12" s="44">
        <v>9.4980989999999998</v>
      </c>
      <c r="I12" s="36">
        <f>IF(ISBLANK(H13), "", Long0[[#This Row],[Adj Close]]/H13-1)</f>
        <v>3.1082503760947677E-2</v>
      </c>
      <c r="J12" s="37">
        <v>45012</v>
      </c>
      <c r="K12" s="44">
        <v>31.9</v>
      </c>
      <c r="L12" s="36">
        <f>IF(ISBLANK(K13),"",Long1[[#This Row],[Adj Close]]/K13-1)</f>
        <v>4.9342105263157965E-2</v>
      </c>
      <c r="M12" s="37">
        <v>45012</v>
      </c>
      <c r="N12" s="44">
        <v>45.880001</v>
      </c>
      <c r="O12" s="36">
        <f>IF(ISBLANK(N13),"",Long2[[#This Row],[Adj Close]]/N13-1)</f>
        <v>8.2330787504854452E-2</v>
      </c>
      <c r="P12" s="29">
        <v>45012</v>
      </c>
      <c r="Q12" s="44">
        <v>27.790001</v>
      </c>
      <c r="R12" s="33">
        <f>IF(ISBLANK(Q13),"",Long3[[#This Row],[Adj Close]]/Q13-1)</f>
        <v>3.7714711063677742E-2</v>
      </c>
      <c r="S12" s="37">
        <v>45012</v>
      </c>
      <c r="T12" s="44">
        <v>36.702632999999999</v>
      </c>
      <c r="U12" s="36">
        <f>IF(ISBLANK(T13),"",Long4[[#This Row],[Adj Close]]/T13-1)</f>
        <v>3.878352627895576E-2</v>
      </c>
      <c r="V12" s="29">
        <v>45012</v>
      </c>
      <c r="W12" s="44">
        <v>183.408569</v>
      </c>
      <c r="X12" s="33">
        <f>IF(ISBLANK(W13),"",Long5[[#This Row],[Adj Close]]/W13-1)</f>
        <v>-3.8526182448144208E-3</v>
      </c>
      <c r="Y12" s="37">
        <v>45012</v>
      </c>
      <c r="Z12" s="44">
        <v>155.13000500000001</v>
      </c>
      <c r="AA12" s="36">
        <f>IF(ISBLANK(Z13),"",Long6[[#This Row],[Adj Close]]/Z13-1)</f>
        <v>6.2097816816346851E-2</v>
      </c>
      <c r="AH12" s="29">
        <v>45012</v>
      </c>
      <c r="AI12" s="44">
        <v>57.450001</v>
      </c>
      <c r="AJ12" s="33">
        <f>IF(ISBLANK(AI13),"",Short0[[#This Row],[Adj Close]]/AI13-1)</f>
        <v>5.7037775787958545E-2</v>
      </c>
      <c r="AK12" s="37">
        <v>45012</v>
      </c>
      <c r="AL12" s="44">
        <v>78.269997000000004</v>
      </c>
      <c r="AM12" s="36">
        <f>IF(ISBLANK(AL13),"",Short1[[#This Row],[Adj Close]]/AL13-1)</f>
        <v>6.5756163831033998E-2</v>
      </c>
      <c r="AN12" s="29">
        <v>45012</v>
      </c>
      <c r="AO12" s="44">
        <v>104.758476</v>
      </c>
      <c r="AP12" s="33">
        <f>IF(ISBLANK(AO13),"",Short2[[#This Row],[Adj Close]]/AO13-1)</f>
        <v>1.3206158313289418E-2</v>
      </c>
      <c r="AQ12" s="37">
        <v>45012</v>
      </c>
      <c r="AR12" s="44">
        <v>95.879997000000003</v>
      </c>
      <c r="AS12" s="36">
        <f>IF(ISBLANK(AR13),"",Short3[[#This Row],[Adj Close]]/AR13-1)</f>
        <v>5.8511756270440474E-2</v>
      </c>
    </row>
    <row r="13" spans="1:60" x14ac:dyDescent="0.25">
      <c r="A13" s="37">
        <v>45005</v>
      </c>
      <c r="B13" s="39">
        <v>3970.98999</v>
      </c>
      <c r="C13" s="36">
        <f>IF(ISBLANK(B14), "", GSPC[[#This Row],[Adj Close]]/B14-1)</f>
        <v>1.3876715369502524E-2</v>
      </c>
      <c r="D1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53883.838372999999</v>
      </c>
      <c r="E1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34428.32445</v>
      </c>
      <c r="F13" s="11">
        <f>IF(ISBLANK(GSPC[[#This Row],[Long Exp.]]), "", (GSPC[[#This Row],[Long Exp.]]/D14-1)+(E14/GSPC[[#This Row],[Short Exp.]]-1))</f>
        <v>5.4660038153699908E-3</v>
      </c>
      <c r="G13" s="37">
        <v>45005</v>
      </c>
      <c r="H13" s="44">
        <v>9.2117740000000001</v>
      </c>
      <c r="I13" s="36">
        <f>IF(ISBLANK(H14), "", Long0[[#This Row],[Adj Close]]/H14-1)</f>
        <v>-1.0604470841383717E-2</v>
      </c>
      <c r="J13" s="37">
        <v>45005</v>
      </c>
      <c r="K13" s="44">
        <v>30.4</v>
      </c>
      <c r="L13" s="36">
        <f>IF(ISBLANK(K14),"",Long1[[#This Row],[Adj Close]]/K14-1)</f>
        <v>-4.6124912264671747E-2</v>
      </c>
      <c r="M13" s="37">
        <v>45005</v>
      </c>
      <c r="N13" s="44">
        <v>42.389999000000003</v>
      </c>
      <c r="O13" s="36">
        <f>IF(ISBLANK(N14),"",Long2[[#This Row],[Adj Close]]/N14-1)</f>
        <v>-1.1048794559671671E-2</v>
      </c>
      <c r="P13" s="29">
        <v>45005</v>
      </c>
      <c r="Q13" s="44">
        <v>26.780000999999999</v>
      </c>
      <c r="R13" s="33">
        <f>IF(ISBLANK(Q14),"",Long3[[#This Row],[Adj Close]]/Q14-1)</f>
        <v>-1.8635482668654113E-3</v>
      </c>
      <c r="S13" s="37">
        <v>45005</v>
      </c>
      <c r="T13" s="44">
        <v>35.332321</v>
      </c>
      <c r="U13" s="36">
        <f>IF(ISBLANK(T14),"",Long4[[#This Row],[Adj Close]]/T14-1)</f>
        <v>1.2143433733295073E-2</v>
      </c>
      <c r="V13" s="29">
        <v>45005</v>
      </c>
      <c r="W13" s="44">
        <v>184.11790500000001</v>
      </c>
      <c r="X13" s="33">
        <f>IF(ISBLANK(W14),"",Long5[[#This Row],[Adj Close]]/W14-1)</f>
        <v>1.1470887185921708E-2</v>
      </c>
      <c r="Y13" s="37">
        <v>45005</v>
      </c>
      <c r="Z13" s="44">
        <v>146.05999800000001</v>
      </c>
      <c r="AA13" s="36">
        <f>IF(ISBLANK(Z14),"",Long6[[#This Row],[Adj Close]]/Z14-1)</f>
        <v>3.0991167152815802E-2</v>
      </c>
      <c r="AH13" s="29">
        <v>45005</v>
      </c>
      <c r="AI13" s="44">
        <v>54.349997999999999</v>
      </c>
      <c r="AJ13" s="33">
        <f>IF(ISBLANK(AI14),"",Short0[[#This Row],[Adj Close]]/AI14-1)</f>
        <v>-6.2168770564431375E-3</v>
      </c>
      <c r="AK13" s="37">
        <v>45005</v>
      </c>
      <c r="AL13" s="44">
        <v>73.440810999999997</v>
      </c>
      <c r="AM13" s="36">
        <f>IF(ISBLANK(AL14),"",Short1[[#This Row],[Adj Close]]/AL14-1)</f>
        <v>-3.1408960879601766E-2</v>
      </c>
      <c r="AN13" s="29">
        <v>45005</v>
      </c>
      <c r="AO13" s="44">
        <v>103.393051</v>
      </c>
      <c r="AP13" s="33">
        <f>IF(ISBLANK(AO14),"",Short2[[#This Row],[Adj Close]]/AO14-1)</f>
        <v>2.3187595244857917E-3</v>
      </c>
      <c r="AQ13" s="37">
        <v>45005</v>
      </c>
      <c r="AR13" s="44">
        <v>90.580001999999993</v>
      </c>
      <c r="AS13" s="36">
        <f>IF(ISBLANK(AR14),"",Short3[[#This Row],[Adj Close]]/AR14-1)</f>
        <v>1.6040381019845507E-2</v>
      </c>
    </row>
    <row r="14" spans="1:60" x14ac:dyDescent="0.25">
      <c r="A14" s="37">
        <v>44998</v>
      </c>
      <c r="B14" s="39">
        <v>3916.639893</v>
      </c>
      <c r="C14" s="36">
        <f>IF(ISBLANK(B15), "", GSPC[[#This Row],[Adj Close]]/B15-1)</f>
        <v>1.4255735006951875E-2</v>
      </c>
      <c r="D1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53811.500361999999</v>
      </c>
      <c r="E1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34570.228311000006</v>
      </c>
      <c r="F14" s="11">
        <f>IF(ISBLANK(GSPC[[#This Row],[Long Exp.]]), "", (GSPC[[#This Row],[Long Exp.]]/D15-1)+(E15/GSPC[[#This Row],[Short Exp.]]-1))</f>
        <v>-1.4940659499477205E-2</v>
      </c>
      <c r="G14" s="37">
        <v>44998</v>
      </c>
      <c r="H14" s="44">
        <v>9.3105069999999994</v>
      </c>
      <c r="I14" s="36">
        <f>IF(ISBLANK(H15), "", Long0[[#This Row],[Adj Close]]/H15-1)</f>
        <v>-4.6334554457118871E-2</v>
      </c>
      <c r="J14" s="37">
        <v>44998</v>
      </c>
      <c r="K14" s="44">
        <v>31.870000999999998</v>
      </c>
      <c r="L14" s="36">
        <f>IF(ISBLANK(K15),"",Long1[[#This Row],[Adj Close]]/K15-1)</f>
        <v>-8.0230904459976715E-2</v>
      </c>
      <c r="M14" s="37">
        <v>44998</v>
      </c>
      <c r="N14" s="44">
        <v>42.863590000000002</v>
      </c>
      <c r="O14" s="36">
        <f>IF(ISBLANK(N15),"",Long2[[#This Row],[Adj Close]]/N15-1)</f>
        <v>-0.12204572185628726</v>
      </c>
      <c r="P14" s="29">
        <v>44998</v>
      </c>
      <c r="Q14" s="44">
        <v>26.83</v>
      </c>
      <c r="R14" s="33">
        <f>IF(ISBLANK(Q15),"",Long3[[#This Row],[Adj Close]]/Q15-1)</f>
        <v>3.1262037956746536E-2</v>
      </c>
      <c r="S14" s="37">
        <v>44998</v>
      </c>
      <c r="T14" s="44">
        <v>34.908413000000003</v>
      </c>
      <c r="U14" s="36">
        <f>IF(ISBLANK(T15),"",Long4[[#This Row],[Adj Close]]/T15-1)</f>
        <v>-5.4220064954816571E-2</v>
      </c>
      <c r="V14" s="29">
        <v>44998</v>
      </c>
      <c r="W14" s="44">
        <v>182.02986100000001</v>
      </c>
      <c r="X14" s="33">
        <f>IF(ISBLANK(W15),"",Long5[[#This Row],[Adj Close]]/W15-1)</f>
        <v>0.10513765427975974</v>
      </c>
      <c r="Y14" s="37">
        <v>44998</v>
      </c>
      <c r="Z14" s="44">
        <v>141.66949500000001</v>
      </c>
      <c r="AA14" s="36">
        <f>IF(ISBLANK(Z15),"",Long6[[#This Row],[Adj Close]]/Z15-1)</f>
        <v>4.0894141173418719E-2</v>
      </c>
      <c r="AH14" s="29">
        <v>44998</v>
      </c>
      <c r="AI14" s="44">
        <v>54.689999</v>
      </c>
      <c r="AJ14" s="33">
        <f>IF(ISBLANK(AI15),"",Short0[[#This Row],[Adj Close]]/AI15-1)</f>
        <v>-2.704145218006504E-2</v>
      </c>
      <c r="AK14" s="37">
        <v>44998</v>
      </c>
      <c r="AL14" s="44">
        <v>75.822310999999999</v>
      </c>
      <c r="AM14" s="36">
        <f>IF(ISBLANK(AL15),"",Short1[[#This Row],[Adj Close]]/AL15-1)</f>
        <v>-2.3915503988545694E-2</v>
      </c>
      <c r="AN14" s="29">
        <v>44998</v>
      </c>
      <c r="AO14" s="44">
        <v>103.153862</v>
      </c>
      <c r="AP14" s="33">
        <f>IF(ISBLANK(AO15),"",Short2[[#This Row],[Adj Close]]/AO15-1)</f>
        <v>6.2846671195608161E-2</v>
      </c>
      <c r="AQ14" s="37">
        <v>44998</v>
      </c>
      <c r="AR14" s="44">
        <v>89.150002000000001</v>
      </c>
      <c r="AS14" s="36">
        <f>IF(ISBLANK(AR15),"",Short3[[#This Row],[Adj Close]]/AR15-1)</f>
        <v>-1.6221595137223654E-2</v>
      </c>
    </row>
    <row r="15" spans="1:60" x14ac:dyDescent="0.25">
      <c r="A15" s="37">
        <v>44991</v>
      </c>
      <c r="B15" s="39">
        <v>3861.5900879999999</v>
      </c>
      <c r="C15" s="36">
        <f>IF(ISBLANK(B16), "", GSPC[[#This Row],[Adj Close]]/B16-1)</f>
        <v>-4.5493373080103816E-2</v>
      </c>
      <c r="D1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54318.606822999995</v>
      </c>
      <c r="E1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34376.466282000001</v>
      </c>
      <c r="F15" s="11">
        <f>IF(ISBLANK(GSPC[[#This Row],[Long Exp.]]), "", (GSPC[[#This Row],[Long Exp.]]/D16-1)+(E16/GSPC[[#This Row],[Short Exp.]]-1))</f>
        <v>-2.3741979587159401E-2</v>
      </c>
      <c r="G15" s="37">
        <v>44991</v>
      </c>
      <c r="H15" s="44">
        <v>9.7628649999999997</v>
      </c>
      <c r="I15" s="36">
        <f>IF(ISBLANK(H16), "", Long0[[#This Row],[Adj Close]]/H16-1)</f>
        <v>-0.10152742449914498</v>
      </c>
      <c r="J15" s="37">
        <v>44991</v>
      </c>
      <c r="K15" s="44">
        <v>34.650002000000001</v>
      </c>
      <c r="L15" s="36">
        <f>IF(ISBLANK(K16),"",Long1[[#This Row],[Adj Close]]/K16-1)</f>
        <v>-6.3006976744185983E-2</v>
      </c>
      <c r="M15" s="37">
        <v>44991</v>
      </c>
      <c r="N15" s="44">
        <v>48.822121000000003</v>
      </c>
      <c r="O15" s="36">
        <f>IF(ISBLANK(N16),"",Long2[[#This Row],[Adj Close]]/N16-1)</f>
        <v>-0.13781509904143929</v>
      </c>
      <c r="P15" s="29">
        <v>44991</v>
      </c>
      <c r="Q15" s="44">
        <v>26.016666000000001</v>
      </c>
      <c r="R15" s="33">
        <f>IF(ISBLANK(Q16),"",Long3[[#This Row],[Adj Close]]/Q16-1)</f>
        <v>-4.1621007059023274E-2</v>
      </c>
      <c r="S15" s="37">
        <v>44991</v>
      </c>
      <c r="T15" s="44">
        <v>36.909657000000003</v>
      </c>
      <c r="U15" s="36">
        <f>IF(ISBLANK(T16),"",Long4[[#This Row],[Adj Close]]/T16-1)</f>
        <v>-8.77193325019332E-2</v>
      </c>
      <c r="V15" s="29">
        <v>44991</v>
      </c>
      <c r="W15" s="44">
        <v>164.71238700000001</v>
      </c>
      <c r="X15" s="33">
        <f>IF(ISBLANK(W16),"",Long5[[#This Row],[Adj Close]]/W16-1)</f>
        <v>-4.8977277965062793E-2</v>
      </c>
      <c r="Y15" s="37">
        <v>44991</v>
      </c>
      <c r="Z15" s="44">
        <v>136.10365300000001</v>
      </c>
      <c r="AA15" s="36">
        <f>IF(ISBLANK(Z16),"",Long6[[#This Row],[Adj Close]]/Z16-1)</f>
        <v>-3.5825311593980835E-2</v>
      </c>
      <c r="AH15" s="29">
        <v>44991</v>
      </c>
      <c r="AI15" s="44">
        <v>56.209999000000003</v>
      </c>
      <c r="AJ15" s="33">
        <f>IF(ISBLANK(AI16),"",Short0[[#This Row],[Adj Close]]/AI16-1)</f>
        <v>-7.5493422294299672E-2</v>
      </c>
      <c r="AK15" s="37">
        <v>44991</v>
      </c>
      <c r="AL15" s="44">
        <v>77.680069000000003</v>
      </c>
      <c r="AM15" s="36">
        <f>IF(ISBLANK(AL16),"",Short1[[#This Row],[Adj Close]]/AL16-1)</f>
        <v>-5.584907843574205E-2</v>
      </c>
      <c r="AN15" s="29">
        <v>44991</v>
      </c>
      <c r="AO15" s="44">
        <v>97.054321000000002</v>
      </c>
      <c r="AP15" s="33">
        <f>IF(ISBLANK(AO16),"",Short2[[#This Row],[Adj Close]]/AO16-1)</f>
        <v>-2.3564207075394972E-3</v>
      </c>
      <c r="AQ15" s="37">
        <v>44991</v>
      </c>
      <c r="AR15" s="44">
        <v>90.620002999999997</v>
      </c>
      <c r="AS15" s="36">
        <f>IF(ISBLANK(AR16),"",Short3[[#This Row],[Adj Close]]/AR16-1)</f>
        <v>-0.10054587593052111</v>
      </c>
    </row>
    <row r="16" spans="1:60" x14ac:dyDescent="0.25">
      <c r="A16" s="37">
        <v>44984</v>
      </c>
      <c r="B16" s="39">
        <v>4045.639893</v>
      </c>
      <c r="C16" s="36">
        <f>IF(ISBLANK(B17), "", GSPC[[#This Row],[Adj Close]]/B17-1)</f>
        <v>1.9042592330893227E-2</v>
      </c>
      <c r="D1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59048.493049000004</v>
      </c>
      <c r="E1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36313.915213</v>
      </c>
      <c r="F16" s="11">
        <f>IF(ISBLANK(GSPC[[#This Row],[Long Exp.]]), "", (GSPC[[#This Row],[Long Exp.]]/D17-1)+(E17/GSPC[[#This Row],[Short Exp.]]-1))</f>
        <v>-3.7515285959132116E-3</v>
      </c>
      <c r="G16" s="37">
        <v>44984</v>
      </c>
      <c r="H16" s="44">
        <v>10.866069</v>
      </c>
      <c r="I16" s="36">
        <f>IF(ISBLANK(H17), "", Long0[[#This Row],[Adj Close]]/H17-1)</f>
        <v>-3.3014866256375508E-2</v>
      </c>
      <c r="J16" s="37">
        <v>44984</v>
      </c>
      <c r="K16" s="44">
        <v>36.979999999999997</v>
      </c>
      <c r="L16" s="36">
        <f>IF(ISBLANK(K17),"",Long1[[#This Row],[Adj Close]]/K17-1)</f>
        <v>8.2235942770614079E-2</v>
      </c>
      <c r="M16" s="37">
        <v>44984</v>
      </c>
      <c r="N16" s="44">
        <v>56.626044999999998</v>
      </c>
      <c r="O16" s="36">
        <f>IF(ISBLANK(N17),"",Long2[[#This Row],[Adj Close]]/N17-1)</f>
        <v>0.10929918581978804</v>
      </c>
      <c r="P16" s="29">
        <v>44984</v>
      </c>
      <c r="Q16" s="44">
        <v>27.146532000000001</v>
      </c>
      <c r="R16" s="33">
        <f>IF(ISBLANK(Q17),"",Long3[[#This Row],[Adj Close]]/Q17-1)</f>
        <v>-1.0834296784778874E-2</v>
      </c>
      <c r="S16" s="37">
        <v>44984</v>
      </c>
      <c r="T16" s="44">
        <v>40.458663999999999</v>
      </c>
      <c r="U16" s="36">
        <f>IF(ISBLANK(T17),"",Long4[[#This Row],[Adj Close]]/T17-1)</f>
        <v>-0.14303610601726291</v>
      </c>
      <c r="V16" s="29">
        <v>44984</v>
      </c>
      <c r="W16" s="44">
        <v>173.195007</v>
      </c>
      <c r="X16" s="33">
        <f>IF(ISBLANK(W17),"",Long5[[#This Row],[Adj Close]]/W17-1)</f>
        <v>1.4556398522751701E-2</v>
      </c>
      <c r="Y16" s="37">
        <v>44984</v>
      </c>
      <c r="Z16" s="44">
        <v>141.16078200000001</v>
      </c>
      <c r="AA16" s="36">
        <f>IF(ISBLANK(Z17),"",Long6[[#This Row],[Adj Close]]/Z17-1)</f>
        <v>2.9685659994616476E-2</v>
      </c>
      <c r="AH16" s="29">
        <v>44984</v>
      </c>
      <c r="AI16" s="44">
        <v>60.799999</v>
      </c>
      <c r="AJ16" s="33">
        <f>IF(ISBLANK(AI17),"",Short0[[#This Row],[Adj Close]]/AI17-1)</f>
        <v>8.2813834984369228E-2</v>
      </c>
      <c r="AK16" s="37">
        <v>44984</v>
      </c>
      <c r="AL16" s="44">
        <v>82.275054999999995</v>
      </c>
      <c r="AM16" s="36">
        <f>IF(ISBLANK(AL17),"",Short1[[#This Row],[Adj Close]]/AL17-1)</f>
        <v>-6.6809789826995924E-3</v>
      </c>
      <c r="AN16" s="29">
        <v>44984</v>
      </c>
      <c r="AO16" s="44">
        <v>97.283562000000003</v>
      </c>
      <c r="AP16" s="33">
        <f>IF(ISBLANK(AO17),"",Short2[[#This Row],[Adj Close]]/AO17-1)</f>
        <v>1.8468402305833687E-2</v>
      </c>
      <c r="AQ16" s="37">
        <v>44984</v>
      </c>
      <c r="AR16" s="44">
        <v>100.75</v>
      </c>
      <c r="AS16" s="36">
        <f>IF(ISBLANK(AR17),"",Short3[[#This Row],[Adj Close]]/AR17-1)</f>
        <v>-1.1285593497829427E-2</v>
      </c>
    </row>
    <row r="17" spans="1:45" x14ac:dyDescent="0.25">
      <c r="A17" s="37">
        <v>44977</v>
      </c>
      <c r="B17" s="39">
        <v>3970.040039</v>
      </c>
      <c r="C17" s="36">
        <f>IF(ISBLANK(B18), "", GSPC[[#This Row],[Adj Close]]/B18-1)</f>
        <v>-2.6733915321166091E-2</v>
      </c>
      <c r="D1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57939.576319</v>
      </c>
      <c r="E1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35482.663492</v>
      </c>
      <c r="F17" s="11">
        <f>IF(ISBLANK(GSPC[[#This Row],[Long Exp.]]), "", (GSPC[[#This Row],[Long Exp.]]/D18-1)+(E18/GSPC[[#This Row],[Short Exp.]]-1))</f>
        <v>1.713039570274999E-2</v>
      </c>
      <c r="G17" s="37">
        <v>44977</v>
      </c>
      <c r="H17" s="44">
        <v>11.237059</v>
      </c>
      <c r="I17" s="36">
        <f>IF(ISBLANK(H18), "", Long0[[#This Row],[Adj Close]]/H18-1)</f>
        <v>-1.5397638561441829E-2</v>
      </c>
      <c r="J17" s="37">
        <v>44977</v>
      </c>
      <c r="K17" s="44">
        <v>34.169998</v>
      </c>
      <c r="L17" s="36">
        <f>IF(ISBLANK(K18),"",Long1[[#This Row],[Adj Close]]/K18-1)</f>
        <v>-8.3668622052329722E-2</v>
      </c>
      <c r="M17" s="37">
        <v>44977</v>
      </c>
      <c r="N17" s="44">
        <v>51.046683999999999</v>
      </c>
      <c r="O17" s="36">
        <f>IF(ISBLANK(N18),"",Long2[[#This Row],[Adj Close]]/N18-1)</f>
        <v>3.329990325215082E-2</v>
      </c>
      <c r="P17" s="29">
        <v>44977</v>
      </c>
      <c r="Q17" s="44">
        <v>27.443867000000001</v>
      </c>
      <c r="R17" s="33">
        <f>IF(ISBLANK(Q18),"",Long3[[#This Row],[Adj Close]]/Q18-1)</f>
        <v>-3.8875307755586119E-2</v>
      </c>
      <c r="S17" s="37">
        <v>44977</v>
      </c>
      <c r="T17" s="44">
        <v>47.211632000000002</v>
      </c>
      <c r="U17" s="36">
        <f>IF(ISBLANK(T18),"",Long4[[#This Row],[Adj Close]]/T18-1)</f>
        <v>-3.6418548087450819E-2</v>
      </c>
      <c r="V17" s="29">
        <v>44977</v>
      </c>
      <c r="W17" s="44">
        <v>170.710083</v>
      </c>
      <c r="X17" s="33">
        <f>IF(ISBLANK(W18),"",Long5[[#This Row],[Adj Close]]/W18-1)</f>
        <v>-1.4006598095290035E-2</v>
      </c>
      <c r="Y17" s="37">
        <v>44977</v>
      </c>
      <c r="Z17" s="44">
        <v>137.09114099999999</v>
      </c>
      <c r="AA17" s="36">
        <f>IF(ISBLANK(Z18),"",Long6[[#This Row],[Adj Close]]/Z18-1)</f>
        <v>3.6813531957996748E-2</v>
      </c>
      <c r="AH17" s="29">
        <v>44977</v>
      </c>
      <c r="AI17" s="44">
        <v>56.150002000000001</v>
      </c>
      <c r="AJ17" s="33">
        <f>IF(ISBLANK(AI18),"",Short0[[#This Row],[Adj Close]]/AI18-1)</f>
        <v>2.3206354873259727E-3</v>
      </c>
      <c r="AK17" s="37">
        <v>44977</v>
      </c>
      <c r="AL17" s="44">
        <v>82.828429999999997</v>
      </c>
      <c r="AM17" s="36">
        <f>IF(ISBLANK(AL18),"",Short1[[#This Row],[Adj Close]]/AL18-1)</f>
        <v>-3.5886827845978631E-2</v>
      </c>
      <c r="AN17" s="29">
        <v>44977</v>
      </c>
      <c r="AO17" s="44">
        <v>95.519469999999998</v>
      </c>
      <c r="AP17" s="33">
        <f>IF(ISBLANK(AO18),"",Short2[[#This Row],[Adj Close]]/AO18-1)</f>
        <v>-3.2798518845031155E-2</v>
      </c>
      <c r="AQ17" s="37">
        <v>44977</v>
      </c>
      <c r="AR17" s="44">
        <v>101.900002</v>
      </c>
      <c r="AS17" s="36">
        <f>IF(ISBLANK(AR18),"",Short3[[#This Row],[Adj Close]]/AR18-1)</f>
        <v>-2.952379047619047E-2</v>
      </c>
    </row>
    <row r="18" spans="1:45" x14ac:dyDescent="0.25">
      <c r="A18" s="37">
        <v>44970</v>
      </c>
      <c r="B18" s="39">
        <v>4079.0900879999999</v>
      </c>
      <c r="C18" s="36">
        <f>IF(ISBLANK(B19), "", GSPC[[#This Row],[Adj Close]]/B19-1)</f>
        <v>-2.7796074545173299E-3</v>
      </c>
      <c r="D1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58372.467427999996</v>
      </c>
      <c r="E1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36353.635532</v>
      </c>
      <c r="F18" s="11">
        <f>IF(ISBLANK(GSPC[[#This Row],[Long Exp.]]), "", (GSPC[[#This Row],[Long Exp.]]/D19-1)+(E19/GSPC[[#This Row],[Short Exp.]]-1))</f>
        <v>2.7878578853164804E-2</v>
      </c>
      <c r="G18" s="37">
        <v>44970</v>
      </c>
      <c r="H18" s="44">
        <v>11.412789</v>
      </c>
      <c r="I18" s="36">
        <f>IF(ISBLANK(H19), "", Long0[[#This Row],[Adj Close]]/H19-1)</f>
        <v>-1.2669006671982563E-2</v>
      </c>
      <c r="J18" s="37">
        <v>44970</v>
      </c>
      <c r="K18" s="44">
        <v>37.290000999999997</v>
      </c>
      <c r="L18" s="36">
        <f>IF(ISBLANK(K19),"",Long1[[#This Row],[Adj Close]]/K19-1)</f>
        <v>5.877342252204909E-2</v>
      </c>
      <c r="M18" s="37">
        <v>44970</v>
      </c>
      <c r="N18" s="44">
        <v>49.401615</v>
      </c>
      <c r="O18" s="36">
        <f>IF(ISBLANK(N19),"",Long2[[#This Row],[Adj Close]]/N19-1)</f>
        <v>-2.8265112791423075E-2</v>
      </c>
      <c r="P18" s="29">
        <v>44970</v>
      </c>
      <c r="Q18" s="44">
        <v>28.553909000000001</v>
      </c>
      <c r="R18" s="33">
        <f>IF(ISBLANK(Q19),"",Long3[[#This Row],[Adj Close]]/Q19-1)</f>
        <v>5.2336813148416983E-3</v>
      </c>
      <c r="S18" s="37">
        <v>44970</v>
      </c>
      <c r="T18" s="44">
        <v>48.995995000000001</v>
      </c>
      <c r="U18" s="36">
        <f>IF(ISBLANK(T19),"",Long4[[#This Row],[Adj Close]]/T19-1)</f>
        <v>4.0404044129911387E-3</v>
      </c>
      <c r="V18" s="29">
        <v>44970</v>
      </c>
      <c r="W18" s="44">
        <v>173.13511700000001</v>
      </c>
      <c r="X18" s="33">
        <f>IF(ISBLANK(W19),"",Long5[[#This Row],[Adj Close]]/W19-1)</f>
        <v>0.11497421367484439</v>
      </c>
      <c r="Y18" s="37">
        <v>44970</v>
      </c>
      <c r="Z18" s="44">
        <v>132.22352599999999</v>
      </c>
      <c r="AA18" s="36">
        <f>IF(ISBLANK(Z19),"",Long6[[#This Row],[Adj Close]]/Z19-1)</f>
        <v>4.394675440323681E-3</v>
      </c>
      <c r="AH18" s="29">
        <v>44970</v>
      </c>
      <c r="AI18" s="44">
        <v>56.02</v>
      </c>
      <c r="AJ18" s="33">
        <f>IF(ISBLANK(AI19),"",Short0[[#This Row],[Adj Close]]/AI19-1)</f>
        <v>-1.3906019822108373E-2</v>
      </c>
      <c r="AK18" s="37">
        <v>44970</v>
      </c>
      <c r="AL18" s="44">
        <v>85.911522000000005</v>
      </c>
      <c r="AM18" s="36">
        <f>IF(ISBLANK(AL19),"",Short1[[#This Row],[Adj Close]]/AL19-1)</f>
        <v>1.6604354061439563E-2</v>
      </c>
      <c r="AN18" s="29">
        <v>44970</v>
      </c>
      <c r="AO18" s="44">
        <v>98.758606</v>
      </c>
      <c r="AP18" s="33">
        <f>IF(ISBLANK(AO19),"",Short2[[#This Row],[Adj Close]]/AO19-1)</f>
        <v>-2.7576090291051125E-2</v>
      </c>
      <c r="AQ18" s="37">
        <v>44970</v>
      </c>
      <c r="AR18" s="44">
        <v>105</v>
      </c>
      <c r="AS18" s="36">
        <f>IF(ISBLANK(AR19),"",Short3[[#This Row],[Adj Close]]/AR19-1)</f>
        <v>3.0569354222391709E-3</v>
      </c>
    </row>
    <row r="19" spans="1:45" x14ac:dyDescent="0.25">
      <c r="A19" s="37">
        <v>44963</v>
      </c>
      <c r="B19" s="39">
        <v>4090.459961</v>
      </c>
      <c r="C19" s="36">
        <f>IF(ISBLANK(B20), "", GSPC[[#This Row],[Adj Close]]/B20-1)</f>
        <v>-1.1125405954460876E-2</v>
      </c>
      <c r="D1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57259.366911999998</v>
      </c>
      <c r="E1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36660.422250999996</v>
      </c>
      <c r="F19" s="11">
        <f>IF(ISBLANK(GSPC[[#This Row],[Long Exp.]]), "", (GSPC[[#This Row],[Long Exp.]]/D20-1)+(E20/GSPC[[#This Row],[Short Exp.]]-1))</f>
        <v>-5.2594115957563803E-3</v>
      </c>
      <c r="G19" s="37">
        <v>44963</v>
      </c>
      <c r="H19" s="44">
        <v>11.559233000000001</v>
      </c>
      <c r="I19" s="36">
        <f>IF(ISBLANK(H20), "", Long0[[#This Row],[Adj Close]]/H20-1)</f>
        <v>-2.7914660381218925E-2</v>
      </c>
      <c r="J19" s="37">
        <v>44963</v>
      </c>
      <c r="K19" s="44">
        <v>35.220001000000003</v>
      </c>
      <c r="L19" s="36">
        <f>IF(ISBLANK(K20),"",Long1[[#This Row],[Adj Close]]/K20-1)</f>
        <v>-0.18641718211094505</v>
      </c>
      <c r="M19" s="37">
        <v>44963</v>
      </c>
      <c r="N19" s="44">
        <v>50.838572999999997</v>
      </c>
      <c r="O19" s="36">
        <f>IF(ISBLANK(N20),"",Long2[[#This Row],[Adj Close]]/N20-1)</f>
        <v>1.7050030003217698E-2</v>
      </c>
      <c r="P19" s="29">
        <v>44963</v>
      </c>
      <c r="Q19" s="44">
        <v>28.405245000000001</v>
      </c>
      <c r="R19" s="33">
        <f>IF(ISBLANK(Q20),"",Long3[[#This Row],[Adj Close]]/Q20-1)</f>
        <v>0</v>
      </c>
      <c r="S19" s="37">
        <v>44963</v>
      </c>
      <c r="T19" s="44">
        <v>48.798828</v>
      </c>
      <c r="U19" s="36">
        <f>IF(ISBLANK(T20),"",Long4[[#This Row],[Adj Close]]/T20-1)</f>
        <v>-7.580286015203519E-2</v>
      </c>
      <c r="V19" s="29">
        <v>44963</v>
      </c>
      <c r="W19" s="44">
        <v>155.281723</v>
      </c>
      <c r="X19" s="33">
        <f>IF(ISBLANK(W20),"",Long5[[#This Row],[Adj Close]]/W20-1)</f>
        <v>-6.2424664758799375E-2</v>
      </c>
      <c r="Y19" s="37">
        <v>44963</v>
      </c>
      <c r="Z19" s="44">
        <v>131.64498900000001</v>
      </c>
      <c r="AA19" s="36">
        <f>IF(ISBLANK(Z20),"",Long6[[#This Row],[Adj Close]]/Z20-1)</f>
        <v>-2.9487539373139748E-2</v>
      </c>
      <c r="AH19" s="29">
        <v>44963</v>
      </c>
      <c r="AI19" s="44">
        <v>56.810001</v>
      </c>
      <c r="AJ19" s="33">
        <f>IF(ISBLANK(AI20),"",Short0[[#This Row],[Adj Close]]/AI20-1)</f>
        <v>-2.1866407649228425E-2</v>
      </c>
      <c r="AK19" s="37">
        <v>44963</v>
      </c>
      <c r="AL19" s="44">
        <v>84.508315999999994</v>
      </c>
      <c r="AM19" s="36">
        <f>IF(ISBLANK(AL20),"",Short1[[#This Row],[Adj Close]]/AL20-1)</f>
        <v>-5.3144460553347872E-2</v>
      </c>
      <c r="AN19" s="29">
        <v>44963</v>
      </c>
      <c r="AO19" s="44">
        <v>101.559212</v>
      </c>
      <c r="AP19" s="33">
        <f>IF(ISBLANK(AO20),"",Short2[[#This Row],[Adj Close]]/AO20-1)</f>
        <v>-2.77644613428214E-2</v>
      </c>
      <c r="AQ19" s="37">
        <v>44963</v>
      </c>
      <c r="AR19" s="44">
        <v>104.68</v>
      </c>
      <c r="AS19" s="36">
        <f>IF(ISBLANK(AR20),"",Short3[[#This Row],[Adj Close]]/AR20-1)</f>
        <v>1.0519269388926666E-3</v>
      </c>
    </row>
    <row r="20" spans="1:45" x14ac:dyDescent="0.25">
      <c r="A20" s="37">
        <v>44956</v>
      </c>
      <c r="B20" s="39">
        <v>4136.4799800000001</v>
      </c>
      <c r="C20" s="36">
        <f>IF(ISBLANK(B21), "", GSPC[[#This Row],[Adj Close]]/B21-1)</f>
        <v>1.6194312341430983E-2</v>
      </c>
      <c r="D2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59147.682373999996</v>
      </c>
      <c r="E2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37638.009912000001</v>
      </c>
      <c r="F20" s="11">
        <f>IF(ISBLANK(GSPC[[#This Row],[Long Exp.]]), "", (GSPC[[#This Row],[Long Exp.]]/D21-1)+(E21/GSPC[[#This Row],[Short Exp.]]-1))</f>
        <v>-1.3135903547975447E-2</v>
      </c>
      <c r="G20" s="37">
        <v>44956</v>
      </c>
      <c r="H20" s="44">
        <v>11.891171</v>
      </c>
      <c r="I20" s="36">
        <f>IF(ISBLANK(H21), "", Long0[[#This Row],[Adj Close]]/H21-1)</f>
        <v>2.4390321644976121E-2</v>
      </c>
      <c r="J20" s="37">
        <v>44956</v>
      </c>
      <c r="K20" s="44">
        <v>43.290000999999997</v>
      </c>
      <c r="L20" s="36">
        <f>IF(ISBLANK(K21),"",Long1[[#This Row],[Adj Close]]/K21-1)</f>
        <v>9.9009954277988088E-2</v>
      </c>
      <c r="M20" s="37">
        <v>44956</v>
      </c>
      <c r="N20" s="44">
        <v>49.986305000000002</v>
      </c>
      <c r="O20" s="36">
        <f>IF(ISBLANK(N21),"",Long2[[#This Row],[Adj Close]]/N21-1)</f>
        <v>1.8784065626364921E-2</v>
      </c>
      <c r="P20" s="29">
        <v>44956</v>
      </c>
      <c r="Q20" s="44">
        <v>28.405245000000001</v>
      </c>
      <c r="R20" s="33">
        <f>IF(ISBLANK(Q21),"",Long3[[#This Row],[Adj Close]]/Q21-1)</f>
        <v>-3.2737031611501988E-2</v>
      </c>
      <c r="S20" s="37">
        <v>44956</v>
      </c>
      <c r="T20" s="44">
        <v>52.801318999999999</v>
      </c>
      <c r="U20" s="36">
        <f>IF(ISBLANK(T21),"",Long4[[#This Row],[Adj Close]]/T21-1)</f>
        <v>9.8892071827036299E-2</v>
      </c>
      <c r="V20" s="29">
        <v>44956</v>
      </c>
      <c r="W20" s="44">
        <v>165.620529</v>
      </c>
      <c r="X20" s="33">
        <f>IF(ISBLANK(W21),"",Long5[[#This Row],[Adj Close]]/W21-1)</f>
        <v>5.1511138960568914E-2</v>
      </c>
      <c r="Y20" s="37">
        <v>44956</v>
      </c>
      <c r="Z20" s="44">
        <v>135.64482100000001</v>
      </c>
      <c r="AA20" s="36">
        <f>IF(ISBLANK(Z21),"",Long6[[#This Row],[Adj Close]]/Z21-1)</f>
        <v>2.7347567079912816E-2</v>
      </c>
      <c r="AH20" s="29">
        <v>44956</v>
      </c>
      <c r="AI20" s="44">
        <v>58.080002</v>
      </c>
      <c r="AJ20" s="33">
        <f>IF(ISBLANK(AI21),"",Short0[[#This Row],[Adj Close]]/AI21-1)</f>
        <v>-1.4256551739869394E-2</v>
      </c>
      <c r="AK20" s="37">
        <v>44956</v>
      </c>
      <c r="AL20" s="44">
        <v>89.251541000000003</v>
      </c>
      <c r="AM20" s="36">
        <f>IF(ISBLANK(AL21),"",Short1[[#This Row],[Adj Close]]/AL21-1)</f>
        <v>6.0342875106002669E-2</v>
      </c>
      <c r="AN20" s="29">
        <v>44956</v>
      </c>
      <c r="AO20" s="44">
        <v>104.459473</v>
      </c>
      <c r="AP20" s="33">
        <f>IF(ISBLANK(AO21),"",Short2[[#This Row],[Adj Close]]/AO21-1)</f>
        <v>4.5704724651122852E-2</v>
      </c>
      <c r="AQ20" s="37">
        <v>44956</v>
      </c>
      <c r="AR20" s="44">
        <v>104.57</v>
      </c>
      <c r="AS20" s="36">
        <f>IF(ISBLANK(AR21),"",Short3[[#This Row],[Adj Close]]/AR21-1)</f>
        <v>9.7502110595110159E-2</v>
      </c>
    </row>
    <row r="21" spans="1:45" x14ac:dyDescent="0.25">
      <c r="A21" s="37">
        <v>44949</v>
      </c>
      <c r="B21" s="39">
        <v>4070.5600589999999</v>
      </c>
      <c r="C21" s="36">
        <f>IF(ISBLANK(B22), "", GSPC[[#This Row],[Adj Close]]/B22-1)</f>
        <v>2.4656321501927758E-2</v>
      </c>
      <c r="D2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57538.132756999999</v>
      </c>
      <c r="E2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36090.729417000002</v>
      </c>
      <c r="F21" s="11">
        <f>IF(ISBLANK(GSPC[[#This Row],[Long Exp.]]), "", (GSPC[[#This Row],[Long Exp.]]/D22-1)+(E22/GSPC[[#This Row],[Short Exp.]]-1))</f>
        <v>-1.0679372438690771E-2</v>
      </c>
      <c r="G21" s="37">
        <v>44949</v>
      </c>
      <c r="H21" s="44">
        <v>11.608046999999999</v>
      </c>
      <c r="I21" s="36">
        <f>IF(ISBLANK(H22), "", Long0[[#This Row],[Adj Close]]/H22-1)</f>
        <v>2.4999991169918578E-2</v>
      </c>
      <c r="J21" s="37">
        <v>44949</v>
      </c>
      <c r="K21" s="44">
        <v>39.389999000000003</v>
      </c>
      <c r="L21" s="36">
        <f>IF(ISBLANK(K22),"",Long1[[#This Row],[Adj Close]]/K22-1)</f>
        <v>4.3443682119205462E-2</v>
      </c>
      <c r="M21" s="37">
        <v>44949</v>
      </c>
      <c r="N21" s="44">
        <v>49.064670999999997</v>
      </c>
      <c r="O21" s="36">
        <f>IF(ISBLANK(N22),"",Long2[[#This Row],[Adj Close]]/N22-1)</f>
        <v>3.124349294444162E-2</v>
      </c>
      <c r="P21" s="29">
        <v>44949</v>
      </c>
      <c r="Q21" s="44">
        <v>29.366620999999999</v>
      </c>
      <c r="R21" s="33">
        <f>IF(ISBLANK(Q22),"",Long3[[#This Row],[Adj Close]]/Q22-1)</f>
        <v>1.0572937934184345E-2</v>
      </c>
      <c r="S21" s="37">
        <v>44949</v>
      </c>
      <c r="T21" s="44">
        <v>48.049594999999997</v>
      </c>
      <c r="U21" s="36">
        <f>IF(ISBLANK(T22),"",Long4[[#This Row],[Adj Close]]/T22-1)</f>
        <v>-2.5004967849546866E-2</v>
      </c>
      <c r="V21" s="29">
        <v>44949</v>
      </c>
      <c r="W21" s="44">
        <v>157.50715600000001</v>
      </c>
      <c r="X21" s="33">
        <f>IF(ISBLANK(W22),"",Long5[[#This Row],[Adj Close]]/W22-1)</f>
        <v>0.11391071815037956</v>
      </c>
      <c r="Y21" s="37">
        <v>44949</v>
      </c>
      <c r="Z21" s="44">
        <v>132.03401199999999</v>
      </c>
      <c r="AA21" s="36">
        <f>IF(ISBLANK(Z22),"",Long6[[#This Row],[Adj Close]]/Z22-1)</f>
        <v>2.4773565336736469E-2</v>
      </c>
      <c r="AH21" s="29">
        <v>44949</v>
      </c>
      <c r="AI21" s="44">
        <v>58.919998</v>
      </c>
      <c r="AJ21" s="33">
        <f>IF(ISBLANK(AI22),"",Short0[[#This Row],[Adj Close]]/AI22-1)</f>
        <v>7.9714091991937019E-2</v>
      </c>
      <c r="AK21" s="37">
        <v>44949</v>
      </c>
      <c r="AL21" s="44">
        <v>84.172340000000005</v>
      </c>
      <c r="AM21" s="36">
        <f>IF(ISBLANK(AL22),"",Short1[[#This Row],[Adj Close]]/AL22-1)</f>
        <v>3.0361688150932542E-2</v>
      </c>
      <c r="AN21" s="29">
        <v>44949</v>
      </c>
      <c r="AO21" s="44">
        <v>99.893851999999995</v>
      </c>
      <c r="AP21" s="33">
        <f>IF(ISBLANK(AO22),"",Short2[[#This Row],[Adj Close]]/AO22-1)</f>
        <v>4.0541860054610135E-2</v>
      </c>
      <c r="AQ21" s="37">
        <v>44949</v>
      </c>
      <c r="AR21" s="44">
        <v>95.279999000000004</v>
      </c>
      <c r="AS21" s="36">
        <f>IF(ISBLANK(AR22),"",Short3[[#This Row],[Adj Close]]/AR22-1)</f>
        <v>5.1539542527982096E-2</v>
      </c>
    </row>
    <row r="22" spans="1:45" x14ac:dyDescent="0.25">
      <c r="A22" s="37">
        <v>44942</v>
      </c>
      <c r="B22" s="39">
        <v>3972.610107</v>
      </c>
      <c r="C22" s="36">
        <f>IF(ISBLANK(B23), "", GSPC[[#This Row],[Adj Close]]/B23-1)</f>
        <v>-6.6215014959172258E-3</v>
      </c>
      <c r="D2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55460.535875000001</v>
      </c>
      <c r="E2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34353.314933000001</v>
      </c>
      <c r="F22" s="11">
        <f>IF(ISBLANK(GSPC[[#This Row],[Long Exp.]]), "", (GSPC[[#This Row],[Long Exp.]]/D23-1)+(E23/GSPC[[#This Row],[Short Exp.]]-1))</f>
        <v>1.2041036116533843E-2</v>
      </c>
      <c r="G22" s="37">
        <v>44942</v>
      </c>
      <c r="H22" s="44">
        <v>11.324923999999999</v>
      </c>
      <c r="I22" s="36">
        <f>IF(ISBLANK(H23), "", Long0[[#This Row],[Adj Close]]/H23-1)</f>
        <v>5.1993787515489664E-3</v>
      </c>
      <c r="J22" s="37">
        <v>44942</v>
      </c>
      <c r="K22" s="44">
        <v>37.75</v>
      </c>
      <c r="L22" s="36">
        <f>IF(ISBLANK(K23),"",Long1[[#This Row],[Adj Close]]/K23-1)</f>
        <v>9.6282698483087792E-3</v>
      </c>
      <c r="M22" s="37">
        <v>44942</v>
      </c>
      <c r="N22" s="44">
        <v>47.578163000000004</v>
      </c>
      <c r="O22" s="36">
        <f>IF(ISBLANK(N23),"",Long2[[#This Row],[Adj Close]]/N23-1)</f>
        <v>3.6485276482774776E-2</v>
      </c>
      <c r="P22" s="29">
        <v>44942</v>
      </c>
      <c r="Q22" s="44">
        <v>29.059377999999999</v>
      </c>
      <c r="R22" s="33">
        <f>IF(ISBLANK(Q23),"",Long3[[#This Row],[Adj Close]]/Q23-1)</f>
        <v>-4.2143111233231889E-2</v>
      </c>
      <c r="S22" s="37">
        <v>44942</v>
      </c>
      <c r="T22" s="44">
        <v>49.281886999999998</v>
      </c>
      <c r="U22" s="36">
        <f>IF(ISBLANK(T23),"",Long4[[#This Row],[Adj Close]]/T23-1)</f>
        <v>3.3064664353204654E-2</v>
      </c>
      <c r="V22" s="29">
        <v>44942</v>
      </c>
      <c r="W22" s="44">
        <v>141.40016199999999</v>
      </c>
      <c r="X22" s="33">
        <f>IF(ISBLANK(W23),"",Long5[[#This Row],[Adj Close]]/W23-1)</f>
        <v>-2.9520610841265116E-2</v>
      </c>
      <c r="Y22" s="37">
        <v>44942</v>
      </c>
      <c r="Z22" s="44">
        <v>128.84213299999999</v>
      </c>
      <c r="AA22" s="36">
        <f>IF(ISBLANK(Z23),"",Long6[[#This Row],[Adj Close]]/Z23-1)</f>
        <v>4.5885718074634152E-3</v>
      </c>
      <c r="AH22" s="29">
        <v>44942</v>
      </c>
      <c r="AI22" s="44">
        <v>54.57</v>
      </c>
      <c r="AJ22" s="33">
        <f>IF(ISBLANK(AI23),"",Short0[[#This Row],[Adj Close]]/AI23-1)</f>
        <v>-7.2767144392084093E-3</v>
      </c>
      <c r="AK22" s="37">
        <v>44942</v>
      </c>
      <c r="AL22" s="44">
        <v>81.692031999999998</v>
      </c>
      <c r="AM22" s="36">
        <f>IF(ISBLANK(AL23),"",Short1[[#This Row],[Adj Close]]/AL23-1)</f>
        <v>-3.6255567199216632E-2</v>
      </c>
      <c r="AN22" s="29">
        <v>44942</v>
      </c>
      <c r="AO22" s="44">
        <v>96.001761999999999</v>
      </c>
      <c r="AP22" s="33">
        <f>IF(ISBLANK(AO23),"",Short2[[#This Row],[Adj Close]]/AO23-1)</f>
        <v>-2.1554334332824499E-2</v>
      </c>
      <c r="AQ22" s="37">
        <v>44942</v>
      </c>
      <c r="AR22" s="44">
        <v>90.610000999999997</v>
      </c>
      <c r="AS22" s="36">
        <f>IF(ISBLANK(AR23),"",Short3[[#This Row],[Adj Close]]/AR23-1)</f>
        <v>2.0382859671750131E-2</v>
      </c>
    </row>
    <row r="23" spans="1:45" x14ac:dyDescent="0.25">
      <c r="A23" s="37">
        <v>44935</v>
      </c>
      <c r="B23" s="39">
        <v>3999.0900879999999</v>
      </c>
      <c r="C23" s="36">
        <f>IF(ISBLANK(B24), "", GSPC[[#This Row],[Adj Close]]/B24-1)</f>
        <v>2.6702919559334459E-2</v>
      </c>
      <c r="D2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55544.138619000005</v>
      </c>
      <c r="E2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34818.671630000004</v>
      </c>
      <c r="F23" s="11">
        <f>IF(ISBLANK(GSPC[[#This Row],[Long Exp.]]), "", (GSPC[[#This Row],[Long Exp.]]/D24-1)+(E24/GSPC[[#This Row],[Short Exp.]]-1))</f>
        <v>-1.5115572329570504E-2</v>
      </c>
      <c r="G23" s="37">
        <v>44935</v>
      </c>
      <c r="H23" s="44">
        <v>11.266346</v>
      </c>
      <c r="I23" s="36">
        <f>IF(ISBLANK(H24), "", Long0[[#This Row],[Adj Close]]/H24-1)</f>
        <v>-4.6281037769446254E-2</v>
      </c>
      <c r="J23" s="37">
        <v>44935</v>
      </c>
      <c r="K23" s="44">
        <v>37.389999000000003</v>
      </c>
      <c r="L23" s="36">
        <f>IF(ISBLANK(K24),"",Long1[[#This Row],[Adj Close]]/K24-1)</f>
        <v>3.8899608841366673E-2</v>
      </c>
      <c r="M23" s="37">
        <v>44935</v>
      </c>
      <c r="N23" s="44">
        <v>45.903365999999998</v>
      </c>
      <c r="O23" s="36">
        <f>IF(ISBLANK(N24),"",Long2[[#This Row],[Adj Close]]/N24-1)</f>
        <v>-8.7738673907081788E-3</v>
      </c>
      <c r="P23" s="29">
        <v>44935</v>
      </c>
      <c r="Q23" s="44">
        <v>30.337911999999999</v>
      </c>
      <c r="R23" s="33">
        <f>IF(ISBLANK(Q24),"",Long3[[#This Row],[Adj Close]]/Q24-1)</f>
        <v>2.1695689053366829E-2</v>
      </c>
      <c r="S23" s="37">
        <v>44935</v>
      </c>
      <c r="T23" s="44">
        <v>47.704552</v>
      </c>
      <c r="U23" s="36">
        <f>IF(ISBLANK(T24),"",Long4[[#This Row],[Adj Close]]/T24-1)</f>
        <v>8.1582464890750828E-2</v>
      </c>
      <c r="V23" s="29">
        <v>44935</v>
      </c>
      <c r="W23" s="44">
        <v>145.70135500000001</v>
      </c>
      <c r="X23" s="33">
        <f>IF(ISBLANK(W24),"",Long5[[#This Row],[Adj Close]]/W24-1)</f>
        <v>6.3984831061957514E-2</v>
      </c>
      <c r="Y23" s="37">
        <v>44935</v>
      </c>
      <c r="Z23" s="44">
        <v>128.25363200000001</v>
      </c>
      <c r="AA23" s="36">
        <f>IF(ISBLANK(Z24),"",Long6[[#This Row],[Adj Close]]/Z24-1)</f>
        <v>0.14988376281986593</v>
      </c>
      <c r="AH23" s="29">
        <v>44935</v>
      </c>
      <c r="AI23" s="44">
        <v>54.970001000000003</v>
      </c>
      <c r="AJ23" s="33">
        <f>IF(ISBLANK(AI24),"",Short0[[#This Row],[Adj Close]]/AI24-1)</f>
        <v>6.5929823540818333E-2</v>
      </c>
      <c r="AK23" s="37">
        <v>44935</v>
      </c>
      <c r="AL23" s="44">
        <v>84.765243999999996</v>
      </c>
      <c r="AM23" s="36">
        <f>IF(ISBLANK(AL24),"",Short1[[#This Row],[Adj Close]]/AL24-1)</f>
        <v>3.2996077404739088E-2</v>
      </c>
      <c r="AN23" s="29">
        <v>44935</v>
      </c>
      <c r="AO23" s="44">
        <v>98.116600000000005</v>
      </c>
      <c r="AP23" s="33">
        <f>IF(ISBLANK(AO24),"",Short2[[#This Row],[Adj Close]]/AO24-1)</f>
        <v>3.3033637559928275E-2</v>
      </c>
      <c r="AQ23" s="37">
        <v>44935</v>
      </c>
      <c r="AR23" s="44">
        <v>88.800003000000004</v>
      </c>
      <c r="AS23" s="36">
        <f>IF(ISBLANK(AR24),"",Short3[[#This Row],[Adj Close]]/AR24-1)</f>
        <v>6.5259140291996864E-2</v>
      </c>
    </row>
    <row r="24" spans="1:45" x14ac:dyDescent="0.25">
      <c r="A24" s="37">
        <v>44928</v>
      </c>
      <c r="B24" s="39">
        <v>3895.080078</v>
      </c>
      <c r="C24" s="36">
        <f>IF(ISBLANK(B25), "", GSPC[[#This Row],[Adj Close]]/B25-1)</f>
        <v>1.4475863523896404E-2</v>
      </c>
      <c r="D2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53926.680406999993</v>
      </c>
      <c r="E2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33248.028278999998</v>
      </c>
      <c r="F24" s="11">
        <f>IF(ISBLANK(GSPC[[#This Row],[Long Exp.]]), "", (GSPC[[#This Row],[Long Exp.]]/D25-1)+(E25/GSPC[[#This Row],[Short Exp.]]-1))</f>
        <v>2.4977977321641864E-3</v>
      </c>
      <c r="G24" s="37">
        <v>44928</v>
      </c>
      <c r="H24" s="44">
        <v>11.813067</v>
      </c>
      <c r="I24" s="36">
        <f>IF(ISBLANK(H25), "", Long0[[#This Row],[Adj Close]]/H25-1)</f>
        <v>8.7151848566395129E-2</v>
      </c>
      <c r="J24" s="37">
        <v>44928</v>
      </c>
      <c r="K24" s="44">
        <v>35.990001999999997</v>
      </c>
      <c r="L24" s="36">
        <f>IF(ISBLANK(K25),"",Long1[[#This Row],[Adj Close]]/K25-1)</f>
        <v>8.1105464670908178E-2</v>
      </c>
      <c r="M24" s="37">
        <v>44928</v>
      </c>
      <c r="N24" s="44">
        <v>46.309680999999998</v>
      </c>
      <c r="O24" s="36">
        <f>IF(ISBLANK(N25),"",Long2[[#This Row],[Adj Close]]/N25-1)</f>
        <v>6.519267917999505E-2</v>
      </c>
      <c r="P24" s="29">
        <v>44928</v>
      </c>
      <c r="Q24" s="44">
        <v>29.693687000000001</v>
      </c>
      <c r="R24" s="33">
        <f>IF(ISBLANK(Q25),"",Long3[[#This Row],[Adj Close]]/Q25-1)</f>
        <v>2.5325078160538972E-2</v>
      </c>
      <c r="S24" s="37">
        <v>44928</v>
      </c>
      <c r="T24" s="44">
        <v>44.106254999999997</v>
      </c>
      <c r="U24" s="36">
        <f>IF(ISBLANK(T25),"",Long4[[#This Row],[Adj Close]]/T25-1)</f>
        <v>1.3822835656144727E-2</v>
      </c>
      <c r="V24" s="29">
        <v>44928</v>
      </c>
      <c r="W24" s="44">
        <v>136.93931599999999</v>
      </c>
      <c r="X24" s="33">
        <f>IF(ISBLANK(W25),"",Long5[[#This Row],[Adj Close]]/W25-1)</f>
        <v>-2.9064686208932766E-3</v>
      </c>
      <c r="Y24" s="37">
        <v>44928</v>
      </c>
      <c r="Z24" s="44">
        <v>111.536171</v>
      </c>
      <c r="AA24" s="36">
        <f>IF(ISBLANK(Z25),"",Long6[[#This Row],[Adj Close]]/Z25-1)</f>
        <v>3.498700004648958E-2</v>
      </c>
      <c r="AH24" s="29">
        <v>44928</v>
      </c>
      <c r="AI24" s="44">
        <v>51.57</v>
      </c>
      <c r="AJ24" s="33">
        <f>IF(ISBLANK(AI25),"",Short0[[#This Row],[Adj Close]]/AI25-1)</f>
        <v>7.2810484709798118E-2</v>
      </c>
      <c r="AK24" s="37">
        <v>44928</v>
      </c>
      <c r="AL24" s="44">
        <v>82.057663000000005</v>
      </c>
      <c r="AM24" s="36">
        <f>IF(ISBLANK(AL25),"",Short1[[#This Row],[Adj Close]]/AL25-1)</f>
        <v>3.5282409958807159E-2</v>
      </c>
      <c r="AN24" s="29">
        <v>44928</v>
      </c>
      <c r="AO24" s="44">
        <v>94.979095000000001</v>
      </c>
      <c r="AP24" s="33">
        <f>IF(ISBLANK(AO25),"",Short2[[#This Row],[Adj Close]]/AO25-1)</f>
        <v>5.7016618400455465E-2</v>
      </c>
      <c r="AQ24" s="37">
        <v>44928</v>
      </c>
      <c r="AR24" s="44">
        <v>83.360000999999997</v>
      </c>
      <c r="AS24" s="36">
        <f>IF(ISBLANK(AR25),"",Short3[[#This Row],[Adj Close]]/AR25-1)</f>
        <v>-3.1710943510788403E-2</v>
      </c>
    </row>
    <row r="25" spans="1:45" x14ac:dyDescent="0.25">
      <c r="A25" s="37">
        <v>44921</v>
      </c>
      <c r="B25" s="39">
        <v>3839.5</v>
      </c>
      <c r="C25" s="36">
        <f>IF(ISBLANK(B26), "", GSPC[[#This Row],[Adj Close]]/B26-1)</f>
        <v>-1.3836975218367575E-3</v>
      </c>
      <c r="D2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51873.335768000004</v>
      </c>
      <c r="E2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32014.991255999998</v>
      </c>
      <c r="F25" s="11">
        <f>IF(ISBLANK(GSPC[[#This Row],[Long Exp.]]), "", (GSPC[[#This Row],[Long Exp.]]/D26-1)+(E26/GSPC[[#This Row],[Short Exp.]]-1))</f>
        <v>-2.7667636295013676E-2</v>
      </c>
      <c r="G25" s="37">
        <v>44921</v>
      </c>
      <c r="H25" s="44">
        <v>10.866069</v>
      </c>
      <c r="I25" s="36">
        <f>IF(ISBLANK(H26), "", Long0[[#This Row],[Adj Close]]/H26-1)</f>
        <v>1.0899146565025442E-2</v>
      </c>
      <c r="J25" s="37">
        <v>44921</v>
      </c>
      <c r="K25" s="44">
        <v>33.290000999999997</v>
      </c>
      <c r="L25" s="36">
        <f>IF(ISBLANK(K26),"",Long1[[#This Row],[Adj Close]]/K26-1)</f>
        <v>-4.6131831167230408E-2</v>
      </c>
      <c r="M25" s="37">
        <v>44921</v>
      </c>
      <c r="N25" s="44">
        <v>43.475403</v>
      </c>
      <c r="O25" s="36">
        <f>IF(ISBLANK(N26),"",Long2[[#This Row],[Adj Close]]/N26-1)</f>
        <v>-2.8134741056586421E-2</v>
      </c>
      <c r="P25" s="29">
        <v>44921</v>
      </c>
      <c r="Q25" s="44">
        <v>28.960266000000001</v>
      </c>
      <c r="R25" s="33">
        <f>IF(ISBLANK(Q26),"",Long3[[#This Row],[Adj Close]]/Q26-1)</f>
        <v>-1.0832784389281258E-2</v>
      </c>
      <c r="S25" s="37">
        <v>44921</v>
      </c>
      <c r="T25" s="44">
        <v>43.504894</v>
      </c>
      <c r="U25" s="36">
        <f>IF(ISBLANK(T26),"",Long4[[#This Row],[Adj Close]]/T26-1)</f>
        <v>2.4988216779187056E-3</v>
      </c>
      <c r="V25" s="29">
        <v>44921</v>
      </c>
      <c r="W25" s="44">
        <v>137.33848599999999</v>
      </c>
      <c r="X25" s="33">
        <f>IF(ISBLANK(W26),"",Long5[[#This Row],[Adj Close]]/W26-1)</f>
        <v>-5.5261932273420689E-2</v>
      </c>
      <c r="Y25" s="37">
        <v>44921</v>
      </c>
      <c r="Z25" s="44">
        <v>107.76577</v>
      </c>
      <c r="AA25" s="36">
        <f>IF(ISBLANK(Z26),"",Long6[[#This Row],[Adj Close]]/Z26-1)</f>
        <v>1.3033316304643661E-2</v>
      </c>
      <c r="AH25" s="29">
        <v>44921</v>
      </c>
      <c r="AI25" s="44">
        <v>48.07</v>
      </c>
      <c r="AJ25" s="33">
        <f>IF(ISBLANK(AI26),"",Short0[[#This Row],[Adj Close]]/AI26-1)</f>
        <v>3.3319002579535573E-2</v>
      </c>
      <c r="AK25" s="37">
        <v>44921</v>
      </c>
      <c r="AL25" s="44">
        <v>79.261139</v>
      </c>
      <c r="AM25" s="36">
        <f>IF(ISBLANK(AL26),"",Short1[[#This Row],[Adj Close]]/AL26-1)</f>
        <v>-1.4013483414429873E-2</v>
      </c>
      <c r="AN25" s="29">
        <v>44921</v>
      </c>
      <c r="AO25" s="44">
        <v>89.855819999999994</v>
      </c>
      <c r="AP25" s="33">
        <f>IF(ISBLANK(AO26),"",Short2[[#This Row],[Adj Close]]/AO26-1)</f>
        <v>-1.324234980556005E-3</v>
      </c>
      <c r="AQ25" s="37">
        <v>44921</v>
      </c>
      <c r="AR25" s="44">
        <v>86.089995999999999</v>
      </c>
      <c r="AS25" s="36">
        <f>IF(ISBLANK(AR26),"",Short3[[#This Row],[Adj Close]]/AR26-1)</f>
        <v>1.7612269919911716E-2</v>
      </c>
    </row>
    <row r="26" spans="1:45" x14ac:dyDescent="0.25">
      <c r="A26" s="37">
        <v>44914</v>
      </c>
      <c r="B26" s="39">
        <v>3844.820068</v>
      </c>
      <c r="C26" s="36">
        <f>IF(ISBLANK(B27), "", GSPC[[#This Row],[Adj Close]]/B27-1)</f>
        <v>-1.9572518639415781E-3</v>
      </c>
      <c r="D2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52934.941230000004</v>
      </c>
      <c r="E2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31771.269878000003</v>
      </c>
      <c r="F26" s="11">
        <f>IF(ISBLANK(GSPC[[#This Row],[Long Exp.]]), "", (GSPC[[#This Row],[Long Exp.]]/D27-1)+(E27/GSPC[[#This Row],[Short Exp.]]-1))</f>
        <v>-5.2661830911170382E-3</v>
      </c>
      <c r="G26" s="37">
        <v>44914</v>
      </c>
      <c r="H26" s="44">
        <v>10.748915</v>
      </c>
      <c r="I26" s="36">
        <f>IF(ISBLANK(H27), "", Long0[[#This Row],[Adj Close]]/H27-1)</f>
        <v>4.5621068961971822E-3</v>
      </c>
      <c r="J26" s="37">
        <v>44914</v>
      </c>
      <c r="K26" s="44">
        <v>34.900002000000001</v>
      </c>
      <c r="L26" s="36">
        <f>IF(ISBLANK(K27),"",Long1[[#This Row],[Adj Close]]/K27-1)</f>
        <v>-3.644392500154825E-2</v>
      </c>
      <c r="M26" s="37">
        <v>44914</v>
      </c>
      <c r="N26" s="44">
        <v>44.733981999999997</v>
      </c>
      <c r="O26" s="36">
        <f>IF(ISBLANK(N27),"",Long2[[#This Row],[Adj Close]]/N27-1)</f>
        <v>-4.850084210930472E-3</v>
      </c>
      <c r="P26" s="29">
        <v>44914</v>
      </c>
      <c r="Q26" s="44">
        <v>29.277422000000001</v>
      </c>
      <c r="R26" s="33">
        <f>IF(ISBLANK(Q27),"",Long3[[#This Row],[Adj Close]]/Q27-1)</f>
        <v>1.4074887781243994E-2</v>
      </c>
      <c r="S26" s="37">
        <v>44914</v>
      </c>
      <c r="T26" s="44">
        <v>43.396453999999999</v>
      </c>
      <c r="U26" s="36">
        <f>IF(ISBLANK(T27),"",Long4[[#This Row],[Adj Close]]/T27-1)</f>
        <v>-3.3959188300235477E-3</v>
      </c>
      <c r="V26" s="29">
        <v>44914</v>
      </c>
      <c r="W26" s="44">
        <v>145.37202500000001</v>
      </c>
      <c r="X26" s="33">
        <f>IF(ISBLANK(W27),"",Long5[[#This Row],[Adj Close]]/W27-1)</f>
        <v>-5.5807648074944427E-2</v>
      </c>
      <c r="Y26" s="37">
        <v>44914</v>
      </c>
      <c r="Z26" s="44">
        <v>106.379295</v>
      </c>
      <c r="AA26" s="36">
        <f>IF(ISBLANK(Z27),"",Long6[[#This Row],[Adj Close]]/Z27-1)</f>
        <v>-3.1207307109482829E-2</v>
      </c>
      <c r="AH26" s="29">
        <v>44914</v>
      </c>
      <c r="AI26" s="44">
        <v>46.52</v>
      </c>
      <c r="AJ26" s="33">
        <f>IF(ISBLANK(AI27),"",Short0[[#This Row],[Adj Close]]/AI27-1)</f>
        <v>-2.0425393959764282E-2</v>
      </c>
      <c r="AK26" s="37">
        <v>44914</v>
      </c>
      <c r="AL26" s="44">
        <v>80.387649999999994</v>
      </c>
      <c r="AM26" s="36">
        <f>IF(ISBLANK(AL27),"",Short1[[#This Row],[Adj Close]]/AL27-1)</f>
        <v>3.4657282891241481E-2</v>
      </c>
      <c r="AN26" s="29">
        <v>44914</v>
      </c>
      <c r="AO26" s="44">
        <v>89.974968000000004</v>
      </c>
      <c r="AP26" s="33">
        <f>IF(ISBLANK(AO27),"",Short2[[#This Row],[Adj Close]]/AO27-1)</f>
        <v>-1.7136599523663643E-2</v>
      </c>
      <c r="AQ26" s="37">
        <v>44914</v>
      </c>
      <c r="AR26" s="44">
        <v>84.599997999999999</v>
      </c>
      <c r="AS26" s="36">
        <f>IF(ISBLANK(AR27),"",Short3[[#This Row],[Adj Close]]/AR27-1)</f>
        <v>-3.2036658305797272E-2</v>
      </c>
    </row>
    <row r="27" spans="1:45" x14ac:dyDescent="0.25">
      <c r="A27" s="37">
        <v>44907</v>
      </c>
      <c r="B27" s="39">
        <v>3852.360107</v>
      </c>
      <c r="C27" s="36">
        <f>IF(ISBLANK(B28), "", GSPC[[#This Row],[Adj Close]]/B28-1)</f>
        <v>-2.0846938638131474E-2</v>
      </c>
      <c r="D2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53724.986862999998</v>
      </c>
      <c r="E2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32071.164728</v>
      </c>
      <c r="F27" s="11">
        <f>IF(ISBLANK(GSPC[[#This Row],[Long Exp.]]), "", (GSPC[[#This Row],[Long Exp.]]/D28-1)+(E28/GSPC[[#This Row],[Short Exp.]]-1))</f>
        <v>-1.5649314001938364E-2</v>
      </c>
      <c r="G27" s="37">
        <v>44907</v>
      </c>
      <c r="H27" s="44">
        <v>10.700100000000001</v>
      </c>
      <c r="I27" s="36">
        <f>IF(ISBLANK(H28), "", Long0[[#This Row],[Adj Close]]/H28-1)</f>
        <v>1.6697629729405028E-2</v>
      </c>
      <c r="J27" s="37">
        <v>44907</v>
      </c>
      <c r="K27" s="44">
        <v>36.220001000000003</v>
      </c>
      <c r="L27" s="36">
        <f>IF(ISBLANK(K28),"",Long1[[#This Row],[Adj Close]]/K28-1)</f>
        <v>1.6593196902656704E-3</v>
      </c>
      <c r="M27" s="37">
        <v>44907</v>
      </c>
      <c r="N27" s="44">
        <v>44.952002999999998</v>
      </c>
      <c r="O27" s="36">
        <f>IF(ISBLANK(N28),"",Long2[[#This Row],[Adj Close]]/N28-1)</f>
        <v>-3.0976229300084812E-2</v>
      </c>
      <c r="P27" s="29">
        <v>44907</v>
      </c>
      <c r="Q27" s="44">
        <v>28.871065000000002</v>
      </c>
      <c r="R27" s="33">
        <f>IF(ISBLANK(Q28),"",Long3[[#This Row],[Adj Close]]/Q28-1)</f>
        <v>1.4090918063703661E-2</v>
      </c>
      <c r="S27" s="37">
        <v>44907</v>
      </c>
      <c r="T27" s="44">
        <v>43.544327000000003</v>
      </c>
      <c r="U27" s="36">
        <f>IF(ISBLANK(T28),"",Long4[[#This Row],[Adj Close]]/T28-1)</f>
        <v>-3.8528478268343269E-2</v>
      </c>
      <c r="V27" s="29">
        <v>44907</v>
      </c>
      <c r="W27" s="44">
        <v>153.964417</v>
      </c>
      <c r="X27" s="33">
        <f>IF(ISBLANK(W28),"",Long5[[#This Row],[Adj Close]]/W28-1)</f>
        <v>8.1683917697028541E-3</v>
      </c>
      <c r="Y27" s="37">
        <v>44907</v>
      </c>
      <c r="Z27" s="44">
        <v>109.80604599999999</v>
      </c>
      <c r="AA27" s="36">
        <f>IF(ISBLANK(Z28),"",Long6[[#This Row],[Adj Close]]/Z28-1)</f>
        <v>-4.3670423531477209E-2</v>
      </c>
      <c r="AH27" s="29">
        <v>44907</v>
      </c>
      <c r="AI27" s="44">
        <v>47.490001999999997</v>
      </c>
      <c r="AJ27" s="33">
        <f>IF(ISBLANK(AI28),"",Short0[[#This Row],[Adj Close]]/AI28-1)</f>
        <v>3.8047135107859287E-3</v>
      </c>
      <c r="AK27" s="37">
        <v>44907</v>
      </c>
      <c r="AL27" s="44">
        <v>77.694953999999996</v>
      </c>
      <c r="AM27" s="36">
        <f>IF(ISBLANK(AL28),"",Short1[[#This Row],[Adj Close]]/AL28-1)</f>
        <v>-2.8480548179628196E-2</v>
      </c>
      <c r="AN27" s="29">
        <v>44907</v>
      </c>
      <c r="AO27" s="44">
        <v>91.543716000000003</v>
      </c>
      <c r="AP27" s="33">
        <f>IF(ISBLANK(AO28),"",Short2[[#This Row],[Adj Close]]/AO28-1)</f>
        <v>4.1807871386812412E-2</v>
      </c>
      <c r="AQ27" s="37">
        <v>44907</v>
      </c>
      <c r="AR27" s="44">
        <v>87.400002000000001</v>
      </c>
      <c r="AS27" s="36">
        <f>IF(ISBLANK(AR28),"",Short3[[#This Row],[Adj Close]]/AR28-1)</f>
        <v>-1.5992574640250057E-3</v>
      </c>
    </row>
    <row r="28" spans="1:45" x14ac:dyDescent="0.25">
      <c r="A28" s="37">
        <v>44900</v>
      </c>
      <c r="B28" s="39">
        <v>3934.3798830000001</v>
      </c>
      <c r="C28" s="36">
        <f>IF(ISBLANK(B29), "", GSPC[[#This Row],[Adj Close]]/B29-1)</f>
        <v>-3.3725488040019846E-2</v>
      </c>
      <c r="D2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54162.092512999996</v>
      </c>
      <c r="E2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31828.097700000006</v>
      </c>
      <c r="F28" s="11">
        <f>IF(ISBLANK(GSPC[[#This Row],[Long Exp.]]), "", (GSPC[[#This Row],[Long Exp.]]/D29-1)+(E29/GSPC[[#This Row],[Short Exp.]]-1))</f>
        <v>-1.7239912818008962E-2</v>
      </c>
      <c r="G28" s="37">
        <v>44900</v>
      </c>
      <c r="H28" s="44">
        <v>10.524368000000001</v>
      </c>
      <c r="I28" s="36">
        <f>IF(ISBLANK(H29), "", Long0[[#This Row],[Adj Close]]/H29-1)</f>
        <v>-3.4915064216160308E-2</v>
      </c>
      <c r="J28" s="37">
        <v>44900</v>
      </c>
      <c r="K28" s="44">
        <v>36.159999999999997</v>
      </c>
      <c r="L28" s="36">
        <f>IF(ISBLANK(K29),"",Long1[[#This Row],[Adj Close]]/K29-1)</f>
        <v>-5.1913976190717914E-2</v>
      </c>
      <c r="M28" s="37">
        <v>44900</v>
      </c>
      <c r="N28" s="44">
        <v>46.388958000000002</v>
      </c>
      <c r="O28" s="36">
        <f>IF(ISBLANK(N29),"",Long2[[#This Row],[Adj Close]]/N29-1)</f>
        <v>-4.7884481718057925E-2</v>
      </c>
      <c r="P28" s="29">
        <v>44900</v>
      </c>
      <c r="Q28" s="44">
        <v>28.469898000000001</v>
      </c>
      <c r="R28" s="33">
        <f>IF(ISBLANK(Q29),"",Long3[[#This Row],[Adj Close]]/Q29-1)</f>
        <v>-7.882086206678518E-3</v>
      </c>
      <c r="S28" s="37">
        <v>44900</v>
      </c>
      <c r="T28" s="44">
        <v>45.289253000000002</v>
      </c>
      <c r="U28" s="36">
        <f>IF(ISBLANK(T29),"",Long4[[#This Row],[Adj Close]]/T29-1)</f>
        <v>-4.8861338665005971E-2</v>
      </c>
      <c r="V28" s="29">
        <v>44900</v>
      </c>
      <c r="W28" s="44">
        <v>152.71696499999999</v>
      </c>
      <c r="X28" s="33">
        <f>IF(ISBLANK(W29),"",Long5[[#This Row],[Adj Close]]/W29-1)</f>
        <v>-6.1280878315322806E-2</v>
      </c>
      <c r="Y28" s="37">
        <v>44900</v>
      </c>
      <c r="Z28" s="44">
        <v>114.820297</v>
      </c>
      <c r="AA28" s="36">
        <f>IF(ISBLANK(Z29),"",Long6[[#This Row],[Adj Close]]/Z29-1)</f>
        <v>2.4136996673133071E-2</v>
      </c>
      <c r="AH28" s="29">
        <v>44900</v>
      </c>
      <c r="AI28" s="44">
        <v>47.310001</v>
      </c>
      <c r="AJ28" s="33">
        <f>IF(ISBLANK(AI29),"",Short0[[#This Row],[Adj Close]]/AI29-1)</f>
        <v>-1.3552919381837447E-2</v>
      </c>
      <c r="AK28" s="37">
        <v>44900</v>
      </c>
      <c r="AL28" s="44">
        <v>79.972617999999997</v>
      </c>
      <c r="AM28" s="36">
        <f>IF(ISBLANK(AL29),"",Short1[[#This Row],[Adj Close]]/AL29-1)</f>
        <v>-5.5311758944715739E-2</v>
      </c>
      <c r="AN28" s="29">
        <v>44900</v>
      </c>
      <c r="AO28" s="44">
        <v>87.870056000000005</v>
      </c>
      <c r="AP28" s="33">
        <f>IF(ISBLANK(AO29),"",Short2[[#This Row],[Adj Close]]/AO29-1)</f>
        <v>2.2649325232151352E-3</v>
      </c>
      <c r="AQ28" s="37">
        <v>44900</v>
      </c>
      <c r="AR28" s="44">
        <v>87.540001000000004</v>
      </c>
      <c r="AS28" s="36">
        <f>IF(ISBLANK(AR29),"",Short3[[#This Row],[Adj Close]]/AR29-1)</f>
        <v>-1.2409724869243299E-2</v>
      </c>
    </row>
    <row r="29" spans="1:45" x14ac:dyDescent="0.25">
      <c r="A29" s="37">
        <v>44893</v>
      </c>
      <c r="B29" s="39">
        <v>4071.6999510000001</v>
      </c>
      <c r="C29" s="36">
        <f>IF(ISBLANK(B30), "", GSPC[[#This Row],[Adj Close]]/B30-1)</f>
        <v>1.1321031831003303E-2</v>
      </c>
      <c r="D2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56178.340237999997</v>
      </c>
      <c r="E2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32421.698515999997</v>
      </c>
      <c r="F29" s="11">
        <f>IF(ISBLANK(GSPC[[#This Row],[Long Exp.]]), "", (GSPC[[#This Row],[Long Exp.]]/D30-1)+(E30/GSPC[[#This Row],[Short Exp.]]-1))</f>
        <v>-6.4723472089624257E-2</v>
      </c>
      <c r="G29" s="37">
        <v>44893</v>
      </c>
      <c r="H29" s="44">
        <v>10.905120999999999</v>
      </c>
      <c r="I29" s="36">
        <f>IF(ISBLANK(H30), "", Long0[[#This Row],[Adj Close]]/H30-1)</f>
        <v>1.3661363710303354E-2</v>
      </c>
      <c r="J29" s="37">
        <v>44893</v>
      </c>
      <c r="K29" s="44">
        <v>38.139999000000003</v>
      </c>
      <c r="L29" s="36">
        <f>IF(ISBLANK(K30),"",Long1[[#This Row],[Adj Close]]/K30-1)</f>
        <v>1.3014527861114233E-2</v>
      </c>
      <c r="M29" s="37">
        <v>44893</v>
      </c>
      <c r="N29" s="44">
        <v>48.721984999999997</v>
      </c>
      <c r="O29" s="36">
        <f>IF(ISBLANK(N30),"",Long2[[#This Row],[Adj Close]]/N30-1)</f>
        <v>-4.7517777428713659E-2</v>
      </c>
      <c r="P29" s="29">
        <v>44893</v>
      </c>
      <c r="Q29" s="44">
        <v>28.696083000000002</v>
      </c>
      <c r="R29" s="33">
        <f>IF(ISBLANK(Q30),"",Long3[[#This Row],[Adj Close]]/Q30-1)</f>
        <v>-1.7105433025759176E-3</v>
      </c>
      <c r="S29" s="37">
        <v>44893</v>
      </c>
      <c r="T29" s="44">
        <v>47.615825999999998</v>
      </c>
      <c r="U29" s="36">
        <f>IF(ISBLANK(T30),"",Long4[[#This Row],[Adj Close]]/T30-1)</f>
        <v>2.7659588244028477E-2</v>
      </c>
      <c r="V29" s="29">
        <v>44893</v>
      </c>
      <c r="W29" s="44">
        <v>162.68653900000001</v>
      </c>
      <c r="X29" s="33">
        <f>IF(ISBLANK(W30),"",Long5[[#This Row],[Adj Close]]/W30-1)</f>
        <v>4.8629799275391683E-2</v>
      </c>
      <c r="Y29" s="37">
        <v>44893</v>
      </c>
      <c r="Z29" s="44">
        <v>112.114197</v>
      </c>
      <c r="AA29" s="36">
        <f>IF(ISBLANK(Z30),"",Long6[[#This Row],[Adj Close]]/Z30-1)</f>
        <v>2.7162610327894354E-2</v>
      </c>
      <c r="AH29" s="29">
        <v>44893</v>
      </c>
      <c r="AI29" s="44">
        <v>47.959999000000003</v>
      </c>
      <c r="AJ29" s="33">
        <f>IF(ISBLANK(AI30),"",Short0[[#This Row],[Adj Close]]/AI30-1)</f>
        <v>0.11095671118631989</v>
      </c>
      <c r="AK29" s="37">
        <v>44893</v>
      </c>
      <c r="AL29" s="44">
        <v>84.655036999999993</v>
      </c>
      <c r="AM29" s="36">
        <f>IF(ISBLANK(AL30),"",Short1[[#This Row],[Adj Close]]/AL30-1)</f>
        <v>6.6108415074467963E-2</v>
      </c>
      <c r="AN29" s="29">
        <v>44893</v>
      </c>
      <c r="AO29" s="44">
        <v>87.671486000000002</v>
      </c>
      <c r="AP29" s="33">
        <f>IF(ISBLANK(AO30),"",Short2[[#This Row],[Adj Close]]/AO30-1)</f>
        <v>2.2227468072577361E-2</v>
      </c>
      <c r="AQ29" s="37">
        <v>44893</v>
      </c>
      <c r="AR29" s="44">
        <v>88.639999000000003</v>
      </c>
      <c r="AS29" s="36">
        <f>IF(ISBLANK(AR30),"",Short3[[#This Row],[Adj Close]]/AR30-1)</f>
        <v>0.13220076469279896</v>
      </c>
    </row>
    <row r="30" spans="1:45" x14ac:dyDescent="0.25">
      <c r="A30" s="37">
        <v>44886</v>
      </c>
      <c r="B30" s="39">
        <v>4026.1201169999999</v>
      </c>
      <c r="C30" s="36">
        <f>IF(ISBLANK(B31), "", GSPC[[#This Row],[Adj Close]]/B31-1)</f>
        <v>1.5327822494704435E-2</v>
      </c>
      <c r="D3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55926.895226000001</v>
      </c>
      <c r="E3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30177.486999000001</v>
      </c>
      <c r="F30" s="11">
        <f>IF(ISBLANK(GSPC[[#This Row],[Long Exp.]]), "", (GSPC[[#This Row],[Long Exp.]]/D31-1)+(E31/GSPC[[#This Row],[Short Exp.]]-1))</f>
        <v>-1.6652981457248917E-2</v>
      </c>
      <c r="G30" s="37">
        <v>44886</v>
      </c>
      <c r="H30" s="44">
        <v>10.758150000000001</v>
      </c>
      <c r="I30" s="36">
        <f>IF(ISBLANK(H31), "", Long0[[#This Row],[Adj Close]]/H31-1)</f>
        <v>1.2727352143679926E-2</v>
      </c>
      <c r="J30" s="37">
        <v>44886</v>
      </c>
      <c r="K30" s="44">
        <v>37.650002000000001</v>
      </c>
      <c r="L30" s="36">
        <f>IF(ISBLANK(K31),"",Long1[[#This Row],[Adj Close]]/K31-1)</f>
        <v>1.3458949477310966E-2</v>
      </c>
      <c r="M30" s="37">
        <v>44886</v>
      </c>
      <c r="N30" s="44">
        <v>51.152645</v>
      </c>
      <c r="O30" s="36">
        <f>IF(ISBLANK(N31),"",Long2[[#This Row],[Adj Close]]/N31-1)</f>
        <v>5.7177839490715865E-2</v>
      </c>
      <c r="P30" s="29">
        <v>44886</v>
      </c>
      <c r="Q30" s="44">
        <v>28.745253000000002</v>
      </c>
      <c r="R30" s="33">
        <f>IF(ISBLANK(Q31),"",Long3[[#This Row],[Adj Close]]/Q31-1)</f>
        <v>4.0583823746453307E-2</v>
      </c>
      <c r="S30" s="37">
        <v>44886</v>
      </c>
      <c r="T30" s="44">
        <v>46.334240000000001</v>
      </c>
      <c r="U30" s="36">
        <f>IF(ISBLANK(T31),"",Long4[[#This Row],[Adj Close]]/T31-1)</f>
        <v>-6.3424847399708995E-3</v>
      </c>
      <c r="V30" s="29">
        <v>44886</v>
      </c>
      <c r="W30" s="44">
        <v>155.14201399999999</v>
      </c>
      <c r="X30" s="33">
        <f>IF(ISBLANK(W31),"",Long5[[#This Row],[Adj Close]]/W31-1)</f>
        <v>-2.9587896274638648E-2</v>
      </c>
      <c r="Y30" s="37">
        <v>44886</v>
      </c>
      <c r="Z30" s="44">
        <v>109.14941399999999</v>
      </c>
      <c r="AA30" s="36">
        <f>IF(ISBLANK(Z31),"",Long6[[#This Row],[Adj Close]]/Z31-1)</f>
        <v>2.4670649456481897E-3</v>
      </c>
      <c r="AH30" s="29">
        <v>44886</v>
      </c>
      <c r="AI30" s="44">
        <v>43.169998</v>
      </c>
      <c r="AJ30" s="33">
        <f>IF(ISBLANK(AI31),"",Short0[[#This Row],[Adj Close]]/AI31-1)</f>
        <v>-1.0316391800008984E-2</v>
      </c>
      <c r="AK30" s="37">
        <v>44886</v>
      </c>
      <c r="AL30" s="44">
        <v>79.405654999999996</v>
      </c>
      <c r="AM30" s="36">
        <f>IF(ISBLANK(AL31),"",Short1[[#This Row],[Adj Close]]/AL31-1)</f>
        <v>0.12741159450875483</v>
      </c>
      <c r="AN30" s="29">
        <v>44886</v>
      </c>
      <c r="AO30" s="44">
        <v>85.765144000000006</v>
      </c>
      <c r="AP30" s="33">
        <f>IF(ISBLANK(AO31),"",Short2[[#This Row],[Adj Close]]/AO31-1)</f>
        <v>1.9714296662920017E-2</v>
      </c>
      <c r="AQ30" s="37">
        <v>44886</v>
      </c>
      <c r="AR30" s="44">
        <v>78.290001000000004</v>
      </c>
      <c r="AS30" s="36">
        <f>IF(ISBLANK(AR31),"",Short3[[#This Row],[Adj Close]]/AR31-1)</f>
        <v>1.2807218131673181E-2</v>
      </c>
    </row>
    <row r="31" spans="1:45" x14ac:dyDescent="0.25">
      <c r="A31" s="37">
        <v>44879</v>
      </c>
      <c r="B31" s="39">
        <v>3965.3400879999999</v>
      </c>
      <c r="C31" s="36">
        <f>IF(ISBLANK(B32), "", GSPC[[#This Row],[Adj Close]]/B32-1)</f>
        <v>-6.9096739661997919E-3</v>
      </c>
      <c r="D3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54983.777306000004</v>
      </c>
      <c r="E3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29157.317758000001</v>
      </c>
      <c r="F31" s="11">
        <f>IF(ISBLANK(GSPC[[#This Row],[Long Exp.]]), "", (GSPC[[#This Row],[Long Exp.]]/D32-1)+(E32/GSPC[[#This Row],[Short Exp.]]-1))</f>
        <v>1.0520512444335828E-2</v>
      </c>
      <c r="G31" s="37">
        <v>44879</v>
      </c>
      <c r="H31" s="44">
        <v>10.622947999999999</v>
      </c>
      <c r="I31" s="36">
        <f>IF(ISBLANK(H32), "", Long0[[#This Row],[Adj Close]]/H32-1)</f>
        <v>-3.8461545424247734E-2</v>
      </c>
      <c r="J31" s="29">
        <v>44879</v>
      </c>
      <c r="K31" s="44">
        <v>37.150002000000001</v>
      </c>
      <c r="L31" s="33">
        <f>IF(ISBLANK(K32),"",Long1[[#This Row],[Adj Close]]/K32-1)</f>
        <v>-5.8062805731815548E-2</v>
      </c>
      <c r="M31" s="37">
        <v>44879</v>
      </c>
      <c r="N31" s="44">
        <v>48.386035999999997</v>
      </c>
      <c r="O31" s="36">
        <f>IF(ISBLANK(N32),"",Long2[[#This Row],[Adj Close]]/N32-1)</f>
        <v>-7.2362283113608927E-2</v>
      </c>
      <c r="P31" s="29">
        <v>44879</v>
      </c>
      <c r="Q31" s="44">
        <v>27.624158999999999</v>
      </c>
      <c r="R31" s="33">
        <f>IF(ISBLANK(Q32),"",Long3[[#This Row],[Adj Close]]/Q32-1)</f>
        <v>2.4808427331376448E-2</v>
      </c>
      <c r="S31" s="37">
        <v>44879</v>
      </c>
      <c r="T31" s="44">
        <v>46.629989999999999</v>
      </c>
      <c r="U31" s="36">
        <f>IF(ISBLANK(T32),"",Long4[[#This Row],[Adj Close]]/T32-1)</f>
        <v>2.3809470487736073E-2</v>
      </c>
      <c r="V31" s="29">
        <v>44879</v>
      </c>
      <c r="W31" s="44">
        <v>159.872299</v>
      </c>
      <c r="X31" s="33">
        <f>IF(ISBLANK(W32),"",Long5[[#This Row],[Adj Close]]/W32-1)</f>
        <v>-3.9042215061255159E-2</v>
      </c>
      <c r="Y31" s="37">
        <v>44879</v>
      </c>
      <c r="Z31" s="44">
        <v>108.880798</v>
      </c>
      <c r="AA31" s="36">
        <f>IF(ISBLANK(Z32),"",Long6[[#This Row],[Adj Close]]/Z32-1)</f>
        <v>-1.0577735219765794E-2</v>
      </c>
      <c r="AH31" s="29">
        <v>44879</v>
      </c>
      <c r="AI31" s="44">
        <v>43.619999</v>
      </c>
      <c r="AJ31" s="33">
        <f>IF(ISBLANK(AI32),"",Short0[[#This Row],[Adj Close]]/AI32-1)</f>
        <v>6.9251846722069299E-3</v>
      </c>
      <c r="AK31" s="37">
        <v>44879</v>
      </c>
      <c r="AL31" s="44">
        <v>70.431824000000006</v>
      </c>
      <c r="AM31" s="36">
        <f>IF(ISBLANK(AL32),"",Short1[[#This Row],[Adj Close]]/AL32-1)</f>
        <v>-3.3534576055202159E-2</v>
      </c>
      <c r="AN31" s="29">
        <v>44879</v>
      </c>
      <c r="AO31" s="44">
        <v>84.107033000000001</v>
      </c>
      <c r="AP31" s="33">
        <f>IF(ISBLANK(AO32),"",Short2[[#This Row],[Adj Close]]/AO32-1)</f>
        <v>-3.7714369385437041E-2</v>
      </c>
      <c r="AQ31" s="37">
        <v>44879</v>
      </c>
      <c r="AR31" s="44">
        <v>77.300003000000004</v>
      </c>
      <c r="AS31" s="36">
        <f>IF(ISBLANK(AR32),"",Short3[[#This Row],[Adj Close]]/AR32-1)</f>
        <v>-9.7700422497967176E-2</v>
      </c>
    </row>
    <row r="32" spans="1:45" x14ac:dyDescent="0.25">
      <c r="A32" s="37">
        <v>44872</v>
      </c>
      <c r="B32" s="39">
        <v>3992.929932</v>
      </c>
      <c r="C32" s="36">
        <f>IF(ISBLANK(B33), "", GSPC[[#This Row],[Adj Close]]/B33-1)</f>
        <v>5.8978101367193947E-2</v>
      </c>
      <c r="D3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56673.177201999992</v>
      </c>
      <c r="E3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30333.233168000002</v>
      </c>
      <c r="F32" s="11">
        <f>IF(ISBLANK(GSPC[[#This Row],[Long Exp.]]), "", (GSPC[[#This Row],[Long Exp.]]/D33-1)+(E33/GSPC[[#This Row],[Short Exp.]]-1))</f>
        <v>-1.3065357947657064E-2</v>
      </c>
      <c r="G32" s="37">
        <v>44872</v>
      </c>
      <c r="H32" s="44">
        <v>11.047866000000001</v>
      </c>
      <c r="I32" s="36">
        <f>IF(ISBLANK(H33), "", Long0[[#This Row],[Adj Close]]/H33-1)</f>
        <v>0.17938153882548047</v>
      </c>
      <c r="J32" s="29">
        <v>44872</v>
      </c>
      <c r="K32" s="44">
        <v>39.439999</v>
      </c>
      <c r="L32" s="33">
        <f>IF(ISBLANK(K33),"",Long1[[#This Row],[Adj Close]]/K33-1)</f>
        <v>0.17311124845661063</v>
      </c>
      <c r="M32" s="37">
        <v>44872</v>
      </c>
      <c r="N32" s="44">
        <v>52.160488000000001</v>
      </c>
      <c r="O32" s="36">
        <f>IF(ISBLANK(N33),"",Long2[[#This Row],[Adj Close]]/N33-1)</f>
        <v>7.1008316355156254E-2</v>
      </c>
      <c r="P32" s="29">
        <v>44872</v>
      </c>
      <c r="Q32" s="44">
        <v>26.955437</v>
      </c>
      <c r="R32" s="33">
        <f>IF(ISBLANK(Q33),"",Long3[[#This Row],[Adj Close]]/Q33-1)</f>
        <v>1.5185161235190758E-2</v>
      </c>
      <c r="S32" s="37">
        <v>44872</v>
      </c>
      <c r="T32" s="44">
        <v>45.545574000000002</v>
      </c>
      <c r="U32" s="36">
        <f>IF(ISBLANK(T33),"",Long4[[#This Row],[Adj Close]]/T33-1)</f>
        <v>0.12765441725970628</v>
      </c>
      <c r="V32" s="29">
        <v>44872</v>
      </c>
      <c r="W32" s="44">
        <v>166.367661</v>
      </c>
      <c r="X32" s="33">
        <f>IF(ISBLANK(W33),"",Long5[[#This Row],[Adj Close]]/W33-1)</f>
        <v>8.8212296701038362E-2</v>
      </c>
      <c r="Y32" s="37">
        <v>44872</v>
      </c>
      <c r="Z32" s="44">
        <v>110.04482299999999</v>
      </c>
      <c r="AA32" s="36">
        <f>IF(ISBLANK(Z33),"",Long6[[#This Row],[Adj Close]]/Z33-1)</f>
        <v>9.6777469358901413E-2</v>
      </c>
      <c r="AH32" s="29">
        <v>44872</v>
      </c>
      <c r="AI32" s="44">
        <v>43.32</v>
      </c>
      <c r="AJ32" s="33">
        <f>IF(ISBLANK(AI33),"",Short0[[#This Row],[Adj Close]]/AI33-1)</f>
        <v>7.6540701961197888E-2</v>
      </c>
      <c r="AK32" s="37">
        <v>44872</v>
      </c>
      <c r="AL32" s="44">
        <v>72.875679000000005</v>
      </c>
      <c r="AM32" s="36">
        <f>IF(ISBLANK(AL33),"",Short1[[#This Row],[Adj Close]]/AL33-1)</f>
        <v>9.3108698976223758E-2</v>
      </c>
      <c r="AN32" s="29">
        <v>44872</v>
      </c>
      <c r="AO32" s="44">
        <v>87.403396999999998</v>
      </c>
      <c r="AP32" s="33">
        <f>IF(ISBLANK(AO33),"",Short2[[#This Row],[Adj Close]]/AO33-1)</f>
        <v>0.10576555252887543</v>
      </c>
      <c r="AQ32" s="37">
        <v>44872</v>
      </c>
      <c r="AR32" s="44">
        <v>85.669998000000007</v>
      </c>
      <c r="AS32" s="36">
        <f>IF(ISBLANK(AR33),"",Short3[[#This Row],[Adj Close]]/AR33-1)</f>
        <v>0.18936553088109864</v>
      </c>
    </row>
    <row r="33" spans="1:45" x14ac:dyDescent="0.25">
      <c r="A33" s="37">
        <v>44865</v>
      </c>
      <c r="B33" s="39">
        <v>3770.5500489999999</v>
      </c>
      <c r="C33" s="36">
        <f>IF(ISBLANK(B34), "", GSPC[[#This Row],[Adj Close]]/B34-1)</f>
        <v>-3.3455011721469141E-2</v>
      </c>
      <c r="D3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52105.59764</v>
      </c>
      <c r="E3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27277.905726999998</v>
      </c>
      <c r="F33" s="11">
        <f>IF(ISBLANK(GSPC[[#This Row],[Long Exp.]]), "", (GSPC[[#This Row],[Long Exp.]]/D34-1)+(E34/GSPC[[#This Row],[Short Exp.]]-1))</f>
        <v>-1.0000549036975892E-2</v>
      </c>
      <c r="G33" s="37">
        <v>44865</v>
      </c>
      <c r="H33" s="44">
        <v>9.3675080000000008</v>
      </c>
      <c r="I33" s="36">
        <f>IF(ISBLANK(H34), "", Long0[[#This Row],[Adj Close]]/H34-1)</f>
        <v>-3.6742868201446455E-2</v>
      </c>
      <c r="J33" s="29">
        <v>44865</v>
      </c>
      <c r="K33" s="44">
        <v>33.619999</v>
      </c>
      <c r="L33" s="33">
        <f>IF(ISBLANK(K34),"",Long1[[#This Row],[Adj Close]]/K34-1)</f>
        <v>0.11668553772279777</v>
      </c>
      <c r="M33" s="37">
        <v>44865</v>
      </c>
      <c r="N33" s="44">
        <v>48.702224999999999</v>
      </c>
      <c r="O33" s="36">
        <f>IF(ISBLANK(N34),"",Long2[[#This Row],[Adj Close]]/N34-1)</f>
        <v>-7.2450054098259775E-2</v>
      </c>
      <c r="P33" s="29">
        <v>44865</v>
      </c>
      <c r="Q33" s="44">
        <v>26.552237000000002</v>
      </c>
      <c r="R33" s="33">
        <f>IF(ISBLANK(Q34),"",Long3[[#This Row],[Adj Close]]/Q34-1)</f>
        <v>1.8483711003607128E-2</v>
      </c>
      <c r="S33" s="37">
        <v>44865</v>
      </c>
      <c r="T33" s="44">
        <v>40.389656000000002</v>
      </c>
      <c r="U33" s="36">
        <f>IF(ISBLANK(T34),"",Long4[[#This Row],[Adj Close]]/T34-1)</f>
        <v>-9.4785627206955048E-2</v>
      </c>
      <c r="V33" s="29">
        <v>44865</v>
      </c>
      <c r="W33" s="44">
        <v>152.88162199999999</v>
      </c>
      <c r="X33" s="33">
        <f>IF(ISBLANK(W34),"",Long5[[#This Row],[Adj Close]]/W34-1)</f>
        <v>-4.5847508190236974E-2</v>
      </c>
      <c r="Y33" s="37">
        <v>44865</v>
      </c>
      <c r="Z33" s="44">
        <v>100.334686</v>
      </c>
      <c r="AA33" s="36">
        <f>IF(ISBLANK(Z34),"",Long6[[#This Row],[Adj Close]]/Z34-1)</f>
        <v>1.8172551983232088E-2</v>
      </c>
      <c r="AH33" s="29">
        <v>44865</v>
      </c>
      <c r="AI33" s="44">
        <v>40.240001999999997</v>
      </c>
      <c r="AJ33" s="33">
        <f>IF(ISBLANK(AI34),"",Short0[[#This Row],[Adj Close]]/AI34-1)</f>
        <v>8.4928606093286341E-2</v>
      </c>
      <c r="AK33" s="37">
        <v>44865</v>
      </c>
      <c r="AL33" s="44">
        <v>66.668282000000005</v>
      </c>
      <c r="AM33" s="36">
        <f>IF(ISBLANK(AL34),"",Short1[[#This Row],[Adj Close]]/AL34-1)</f>
        <v>-2.1946745157319647E-3</v>
      </c>
      <c r="AN33" s="29">
        <v>44865</v>
      </c>
      <c r="AO33" s="44">
        <v>79.043334999999999</v>
      </c>
      <c r="AP33" s="33">
        <f>IF(ISBLANK(AO34),"",Short2[[#This Row],[Adj Close]]/AO34-1)</f>
        <v>-2.9619706894905673E-2</v>
      </c>
      <c r="AQ33" s="37">
        <v>44865</v>
      </c>
      <c r="AR33" s="44">
        <v>72.029999000000004</v>
      </c>
      <c r="AS33" s="36">
        <f>IF(ISBLANK(AR34),"",Short3[[#This Row],[Adj Close]]/AR34-1)</f>
        <v>-0.14055601099047865</v>
      </c>
    </row>
    <row r="34" spans="1:45" x14ac:dyDescent="0.25">
      <c r="A34" s="37">
        <v>44858</v>
      </c>
      <c r="B34" s="39">
        <v>3901.0600589999999</v>
      </c>
      <c r="C34" s="36">
        <f>IF(ISBLANK(B35), "", GSPC[[#This Row],[Adj Close]]/B35-1)</f>
        <v>3.9520367463859785E-2</v>
      </c>
      <c r="D3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53919.129923</v>
      </c>
      <c r="E3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27922.585004</v>
      </c>
      <c r="F34" s="11">
        <f>IF(ISBLANK(GSPC[[#This Row],[Long Exp.]]), "", (GSPC[[#This Row],[Long Exp.]]/D35-1)+(E35/GSPC[[#This Row],[Short Exp.]]-1))</f>
        <v>2.9246914065545027E-2</v>
      </c>
      <c r="G34" s="37">
        <v>44858</v>
      </c>
      <c r="H34" s="44">
        <v>9.7248260000000002</v>
      </c>
      <c r="I34" s="36">
        <f>IF(ISBLANK(H35), "", Long0[[#This Row],[Adj Close]]/H35-1)</f>
        <v>7.3560820433721918E-2</v>
      </c>
      <c r="J34" s="29">
        <v>44858</v>
      </c>
      <c r="K34" s="44">
        <v>30.106953000000001</v>
      </c>
      <c r="L34" s="33">
        <f>IF(ISBLANK(K35),"",Long1[[#This Row],[Adj Close]]/K35-1)</f>
        <v>0.10754101342202604</v>
      </c>
      <c r="M34" s="37">
        <v>44858</v>
      </c>
      <c r="N34" s="44">
        <v>52.506309999999999</v>
      </c>
      <c r="O34" s="36">
        <f>IF(ISBLANK(N35),"",Long2[[#This Row],[Adj Close]]/N35-1)</f>
        <v>7.5325745587373483E-4</v>
      </c>
      <c r="P34" s="29">
        <v>44858</v>
      </c>
      <c r="Q34" s="44">
        <v>26.070360000000001</v>
      </c>
      <c r="R34" s="33">
        <f>IF(ISBLANK(Q35),"",Long3[[#This Row],[Adj Close]]/Q35-1)</f>
        <v>3.1918986572176289E-2</v>
      </c>
      <c r="S34" s="37">
        <v>44858</v>
      </c>
      <c r="T34" s="44">
        <v>44.618884999999999</v>
      </c>
      <c r="U34" s="36">
        <f>IF(ISBLANK(T35),"",Long4[[#This Row],[Adj Close]]/T35-1)</f>
        <v>8.3034168615788495E-2</v>
      </c>
      <c r="V34" s="29">
        <v>44858</v>
      </c>
      <c r="W34" s="44">
        <v>160.22766100000001</v>
      </c>
      <c r="X34" s="33">
        <f>IF(ISBLANK(W35),"",Long5[[#This Row],[Adj Close]]/W35-1)</f>
        <v>0.27700982147503939</v>
      </c>
      <c r="Y34" s="37">
        <v>44858</v>
      </c>
      <c r="Z34" s="44">
        <v>98.543892</v>
      </c>
      <c r="AA34" s="36">
        <f>IF(ISBLANK(Z35),"",Long6[[#This Row],[Adj Close]]/Z35-1)</f>
        <v>1.5897476880018635E-2</v>
      </c>
      <c r="AH34" s="29">
        <v>44858</v>
      </c>
      <c r="AI34" s="44">
        <v>37.090000000000003</v>
      </c>
      <c r="AJ34" s="33">
        <f>IF(ISBLANK(AI35),"",Short0[[#This Row],[Adj Close]]/AI35-1)</f>
        <v>-5.0678269772203688E-2</v>
      </c>
      <c r="AK34" s="37">
        <v>44858</v>
      </c>
      <c r="AL34" s="44">
        <v>66.814919000000003</v>
      </c>
      <c r="AM34" s="36">
        <f>IF(ISBLANK(AL35),"",Short1[[#This Row],[Adj Close]]/AL35-1)</f>
        <v>7.1820567121859913E-2</v>
      </c>
      <c r="AN34" s="29">
        <v>44858</v>
      </c>
      <c r="AO34" s="44">
        <v>81.456039000000004</v>
      </c>
      <c r="AP34" s="33">
        <f>IF(ISBLANK(AO35),"",Short2[[#This Row],[Adj Close]]/AO35-1)</f>
        <v>0.11725451294153899</v>
      </c>
      <c r="AQ34" s="37">
        <v>44858</v>
      </c>
      <c r="AR34" s="44">
        <v>83.809997999999993</v>
      </c>
      <c r="AS34" s="36">
        <f>IF(ISBLANK(AR35),"",Short3[[#This Row],[Adj Close]]/AR35-1)</f>
        <v>5.820708553814713E-2</v>
      </c>
    </row>
    <row r="35" spans="1:45" x14ac:dyDescent="0.25">
      <c r="A35" s="37">
        <v>44851</v>
      </c>
      <c r="B35" s="39">
        <v>3752.75</v>
      </c>
      <c r="C35" s="36">
        <f>IF(ISBLANK(B36), "", GSPC[[#This Row],[Adj Close]]/B36-1)</f>
        <v>4.7356018380827258E-2</v>
      </c>
      <c r="D3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49896.533459999999</v>
      </c>
      <c r="E3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26488.150377000002</v>
      </c>
      <c r="F35" s="11">
        <f>IF(ISBLANK(GSPC[[#This Row],[Long Exp.]]), "", (GSPC[[#This Row],[Long Exp.]]/D36-1)+(E36/GSPC[[#This Row],[Short Exp.]]-1))</f>
        <v>1.5271680247548103E-2</v>
      </c>
      <c r="G35" s="37">
        <v>44851</v>
      </c>
      <c r="H35" s="44">
        <v>9.0584769999999999</v>
      </c>
      <c r="I35" s="36">
        <f>IF(ISBLANK(H36), "", Long0[[#This Row],[Adj Close]]/H36-1)</f>
        <v>-1.7801172352721717E-2</v>
      </c>
      <c r="J35" s="29">
        <v>44851</v>
      </c>
      <c r="K35" s="44">
        <v>27.183600999999999</v>
      </c>
      <c r="L35" s="33">
        <f>IF(ISBLANK(K36),"",Long1[[#This Row],[Adj Close]]/K36-1)</f>
        <v>-2.2853465049711752E-2</v>
      </c>
      <c r="M35" s="37">
        <v>44851</v>
      </c>
      <c r="N35" s="44">
        <v>52.466788999999999</v>
      </c>
      <c r="O35" s="36">
        <f>IF(ISBLANK(N36),"",Long2[[#This Row],[Adj Close]]/N36-1)</f>
        <v>0.13316269123668656</v>
      </c>
      <c r="P35" s="29">
        <v>44851</v>
      </c>
      <c r="Q35" s="44">
        <v>25.263960000000001</v>
      </c>
      <c r="R35" s="33">
        <f>IF(ISBLANK(Q36),"",Long3[[#This Row],[Adj Close]]/Q36-1)</f>
        <v>4.8571420863425141E-2</v>
      </c>
      <c r="S35" s="37">
        <v>44851</v>
      </c>
      <c r="T35" s="44">
        <v>41.198039999999999</v>
      </c>
      <c r="U35" s="36">
        <f>IF(ISBLANK(T36),"",Long4[[#This Row],[Adj Close]]/T36-1)</f>
        <v>-2.2913252530739503E-2</v>
      </c>
      <c r="V35" s="29">
        <v>44851</v>
      </c>
      <c r="W35" s="44">
        <v>125.47096999999999</v>
      </c>
      <c r="X35" s="33">
        <f>IF(ISBLANK(W36),"",Long5[[#This Row],[Adj Close]]/W36-1)</f>
        <v>0.11044466066101899</v>
      </c>
      <c r="Y35" s="37">
        <v>44851</v>
      </c>
      <c r="Z35" s="44">
        <v>97.001807999999997</v>
      </c>
      <c r="AA35" s="36">
        <f>IF(ISBLANK(Z36),"",Long6[[#This Row],[Adj Close]]/Z36-1)</f>
        <v>5.268839450257734E-2</v>
      </c>
      <c r="AH35" s="29">
        <v>44851</v>
      </c>
      <c r="AI35" s="44">
        <v>39.07</v>
      </c>
      <c r="AJ35" s="33">
        <f>IF(ISBLANK(AI36),"",Short0[[#This Row],[Adj Close]]/AI36-1)</f>
        <v>0.10931285890650599</v>
      </c>
      <c r="AK35" s="37">
        <v>44851</v>
      </c>
      <c r="AL35" s="44">
        <v>62.337783999999999</v>
      </c>
      <c r="AM35" s="36">
        <f>IF(ISBLANK(AL36),"",Short1[[#This Row],[Adj Close]]/AL36-1)</f>
        <v>6.6298475293964376E-3</v>
      </c>
      <c r="AN35" s="29">
        <v>44851</v>
      </c>
      <c r="AO35" s="44">
        <v>72.907325999999998</v>
      </c>
      <c r="AP35" s="33">
        <f>IF(ISBLANK(AO36),"",Short2[[#This Row],[Adj Close]]/AO36-1)</f>
        <v>4.4106970645472199E-3</v>
      </c>
      <c r="AQ35" s="37">
        <v>44851</v>
      </c>
      <c r="AR35" s="44">
        <v>79.199996999999996</v>
      </c>
      <c r="AS35" s="36">
        <f>IF(ISBLANK(AR36),"",Short3[[#This Row],[Adj Close]]/AR36-1)</f>
        <v>0.12772310432622369</v>
      </c>
    </row>
    <row r="36" spans="1:45" x14ac:dyDescent="0.25">
      <c r="A36" s="37">
        <v>44844</v>
      </c>
      <c r="B36" s="39">
        <v>3583.070068</v>
      </c>
      <c r="C36" s="36">
        <f>IF(ISBLANK(B37), "", GSPC[[#This Row],[Adj Close]]/B37-1)</f>
        <v>-1.5548113111728545E-2</v>
      </c>
      <c r="D3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46783.708728999991</v>
      </c>
      <c r="E3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25130.239841999999</v>
      </c>
      <c r="F36" s="11">
        <f>IF(ISBLANK(GSPC[[#This Row],[Long Exp.]]), "", (GSPC[[#This Row],[Long Exp.]]/D37-1)+(E37/GSPC[[#This Row],[Short Exp.]]-1))</f>
        <v>3.0480845335102313E-2</v>
      </c>
      <c r="G36" s="37">
        <v>44844</v>
      </c>
      <c r="H36" s="44">
        <v>9.2226510000000008</v>
      </c>
      <c r="I36" s="36">
        <f>IF(ISBLANK(H37), "", Long0[[#This Row],[Adj Close]]/H37-1)</f>
        <v>9.2677562972621974E-2</v>
      </c>
      <c r="J36" s="29">
        <v>44844</v>
      </c>
      <c r="K36" s="44">
        <v>27.819369999999999</v>
      </c>
      <c r="L36" s="33">
        <f>IF(ISBLANK(K37),"",Long1[[#This Row],[Adj Close]]/K37-1)</f>
        <v>-3.9589719455456529E-2</v>
      </c>
      <c r="M36" s="37">
        <v>44844</v>
      </c>
      <c r="N36" s="44">
        <v>46.301197000000002</v>
      </c>
      <c r="O36" s="36">
        <f>IF(ISBLANK(N37),"",Long2[[#This Row],[Adj Close]]/N37-1)</f>
        <v>-8.2256219708920164E-2</v>
      </c>
      <c r="P36" s="29">
        <v>44844</v>
      </c>
      <c r="Q36" s="44">
        <v>24.093695</v>
      </c>
      <c r="R36" s="33">
        <f>IF(ISBLANK(Q37),"",Long3[[#This Row],[Adj Close]]/Q37-1)</f>
        <v>-7.2934407527888157E-3</v>
      </c>
      <c r="S36" s="37">
        <v>44844</v>
      </c>
      <c r="T36" s="44">
        <v>42.164158</v>
      </c>
      <c r="U36" s="36">
        <f>IF(ISBLANK(T37),"",Long4[[#This Row],[Adj Close]]/T37-1)</f>
        <v>-4.9232090474955248E-2</v>
      </c>
      <c r="V36" s="29">
        <v>44844</v>
      </c>
      <c r="W36" s="44">
        <v>112.991646</v>
      </c>
      <c r="X36" s="33">
        <f>IF(ISBLANK(W37),"",Long5[[#This Row],[Adj Close]]/W37-1)</f>
        <v>-0.11658366747508364</v>
      </c>
      <c r="Y36" s="37">
        <v>44844</v>
      </c>
      <c r="Z36" s="44">
        <v>92.146743999999998</v>
      </c>
      <c r="AA36" s="36">
        <f>IF(ISBLANK(Z37),"",Long6[[#This Row],[Adj Close]]/Z37-1)</f>
        <v>-6.9052121951186929E-2</v>
      </c>
      <c r="AH36" s="29">
        <v>44844</v>
      </c>
      <c r="AI36" s="44">
        <v>35.220001000000003</v>
      </c>
      <c r="AJ36" s="33">
        <f>IF(ISBLANK(AI37),"",Short0[[#This Row],[Adj Close]]/AI37-1)</f>
        <v>-0.17129409411764696</v>
      </c>
      <c r="AK36" s="37">
        <v>44844</v>
      </c>
      <c r="AL36" s="44">
        <v>61.927216000000001</v>
      </c>
      <c r="AM36" s="36">
        <f>IF(ISBLANK(AL37),"",Short1[[#This Row],[Adj Close]]/AL37-1)</f>
        <v>-1.8286079984984216E-2</v>
      </c>
      <c r="AN36" s="29">
        <v>44844</v>
      </c>
      <c r="AO36" s="44">
        <v>72.587165999999996</v>
      </c>
      <c r="AP36" s="33">
        <f>IF(ISBLANK(AO37),"",Short2[[#This Row],[Adj Close]]/AO37-1)</f>
        <v>-5.9531334726786067E-2</v>
      </c>
      <c r="AQ36" s="37">
        <v>44844</v>
      </c>
      <c r="AR36" s="44">
        <v>70.230002999999996</v>
      </c>
      <c r="AS36" s="36">
        <f>IF(ISBLANK(AR37),"",Short3[[#This Row],[Adj Close]]/AR37-1)</f>
        <v>-3.7681555041865322E-2</v>
      </c>
    </row>
    <row r="37" spans="1:45" x14ac:dyDescent="0.25">
      <c r="A37" s="37">
        <v>44837</v>
      </c>
      <c r="B37" s="39">
        <v>3639.6599120000001</v>
      </c>
      <c r="C37" s="36">
        <f>IF(ISBLANK(B38), "", GSPC[[#This Row],[Adj Close]]/B38-1)</f>
        <v>1.5071254967526704E-2</v>
      </c>
      <c r="D3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49273.228768000001</v>
      </c>
      <c r="E3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27165.931142999998</v>
      </c>
      <c r="F37" s="11">
        <f>IF(ISBLANK(GSPC[[#This Row],[Long Exp.]]), "", (GSPC[[#This Row],[Long Exp.]]/D38-1)+(E38/GSPC[[#This Row],[Short Exp.]]-1))</f>
        <v>-1.4295650603096455E-2</v>
      </c>
      <c r="G37" s="37">
        <v>44837</v>
      </c>
      <c r="H37" s="44">
        <v>8.4404140000000005</v>
      </c>
      <c r="I37" s="36">
        <f>IF(ISBLANK(H38), "", Long0[[#This Row],[Adj Close]]/H38-1)</f>
        <v>2.5821355167510163E-2</v>
      </c>
      <c r="J37" s="29">
        <v>44837</v>
      </c>
      <c r="K37" s="44">
        <v>28.966131000000001</v>
      </c>
      <c r="L37" s="33">
        <f>IF(ISBLANK(K38),"",Long1[[#This Row],[Adj Close]]/K38-1)</f>
        <v>9.5013439616874695E-2</v>
      </c>
      <c r="M37" s="37">
        <v>44837</v>
      </c>
      <c r="N37" s="44">
        <v>50.451115000000001</v>
      </c>
      <c r="O37" s="36">
        <f>IF(ISBLANK(N38),"",Long2[[#This Row],[Adj Close]]/N38-1)</f>
        <v>5.6486564782429305E-2</v>
      </c>
      <c r="P37" s="29">
        <v>44837</v>
      </c>
      <c r="Q37" s="44">
        <v>24.270712</v>
      </c>
      <c r="R37" s="33">
        <f>IF(ISBLANK(Q38),"",Long3[[#This Row],[Adj Close]]/Q38-1)</f>
        <v>-2.642994672999166E-2</v>
      </c>
      <c r="S37" s="37">
        <v>44837</v>
      </c>
      <c r="T37" s="44">
        <v>44.347476999999998</v>
      </c>
      <c r="U37" s="36">
        <f>IF(ISBLANK(T38),"",Long4[[#This Row],[Adj Close]]/T38-1)</f>
        <v>2.6179193251850474E-2</v>
      </c>
      <c r="V37" s="29">
        <v>44837</v>
      </c>
      <c r="W37" s="44">
        <v>127.903053</v>
      </c>
      <c r="X37" s="33">
        <f>IF(ISBLANK(W38),"",Long5[[#This Row],[Adj Close]]/W38-1)</f>
        <v>2.3122447339428698E-2</v>
      </c>
      <c r="Y37" s="37">
        <v>44837</v>
      </c>
      <c r="Z37" s="44">
        <v>98.981635999999995</v>
      </c>
      <c r="AA37" s="36">
        <f>IF(ISBLANK(Z38),"",Long6[[#This Row],[Adj Close]]/Z38-1)</f>
        <v>5.4478039494162633E-2</v>
      </c>
      <c r="AH37" s="29">
        <v>44837</v>
      </c>
      <c r="AI37" s="44">
        <v>42.5</v>
      </c>
      <c r="AJ37" s="33">
        <f>IF(ISBLANK(AI38),"",Short0[[#This Row],[Adj Close]]/AI38-1)</f>
        <v>0.13272921108741986</v>
      </c>
      <c r="AK37" s="37">
        <v>44837</v>
      </c>
      <c r="AL37" s="44">
        <v>63.080714999999998</v>
      </c>
      <c r="AM37" s="36">
        <f>IF(ISBLANK(AL38),"",Short1[[#This Row],[Adj Close]]/AL38-1)</f>
        <v>1.8787484793057141E-2</v>
      </c>
      <c r="AN37" s="29">
        <v>44837</v>
      </c>
      <c r="AO37" s="44">
        <v>77.181908000000007</v>
      </c>
      <c r="AP37" s="33">
        <f>IF(ISBLANK(AO38),"",Short2[[#This Row],[Adj Close]]/AO38-1)</f>
        <v>4.775296414923158E-2</v>
      </c>
      <c r="AQ37" s="37">
        <v>44837</v>
      </c>
      <c r="AR37" s="44">
        <v>72.980002999999996</v>
      </c>
      <c r="AS37" s="36">
        <f>IF(ISBLANK(AR38),"",Short3[[#This Row],[Adj Close]]/AR38-1)</f>
        <v>-2.9521197986217995E-2</v>
      </c>
    </row>
    <row r="38" spans="1:45" x14ac:dyDescent="0.25">
      <c r="A38" s="37">
        <v>44830</v>
      </c>
      <c r="B38" s="39">
        <v>3585.6201169999999</v>
      </c>
      <c r="C38" s="36">
        <f>IF(ISBLANK(B39), "", GSPC[[#This Row],[Adj Close]]/B39-1)</f>
        <v>-2.9137059858915237E-2</v>
      </c>
      <c r="D3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47892.0772</v>
      </c>
      <c r="E3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25994.142759000002</v>
      </c>
      <c r="F38" s="11">
        <f>IF(ISBLANK(GSPC[[#This Row],[Long Exp.]]), "", (GSPC[[#This Row],[Long Exp.]]/D39-1)+(E39/GSPC[[#This Row],[Short Exp.]]-1))</f>
        <v>2.1527463590299556E-3</v>
      </c>
      <c r="G38" s="37">
        <v>44830</v>
      </c>
      <c r="H38" s="44">
        <v>8.227957</v>
      </c>
      <c r="I38" s="36">
        <f>IF(ISBLANK(H39), "", Long0[[#This Row],[Adj Close]]/H39-1)</f>
        <v>-1.9562499523362753E-2</v>
      </c>
      <c r="J38" s="29">
        <v>44830</v>
      </c>
      <c r="K38" s="44">
        <v>26.452763000000001</v>
      </c>
      <c r="L38" s="33">
        <f>IF(ISBLANK(K39),"",Long1[[#This Row],[Adj Close]]/K39-1)</f>
        <v>3.6554132940541884E-2</v>
      </c>
      <c r="M38" s="37">
        <v>44830</v>
      </c>
      <c r="N38" s="44">
        <v>47.753673999999997</v>
      </c>
      <c r="O38" s="36">
        <f>IF(ISBLANK(N39),"",Long2[[#This Row],[Adj Close]]/N39-1)</f>
        <v>-4.1210990670824676E-3</v>
      </c>
      <c r="P38" s="29">
        <v>44830</v>
      </c>
      <c r="Q38" s="44">
        <v>24.929600000000001</v>
      </c>
      <c r="R38" s="33">
        <f>IF(ISBLANK(Q39),"",Long3[[#This Row],[Adj Close]]/Q39-1)</f>
        <v>-9.946713101626925E-2</v>
      </c>
      <c r="S38" s="37">
        <v>44830</v>
      </c>
      <c r="T38" s="44">
        <v>43.216113999999997</v>
      </c>
      <c r="U38" s="36">
        <f>IF(ISBLANK(T39),"",Long4[[#This Row],[Adj Close]]/T39-1)</f>
        <v>-3.5900734624033759E-2</v>
      </c>
      <c r="V38" s="29">
        <v>44830</v>
      </c>
      <c r="W38" s="44">
        <v>125.01245900000001</v>
      </c>
      <c r="X38" s="33">
        <f>IF(ISBLANK(W39),"",Long5[[#This Row],[Adj Close]]/W39-1)</f>
        <v>1.3572324885642306E-3</v>
      </c>
      <c r="Y38" s="37">
        <v>44830</v>
      </c>
      <c r="Z38" s="44">
        <v>93.867896999999999</v>
      </c>
      <c r="AA38" s="36">
        <f>IF(ISBLANK(Z39),"",Long6[[#This Row],[Adj Close]]/Z39-1)</f>
        <v>-3.3200098311549797E-2</v>
      </c>
      <c r="AH38" s="29">
        <v>44830</v>
      </c>
      <c r="AI38" s="44">
        <v>37.520000000000003</v>
      </c>
      <c r="AJ38" s="33">
        <f>IF(ISBLANK(AI39),"",Short0[[#This Row],[Adj Close]]/AI39-1)</f>
        <v>5.7795290166470448E-2</v>
      </c>
      <c r="AK38" s="37">
        <v>44830</v>
      </c>
      <c r="AL38" s="44">
        <v>61.917442000000001</v>
      </c>
      <c r="AM38" s="36">
        <f>IF(ISBLANK(AL39),"",Short1[[#This Row],[Adj Close]]/AL39-1)</f>
        <v>-6.7798046061923078E-2</v>
      </c>
      <c r="AN38" s="29">
        <v>44830</v>
      </c>
      <c r="AO38" s="44">
        <v>73.664223000000007</v>
      </c>
      <c r="AP38" s="33">
        <f>IF(ISBLANK(AO39),"",Short2[[#This Row],[Adj Close]]/AO39-1)</f>
        <v>-3.2697354078627727E-2</v>
      </c>
      <c r="AQ38" s="37">
        <v>44830</v>
      </c>
      <c r="AR38" s="44">
        <v>75.199996999999996</v>
      </c>
      <c r="AS38" s="36">
        <f>IF(ISBLANK(AR39),"",Short3[[#This Row],[Adj Close]]/AR39-1)</f>
        <v>-7.1948686559899944E-2</v>
      </c>
    </row>
    <row r="39" spans="1:45" x14ac:dyDescent="0.25">
      <c r="A39" s="37">
        <v>44823</v>
      </c>
      <c r="B39" s="39">
        <v>3693.2299800000001</v>
      </c>
      <c r="C39" s="36">
        <f>IF(ISBLANK(B40), "", GSPC[[#This Row],[Adj Close]]/B40-1)</f>
        <v>-4.6497482624304198E-2</v>
      </c>
      <c r="D3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49302.444799000004</v>
      </c>
      <c r="E3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26793.701530000002</v>
      </c>
      <c r="F39" s="11">
        <f>IF(ISBLANK(GSPC[[#This Row],[Long Exp.]]), "", (GSPC[[#This Row],[Long Exp.]]/D40-1)+(E40/GSPC[[#This Row],[Short Exp.]]-1))</f>
        <v>-7.9206422065289939E-3</v>
      </c>
      <c r="G39" s="37">
        <v>44823</v>
      </c>
      <c r="H39" s="44">
        <v>8.3921279999999996</v>
      </c>
      <c r="I39" s="36">
        <f>IF(ISBLANK(H40), "", Long0[[#This Row],[Adj Close]]/H40-1)</f>
        <v>-6.5591534334979107E-2</v>
      </c>
      <c r="J39" s="29">
        <v>44823</v>
      </c>
      <c r="K39" s="44">
        <v>25.519905000000001</v>
      </c>
      <c r="L39" s="33">
        <f>IF(ISBLANK(K40),"",Long1[[#This Row],[Adj Close]]/K40-1)</f>
        <v>-8.946363499743748E-2</v>
      </c>
      <c r="M39" s="37">
        <v>44823</v>
      </c>
      <c r="N39" s="44">
        <v>47.951286000000003</v>
      </c>
      <c r="O39" s="36">
        <f>IF(ISBLANK(N40),"",Long2[[#This Row],[Adj Close]]/N40-1)</f>
        <v>-7.0306518409317897E-2</v>
      </c>
      <c r="P39" s="29">
        <v>44823</v>
      </c>
      <c r="Q39" s="44">
        <v>27.683164999999999</v>
      </c>
      <c r="R39" s="33">
        <f>IF(ISBLANK(Q40),"",Long3[[#This Row],[Adj Close]]/Q40-1)</f>
        <v>-2.662508918213613E-2</v>
      </c>
      <c r="S39" s="37">
        <v>44823</v>
      </c>
      <c r="T39" s="44">
        <v>44.825378000000001</v>
      </c>
      <c r="U39" s="36">
        <f>IF(ISBLANK(T40),"",Long4[[#This Row],[Adj Close]]/T40-1)</f>
        <v>-6.1849417940289086E-2</v>
      </c>
      <c r="V39" s="29">
        <v>44823</v>
      </c>
      <c r="W39" s="44">
        <v>124.843018</v>
      </c>
      <c r="X39" s="33">
        <f>IF(ISBLANK(W40),"",Long5[[#This Row],[Adj Close]]/W40-1)</f>
        <v>-8.4094953844681131E-2</v>
      </c>
      <c r="Y39" s="37">
        <v>44823</v>
      </c>
      <c r="Z39" s="44">
        <v>97.091339000000005</v>
      </c>
      <c r="AA39" s="36">
        <f>IF(ISBLANK(Z40),"",Long6[[#This Row],[Adj Close]]/Z40-1)</f>
        <v>-3.7535346098815037E-2</v>
      </c>
      <c r="AH39" s="29">
        <v>44823</v>
      </c>
      <c r="AI39" s="44">
        <v>35.470001000000003</v>
      </c>
      <c r="AJ39" s="33">
        <f>IF(ISBLANK(AI40),"",Short0[[#This Row],[Adj Close]]/AI40-1)</f>
        <v>-8.2039287837455621E-2</v>
      </c>
      <c r="AK39" s="37">
        <v>44823</v>
      </c>
      <c r="AL39" s="44">
        <v>66.420631</v>
      </c>
      <c r="AM39" s="36">
        <f>IF(ISBLANK(AL40),"",Short1[[#This Row],[Adj Close]]/AL40-1)</f>
        <v>-5.3008304690385977E-2</v>
      </c>
      <c r="AN39" s="29">
        <v>44823</v>
      </c>
      <c r="AO39" s="44">
        <v>76.154266000000007</v>
      </c>
      <c r="AP39" s="33">
        <f>IF(ISBLANK(AO40),"",Short2[[#This Row],[Adj Close]]/AO40-1)</f>
        <v>1.6888686943898001E-2</v>
      </c>
      <c r="AQ39" s="37">
        <v>44823</v>
      </c>
      <c r="AR39" s="44">
        <v>81.029999000000004</v>
      </c>
      <c r="AS39" s="36">
        <f>IF(ISBLANK(AR40),"",Short3[[#This Row],[Adj Close]]/AR40-1)</f>
        <v>-0.10750084692696504</v>
      </c>
    </row>
    <row r="40" spans="1:45" x14ac:dyDescent="0.25">
      <c r="A40" s="37">
        <v>44816</v>
      </c>
      <c r="B40" s="39">
        <v>3873.330078</v>
      </c>
      <c r="C40" s="36">
        <f>IF(ISBLANK(B41), "", GSPC[[#This Row],[Adj Close]]/B41-1)</f>
        <v>-4.7704167788357621E-2</v>
      </c>
      <c r="D4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52504.852636999996</v>
      </c>
      <c r="E4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28215.695912000003</v>
      </c>
      <c r="F40" s="11">
        <f>IF(ISBLANK(GSPC[[#This Row],[Long Exp.]]), "", (GSPC[[#This Row],[Long Exp.]]/D41-1)+(E41/GSPC[[#This Row],[Short Exp.]]-1))</f>
        <v>-2.5449768646625626E-2</v>
      </c>
      <c r="G40" s="37">
        <v>44816</v>
      </c>
      <c r="H40" s="44">
        <v>8.9812200000000004</v>
      </c>
      <c r="I40" s="36">
        <f>IF(ISBLANK(H41), "", Long0[[#This Row],[Adj Close]]/H41-1)</f>
        <v>-5.8704345239629863E-2</v>
      </c>
      <c r="J40" s="29">
        <v>44816</v>
      </c>
      <c r="K40" s="44">
        <v>28.027332000000001</v>
      </c>
      <c r="L40" s="33">
        <f>IF(ISBLANK(K41),"",Long1[[#This Row],[Adj Close]]/K41-1)</f>
        <v>-0.12437353788015104</v>
      </c>
      <c r="M40" s="37">
        <v>44816</v>
      </c>
      <c r="N40" s="44">
        <v>51.577522000000002</v>
      </c>
      <c r="O40" s="36">
        <f>IF(ISBLANK(N41),"",Long2[[#This Row],[Adj Close]]/N41-1)</f>
        <v>-7.1835017244309185E-2</v>
      </c>
      <c r="P40" s="29">
        <v>44816</v>
      </c>
      <c r="Q40" s="44">
        <v>28.440393</v>
      </c>
      <c r="R40" s="33">
        <f>IF(ISBLANK(Q41),"",Long3[[#This Row],[Adj Close]]/Q41-1)</f>
        <v>-2.3732347357821704E-2</v>
      </c>
      <c r="S40" s="37">
        <v>44816</v>
      </c>
      <c r="T40" s="44">
        <v>47.780579000000003</v>
      </c>
      <c r="U40" s="36">
        <f>IF(ISBLANK(T41),"",Long4[[#This Row],[Adj Close]]/T41-1)</f>
        <v>-7.2861402609034953E-2</v>
      </c>
      <c r="V40" s="29">
        <v>44816</v>
      </c>
      <c r="W40" s="44">
        <v>136.305634</v>
      </c>
      <c r="X40" s="33">
        <f>IF(ISBLANK(W41),"",Long5[[#This Row],[Adj Close]]/W41-1)</f>
        <v>-6.2007062677889246E-2</v>
      </c>
      <c r="Y40" s="37">
        <v>44816</v>
      </c>
      <c r="Z40" s="44">
        <v>100.87782300000001</v>
      </c>
      <c r="AA40" s="36">
        <f>IF(ISBLANK(Z41),"",Long6[[#This Row],[Adj Close]]/Z41-1)</f>
        <v>-5.9296994153108074E-2</v>
      </c>
      <c r="AH40" s="29">
        <v>44816</v>
      </c>
      <c r="AI40" s="44">
        <v>38.639999000000003</v>
      </c>
      <c r="AJ40" s="33">
        <f>IF(ISBLANK(AI41),"",Short0[[#This Row],[Adj Close]]/AI41-1)</f>
        <v>1.231336192367638E-2</v>
      </c>
      <c r="AK40" s="37">
        <v>44816</v>
      </c>
      <c r="AL40" s="44">
        <v>70.138557000000006</v>
      </c>
      <c r="AM40" s="36">
        <f>IF(ISBLANK(AL41),"",Short1[[#This Row],[Adj Close]]/AL41-1)</f>
        <v>-4.7350506232790579E-2</v>
      </c>
      <c r="AN40" s="29">
        <v>44816</v>
      </c>
      <c r="AO40" s="44">
        <v>74.889481000000004</v>
      </c>
      <c r="AP40" s="33">
        <f>IF(ISBLANK(AO41),"",Short2[[#This Row],[Adj Close]]/AO41-1)</f>
        <v>-5.0488689814287446E-2</v>
      </c>
      <c r="AQ40" s="37">
        <v>44816</v>
      </c>
      <c r="AR40" s="44">
        <v>90.790001000000004</v>
      </c>
      <c r="AS40" s="36">
        <f>IF(ISBLANK(AR41),"",Short3[[#This Row],[Adj Close]]/AR41-1)</f>
        <v>-3.8750620606160413E-2</v>
      </c>
    </row>
    <row r="41" spans="1:45" x14ac:dyDescent="0.25">
      <c r="A41" s="37">
        <v>44809</v>
      </c>
      <c r="B41" s="39">
        <v>4067.360107</v>
      </c>
      <c r="C41" s="36">
        <f>IF(ISBLANK(B42), "", GSPC[[#This Row],[Adj Close]]/B42-1)</f>
        <v>3.6465498370481297E-2</v>
      </c>
      <c r="D4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55869.557702000006</v>
      </c>
      <c r="E4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29196.883545000001</v>
      </c>
      <c r="F41" s="11">
        <f>IF(ISBLANK(GSPC[[#This Row],[Long Exp.]]), "", (GSPC[[#This Row],[Long Exp.]]/D42-1)+(E42/GSPC[[#This Row],[Short Exp.]]-1))</f>
        <v>7.8849067632716929E-3</v>
      </c>
      <c r="G41" s="37">
        <v>44809</v>
      </c>
      <c r="H41" s="44">
        <v>9.5413379999999997</v>
      </c>
      <c r="I41" s="36">
        <f>IF(ISBLANK(H42), "", Long0[[#This Row],[Adj Close]]/H42-1)</f>
        <v>4.550256966902988E-2</v>
      </c>
      <c r="J41" s="29">
        <v>44809</v>
      </c>
      <c r="K41" s="44">
        <v>32.008319999999998</v>
      </c>
      <c r="L41" s="33">
        <f>IF(ISBLANK(K42),"",Long1[[#This Row],[Adj Close]]/K42-1)</f>
        <v>2.6095283573637884E-2</v>
      </c>
      <c r="M41" s="37">
        <v>44809</v>
      </c>
      <c r="N41" s="44">
        <v>55.569347</v>
      </c>
      <c r="O41" s="36">
        <f>IF(ISBLANK(N42),"",Long2[[#This Row],[Adj Close]]/N42-1)</f>
        <v>2.821867080164564E-2</v>
      </c>
      <c r="P41" s="29">
        <v>44809</v>
      </c>
      <c r="Q41" s="44">
        <v>29.131758000000001</v>
      </c>
      <c r="R41" s="33">
        <f>IF(ISBLANK(Q42),"",Long3[[#This Row],[Adj Close]]/Q42-1)</f>
        <v>3.1444373309487572E-2</v>
      </c>
      <c r="S41" s="37">
        <v>44809</v>
      </c>
      <c r="T41" s="44">
        <v>51.535530000000001</v>
      </c>
      <c r="U41" s="36">
        <f>IF(ISBLANK(T42),"",Long4[[#This Row],[Adj Close]]/T42-1)</f>
        <v>2.1062721295262099E-2</v>
      </c>
      <c r="V41" s="29">
        <v>44809</v>
      </c>
      <c r="W41" s="44">
        <v>145.31626900000001</v>
      </c>
      <c r="X41" s="33">
        <f>IF(ISBLANK(W42),"",Long5[[#This Row],[Adj Close]]/W42-1)</f>
        <v>0.20507509692242776</v>
      </c>
      <c r="Y41" s="37">
        <v>44809</v>
      </c>
      <c r="Z41" s="44">
        <v>107.236633</v>
      </c>
      <c r="AA41" s="36">
        <f>IF(ISBLANK(Z42),"",Long6[[#This Row],[Adj Close]]/Z42-1)</f>
        <v>1.4071314846868299E-2</v>
      </c>
      <c r="AH41" s="29">
        <v>44809</v>
      </c>
      <c r="AI41" s="44">
        <v>38.169998</v>
      </c>
      <c r="AJ41" s="33">
        <f>IF(ISBLANK(AI42),"",Short0[[#This Row],[Adj Close]]/AI42-1)</f>
        <v>5.4128667609186998E-2</v>
      </c>
      <c r="AK41" s="37">
        <v>44809</v>
      </c>
      <c r="AL41" s="44">
        <v>73.624724999999998</v>
      </c>
      <c r="AM41" s="36">
        <f>IF(ISBLANK(AL42),"",Short1[[#This Row],[Adj Close]]/AL42-1)</f>
        <v>7.1689536473366511E-2</v>
      </c>
      <c r="AN41" s="29">
        <v>44809</v>
      </c>
      <c r="AO41" s="44">
        <v>78.871605000000002</v>
      </c>
      <c r="AP41" s="33">
        <f>IF(ISBLANK(AO42),"",Short2[[#This Row],[Adj Close]]/AO42-1)</f>
        <v>2.5041686389685847E-2</v>
      </c>
      <c r="AQ41" s="37">
        <v>44809</v>
      </c>
      <c r="AR41" s="44">
        <v>94.449996999999996</v>
      </c>
      <c r="AS41" s="36">
        <f>IF(ISBLANK(AR42),"",Short3[[#This Row],[Adj Close]]/AR42-1)</f>
        <v>8.1529770261542067E-2</v>
      </c>
    </row>
    <row r="42" spans="1:45" x14ac:dyDescent="0.25">
      <c r="A42" s="37">
        <v>44802</v>
      </c>
      <c r="B42" s="39">
        <v>3924.26001</v>
      </c>
      <c r="C42" s="36">
        <f>IF(ISBLANK(B43), "", GSPC[[#This Row],[Adj Close]]/B43-1)</f>
        <v>-3.2876067707273138E-2</v>
      </c>
      <c r="D4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52710.346879999997</v>
      </c>
      <c r="E4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27677.174070999998</v>
      </c>
      <c r="F42" s="11">
        <f>IF(ISBLANK(GSPC[[#This Row],[Long Exp.]]), "", (GSPC[[#This Row],[Long Exp.]]/D43-1)+(E43/GSPC[[#This Row],[Short Exp.]]-1))</f>
        <v>1.598313237567095E-3</v>
      </c>
      <c r="G42" s="37">
        <v>44802</v>
      </c>
      <c r="H42" s="44">
        <v>9.1260779999999997</v>
      </c>
      <c r="I42" s="36">
        <f>IF(ISBLANK(H43), "", Long0[[#This Row],[Adj Close]]/H43-1)</f>
        <v>-3.2302640892021395E-2</v>
      </c>
      <c r="J42" s="29">
        <v>44802</v>
      </c>
      <c r="K42" s="44">
        <v>31.194296000000001</v>
      </c>
      <c r="L42" s="33">
        <f>IF(ISBLANK(K43),"",Long1[[#This Row],[Adj Close]]/K43-1)</f>
        <v>-2.1070324574840038E-2</v>
      </c>
      <c r="M42" s="37">
        <v>44802</v>
      </c>
      <c r="N42" s="44">
        <v>54.044288999999999</v>
      </c>
      <c r="O42" s="36">
        <f>IF(ISBLANK(N43),"",Long2[[#This Row],[Adj Close]]/N43-1)</f>
        <v>-0.11219044349516816</v>
      </c>
      <c r="P42" s="29">
        <v>44802</v>
      </c>
      <c r="Q42" s="44">
        <v>28.243653999999999</v>
      </c>
      <c r="R42" s="33">
        <f>IF(ISBLANK(Q43),"",Long3[[#This Row],[Adj Close]]/Q43-1)</f>
        <v>-2.853314687985542E-2</v>
      </c>
      <c r="S42" s="37">
        <v>44802</v>
      </c>
      <c r="T42" s="44">
        <v>50.472442999999998</v>
      </c>
      <c r="U42" s="36">
        <f>IF(ISBLANK(T43),"",Long4[[#This Row],[Adj Close]]/T43-1)</f>
        <v>-5.1850485242326605E-2</v>
      </c>
      <c r="V42" s="29">
        <v>44802</v>
      </c>
      <c r="W42" s="44">
        <v>120.586899</v>
      </c>
      <c r="X42" s="33">
        <f>IF(ISBLANK(W43),"",Long5[[#This Row],[Adj Close]]/W43-1)</f>
        <v>4.5273992697578036E-2</v>
      </c>
      <c r="Y42" s="37">
        <v>44802</v>
      </c>
      <c r="Z42" s="44">
        <v>105.748611</v>
      </c>
      <c r="AA42" s="36">
        <f>IF(ISBLANK(Z43),"",Long6[[#This Row],[Adj Close]]/Z43-1)</f>
        <v>-5.1432677494391621E-2</v>
      </c>
      <c r="AH42" s="29">
        <v>44802</v>
      </c>
      <c r="AI42" s="44">
        <v>36.209999000000003</v>
      </c>
      <c r="AJ42" s="33">
        <f>IF(ISBLANK(AI43),"",Short0[[#This Row],[Adj Close]]/AI43-1)</f>
        <v>-4.5346717637753664E-2</v>
      </c>
      <c r="AK42" s="37">
        <v>44802</v>
      </c>
      <c r="AL42" s="44">
        <v>68.699676999999994</v>
      </c>
      <c r="AM42" s="36">
        <f>IF(ISBLANK(AL43),"",Short1[[#This Row],[Adj Close]]/AL43-1)</f>
        <v>-4.059335627745797E-2</v>
      </c>
      <c r="AN42" s="29">
        <v>44802</v>
      </c>
      <c r="AO42" s="44">
        <v>76.944777999999999</v>
      </c>
      <c r="AP42" s="33">
        <f>IF(ISBLANK(AO43),"",Short2[[#This Row],[Adj Close]]/AO43-1)</f>
        <v>-3.0623589316719158E-2</v>
      </c>
      <c r="AQ42" s="37">
        <v>44802</v>
      </c>
      <c r="AR42" s="44">
        <v>87.330001999999993</v>
      </c>
      <c r="AS42" s="36">
        <f>IF(ISBLANK(AR43),"",Short3[[#This Row],[Adj Close]]/AR43-1)</f>
        <v>-7.5089982526794885E-2</v>
      </c>
    </row>
    <row r="43" spans="1:45" x14ac:dyDescent="0.25">
      <c r="A43" s="37">
        <v>44795</v>
      </c>
      <c r="B43" s="39">
        <v>4057.6599120000001</v>
      </c>
      <c r="C43" s="36">
        <f>IF(ISBLANK(B44), "", GSPC[[#This Row],[Adj Close]]/B44-1)</f>
        <v>-4.0397511353476911E-2</v>
      </c>
      <c r="D4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55324.839946</v>
      </c>
      <c r="E4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29029.354633999999</v>
      </c>
      <c r="F43" s="11">
        <f>IF(ISBLANK(GSPC[[#This Row],[Long Exp.]]), "", (GSPC[[#This Row],[Long Exp.]]/D44-1)+(E44/GSPC[[#This Row],[Short Exp.]]-1))</f>
        <v>6.7919620968541095E-2</v>
      </c>
      <c r="G43" s="37">
        <v>44795</v>
      </c>
      <c r="H43" s="44">
        <v>9.4307149999999993</v>
      </c>
      <c r="I43" s="36">
        <f>IF(ISBLANK(H44), "", Long0[[#This Row],[Adj Close]]/H44-1)</f>
        <v>-6.5279016847192395E-2</v>
      </c>
      <c r="J43" s="29">
        <v>44795</v>
      </c>
      <c r="K43" s="44">
        <v>31.865717</v>
      </c>
      <c r="L43" s="33">
        <f>IF(ISBLANK(K44),"",Long1[[#This Row],[Adj Close]]/K44-1)</f>
        <v>-4.2321351194211765E-2</v>
      </c>
      <c r="M43" s="37">
        <v>44795</v>
      </c>
      <c r="N43" s="44">
        <v>60.873741000000003</v>
      </c>
      <c r="O43" s="36">
        <f>IF(ISBLANK(N44),"",Long2[[#This Row],[Adj Close]]/N44-1)</f>
        <v>0.15414803314982684</v>
      </c>
      <c r="P43" s="29">
        <v>44795</v>
      </c>
      <c r="Q43" s="44">
        <v>29.073204</v>
      </c>
      <c r="R43" s="33">
        <f>IF(ISBLANK(Q44),"",Long3[[#This Row],[Adj Close]]/Q44-1)</f>
        <v>-3.3106065687864561E-2</v>
      </c>
      <c r="S43" s="37">
        <v>44795</v>
      </c>
      <c r="T43" s="44">
        <v>53.232577999999997</v>
      </c>
      <c r="U43" s="36">
        <f>IF(ISBLANK(T44),"",Long4[[#This Row],[Adj Close]]/T44-1)</f>
        <v>-3.1410757694143698E-2</v>
      </c>
      <c r="V43" s="29">
        <v>44795</v>
      </c>
      <c r="W43" s="44">
        <v>115.36391399999999</v>
      </c>
      <c r="X43" s="33">
        <f>IF(ISBLANK(W44),"",Long5[[#This Row],[Adj Close]]/W44-1)</f>
        <v>-8.3029687305609445E-2</v>
      </c>
      <c r="Y43" s="37">
        <v>44795</v>
      </c>
      <c r="Z43" s="44">
        <v>111.48245199999999</v>
      </c>
      <c r="AA43" s="36">
        <f>IF(ISBLANK(Z44),"",Long6[[#This Row],[Adj Close]]/Z44-1)</f>
        <v>-6.9932931191901249E-2</v>
      </c>
      <c r="AH43" s="29">
        <v>44795</v>
      </c>
      <c r="AI43" s="44">
        <v>37.93</v>
      </c>
      <c r="AJ43" s="33">
        <f>IF(ISBLANK(AI44),"",Short0[[#This Row],[Adj Close]]/AI44-1)</f>
        <v>7.9723356903445008E-3</v>
      </c>
      <c r="AK43" s="37">
        <v>44795</v>
      </c>
      <c r="AL43" s="44">
        <v>71.606421999999995</v>
      </c>
      <c r="AM43" s="36">
        <f>IF(ISBLANK(AL44),"",Short1[[#This Row],[Adj Close]]/AL44-1)</f>
        <v>-6.7647354657338177E-2</v>
      </c>
      <c r="AN43" s="29">
        <v>44795</v>
      </c>
      <c r="AO43" s="44">
        <v>79.375541999999996</v>
      </c>
      <c r="AP43" s="33">
        <f>IF(ISBLANK(AO44),"",Short2[[#This Row],[Adj Close]]/AO44-1)</f>
        <v>-4.1865421148905346E-2</v>
      </c>
      <c r="AQ43" s="37">
        <v>44795</v>
      </c>
      <c r="AR43" s="44">
        <v>94.419998000000007</v>
      </c>
      <c r="AS43" s="36">
        <f>IF(ISBLANK(AR44),"",Short3[[#This Row],[Adj Close]]/AR44-1)</f>
        <v>-0.13550634375108628</v>
      </c>
    </row>
    <row r="44" spans="1:45" x14ac:dyDescent="0.25">
      <c r="A44" s="37">
        <v>44788</v>
      </c>
      <c r="B44" s="39">
        <v>4228.4799800000001</v>
      </c>
      <c r="C44" s="36">
        <f>IF(ISBLANK(B45), "", GSPC[[#This Row],[Adj Close]]/B45-1)</f>
        <v>-1.2071988874935435E-2</v>
      </c>
      <c r="D4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55224.161246999996</v>
      </c>
      <c r="E4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30948.094228000002</v>
      </c>
      <c r="F44" s="11">
        <f>IF(ISBLANK(GSPC[[#This Row],[Long Exp.]]), "", (GSPC[[#This Row],[Long Exp.]]/D45-1)+(E45/GSPC[[#This Row],[Short Exp.]]-1))</f>
        <v>2.8769521735270143E-3</v>
      </c>
      <c r="G44" s="37">
        <v>44788</v>
      </c>
      <c r="H44" s="44">
        <v>10.089337</v>
      </c>
      <c r="I44" s="36">
        <f>IF(ISBLANK(H45), "", Long0[[#This Row],[Adj Close]]/H45-1)</f>
        <v>-5.0314518096603589E-2</v>
      </c>
      <c r="J44" s="29">
        <v>44788</v>
      </c>
      <c r="K44" s="44">
        <v>33.273913999999998</v>
      </c>
      <c r="L44" s="33">
        <f>IF(ISBLANK(K45),"",Long1[[#This Row],[Adj Close]]/K45-1)</f>
        <v>-6.852962343237734E-2</v>
      </c>
      <c r="M44" s="37">
        <v>44788</v>
      </c>
      <c r="N44" s="44">
        <v>52.743442999999999</v>
      </c>
      <c r="O44" s="36">
        <f>IF(ISBLANK(N45),"",Long2[[#This Row],[Adj Close]]/N45-1)</f>
        <v>-2.4247819843135843E-2</v>
      </c>
      <c r="P44" s="29">
        <v>44788</v>
      </c>
      <c r="Q44" s="44">
        <v>30.068659</v>
      </c>
      <c r="R44" s="33">
        <f>IF(ISBLANK(Q45),"",Long3[[#This Row],[Adj Close]]/Q45-1)</f>
        <v>1.716738487795344E-2</v>
      </c>
      <c r="S44" s="37">
        <v>44788</v>
      </c>
      <c r="T44" s="44">
        <v>54.958877999999999</v>
      </c>
      <c r="U44" s="36">
        <f>IF(ISBLANK(T45),"",Long4[[#This Row],[Adj Close]]/T45-1)</f>
        <v>-3.4606853883218713E-2</v>
      </c>
      <c r="V44" s="29">
        <v>44788</v>
      </c>
      <c r="W44" s="44">
        <v>125.80986799999999</v>
      </c>
      <c r="X44" s="33">
        <f>IF(ISBLANK(W45),"",Long5[[#This Row],[Adj Close]]/W45-1)</f>
        <v>-8.2641348192697306E-2</v>
      </c>
      <c r="Y44" s="37">
        <v>44788</v>
      </c>
      <c r="Z44" s="44">
        <v>119.86496</v>
      </c>
      <c r="AA44" s="36">
        <f>IF(ISBLANK(Z45),"",Long6[[#This Row],[Adj Close]]/Z45-1)</f>
        <v>-4.217202167919476E-2</v>
      </c>
      <c r="AH44" s="29">
        <v>44788</v>
      </c>
      <c r="AI44" s="44">
        <v>37.630001</v>
      </c>
      <c r="AJ44" s="33">
        <f>IF(ISBLANK(AI45),"",Short0[[#This Row],[Adj Close]]/AI45-1)</f>
        <v>-2.6894157067192004E-2</v>
      </c>
      <c r="AK44" s="37">
        <v>44788</v>
      </c>
      <c r="AL44" s="44">
        <v>76.801865000000006</v>
      </c>
      <c r="AM44" s="36">
        <f>IF(ISBLANK(AL45),"",Short1[[#This Row],[Adj Close]]/AL45-1)</f>
        <v>-9.5892004721255253E-3</v>
      </c>
      <c r="AN44" s="29">
        <v>44788</v>
      </c>
      <c r="AO44" s="44">
        <v>82.843834000000001</v>
      </c>
      <c r="AP44" s="33">
        <f>IF(ISBLANK(AO45),"",Short2[[#This Row],[Adj Close]]/AO45-1)</f>
        <v>-5.0186939072002446E-2</v>
      </c>
      <c r="AQ44" s="37">
        <v>44788</v>
      </c>
      <c r="AR44" s="44">
        <v>109.220001</v>
      </c>
      <c r="AS44" s="36">
        <f>IF(ISBLANK(AR45),"",Short3[[#This Row],[Adj Close]]/AR45-1)</f>
        <v>-4.8689113294819508E-2</v>
      </c>
    </row>
    <row r="45" spans="1:45" x14ac:dyDescent="0.25">
      <c r="A45" s="37">
        <v>44781</v>
      </c>
      <c r="B45" s="39">
        <v>4280.1499020000001</v>
      </c>
      <c r="C45" s="36">
        <f>IF(ISBLANK(B46), "", GSPC[[#This Row],[Adj Close]]/B46-1)</f>
        <v>3.2558209134185612E-2</v>
      </c>
      <c r="D4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57208.548127000009</v>
      </c>
      <c r="E4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32110.623697999996</v>
      </c>
      <c r="F45" s="11">
        <f>IF(ISBLANK(GSPC[[#This Row],[Long Exp.]]), "", (GSPC[[#This Row],[Long Exp.]]/D46-1)+(E46/GSPC[[#This Row],[Short Exp.]]-1))</f>
        <v>-1.0869602824267521E-2</v>
      </c>
      <c r="G45" s="37">
        <v>44781</v>
      </c>
      <c r="H45" s="44">
        <v>10.623872</v>
      </c>
      <c r="I45" s="36">
        <f>IF(ISBLANK(H46), "", Long0[[#This Row],[Adj Close]]/H46-1)</f>
        <v>0.14388487969252561</v>
      </c>
      <c r="J45" s="29">
        <v>44781</v>
      </c>
      <c r="K45" s="44">
        <v>35.721924000000001</v>
      </c>
      <c r="L45" s="33">
        <f>IF(ISBLANK(K46),"",Long1[[#This Row],[Adj Close]]/K46-1)</f>
        <v>4.3434107149686874E-3</v>
      </c>
      <c r="M45" s="37">
        <v>44781</v>
      </c>
      <c r="N45" s="44">
        <v>54.054138000000002</v>
      </c>
      <c r="O45" s="36">
        <f>IF(ISBLANK(N46),"",Long2[[#This Row],[Adj Close]]/N46-1)</f>
        <v>5.0363676855761597E-2</v>
      </c>
      <c r="P45" s="29">
        <v>44781</v>
      </c>
      <c r="Q45" s="44">
        <v>29.561171000000002</v>
      </c>
      <c r="R45" s="33">
        <f>IF(ISBLANK(Q46),"",Long3[[#This Row],[Adj Close]]/Q46-1)</f>
        <v>7.9087993584718408E-2</v>
      </c>
      <c r="S45" s="37">
        <v>44781</v>
      </c>
      <c r="T45" s="44">
        <v>56.929012</v>
      </c>
      <c r="U45" s="36">
        <f>IF(ISBLANK(T46),"",Long4[[#This Row],[Adj Close]]/T46-1)</f>
        <v>-0.21839841605477339</v>
      </c>
      <c r="V45" s="29">
        <v>44781</v>
      </c>
      <c r="W45" s="44">
        <v>137.14359999999999</v>
      </c>
      <c r="X45" s="33">
        <f>IF(ISBLANK(W46),"",Long5[[#This Row],[Adj Close]]/W46-1)</f>
        <v>2.7212338136662018E-2</v>
      </c>
      <c r="Y45" s="37">
        <v>44781</v>
      </c>
      <c r="Z45" s="44">
        <v>125.142471</v>
      </c>
      <c r="AA45" s="36">
        <f>IF(ISBLANK(Z46),"",Long6[[#This Row],[Adj Close]]/Z46-1)</f>
        <v>5.9006070539329158E-3</v>
      </c>
      <c r="AH45" s="29">
        <v>44781</v>
      </c>
      <c r="AI45" s="44">
        <v>38.669998</v>
      </c>
      <c r="AJ45" s="33">
        <f>IF(ISBLANK(AI46),"",Short0[[#This Row],[Adj Close]]/AI46-1)</f>
        <v>7.818582429465204E-3</v>
      </c>
      <c r="AK45" s="37">
        <v>44781</v>
      </c>
      <c r="AL45" s="44">
        <v>77.545463999999996</v>
      </c>
      <c r="AM45" s="36">
        <f>IF(ISBLANK(AL46),"",Short1[[#This Row],[Adj Close]]/AL46-1)</f>
        <v>5.1322535363989896E-2</v>
      </c>
      <c r="AN45" s="29">
        <v>44781</v>
      </c>
      <c r="AO45" s="44">
        <v>87.221198999999999</v>
      </c>
      <c r="AP45" s="33">
        <f>IF(ISBLANK(AO46),"",Short2[[#This Row],[Adj Close]]/AO46-1)</f>
        <v>4.1779787860384276E-2</v>
      </c>
      <c r="AQ45" s="37">
        <v>44781</v>
      </c>
      <c r="AR45" s="44">
        <v>114.80999799999999</v>
      </c>
      <c r="AS45" s="36">
        <f>IF(ISBLANK(AR46),"",Short3[[#This Row],[Adj Close]]/AR46-1)</f>
        <v>1.9898711912587741E-2</v>
      </c>
    </row>
    <row r="46" spans="1:45" x14ac:dyDescent="0.25">
      <c r="A46" s="37">
        <v>44774</v>
      </c>
      <c r="B46" s="39">
        <v>4145.1899409999996</v>
      </c>
      <c r="C46" s="36">
        <f>IF(ISBLANK(B47), "", GSPC[[#This Row],[Adj Close]]/B47-1)</f>
        <v>3.6074711120304137E-3</v>
      </c>
      <c r="D4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56117.301689</v>
      </c>
      <c r="E4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31137.176854999998</v>
      </c>
      <c r="F46" s="11">
        <f>IF(ISBLANK(GSPC[[#This Row],[Long Exp.]]), "", (GSPC[[#This Row],[Long Exp.]]/D47-1)+(E47/GSPC[[#This Row],[Short Exp.]]-1))</f>
        <v>-8.2627186582224788E-3</v>
      </c>
      <c r="G46" s="37">
        <v>44774</v>
      </c>
      <c r="H46" s="44">
        <v>9.2875359999999993</v>
      </c>
      <c r="I46" s="36">
        <f>IF(ISBLANK(H47), "", Long0[[#This Row],[Adj Close]]/H47-1)</f>
        <v>4.1280720794121262E-3</v>
      </c>
      <c r="J46" s="29">
        <v>44774</v>
      </c>
      <c r="K46" s="44">
        <v>35.567439999999998</v>
      </c>
      <c r="L46" s="33">
        <f>IF(ISBLANK(K47),"",Long1[[#This Row],[Adj Close]]/K47-1)</f>
        <v>2.008669111627448E-3</v>
      </c>
      <c r="M46" s="37">
        <v>44774</v>
      </c>
      <c r="N46" s="44">
        <v>51.462307000000003</v>
      </c>
      <c r="O46" s="36">
        <f>IF(ISBLANK(N47),"",Long2[[#This Row],[Adj Close]]/N47-1)</f>
        <v>-8.3554352635042406E-3</v>
      </c>
      <c r="P46" s="29">
        <v>44774</v>
      </c>
      <c r="Q46" s="44">
        <v>27.394587999999999</v>
      </c>
      <c r="R46" s="33">
        <f>IF(ISBLANK(Q47),"",Long3[[#This Row],[Adj Close]]/Q47-1)</f>
        <v>-3.4731751284386436E-2</v>
      </c>
      <c r="S46" s="37">
        <v>44774</v>
      </c>
      <c r="T46" s="44">
        <v>72.836357000000007</v>
      </c>
      <c r="U46" s="36">
        <f>IF(ISBLANK(T47),"",Long4[[#This Row],[Adj Close]]/T47-1)</f>
        <v>2.0636797674558061E-2</v>
      </c>
      <c r="V46" s="29">
        <v>44774</v>
      </c>
      <c r="W46" s="44">
        <v>133.510468</v>
      </c>
      <c r="X46" s="33">
        <f>IF(ISBLANK(W47),"",Long5[[#This Row],[Adj Close]]/W47-1)</f>
        <v>6.3005206860080154E-2</v>
      </c>
      <c r="Y46" s="37">
        <v>44774</v>
      </c>
      <c r="Z46" s="44">
        <v>124.40838599999999</v>
      </c>
      <c r="AA46" s="36">
        <f>IF(ISBLANK(Z47),"",Long6[[#This Row],[Adj Close]]/Z47-1)</f>
        <v>8.6177076714615053E-2</v>
      </c>
      <c r="AH46" s="29">
        <v>44774</v>
      </c>
      <c r="AI46" s="44">
        <v>38.369999</v>
      </c>
      <c r="AJ46" s="33">
        <f>IF(ISBLANK(AI47),"",Short0[[#This Row],[Adj Close]]/AI47-1)</f>
        <v>1.8041921412627282E-2</v>
      </c>
      <c r="AK46" s="37">
        <v>44774</v>
      </c>
      <c r="AL46" s="44">
        <v>73.759917999999999</v>
      </c>
      <c r="AM46" s="36">
        <f>IF(ISBLANK(AL47),"",Short1[[#This Row],[Adj Close]]/AL47-1)</f>
        <v>-7.923186699527851E-3</v>
      </c>
      <c r="AN46" s="29">
        <v>44774</v>
      </c>
      <c r="AO46" s="44">
        <v>83.723258999999999</v>
      </c>
      <c r="AP46" s="33">
        <f>IF(ISBLANK(AO47),"",Short2[[#This Row],[Adj Close]]/AO47-1)</f>
        <v>-3.1764714608876199E-3</v>
      </c>
      <c r="AQ46" s="37">
        <v>44774</v>
      </c>
      <c r="AR46" s="44">
        <v>112.57</v>
      </c>
      <c r="AS46" s="36">
        <f>IF(ISBLANK(AR47),"",Short3[[#This Row],[Adj Close]]/AR47-1)</f>
        <v>8.3341311390960904E-2</v>
      </c>
    </row>
    <row r="47" spans="1:45" x14ac:dyDescent="0.25">
      <c r="A47" s="37">
        <v>44767</v>
      </c>
      <c r="B47" s="39">
        <v>4130.2900390000004</v>
      </c>
      <c r="C47" s="36">
        <f>IF(ISBLANK(B48), "", GSPC[[#This Row],[Adj Close]]/B48-1)</f>
        <v>4.2573425832571843E-2</v>
      </c>
      <c r="D4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55405.426751999999</v>
      </c>
      <c r="E4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30479.834055000003</v>
      </c>
      <c r="F47" s="11">
        <f>IF(ISBLANK(GSPC[[#This Row],[Long Exp.]]), "", (GSPC[[#This Row],[Long Exp.]]/D48-1)+(E48/GSPC[[#This Row],[Short Exp.]]-1))</f>
        <v>8.9169185833795295E-2</v>
      </c>
      <c r="G47" s="37">
        <v>44767</v>
      </c>
      <c r="H47" s="44">
        <v>9.2493540000000003</v>
      </c>
      <c r="I47" s="36">
        <f>IF(ISBLANK(H48), "", Long0[[#This Row],[Adj Close]]/H48-1)</f>
        <v>1.4659508045550274E-2</v>
      </c>
      <c r="J47" s="29">
        <v>44767</v>
      </c>
      <c r="K47" s="44">
        <v>35.496139999999997</v>
      </c>
      <c r="L47" s="33">
        <f>IF(ISBLANK(K48),"",Long1[[#This Row],[Adj Close]]/K48-1)</f>
        <v>0.10221415431030456</v>
      </c>
      <c r="M47" s="37">
        <v>44767</v>
      </c>
      <c r="N47" s="44">
        <v>51.895919999999997</v>
      </c>
      <c r="O47" s="36">
        <f>IF(ISBLANK(N48),"",Long2[[#This Row],[Adj Close]]/N48-1)</f>
        <v>0.10537357950724191</v>
      </c>
      <c r="P47" s="29">
        <v>44767</v>
      </c>
      <c r="Q47" s="44">
        <v>28.380285000000001</v>
      </c>
      <c r="R47" s="33">
        <f>IF(ISBLANK(Q48),"",Long3[[#This Row],[Adj Close]]/Q48-1)</f>
        <v>6.4032159992837512E-2</v>
      </c>
      <c r="S47" s="37">
        <v>44767</v>
      </c>
      <c r="T47" s="44">
        <v>71.363640000000004</v>
      </c>
      <c r="U47" s="36">
        <f>IF(ISBLANK(T48),"",Long4[[#This Row],[Adj Close]]/T48-1)</f>
        <v>5.0236862984766706E-2</v>
      </c>
      <c r="V47" s="29">
        <v>44767</v>
      </c>
      <c r="W47" s="44">
        <v>125.597191</v>
      </c>
      <c r="X47" s="33">
        <f>IF(ISBLANK(W48),"",Long5[[#This Row],[Adj Close]]/W48-1)</f>
        <v>0.2074639534626832</v>
      </c>
      <c r="Y47" s="37">
        <v>44767</v>
      </c>
      <c r="Z47" s="44">
        <v>114.53784899999999</v>
      </c>
      <c r="AA47" s="36">
        <f>IF(ISBLANK(Z48),"",Long6[[#This Row],[Adj Close]]/Z48-1)</f>
        <v>1.4141375343905915E-2</v>
      </c>
      <c r="AH47" s="29">
        <v>44767</v>
      </c>
      <c r="AI47" s="44">
        <v>37.689999</v>
      </c>
      <c r="AJ47" s="33">
        <f>IF(ISBLANK(AI48),"",Short0[[#This Row],[Adj Close]]/AI48-1)</f>
        <v>-3.3341957766506281E-2</v>
      </c>
      <c r="AK47" s="37">
        <v>44767</v>
      </c>
      <c r="AL47" s="44">
        <v>74.348999000000006</v>
      </c>
      <c r="AM47" s="36">
        <f>IF(ISBLANK(AL48),"",Short1[[#This Row],[Adj Close]]/AL48-1)</f>
        <v>2.4740205393578574E-3</v>
      </c>
      <c r="AN47" s="29">
        <v>44767</v>
      </c>
      <c r="AO47" s="44">
        <v>83.990050999999994</v>
      </c>
      <c r="AP47" s="33">
        <f>IF(ISBLANK(AO48),"",Short2[[#This Row],[Adj Close]]/AO48-1)</f>
        <v>2.3110242284758664E-2</v>
      </c>
      <c r="AQ47" s="37">
        <v>44767</v>
      </c>
      <c r="AR47" s="44">
        <v>103.910004</v>
      </c>
      <c r="AS47" s="36">
        <f>IF(ISBLANK(AR48),"",Short3[[#This Row],[Adj Close]]/AR48-1)</f>
        <v>-1.2543941484065124E-2</v>
      </c>
    </row>
    <row r="48" spans="1:45" x14ac:dyDescent="0.25">
      <c r="A48" s="37">
        <v>44760</v>
      </c>
      <c r="B48" s="39">
        <v>3961.6298830000001</v>
      </c>
      <c r="C48" s="36">
        <f>IF(ISBLANK(B49), "", GSPC[[#This Row],[Adj Close]]/B49-1)</f>
        <v>2.5489488719875775E-2</v>
      </c>
      <c r="D4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50973.100357000003</v>
      </c>
      <c r="E4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30547.345719000001</v>
      </c>
      <c r="F48" s="11">
        <f>IF(ISBLANK(GSPC[[#This Row],[Long Exp.]]), "", (GSPC[[#This Row],[Long Exp.]]/D49-1)+(E49/GSPC[[#This Row],[Short Exp.]]-1))</f>
        <v>-4.3419546923733177E-2</v>
      </c>
      <c r="G48" s="37">
        <v>44760</v>
      </c>
      <c r="H48" s="44">
        <v>9.1157219999999999</v>
      </c>
      <c r="I48" s="36">
        <f>IF(ISBLANK(H49), "", Long0[[#This Row],[Adj Close]]/H49-1)</f>
        <v>-3.0456774507000017E-2</v>
      </c>
      <c r="J48" s="29">
        <v>44760</v>
      </c>
      <c r="K48" s="44">
        <v>32.204394999999998</v>
      </c>
      <c r="L48" s="33">
        <f>IF(ISBLANK(K49),"",Long1[[#This Row],[Adj Close]]/K49-1)</f>
        <v>0.12893136129630189</v>
      </c>
      <c r="M48" s="37">
        <v>44760</v>
      </c>
      <c r="N48" s="44">
        <v>46.948760999999998</v>
      </c>
      <c r="O48" s="36">
        <f>IF(ISBLANK(N49),"",Long2[[#This Row],[Adj Close]]/N49-1)</f>
        <v>5.8196362972148252E-2</v>
      </c>
      <c r="P48" s="29">
        <v>44760</v>
      </c>
      <c r="Q48" s="44">
        <v>26.672394000000001</v>
      </c>
      <c r="R48" s="33">
        <f>IF(ISBLANK(Q49),"",Long3[[#This Row],[Adj Close]]/Q49-1)</f>
        <v>-7.2648145262941277E-3</v>
      </c>
      <c r="S48" s="37">
        <v>44760</v>
      </c>
      <c r="T48" s="44">
        <v>67.950042999999994</v>
      </c>
      <c r="U48" s="36">
        <f>IF(ISBLANK(T49),"",Long4[[#This Row],[Adj Close]]/T49-1)</f>
        <v>6.366399910235887E-2</v>
      </c>
      <c r="V48" s="29">
        <v>44760</v>
      </c>
      <c r="W48" s="44">
        <v>104.017342</v>
      </c>
      <c r="X48" s="33">
        <f>IF(ISBLANK(W49),"",Long5[[#This Row],[Adj Close]]/W49-1)</f>
        <v>5.0357009334016656E-2</v>
      </c>
      <c r="Y48" s="37">
        <v>44760</v>
      </c>
      <c r="Z48" s="44">
        <v>112.940712</v>
      </c>
      <c r="AA48" s="36">
        <f>IF(ISBLANK(Z49),"",Long6[[#This Row],[Adj Close]]/Z49-1)</f>
        <v>4.7474482972025056E-2</v>
      </c>
      <c r="AH48" s="29">
        <v>44760</v>
      </c>
      <c r="AI48" s="44">
        <v>38.990001999999997</v>
      </c>
      <c r="AJ48" s="33">
        <f>IF(ISBLANK(AI49),"",Short0[[#This Row],[Adj Close]]/AI49-1)</f>
        <v>0.12916313724770156</v>
      </c>
      <c r="AK48" s="37">
        <v>44760</v>
      </c>
      <c r="AL48" s="44">
        <v>74.165512000000007</v>
      </c>
      <c r="AM48" s="36">
        <f>IF(ISBLANK(AL49),"",Short1[[#This Row],[Adj Close]]/AL49-1)</f>
        <v>5.9748831044309281E-2</v>
      </c>
      <c r="AN48" s="29">
        <v>44760</v>
      </c>
      <c r="AO48" s="44">
        <v>82.092865000000003</v>
      </c>
      <c r="AP48" s="33">
        <f>IF(ISBLANK(AO49),"",Short2[[#This Row],[Adj Close]]/AO49-1)</f>
        <v>6.3900722411200928E-2</v>
      </c>
      <c r="AQ48" s="37">
        <v>44760</v>
      </c>
      <c r="AR48" s="44">
        <v>105.230003</v>
      </c>
      <c r="AS48" s="36">
        <f>IF(ISBLANK(AR49),"",Short3[[#This Row],[Adj Close]]/AR49-1)</f>
        <v>0.10280869006096593</v>
      </c>
    </row>
    <row r="49" spans="1:45" x14ac:dyDescent="0.25">
      <c r="A49" s="37">
        <v>44753</v>
      </c>
      <c r="B49" s="39">
        <v>3863.1599120000001</v>
      </c>
      <c r="C49" s="36">
        <f>IF(ISBLANK(B50), "", GSPC[[#This Row],[Adj Close]]/B50-1)</f>
        <v>-9.2886489869599131E-3</v>
      </c>
      <c r="D4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49227.385353000005</v>
      </c>
      <c r="E4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28137.715479000002</v>
      </c>
      <c r="F49" s="11">
        <f>IF(ISBLANK(GSPC[[#This Row],[Long Exp.]]), "", (GSPC[[#This Row],[Long Exp.]]/D50-1)+(E50/GSPC[[#This Row],[Short Exp.]]-1))</f>
        <v>6.5471943659531906E-3</v>
      </c>
      <c r="G49" s="37">
        <v>44753</v>
      </c>
      <c r="H49" s="44">
        <v>9.4020790000000005</v>
      </c>
      <c r="I49" s="36">
        <f>IF(ISBLANK(H50), "", Long0[[#This Row],[Adj Close]]/H50-1)</f>
        <v>-4.8309189012790466E-2</v>
      </c>
      <c r="J49" s="29">
        <v>44753</v>
      </c>
      <c r="K49" s="44">
        <v>28.526441999999999</v>
      </c>
      <c r="L49" s="33">
        <f>IF(ISBLANK(K50),"",Long1[[#This Row],[Adj Close]]/K50-1)</f>
        <v>-3.1861203234726854E-2</v>
      </c>
      <c r="M49" s="37">
        <v>44753</v>
      </c>
      <c r="N49" s="44">
        <v>44.366776000000002</v>
      </c>
      <c r="O49" s="36">
        <f>IF(ISBLANK(N50),"",Long2[[#This Row],[Adj Close]]/N50-1)</f>
        <v>-4.4227978120303657E-3</v>
      </c>
      <c r="P49" s="29">
        <v>44753</v>
      </c>
      <c r="Q49" s="44">
        <v>26.867581999999999</v>
      </c>
      <c r="R49" s="33">
        <f>IF(ISBLANK(Q50),"",Long3[[#This Row],[Adj Close]]/Q50-1)</f>
        <v>1.2877137954029561E-2</v>
      </c>
      <c r="S49" s="37">
        <v>44753</v>
      </c>
      <c r="T49" s="44">
        <v>63.882995999999999</v>
      </c>
      <c r="U49" s="36">
        <f>IF(ISBLANK(T50),"",Long4[[#This Row],[Adj Close]]/T50-1)</f>
        <v>-2.862217262365685E-2</v>
      </c>
      <c r="V49" s="29">
        <v>44753</v>
      </c>
      <c r="W49" s="44">
        <v>99.030463999999995</v>
      </c>
      <c r="X49" s="33">
        <f>IF(ISBLANK(W50),"",Long5[[#This Row],[Adj Close]]/W50-1)</f>
        <v>7.3015368611286879E-2</v>
      </c>
      <c r="Y49" s="37">
        <v>44753</v>
      </c>
      <c r="Z49" s="44">
        <v>107.821922</v>
      </c>
      <c r="AA49" s="36">
        <f>IF(ISBLANK(Z50),"",Long6[[#This Row],[Adj Close]]/Z50-1)</f>
        <v>7.365798553833347E-4</v>
      </c>
      <c r="AH49" s="29">
        <v>44753</v>
      </c>
      <c r="AI49" s="44">
        <v>34.529998999999997</v>
      </c>
      <c r="AJ49" s="33">
        <f>IF(ISBLANK(AI50),"",Short0[[#This Row],[Adj Close]]/AI50-1)</f>
        <v>4.3629434449403703E-3</v>
      </c>
      <c r="AK49" s="37">
        <v>44753</v>
      </c>
      <c r="AL49" s="44">
        <v>69.984047000000004</v>
      </c>
      <c r="AM49" s="36">
        <f>IF(ISBLANK(AL50),"",Short1[[#This Row],[Adj Close]]/AL50-1)</f>
        <v>1.8266170209862098E-2</v>
      </c>
      <c r="AN49" s="29">
        <v>44753</v>
      </c>
      <c r="AO49" s="44">
        <v>77.162148000000002</v>
      </c>
      <c r="AP49" s="33">
        <f>IF(ISBLANK(AO50),"",Short2[[#This Row],[Adj Close]]/AO50-1)</f>
        <v>1.0234128655171038E-3</v>
      </c>
      <c r="AQ49" s="37">
        <v>44753</v>
      </c>
      <c r="AR49" s="44">
        <v>95.419998000000007</v>
      </c>
      <c r="AS49" s="36">
        <f>IF(ISBLANK(AR50),"",Short3[[#This Row],[Adj Close]]/AR50-1)</f>
        <v>-4.3024782298914599E-2</v>
      </c>
    </row>
    <row r="50" spans="1:45" x14ac:dyDescent="0.25">
      <c r="A50" s="37">
        <v>44746</v>
      </c>
      <c r="B50" s="39">
        <v>3899.3798830000001</v>
      </c>
      <c r="C50" s="36">
        <f>IF(ISBLANK(B51), "", GSPC[[#This Row],[Adj Close]]/B51-1)</f>
        <v>1.9357755668163223E-2</v>
      </c>
      <c r="D5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49191.879873999991</v>
      </c>
      <c r="E5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28301.629465999999</v>
      </c>
      <c r="F50" s="11">
        <f>IF(ISBLANK(GSPC[[#This Row],[Long Exp.]]), "", (GSPC[[#This Row],[Long Exp.]]/D51-1)+(E51/GSPC[[#This Row],[Short Exp.]]-1))</f>
        <v>-3.675389183875466E-2</v>
      </c>
      <c r="G50" s="37">
        <v>44746</v>
      </c>
      <c r="H50" s="44">
        <v>9.8793419999999994</v>
      </c>
      <c r="I50" s="36">
        <f>IF(ISBLANK(H51), "", Long0[[#This Row],[Adj Close]]/H51-1)</f>
        <v>-3.3613418251895677E-2</v>
      </c>
      <c r="J50" s="29">
        <v>44746</v>
      </c>
      <c r="K50" s="44">
        <v>29.465240000000001</v>
      </c>
      <c r="L50" s="33">
        <f>IF(ISBLANK(K51),"",Long1[[#This Row],[Adj Close]]/K51-1)</f>
        <v>2.9906471692203507E-2</v>
      </c>
      <c r="M50" s="37">
        <v>44746</v>
      </c>
      <c r="N50" s="44">
        <v>44.563873000000001</v>
      </c>
      <c r="O50" s="36">
        <f>IF(ISBLANK(N51),"",Long2[[#This Row],[Adj Close]]/N51-1)</f>
        <v>-3.6231913833818186E-2</v>
      </c>
      <c r="P50" s="29">
        <v>44746</v>
      </c>
      <c r="Q50" s="44">
        <v>26.526002999999999</v>
      </c>
      <c r="R50" s="33">
        <f>IF(ISBLANK(Q51),"",Long3[[#This Row],[Adj Close]]/Q51-1)</f>
        <v>-2.0893291739327857E-2</v>
      </c>
      <c r="S50" s="37">
        <v>44746</v>
      </c>
      <c r="T50" s="44">
        <v>65.765343000000001</v>
      </c>
      <c r="U50" s="36">
        <f>IF(ISBLANK(T51),"",Long4[[#This Row],[Adj Close]]/T51-1)</f>
        <v>-1.1000388379392656E-2</v>
      </c>
      <c r="V50" s="29">
        <v>44746</v>
      </c>
      <c r="W50" s="44">
        <v>92.291747999999998</v>
      </c>
      <c r="X50" s="33">
        <f>IF(ISBLANK(W51),"",Long5[[#This Row],[Adj Close]]/W51-1)</f>
        <v>0.16717023879251358</v>
      </c>
      <c r="Y50" s="37">
        <v>44746</v>
      </c>
      <c r="Z50" s="44">
        <v>107.74256099999999</v>
      </c>
      <c r="AA50" s="36">
        <f>IF(ISBLANK(Z51),"",Long6[[#This Row],[Adj Close]]/Z51-1)</f>
        <v>6.2512241306632133E-2</v>
      </c>
      <c r="AH50" s="29">
        <v>44746</v>
      </c>
      <c r="AI50" s="44">
        <v>34.380001</v>
      </c>
      <c r="AJ50" s="33">
        <f>IF(ISBLANK(AI51),"",Short0[[#This Row],[Adj Close]]/AI51-1)</f>
        <v>-2.5510148115366893E-2</v>
      </c>
      <c r="AK50" s="37">
        <v>44746</v>
      </c>
      <c r="AL50" s="44">
        <v>68.728638000000004</v>
      </c>
      <c r="AM50" s="36">
        <f>IF(ISBLANK(AL51),"",Short1[[#This Row],[Adj Close]]/AL51-1)</f>
        <v>6.5897796846555057E-2</v>
      </c>
      <c r="AN50" s="29">
        <v>44746</v>
      </c>
      <c r="AO50" s="44">
        <v>77.083259999999996</v>
      </c>
      <c r="AP50" s="33">
        <f>IF(ISBLANK(AO51),"",Short2[[#This Row],[Adj Close]]/AO51-1)</f>
        <v>5.0804408011676516E-2</v>
      </c>
      <c r="AQ50" s="37">
        <v>44746</v>
      </c>
      <c r="AR50" s="44">
        <v>99.709998999999996</v>
      </c>
      <c r="AS50" s="36">
        <f>IF(ISBLANK(AR51),"",Short3[[#This Row],[Adj Close]]/AR51-1)</f>
        <v>8.427577299125466E-2</v>
      </c>
    </row>
    <row r="51" spans="1:45" x14ac:dyDescent="0.25">
      <c r="A51" s="37">
        <v>44739</v>
      </c>
      <c r="B51" s="39">
        <v>3825.330078</v>
      </c>
      <c r="C51" s="36">
        <f>IF(ISBLANK(B52), "", GSPC[[#This Row],[Adj Close]]/B52-1)</f>
        <v>-2.2089891511424375E-2</v>
      </c>
      <c r="D5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48830.357715999999</v>
      </c>
      <c r="E5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27051.899495999998</v>
      </c>
      <c r="F51" s="11">
        <f>IF(ISBLANK(GSPC[[#This Row],[Long Exp.]]), "", (GSPC[[#This Row],[Long Exp.]]/D52-1)+(E52/GSPC[[#This Row],[Short Exp.]]-1))</f>
        <v>1.5346968825088458E-3</v>
      </c>
      <c r="G51" s="37">
        <v>44739</v>
      </c>
      <c r="H51" s="44">
        <v>10.222970999999999</v>
      </c>
      <c r="I51" s="36">
        <f>IF(ISBLANK(H52), "", Long0[[#This Row],[Adj Close]]/H52-1)</f>
        <v>-2.2810177638185825E-2</v>
      </c>
      <c r="J51" s="29">
        <v>44739</v>
      </c>
      <c r="K51" s="44">
        <v>28.609627</v>
      </c>
      <c r="L51" s="33">
        <f>IF(ISBLANK(K52),"",Long1[[#This Row],[Adj Close]]/K52-1)</f>
        <v>-4.0454316091750764E-2</v>
      </c>
      <c r="M51" s="37">
        <v>44739</v>
      </c>
      <c r="N51" s="44">
        <v>46.239207999999998</v>
      </c>
      <c r="O51" s="36">
        <f>IF(ISBLANK(N52),"",Long2[[#This Row],[Adj Close]]/N52-1)</f>
        <v>6.6509768077922526E-3</v>
      </c>
      <c r="P51" s="29">
        <v>44739</v>
      </c>
      <c r="Q51" s="44">
        <v>27.092044999999999</v>
      </c>
      <c r="R51" s="33">
        <f>IF(ISBLANK(Q52),"",Long3[[#This Row],[Adj Close]]/Q52-1)</f>
        <v>2.5110744468603619E-2</v>
      </c>
      <c r="S51" s="37">
        <v>44739</v>
      </c>
      <c r="T51" s="44">
        <v>66.496834000000007</v>
      </c>
      <c r="U51" s="36">
        <f>IF(ISBLANK(T52),"",Long4[[#This Row],[Adj Close]]/T52-1)</f>
        <v>-2.7528071738677218E-2</v>
      </c>
      <c r="V51" s="29">
        <v>44739</v>
      </c>
      <c r="W51" s="44">
        <v>79.073081999999999</v>
      </c>
      <c r="X51" s="33">
        <f>IF(ISBLANK(W52),"",Long5[[#This Row],[Adj Close]]/W52-1)</f>
        <v>-4.953331103844405E-2</v>
      </c>
      <c r="Y51" s="37">
        <v>44739</v>
      </c>
      <c r="Z51" s="44">
        <v>101.403595</v>
      </c>
      <c r="AA51" s="36">
        <f>IF(ISBLANK(Z52),"",Long6[[#This Row],[Adj Close]]/Z52-1)</f>
        <v>-0.10073017766086156</v>
      </c>
      <c r="AH51" s="29">
        <v>44739</v>
      </c>
      <c r="AI51" s="44">
        <v>35.279998999999997</v>
      </c>
      <c r="AJ51" s="33">
        <f>IF(ISBLANK(AI52),"",Short0[[#This Row],[Adj Close]]/AI52-1)</f>
        <v>5.5339485492072793E-2</v>
      </c>
      <c r="AK51" s="37">
        <v>44739</v>
      </c>
      <c r="AL51" s="44">
        <v>64.479575999999994</v>
      </c>
      <c r="AM51" s="36">
        <f>IF(ISBLANK(AL52),"",Short1[[#This Row],[Adj Close]]/AL52-1)</f>
        <v>-0.10603825771034603</v>
      </c>
      <c r="AN51" s="29">
        <v>44739</v>
      </c>
      <c r="AO51" s="44">
        <v>73.356430000000003</v>
      </c>
      <c r="AP51" s="33">
        <f>IF(ISBLANK(AO52),"",Short2[[#This Row],[Adj Close]]/AO52-1)</f>
        <v>3.7119369907444577E-2</v>
      </c>
      <c r="AQ51" s="37">
        <v>44739</v>
      </c>
      <c r="AR51" s="44">
        <v>91.959998999999996</v>
      </c>
      <c r="AS51" s="36">
        <f>IF(ISBLANK(AR52),"",Short3[[#This Row],[Adj Close]]/AR52-1)</f>
        <v>-6.0290230326075722E-2</v>
      </c>
    </row>
    <row r="52" spans="1:45" x14ac:dyDescent="0.25">
      <c r="A52" s="37">
        <v>44732</v>
      </c>
      <c r="B52" s="39">
        <v>3911.73999</v>
      </c>
      <c r="C52" s="36">
        <f>IF(ISBLANK(B53), "", GSPC[[#This Row],[Adj Close]]/B53-1)</f>
        <v>6.4465363478967364E-2</v>
      </c>
      <c r="D5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49715.191682000011</v>
      </c>
      <c r="E5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27574.887293</v>
      </c>
      <c r="F52" s="11">
        <f>IF(ISBLANK(GSPC[[#This Row],[Long Exp.]]), "", (GSPC[[#This Row],[Long Exp.]]/D53-1)+(E53/GSPC[[#This Row],[Short Exp.]]-1))</f>
        <v>-5.085001428438396E-2</v>
      </c>
      <c r="G52" s="37">
        <v>44732</v>
      </c>
      <c r="H52" s="44">
        <v>10.461601999999999</v>
      </c>
      <c r="I52" s="36">
        <f>IF(ISBLANK(H53), "", Long0[[#This Row],[Adj Close]]/H53-1)</f>
        <v>4.7801056454407576E-2</v>
      </c>
      <c r="J52" s="29">
        <v>44732</v>
      </c>
      <c r="K52" s="44">
        <v>29.815805000000001</v>
      </c>
      <c r="L52" s="33">
        <f>IF(ISBLANK(K53),"",Long1[[#This Row],[Adj Close]]/K53-1)</f>
        <v>8.4973018142777246E-2</v>
      </c>
      <c r="M52" s="37">
        <v>44732</v>
      </c>
      <c r="N52" s="44">
        <v>45.933703999999999</v>
      </c>
      <c r="O52" s="36">
        <f>IF(ISBLANK(N53),"",Long2[[#This Row],[Adj Close]]/N53-1)</f>
        <v>-7.8853747688045317E-2</v>
      </c>
      <c r="P52" s="29">
        <v>44732</v>
      </c>
      <c r="Q52" s="44">
        <v>26.428408000000001</v>
      </c>
      <c r="R52" s="33">
        <f>IF(ISBLANK(Q53),"",Long3[[#This Row],[Adj Close]]/Q53-1)</f>
        <v>7.7239812469905855E-2</v>
      </c>
      <c r="S52" s="37">
        <v>44732</v>
      </c>
      <c r="T52" s="44">
        <v>68.379181000000003</v>
      </c>
      <c r="U52" s="36">
        <f>IF(ISBLANK(T53),"",Long4[[#This Row],[Adj Close]]/T53-1)</f>
        <v>9.8558418005520787E-2</v>
      </c>
      <c r="V52" s="29">
        <v>44732</v>
      </c>
      <c r="W52" s="44">
        <v>83.193954000000005</v>
      </c>
      <c r="X52" s="33">
        <f>IF(ISBLANK(W53),"",Long5[[#This Row],[Adj Close]]/W53-1)</f>
        <v>9.1122612128570202E-2</v>
      </c>
      <c r="Y52" s="37">
        <v>44732</v>
      </c>
      <c r="Z52" s="44">
        <v>112.762146</v>
      </c>
      <c r="AA52" s="36">
        <f>IF(ISBLANK(Z53),"",Long6[[#This Row],[Adj Close]]/Z53-1)</f>
        <v>6.1644350921010282E-2</v>
      </c>
      <c r="AH52" s="29">
        <v>44732</v>
      </c>
      <c r="AI52" s="44">
        <v>33.43</v>
      </c>
      <c r="AJ52" s="33">
        <f>IF(ISBLANK(AI53),"",Short0[[#This Row],[Adj Close]]/AI53-1)</f>
        <v>5.557309756867701E-2</v>
      </c>
      <c r="AK52" s="37">
        <v>44732</v>
      </c>
      <c r="AL52" s="44">
        <v>72.127892000000003</v>
      </c>
      <c r="AM52" s="36">
        <f>IF(ISBLANK(AL53),"",Short1[[#This Row],[Adj Close]]/AL53-1)</f>
        <v>7.2279583761992505E-2</v>
      </c>
      <c r="AN52" s="29">
        <v>44732</v>
      </c>
      <c r="AO52" s="44">
        <v>70.730941999999999</v>
      </c>
      <c r="AP52" s="33">
        <f>IF(ISBLANK(AO53),"",Short2[[#This Row],[Adj Close]]/AO53-1)</f>
        <v>0.11295065030431228</v>
      </c>
      <c r="AQ52" s="37">
        <v>44732</v>
      </c>
      <c r="AR52" s="44">
        <v>97.860000999999997</v>
      </c>
      <c r="AS52" s="36">
        <f>IF(ISBLANK(AR53),"",Short3[[#This Row],[Adj Close]]/AR53-1)</f>
        <v>0.10326949616469538</v>
      </c>
    </row>
    <row r="53" spans="1:45" x14ac:dyDescent="0.25">
      <c r="A53" s="37">
        <v>44725</v>
      </c>
      <c r="B53" s="39">
        <v>3674.8400879999999</v>
      </c>
      <c r="C53" s="36">
        <f>IF(ISBLANK(B54), "", GSPC[[#This Row],[Adj Close]]/B54-1)</f>
        <v>-5.7941072686614081E-2</v>
      </c>
      <c r="D5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48232.413067999994</v>
      </c>
      <c r="E5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25324.986535</v>
      </c>
      <c r="F53" s="11">
        <f>IF(ISBLANK(GSPC[[#This Row],[Long Exp.]]), "", (GSPC[[#This Row],[Long Exp.]]/D54-1)+(E54/GSPC[[#This Row],[Short Exp.]]-1))</f>
        <v>3.2410076860607484E-2</v>
      </c>
      <c r="G53" s="37">
        <v>44725</v>
      </c>
      <c r="H53" s="44">
        <v>9.9843399999999995</v>
      </c>
      <c r="I53" s="36">
        <f>IF(ISBLANK(H54), "", Long0[[#This Row],[Adj Close]]/H54-1)</f>
        <v>-6.6071332359526336E-2</v>
      </c>
      <c r="J53" s="29">
        <v>44725</v>
      </c>
      <c r="K53" s="44">
        <v>27.480688000000001</v>
      </c>
      <c r="L53" s="33">
        <f>IF(ISBLANK(K54),"",Long1[[#This Row],[Adj Close]]/K54-1)</f>
        <v>-6.5278937693659334E-2</v>
      </c>
      <c r="M53" s="37">
        <v>44725</v>
      </c>
      <c r="N53" s="44">
        <v>49.865810000000003</v>
      </c>
      <c r="O53" s="36">
        <f>IF(ISBLANK(N54),"",Long2[[#This Row],[Adj Close]]/N54-1)</f>
        <v>-5.1724114980020608E-2</v>
      </c>
      <c r="P53" s="29">
        <v>44725</v>
      </c>
      <c r="Q53" s="44">
        <v>24.533449000000001</v>
      </c>
      <c r="R53" s="33">
        <f>IF(ISBLANK(Q54),"",Long3[[#This Row],[Adj Close]]/Q54-1)</f>
        <v>-0.10483593927619972</v>
      </c>
      <c r="S53" s="37">
        <v>44725</v>
      </c>
      <c r="T53" s="44">
        <v>62.244464999999998</v>
      </c>
      <c r="U53" s="36">
        <f>IF(ISBLANK(T54),"",Long4[[#This Row],[Adj Close]]/T54-1)</f>
        <v>-1.4667296850218392E-2</v>
      </c>
      <c r="V53" s="29">
        <v>44725</v>
      </c>
      <c r="W53" s="44">
        <v>76.246200999999999</v>
      </c>
      <c r="X53" s="33">
        <f>IF(ISBLANK(W54),"",Long5[[#This Row],[Adj Close]]/W54-1)</f>
        <v>-2.0209743131684665E-2</v>
      </c>
      <c r="Y53" s="37">
        <v>44725</v>
      </c>
      <c r="Z53" s="44">
        <v>106.21461499999999</v>
      </c>
      <c r="AA53" s="36">
        <f>IF(ISBLANK(Z54),"",Long6[[#This Row],[Adj Close]]/Z54-1)</f>
        <v>-8.684200544408005E-2</v>
      </c>
      <c r="AH53" s="29">
        <v>44725</v>
      </c>
      <c r="AI53" s="44">
        <v>31.67</v>
      </c>
      <c r="AJ53" s="33">
        <f>IF(ISBLANK(AI54),"",Short0[[#This Row],[Adj Close]]/AI54-1)</f>
        <v>-5.4626865671641767E-2</v>
      </c>
      <c r="AK53" s="37">
        <v>44725</v>
      </c>
      <c r="AL53" s="44">
        <v>67.265938000000006</v>
      </c>
      <c r="AM53" s="36">
        <f>IF(ISBLANK(AL54),"",Short1[[#This Row],[Adj Close]]/AL54-1)</f>
        <v>-2.8787778441029421E-2</v>
      </c>
      <c r="AN53" s="29">
        <v>44725</v>
      </c>
      <c r="AO53" s="44">
        <v>63.552630999999998</v>
      </c>
      <c r="AP53" s="33">
        <f>IF(ISBLANK(AO54),"",Short2[[#This Row],[Adj Close]]/AO54-1)</f>
        <v>-0.13190075158301007</v>
      </c>
      <c r="AQ53" s="37">
        <v>44725</v>
      </c>
      <c r="AR53" s="44">
        <v>88.699996999999996</v>
      </c>
      <c r="AS53" s="36">
        <f>IF(ISBLANK(AR54),"",Short3[[#This Row],[Adj Close]]/AR54-1)</f>
        <v>-9.9126570171913175E-2</v>
      </c>
    </row>
    <row r="54" spans="1:45" x14ac:dyDescent="0.25">
      <c r="A54" s="37">
        <v>44718</v>
      </c>
      <c r="B54" s="39">
        <v>3900.860107</v>
      </c>
      <c r="C54" s="36">
        <f>IF(ISBLANK(B55), "", GSPC[[#This Row],[Adj Close]]/B55-1)</f>
        <v>-5.0548352949859265E-2</v>
      </c>
      <c r="D5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51296.778676000002</v>
      </c>
      <c r="E5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27658.634671</v>
      </c>
      <c r="F54" s="11">
        <f>IF(ISBLANK(GSPC[[#This Row],[Long Exp.]]), "", (GSPC[[#This Row],[Long Exp.]]/D55-1)+(E55/GSPC[[#This Row],[Short Exp.]]-1))</f>
        <v>1.4072883413487114E-2</v>
      </c>
      <c r="G54" s="37">
        <v>44718</v>
      </c>
      <c r="H54" s="44">
        <v>10.690688</v>
      </c>
      <c r="I54" s="36">
        <f>IF(ISBLANK(H55), "", Long0[[#This Row],[Adj Close]]/H55-1)</f>
        <v>-4.3552509435029085E-2</v>
      </c>
      <c r="J54" s="29">
        <v>44718</v>
      </c>
      <c r="K54" s="44">
        <v>29.399881000000001</v>
      </c>
      <c r="L54" s="33">
        <f>IF(ISBLANK(K55),"",Long1[[#This Row],[Adj Close]]/K55-1)</f>
        <v>-0.10459646908066211</v>
      </c>
      <c r="M54" s="37">
        <v>44718</v>
      </c>
      <c r="N54" s="44">
        <v>52.585762000000003</v>
      </c>
      <c r="O54" s="36">
        <f>IF(ISBLANK(N55),"",Long2[[#This Row],[Adj Close]]/N55-1)</f>
        <v>-0.10390247246569995</v>
      </c>
      <c r="P54" s="29">
        <v>44718</v>
      </c>
      <c r="Q54" s="44">
        <v>27.406651</v>
      </c>
      <c r="R54" s="33">
        <f>IF(ISBLANK(Q55),"",Long3[[#This Row],[Adj Close]]/Q55-1)</f>
        <v>-5.0284847135912414E-2</v>
      </c>
      <c r="S54" s="37">
        <v>44718</v>
      </c>
      <c r="T54" s="44">
        <v>63.171013000000002</v>
      </c>
      <c r="U54" s="36">
        <f>IF(ISBLANK(T55),"",Long4[[#This Row],[Adj Close]]/T55-1)</f>
        <v>-3.8878074517659789E-2</v>
      </c>
      <c r="V54" s="29">
        <v>44718</v>
      </c>
      <c r="W54" s="44">
        <v>77.818900999999997</v>
      </c>
      <c r="X54" s="33">
        <f>IF(ISBLANK(W55),"",Long5[[#This Row],[Adj Close]]/W55-1)</f>
        <v>1.1526154182073256E-3</v>
      </c>
      <c r="Y54" s="37">
        <v>44718</v>
      </c>
      <c r="Z54" s="44">
        <v>116.315704</v>
      </c>
      <c r="AA54" s="36">
        <f>IF(ISBLANK(Z55),"",Long6[[#This Row],[Adj Close]]/Z55-1)</f>
        <v>-6.0417119767734895E-2</v>
      </c>
      <c r="AH54" s="29">
        <v>44718</v>
      </c>
      <c r="AI54" s="44">
        <v>33.5</v>
      </c>
      <c r="AJ54" s="33">
        <f>IF(ISBLANK(AI55),"",Short0[[#This Row],[Adj Close]]/AI55-1)</f>
        <v>-4.176198632042305E-2</v>
      </c>
      <c r="AK54" s="37">
        <v>44718</v>
      </c>
      <c r="AL54" s="44">
        <v>69.259772999999996</v>
      </c>
      <c r="AM54" s="36">
        <f>IF(ISBLANK(AL55),"",Short1[[#This Row],[Adj Close]]/AL55-1)</f>
        <v>-9.6902626642414336E-2</v>
      </c>
      <c r="AN54" s="29">
        <v>44718</v>
      </c>
      <c r="AO54" s="44">
        <v>73.208945999999997</v>
      </c>
      <c r="AP54" s="33">
        <f>IF(ISBLANK(AO55),"",Short2[[#This Row],[Adj Close]]/AO55-1)</f>
        <v>-7.1579923091571573E-2</v>
      </c>
      <c r="AQ54" s="37">
        <v>44718</v>
      </c>
      <c r="AR54" s="44">
        <v>98.459998999999996</v>
      </c>
      <c r="AS54" s="36">
        <f>IF(ISBLANK(AR55),"",Short3[[#This Row],[Adj Close]]/AR55-1)</f>
        <v>-6.6906730484459831E-2</v>
      </c>
    </row>
    <row r="55" spans="1:45" x14ac:dyDescent="0.25">
      <c r="A55" s="37">
        <v>44711</v>
      </c>
      <c r="B55" s="39">
        <v>4108.5400390000004</v>
      </c>
      <c r="C55" s="36">
        <f>IF(ISBLANK(B56), "", GSPC[[#This Row],[Adj Close]]/B56-1)</f>
        <v>-1.1952218295043227E-2</v>
      </c>
      <c r="D5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54685.337783000003</v>
      </c>
      <c r="E5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29761.729682000001</v>
      </c>
      <c r="F55" s="11">
        <f>IF(ISBLANK(GSPC[[#This Row],[Long Exp.]]), "", (GSPC[[#This Row],[Long Exp.]]/D56-1)+(E56/GSPC[[#This Row],[Short Exp.]]-1))</f>
        <v>7.351026883967493E-3</v>
      </c>
      <c r="G55" s="37">
        <v>44711</v>
      </c>
      <c r="H55" s="44">
        <v>11.177496</v>
      </c>
      <c r="I55" s="36">
        <f>IF(ISBLANK(H56), "", Long0[[#This Row],[Adj Close]]/H56-1)</f>
        <v>-3.426058462442072E-2</v>
      </c>
      <c r="J55" s="29">
        <v>44711</v>
      </c>
      <c r="K55" s="44">
        <v>32.834225000000004</v>
      </c>
      <c r="L55" s="33">
        <f>IF(ISBLANK(K56),"",Long1[[#This Row],[Adj Close]]/K56-1)</f>
        <v>2.6946672076287204E-2</v>
      </c>
      <c r="M55" s="37">
        <v>44711</v>
      </c>
      <c r="N55" s="44">
        <v>58.683078999999999</v>
      </c>
      <c r="O55" s="36">
        <f>IF(ISBLANK(N56),"",Long2[[#This Row],[Adj Close]]/N56-1)</f>
        <v>-2.6733172924212623E-3</v>
      </c>
      <c r="P55" s="29">
        <v>44711</v>
      </c>
      <c r="Q55" s="44">
        <v>28.857759000000001</v>
      </c>
      <c r="R55" s="33">
        <f>IF(ISBLANK(Q56),"",Long3[[#This Row],[Adj Close]]/Q56-1)</f>
        <v>-1.7457252240999588E-2</v>
      </c>
      <c r="S55" s="37">
        <v>44711</v>
      </c>
      <c r="T55" s="44">
        <v>65.726326</v>
      </c>
      <c r="U55" s="36">
        <f>IF(ISBLANK(T56),"",Long4[[#This Row],[Adj Close]]/T56-1)</f>
        <v>-1.4910337066826429E-2</v>
      </c>
      <c r="V55" s="29">
        <v>44711</v>
      </c>
      <c r="W55" s="44">
        <v>77.729309000000001</v>
      </c>
      <c r="X55" s="33">
        <f>IF(ISBLANK(W56),"",Long5[[#This Row],[Adj Close]]/W56-1)</f>
        <v>-1.6620105616698133E-3</v>
      </c>
      <c r="Y55" s="37">
        <v>44711</v>
      </c>
      <c r="Z55" s="44">
        <v>123.795044</v>
      </c>
      <c r="AA55" s="36">
        <f>IF(ISBLANK(Z56),"",Long6[[#This Row],[Adj Close]]/Z56-1)</f>
        <v>-2.879533147859803E-2</v>
      </c>
      <c r="AH55" s="29">
        <v>44711</v>
      </c>
      <c r="AI55" s="44">
        <v>34.959999000000003</v>
      </c>
      <c r="AJ55" s="33">
        <f>IF(ISBLANK(AI56),"",Short0[[#This Row],[Adj Close]]/AI56-1)</f>
        <v>9.8209130508641884E-3</v>
      </c>
      <c r="AK55" s="37">
        <v>44711</v>
      </c>
      <c r="AL55" s="44">
        <v>76.691367999999997</v>
      </c>
      <c r="AM55" s="36">
        <f>IF(ISBLANK(AL56),"",Short1[[#This Row],[Adj Close]]/AL56-1)</f>
        <v>-4.2862281209508857E-2</v>
      </c>
      <c r="AN55" s="29">
        <v>44711</v>
      </c>
      <c r="AO55" s="44">
        <v>78.853256000000002</v>
      </c>
      <c r="AP55" s="33">
        <f>IF(ISBLANK(AO56),"",Short2[[#This Row],[Adj Close]]/AO56-1)</f>
        <v>-1.2073392912432368E-2</v>
      </c>
      <c r="AQ55" s="37">
        <v>44711</v>
      </c>
      <c r="AR55" s="44">
        <v>105.519997</v>
      </c>
      <c r="AS55" s="36">
        <f>IF(ISBLANK(AR56),"",Short3[[#This Row],[Adj Close]]/AR56-1)</f>
        <v>-2.7465465437787939E-2</v>
      </c>
    </row>
    <row r="56" spans="1:45" x14ac:dyDescent="0.25">
      <c r="A56" s="37">
        <v>44704</v>
      </c>
      <c r="B56" s="39">
        <v>4158.2402339999999</v>
      </c>
      <c r="C56" s="36">
        <f>IF(ISBLANK(B57), "", GSPC[[#This Row],[Adj Close]]/B57-1)</f>
        <v>6.5843736531548069E-2</v>
      </c>
      <c r="D5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55379.429399000001</v>
      </c>
      <c r="E5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30353.524122999999</v>
      </c>
      <c r="F56" s="11">
        <f>IF(ISBLANK(GSPC[[#This Row],[Long Exp.]]), "", (GSPC[[#This Row],[Long Exp.]]/D57-1)+(E57/GSPC[[#This Row],[Short Exp.]]-1))</f>
        <v>-4.1144379115514274E-2</v>
      </c>
      <c r="G56" s="37">
        <v>44704</v>
      </c>
      <c r="H56" s="44">
        <v>11.574028999999999</v>
      </c>
      <c r="I56" s="36">
        <f>IF(ISBLANK(H57), "", Long0[[#This Row],[Adj Close]]/H57-1)</f>
        <v>3.8135554833807594E-2</v>
      </c>
      <c r="J56" s="29">
        <v>44704</v>
      </c>
      <c r="K56" s="44">
        <v>31.972667999999999</v>
      </c>
      <c r="L56" s="33">
        <f>IF(ISBLANK(K57),"",Long1[[#This Row],[Adj Close]]/K57-1)</f>
        <v>8.4223246845061661E-2</v>
      </c>
      <c r="M56" s="37">
        <v>44704</v>
      </c>
      <c r="N56" s="44">
        <v>58.840378000000001</v>
      </c>
      <c r="O56" s="36">
        <f>IF(ISBLANK(N57),"",Long2[[#This Row],[Adj Close]]/N57-1)</f>
        <v>3.2786857910275913E-2</v>
      </c>
      <c r="P56" s="29">
        <v>44704</v>
      </c>
      <c r="Q56" s="44">
        <v>29.370487000000001</v>
      </c>
      <c r="R56" s="33">
        <f>IF(ISBLANK(Q57),"",Long3[[#This Row],[Adj Close]]/Q57-1)</f>
        <v>3.9726008242267463E-2</v>
      </c>
      <c r="S56" s="37">
        <v>44704</v>
      </c>
      <c r="T56" s="44">
        <v>66.721160999999995</v>
      </c>
      <c r="U56" s="36">
        <f>IF(ISBLANK(T57),"",Long4[[#This Row],[Adj Close]]/T57-1)</f>
        <v>7.2089070926616872E-2</v>
      </c>
      <c r="V56" s="29">
        <v>44704</v>
      </c>
      <c r="W56" s="44">
        <v>77.858711</v>
      </c>
      <c r="X56" s="33">
        <f>IF(ISBLANK(W57),"",Long5[[#This Row],[Adj Close]]/W57-1)</f>
        <v>7.1674991738977845E-2</v>
      </c>
      <c r="Y56" s="37">
        <v>44704</v>
      </c>
      <c r="Z56" s="44">
        <v>127.46545399999999</v>
      </c>
      <c r="AA56" s="36">
        <f>IF(ISBLANK(Z57),"",Long6[[#This Row],[Adj Close]]/Z57-1)</f>
        <v>5.2098591005927508E-2</v>
      </c>
      <c r="AH56" s="29">
        <v>44704</v>
      </c>
      <c r="AI56" s="44">
        <v>34.619999</v>
      </c>
      <c r="AJ56" s="33">
        <f>IF(ISBLANK(AI57),"",Short0[[#This Row],[Adj Close]]/AI57-1)</f>
        <v>3.4668261645793619E-2</v>
      </c>
      <c r="AK56" s="37">
        <v>44704</v>
      </c>
      <c r="AL56" s="44">
        <v>80.125739999999993</v>
      </c>
      <c r="AM56" s="36">
        <f>IF(ISBLANK(AL57),"",Short1[[#This Row],[Adj Close]]/AL57-1)</f>
        <v>0.16072410146406613</v>
      </c>
      <c r="AN56" s="29">
        <v>44704</v>
      </c>
      <c r="AO56" s="44">
        <v>79.816917000000004</v>
      </c>
      <c r="AP56" s="33">
        <f>IF(ISBLANK(AO57),"",Short2[[#This Row],[Adj Close]]/AO57-1)</f>
        <v>9.040826888719633E-2</v>
      </c>
      <c r="AQ56" s="37">
        <v>44704</v>
      </c>
      <c r="AR56" s="44">
        <v>108.5</v>
      </c>
      <c r="AS56" s="36">
        <f>IF(ISBLANK(AR57),"",Short3[[#This Row],[Adj Close]]/AR57-1)</f>
        <v>9.7067723011775131E-2</v>
      </c>
    </row>
    <row r="57" spans="1:45" x14ac:dyDescent="0.25">
      <c r="A57" s="37">
        <v>44697</v>
      </c>
      <c r="B57" s="39">
        <v>3901.360107</v>
      </c>
      <c r="C57" s="36">
        <f>IF(ISBLANK(B58), "", GSPC[[#This Row],[Adj Close]]/B58-1)</f>
        <v>-3.0450581218227191E-2</v>
      </c>
      <c r="D5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52866.787171999997</v>
      </c>
      <c r="E5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27662.010914999999</v>
      </c>
      <c r="F57" s="11">
        <f>IF(ISBLANK(GSPC[[#This Row],[Long Exp.]]), "", (GSPC[[#This Row],[Long Exp.]]/D58-1)+(E58/GSPC[[#This Row],[Short Exp.]]-1))</f>
        <v>3.8866315173989419E-2</v>
      </c>
      <c r="G57" s="37">
        <v>44697</v>
      </c>
      <c r="H57" s="44">
        <v>11.148861</v>
      </c>
      <c r="I57" s="36">
        <f>IF(ISBLANK(H58), "", Long0[[#This Row],[Adj Close]]/H58-1)</f>
        <v>6.4982001875897089E-2</v>
      </c>
      <c r="J57" s="29">
        <v>44697</v>
      </c>
      <c r="K57" s="44">
        <v>29.489007999999998</v>
      </c>
      <c r="L57" s="33">
        <f>IF(ISBLANK(K58),"",Long1[[#This Row],[Adj Close]]/K58-1)</f>
        <v>-6.1104777131601895E-2</v>
      </c>
      <c r="M57" s="37">
        <v>44697</v>
      </c>
      <c r="N57" s="44">
        <v>56.972431</v>
      </c>
      <c r="O57" s="36">
        <f>IF(ISBLANK(N58),"",Long2[[#This Row],[Adj Close]]/N58-1)</f>
        <v>-6.9674063103616457E-2</v>
      </c>
      <c r="P57" s="29">
        <v>44697</v>
      </c>
      <c r="Q57" s="44">
        <v>28.248294999999999</v>
      </c>
      <c r="R57" s="33">
        <f>IF(ISBLANK(Q58),"",Long3[[#This Row],[Adj Close]]/Q58-1)</f>
        <v>1.4946191311191237E-2</v>
      </c>
      <c r="S57" s="37">
        <v>44697</v>
      </c>
      <c r="T57" s="44">
        <v>62.234718000000001</v>
      </c>
      <c r="U57" s="36">
        <f>IF(ISBLANK(T58),"",Long4[[#This Row],[Adj Close]]/T58-1)</f>
        <v>-1.9212892519524072E-2</v>
      </c>
      <c r="V57" s="29">
        <v>44697</v>
      </c>
      <c r="W57" s="44">
        <v>72.651420999999999</v>
      </c>
      <c r="X57" s="33">
        <f>IF(ISBLANK(W58),"",Long5[[#This Row],[Adj Close]]/W58-1)</f>
        <v>-9.5897164513942146E-2</v>
      </c>
      <c r="Y57" s="37">
        <v>44697</v>
      </c>
      <c r="Z57" s="44">
        <v>121.153526</v>
      </c>
      <c r="AA57" s="36">
        <f>IF(ISBLANK(Z58),"",Long6[[#This Row],[Adj Close]]/Z58-1)</f>
        <v>-3.1170879841808552E-2</v>
      </c>
      <c r="AH57" s="29">
        <v>44697</v>
      </c>
      <c r="AI57" s="44">
        <v>33.459999000000003</v>
      </c>
      <c r="AJ57" s="33">
        <f>IF(ISBLANK(AI58),"",Short0[[#This Row],[Adj Close]]/AI58-1)</f>
        <v>-3.5178806228373549E-2</v>
      </c>
      <c r="AK57" s="37">
        <v>44697</v>
      </c>
      <c r="AL57" s="44">
        <v>69.030822999999998</v>
      </c>
      <c r="AM57" s="36">
        <f>IF(ISBLANK(AL58),"",Short1[[#This Row],[Adj Close]]/AL58-1)</f>
        <v>-0.16211201138591602</v>
      </c>
      <c r="AN57" s="29">
        <v>44697</v>
      </c>
      <c r="AO57" s="44">
        <v>73.199112</v>
      </c>
      <c r="AP57" s="33">
        <f>IF(ISBLANK(AO58),"",Short2[[#This Row],[Adj Close]]/AO58-1)</f>
        <v>-3.0223979510662802E-2</v>
      </c>
      <c r="AQ57" s="37">
        <v>44697</v>
      </c>
      <c r="AR57" s="44">
        <v>98.900002000000001</v>
      </c>
      <c r="AS57" s="36">
        <f>IF(ISBLANK(AR58),"",Short3[[#This Row],[Adj Close]]/AR58-1)</f>
        <v>-2.8487238846152119E-2</v>
      </c>
    </row>
    <row r="58" spans="1:45" x14ac:dyDescent="0.25">
      <c r="A58" s="37">
        <v>44690</v>
      </c>
      <c r="B58" s="39">
        <v>4023.889893</v>
      </c>
      <c r="C58" s="36">
        <f>IF(ISBLANK(B59), "", GSPC[[#This Row],[Adj Close]]/B59-1)</f>
        <v>-2.4118785926586339E-2</v>
      </c>
      <c r="D5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54508.983976000003</v>
      </c>
      <c r="E5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29570.507109000002</v>
      </c>
      <c r="F58" s="11">
        <f>IF(ISBLANK(GSPC[[#This Row],[Long Exp.]]), "", (GSPC[[#This Row],[Long Exp.]]/D59-1)+(E59/GSPC[[#This Row],[Short Exp.]]-1))</f>
        <v>1.4363325657320347E-2</v>
      </c>
      <c r="G58" s="37">
        <v>44690</v>
      </c>
      <c r="H58" s="44">
        <v>10.468591</v>
      </c>
      <c r="I58" s="36">
        <f>IF(ISBLANK(H59), "", Long0[[#This Row],[Adj Close]]/H59-1)</f>
        <v>0.11356782604644255</v>
      </c>
      <c r="J58" s="29">
        <v>44690</v>
      </c>
      <c r="K58" s="44">
        <v>31.408199</v>
      </c>
      <c r="L58" s="33">
        <f>IF(ISBLANK(K59),"",Long1[[#This Row],[Adj Close]]/K59-1)</f>
        <v>-1.4725104775767384E-2</v>
      </c>
      <c r="M58" s="37">
        <v>44690</v>
      </c>
      <c r="N58" s="44">
        <v>61.239215999999999</v>
      </c>
      <c r="O58" s="36">
        <f>IF(ISBLANK(N59),"",Long2[[#This Row],[Adj Close]]/N59-1)</f>
        <v>-2.7478498964038534E-2</v>
      </c>
      <c r="P58" s="29">
        <v>44690</v>
      </c>
      <c r="Q58" s="44">
        <v>27.832308000000001</v>
      </c>
      <c r="R58" s="33">
        <f>IF(ISBLANK(Q59),"",Long3[[#This Row],[Adj Close]]/Q59-1)</f>
        <v>-1.573731340918938E-2</v>
      </c>
      <c r="S58" s="37">
        <v>44690</v>
      </c>
      <c r="T58" s="44">
        <v>63.453850000000003</v>
      </c>
      <c r="U58" s="36">
        <f>IF(ISBLANK(T59),"",Long4[[#This Row],[Adj Close]]/T59-1)</f>
        <v>1.4976513396917079E-2</v>
      </c>
      <c r="V58" s="29">
        <v>44690</v>
      </c>
      <c r="W58" s="44">
        <v>80.357474999999994</v>
      </c>
      <c r="X58" s="33">
        <f>IF(ISBLANK(W59),"",Long5[[#This Row],[Adj Close]]/W59-1)</f>
        <v>-3.6896104335666591E-2</v>
      </c>
      <c r="Y58" s="37">
        <v>44690</v>
      </c>
      <c r="Z58" s="44">
        <v>125.051491</v>
      </c>
      <c r="AA58" s="36">
        <f>IF(ISBLANK(Z59),"",Long6[[#This Row],[Adj Close]]/Z59-1)</f>
        <v>-6.3634470438180823E-2</v>
      </c>
      <c r="AH58" s="29">
        <v>44690</v>
      </c>
      <c r="AI58" s="44">
        <v>34.68</v>
      </c>
      <c r="AJ58" s="33">
        <f>IF(ISBLANK(AI59),"",Short0[[#This Row],[Adj Close]]/AI59-1)</f>
        <v>1.1373548808004008E-2</v>
      </c>
      <c r="AK58" s="37">
        <v>44690</v>
      </c>
      <c r="AL58" s="44">
        <v>82.386696000000001</v>
      </c>
      <c r="AM58" s="36">
        <f>IF(ISBLANK(AL59),"",Short1[[#This Row],[Adj Close]]/AL59-1)</f>
        <v>-5.5245688916865099E-2</v>
      </c>
      <c r="AN58" s="29">
        <v>44690</v>
      </c>
      <c r="AO58" s="44">
        <v>75.480430999999996</v>
      </c>
      <c r="AP58" s="33">
        <f>IF(ISBLANK(AO59),"",Short2[[#This Row],[Adj Close]]/AO59-1)</f>
        <v>-2.266361256400462E-2</v>
      </c>
      <c r="AQ58" s="37">
        <v>44690</v>
      </c>
      <c r="AR58" s="44">
        <v>101.800003</v>
      </c>
      <c r="AS58" s="36">
        <f>IF(ISBLANK(AR59),"",Short3[[#This Row],[Adj Close]]/AR59-1)</f>
        <v>-1.5188158599550361E-2</v>
      </c>
    </row>
    <row r="59" spans="1:45" x14ac:dyDescent="0.25">
      <c r="A59" s="37">
        <v>44683</v>
      </c>
      <c r="B59" s="39">
        <v>4123.3398440000001</v>
      </c>
      <c r="C59" s="36">
        <f>IF(ISBLANK(B60), "", GSPC[[#This Row],[Adj Close]]/B60-1)</f>
        <v>-2.0790118985785089E-3</v>
      </c>
      <c r="D5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55022.681253000002</v>
      </c>
      <c r="E5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30271.311156</v>
      </c>
      <c r="F59" s="11">
        <f>IF(ISBLANK(GSPC[[#This Row],[Long Exp.]]), "", (GSPC[[#This Row],[Long Exp.]]/D60-1)+(E60/GSPC[[#This Row],[Short Exp.]]-1))</f>
        <v>2.4967391210080181E-2</v>
      </c>
      <c r="G59" s="37">
        <v>44683</v>
      </c>
      <c r="H59" s="44">
        <v>9.4009459999999994</v>
      </c>
      <c r="I59" s="36">
        <f>IF(ISBLANK(H60), "", Long0[[#This Row],[Adj Close]]/H60-1)</f>
        <v>-3.6786049803191112E-2</v>
      </c>
      <c r="J59" s="29">
        <v>44683</v>
      </c>
      <c r="K59" s="44">
        <v>31.877600000000001</v>
      </c>
      <c r="L59" s="33">
        <f>IF(ISBLANK(K60),"",Long1[[#This Row],[Adj Close]]/K60-1)</f>
        <v>-2.602720803009051E-3</v>
      </c>
      <c r="M59" s="37">
        <v>44683</v>
      </c>
      <c r="N59" s="44">
        <v>62.969524</v>
      </c>
      <c r="O59" s="36">
        <f>IF(ISBLANK(N60),"",Long2[[#This Row],[Adj Close]]/N60-1)</f>
        <v>2.6113440085570483E-2</v>
      </c>
      <c r="P59" s="29">
        <v>44683</v>
      </c>
      <c r="Q59" s="44">
        <v>28.277317</v>
      </c>
      <c r="R59" s="33">
        <f>IF(ISBLANK(Q60),"",Long3[[#This Row],[Adj Close]]/Q60-1)</f>
        <v>3.2497359542754678E-2</v>
      </c>
      <c r="S59" s="37">
        <v>44683</v>
      </c>
      <c r="T59" s="44">
        <v>62.517555000000002</v>
      </c>
      <c r="U59" s="36">
        <f>IF(ISBLANK(T60),"",Long4[[#This Row],[Adj Close]]/T60-1)</f>
        <v>-0.13155394204846171</v>
      </c>
      <c r="V59" s="29">
        <v>44683</v>
      </c>
      <c r="W59" s="44">
        <v>83.435935999999998</v>
      </c>
      <c r="X59" s="33">
        <f>IF(ISBLANK(W60),"",Long5[[#This Row],[Adj Close]]/W60-1)</f>
        <v>-8.4350474639360629E-2</v>
      </c>
      <c r="Y59" s="37">
        <v>44683</v>
      </c>
      <c r="Z59" s="44">
        <v>133.54986600000001</v>
      </c>
      <c r="AA59" s="36">
        <f>IF(ISBLANK(Z60),"",Long6[[#This Row],[Adj Close]]/Z60-1)</f>
        <v>5.683871881105973E-2</v>
      </c>
      <c r="AH59" s="29">
        <v>44683</v>
      </c>
      <c r="AI59" s="44">
        <v>34.290000999999997</v>
      </c>
      <c r="AJ59" s="33">
        <f>IF(ISBLANK(AI60),"",Short0[[#This Row],[Adj Close]]/AI60-1)</f>
        <v>-3.2176093705899023E-2</v>
      </c>
      <c r="AK59" s="37">
        <v>44683</v>
      </c>
      <c r="AL59" s="44">
        <v>87.204361000000006</v>
      </c>
      <c r="AM59" s="36">
        <f>IF(ISBLANK(AL60),"",Short1[[#This Row],[Adj Close]]/AL60-1)</f>
        <v>1.6457287325399861E-2</v>
      </c>
      <c r="AN59" s="29">
        <v>44683</v>
      </c>
      <c r="AO59" s="44">
        <v>77.230759000000006</v>
      </c>
      <c r="AP59" s="33">
        <f>IF(ISBLANK(AO60),"",Short2[[#This Row],[Adj Close]]/AO60-1)</f>
        <v>3.1827386954821346E-2</v>
      </c>
      <c r="AQ59" s="37">
        <v>44683</v>
      </c>
      <c r="AR59" s="44">
        <v>103.370003</v>
      </c>
      <c r="AS59" s="36">
        <f>IF(ISBLANK(AR60),"",Short3[[#This Row],[Adj Close]]/AR60-1)</f>
        <v>-0.15284375068457023</v>
      </c>
    </row>
    <row r="60" spans="1:45" x14ac:dyDescent="0.25">
      <c r="A60" s="37">
        <v>44676</v>
      </c>
      <c r="B60" s="39">
        <v>4131.9301759999998</v>
      </c>
      <c r="C60" s="36">
        <f>IF(ISBLANK(B61), "", GSPC[[#This Row],[Adj Close]]/B61-1)</f>
        <v>-3.2738019289072495E-2</v>
      </c>
      <c r="D6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55723.053851999997</v>
      </c>
      <c r="E6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31407.581249000003</v>
      </c>
      <c r="F60" s="11">
        <f>IF(ISBLANK(GSPC[[#This Row],[Long Exp.]]), "", (GSPC[[#This Row],[Long Exp.]]/D61-1)+(E61/GSPC[[#This Row],[Short Exp.]]-1))</f>
        <v>-3.6252539816369223E-2</v>
      </c>
      <c r="G60" s="37">
        <v>44676</v>
      </c>
      <c r="H60" s="44">
        <v>9.7599769999999992</v>
      </c>
      <c r="I60" s="36">
        <f>IF(ISBLANK(H61), "", Long0[[#This Row],[Adj Close]]/H61-1)</f>
        <v>4.8638200399968579E-3</v>
      </c>
      <c r="J60" s="29">
        <v>44676</v>
      </c>
      <c r="K60" s="44">
        <v>31.960785000000001</v>
      </c>
      <c r="L60" s="33">
        <f>IF(ISBLANK(K61),"",Long1[[#This Row],[Adj Close]]/K61-1)</f>
        <v>-3.4810649811661265E-2</v>
      </c>
      <c r="M60" s="37">
        <v>44676</v>
      </c>
      <c r="N60" s="44">
        <v>61.367019999999997</v>
      </c>
      <c r="O60" s="36">
        <f>IF(ISBLANK(N61),"",Long2[[#This Row],[Adj Close]]/N61-1)</f>
        <v>-6.5149023807165807E-2</v>
      </c>
      <c r="P60" s="29">
        <v>44676</v>
      </c>
      <c r="Q60" s="44">
        <v>27.387301999999998</v>
      </c>
      <c r="R60" s="33">
        <f>IF(ISBLANK(Q61),"",Long3[[#This Row],[Adj Close]]/Q61-1)</f>
        <v>-5.2860501277398275E-2</v>
      </c>
      <c r="S60" s="37">
        <v>44676</v>
      </c>
      <c r="T60" s="44">
        <v>71.987838999999994</v>
      </c>
      <c r="U60" s="36">
        <f>IF(ISBLANK(T61),"",Long4[[#This Row],[Adj Close]]/T61-1)</f>
        <v>-4.564263924652967E-2</v>
      </c>
      <c r="V60" s="29">
        <v>44676</v>
      </c>
      <c r="W60" s="44">
        <v>91.122130999999996</v>
      </c>
      <c r="X60" s="33">
        <f>IF(ISBLANK(W61),"",Long5[[#This Row],[Adj Close]]/W61-1)</f>
        <v>-7.4906740810737782E-2</v>
      </c>
      <c r="Y60" s="37">
        <v>44676</v>
      </c>
      <c r="Z60" s="44">
        <v>126.36731</v>
      </c>
      <c r="AA60" s="36">
        <f>IF(ISBLANK(Z61),"",Long6[[#This Row],[Adj Close]]/Z61-1)</f>
        <v>-3.7380285859882623E-2</v>
      </c>
      <c r="AH60" s="29">
        <v>44676</v>
      </c>
      <c r="AI60" s="44">
        <v>35.43</v>
      </c>
      <c r="AJ60" s="33">
        <f>IF(ISBLANK(AI61),"",Short0[[#This Row],[Adj Close]]/AI61-1)</f>
        <v>-2.6648405129208519E-2</v>
      </c>
      <c r="AK60" s="37">
        <v>44676</v>
      </c>
      <c r="AL60" s="44">
        <v>85.792450000000002</v>
      </c>
      <c r="AM60" s="36">
        <f>IF(ISBLANK(AL61),"",Short1[[#This Row],[Adj Close]]/AL61-1)</f>
        <v>-1.4789653205066755E-2</v>
      </c>
      <c r="AN60" s="29">
        <v>44676</v>
      </c>
      <c r="AO60" s="44">
        <v>74.848526000000007</v>
      </c>
      <c r="AP60" s="33">
        <f>IF(ISBLANK(AO61),"",Short2[[#This Row],[Adj Close]]/AO61-1)</f>
        <v>-6.365387179044002E-3</v>
      </c>
      <c r="AQ60" s="37">
        <v>44676</v>
      </c>
      <c r="AR60" s="44">
        <v>122.019997</v>
      </c>
      <c r="AS60" s="36">
        <f>IF(ISBLANK(AR61),"",Short3[[#This Row],[Adj Close]]/AR61-1)</f>
        <v>-1.2623442100284099E-2</v>
      </c>
    </row>
    <row r="61" spans="1:45" x14ac:dyDescent="0.25">
      <c r="A61" s="37">
        <v>44669</v>
      </c>
      <c r="B61" s="39">
        <v>4271.7797849999997</v>
      </c>
      <c r="C61" s="36">
        <f>IF(ISBLANK(B62), "", GSPC[[#This Row],[Adj Close]]/B62-1)</f>
        <v>-2.7503150371532947E-2</v>
      </c>
      <c r="D6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58685.903811999997</v>
      </c>
      <c r="E6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31854.637692</v>
      </c>
      <c r="F61" s="11">
        <f>IF(ISBLANK(GSPC[[#This Row],[Long Exp.]]), "", (GSPC[[#This Row],[Long Exp.]]/D62-1)+(E62/GSPC[[#This Row],[Short Exp.]]-1))</f>
        <v>-2.0519107946348036E-2</v>
      </c>
      <c r="G61" s="37">
        <v>44669</v>
      </c>
      <c r="H61" s="44">
        <v>9.7127359999999996</v>
      </c>
      <c r="I61" s="36">
        <f>IF(ISBLANK(H62), "", Long0[[#This Row],[Adj Close]]/H62-1)</f>
        <v>-6.2043822758643397E-2</v>
      </c>
      <c r="J61" s="29">
        <v>44669</v>
      </c>
      <c r="K61" s="44">
        <v>33.113486999999999</v>
      </c>
      <c r="L61" s="33">
        <f>IF(ISBLANK(K62),"",Long1[[#This Row],[Adj Close]]/K62-1)</f>
        <v>-1.8492429745493144E-2</v>
      </c>
      <c r="M61" s="37">
        <v>44669</v>
      </c>
      <c r="N61" s="44">
        <v>65.643638999999993</v>
      </c>
      <c r="O61" s="36">
        <f>IF(ISBLANK(N62),"",Long2[[#This Row],[Adj Close]]/N62-1)</f>
        <v>-0.12202503997179415</v>
      </c>
      <c r="P61" s="29">
        <v>44669</v>
      </c>
      <c r="Q61" s="44">
        <v>28.915806</v>
      </c>
      <c r="R61" s="33">
        <f>IF(ISBLANK(Q62),"",Long3[[#This Row],[Adj Close]]/Q62-1)</f>
        <v>2.3630134137299308E-2</v>
      </c>
      <c r="S61" s="37">
        <v>44669</v>
      </c>
      <c r="T61" s="44">
        <v>75.430695</v>
      </c>
      <c r="U61" s="36">
        <f>IF(ISBLANK(T62),"",Long4[[#This Row],[Adj Close]]/T62-1)</f>
        <v>-4.1516977344201345E-2</v>
      </c>
      <c r="V61" s="29">
        <v>44669</v>
      </c>
      <c r="W61" s="44">
        <v>98.500480999999994</v>
      </c>
      <c r="X61" s="33">
        <f>IF(ISBLANK(W62),"",Long5[[#This Row],[Adj Close]]/W62-1)</f>
        <v>-2.6785623775102185E-2</v>
      </c>
      <c r="Y61" s="37">
        <v>44669</v>
      </c>
      <c r="Z61" s="44">
        <v>131.274384</v>
      </c>
      <c r="AA61" s="36">
        <f>IF(ISBLANK(Z62),"",Long6[[#This Row],[Adj Close]]/Z62-1)</f>
        <v>-9.0666197313608476E-2</v>
      </c>
      <c r="AH61" s="29">
        <v>44669</v>
      </c>
      <c r="AI61" s="44">
        <v>36.400002000000001</v>
      </c>
      <c r="AJ61" s="33">
        <f>IF(ISBLANK(AI62),"",Short0[[#This Row],[Adj Close]]/AI62-1)</f>
        <v>-1.5151434392625451E-2</v>
      </c>
      <c r="AK61" s="37">
        <v>44669</v>
      </c>
      <c r="AL61" s="44">
        <v>87.080337999999998</v>
      </c>
      <c r="AM61" s="36">
        <f>IF(ISBLANK(AL62),"",Short1[[#This Row],[Adj Close]]/AL62-1)</f>
        <v>-2.7280357143555256E-2</v>
      </c>
      <c r="AN61" s="29">
        <v>44669</v>
      </c>
      <c r="AO61" s="44">
        <v>75.328018</v>
      </c>
      <c r="AP61" s="33">
        <f>IF(ISBLANK(AO62),"",Short2[[#This Row],[Adj Close]]/AO62-1)</f>
        <v>2.7355980490162413E-3</v>
      </c>
      <c r="AQ61" s="37">
        <v>44669</v>
      </c>
      <c r="AR61" s="44">
        <v>123.58000199999999</v>
      </c>
      <c r="AS61" s="36">
        <f>IF(ISBLANK(AR62),"",Short3[[#This Row],[Adj Close]]/AR62-1)</f>
        <v>-0.1029977613994989</v>
      </c>
    </row>
    <row r="62" spans="1:45" x14ac:dyDescent="0.25">
      <c r="A62" s="37">
        <v>44662</v>
      </c>
      <c r="B62" s="39">
        <v>4392.5898440000001</v>
      </c>
      <c r="C62" s="36">
        <f>IF(ISBLANK(B63), "", GSPC[[#This Row],[Adj Close]]/B63-1)</f>
        <v>-2.1319959000728694E-2</v>
      </c>
      <c r="D6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62577.965249000001</v>
      </c>
      <c r="E6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33182.220803000004</v>
      </c>
      <c r="F62" s="11">
        <f>IF(ISBLANK(GSPC[[#This Row],[Long Exp.]]), "", (GSPC[[#This Row],[Long Exp.]]/D63-1)+(E63/GSPC[[#This Row],[Short Exp.]]-1))</f>
        <v>-3.0369603761826625E-2</v>
      </c>
      <c r="G62" s="37">
        <v>44662</v>
      </c>
      <c r="H62" s="44">
        <v>10.355212999999999</v>
      </c>
      <c r="I62" s="36">
        <f>IF(ISBLANK(H63), "", Long0[[#This Row],[Adj Close]]/H63-1)</f>
        <v>-7.2464247465607867E-3</v>
      </c>
      <c r="J62" s="29">
        <v>44662</v>
      </c>
      <c r="K62" s="44">
        <v>33.737372999999998</v>
      </c>
      <c r="L62" s="33">
        <f>IF(ISBLANK(K63),"",Long1[[#This Row],[Adj Close]]/K63-1)</f>
        <v>-6.7651902427010469E-2</v>
      </c>
      <c r="M62" s="37">
        <v>44662</v>
      </c>
      <c r="N62" s="44">
        <v>74.767097000000007</v>
      </c>
      <c r="O62" s="36">
        <f>IF(ISBLANK(N63),"",Long2[[#This Row],[Adj Close]]/N63-1)</f>
        <v>2.9650641685787349E-2</v>
      </c>
      <c r="P62" s="29">
        <v>44662</v>
      </c>
      <c r="Q62" s="44">
        <v>28.248294999999999</v>
      </c>
      <c r="R62" s="33">
        <f>IF(ISBLANK(Q63),"",Long3[[#This Row],[Adj Close]]/Q63-1)</f>
        <v>3.0917330735718007E-3</v>
      </c>
      <c r="S62" s="37">
        <v>44662</v>
      </c>
      <c r="T62" s="44">
        <v>78.697997999999998</v>
      </c>
      <c r="U62" s="36">
        <f>IF(ISBLANK(T63),"",Long4[[#This Row],[Adj Close]]/T63-1)</f>
        <v>3.065527009709057E-2</v>
      </c>
      <c r="V62" s="29">
        <v>44662</v>
      </c>
      <c r="W62" s="44">
        <v>101.211494</v>
      </c>
      <c r="X62" s="33">
        <f>IF(ISBLANK(W63),"",Long5[[#This Row],[Adj Close]]/W63-1)</f>
        <v>-8.5345089567622323E-2</v>
      </c>
      <c r="Y62" s="37">
        <v>44662</v>
      </c>
      <c r="Z62" s="44">
        <v>144.36325099999999</v>
      </c>
      <c r="AA62" s="36">
        <f>IF(ISBLANK(Z63),"",Long6[[#This Row],[Adj Close]]/Z63-1)</f>
        <v>-5.357372570040031E-2</v>
      </c>
      <c r="AH62" s="29">
        <v>44662</v>
      </c>
      <c r="AI62" s="44">
        <v>36.959999000000003</v>
      </c>
      <c r="AJ62" s="33">
        <f>IF(ISBLANK(AI63),"",Short0[[#This Row],[Adj Close]]/AI63-1)</f>
        <v>2.8094519385409855E-2</v>
      </c>
      <c r="AK62" s="37">
        <v>44662</v>
      </c>
      <c r="AL62" s="44">
        <v>89.522544999999994</v>
      </c>
      <c r="AM62" s="36">
        <f>IF(ISBLANK(AL63),"",Short1[[#This Row],[Adj Close]]/AL63-1)</f>
        <v>5.1412207968852819E-3</v>
      </c>
      <c r="AN62" s="29">
        <v>44662</v>
      </c>
      <c r="AO62" s="44">
        <v>75.122512999999998</v>
      </c>
      <c r="AP62" s="33">
        <f>IF(ISBLANK(AO63),"",Short2[[#This Row],[Adj Close]]/AO63-1)</f>
        <v>2.4692950907582611E-2</v>
      </c>
      <c r="AQ62" s="37">
        <v>44662</v>
      </c>
      <c r="AR62" s="44">
        <v>137.770004</v>
      </c>
      <c r="AS62" s="36">
        <f>IF(ISBLANK(AR63),"",Short3[[#This Row],[Adj Close]]/AR63-1)</f>
        <v>3.8911115007079999E-2</v>
      </c>
    </row>
    <row r="63" spans="1:45" x14ac:dyDescent="0.25">
      <c r="A63" s="37">
        <v>44655</v>
      </c>
      <c r="B63" s="39">
        <v>4488.2797849999997</v>
      </c>
      <c r="C63" s="36">
        <f>IF(ISBLANK(B64), "", GSPC[[#This Row],[Adj Close]]/B64-1)</f>
        <v>-1.2666487691065931E-2</v>
      </c>
      <c r="D6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62977.821655000007</v>
      </c>
      <c r="E6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32385.169207999999</v>
      </c>
      <c r="F63" s="11">
        <f>IF(ISBLANK(GSPC[[#This Row],[Long Exp.]]), "", (GSPC[[#This Row],[Long Exp.]]/D64-1)+(E64/GSPC[[#This Row],[Short Exp.]]-1))</f>
        <v>8.2643863230663639E-2</v>
      </c>
      <c r="G63" s="37">
        <v>44655</v>
      </c>
      <c r="H63" s="44">
        <v>10.430799</v>
      </c>
      <c r="I63" s="36">
        <f>IF(ISBLANK(H64), "", Long0[[#This Row],[Adj Close]]/H64-1)</f>
        <v>2.0332704714368433E-2</v>
      </c>
      <c r="J63" s="29">
        <v>44655</v>
      </c>
      <c r="K63" s="44">
        <v>36.185383000000002</v>
      </c>
      <c r="L63" s="33">
        <f>IF(ISBLANK(K64),"",Long1[[#This Row],[Adj Close]]/K64-1)</f>
        <v>-0.12887998190034711</v>
      </c>
      <c r="M63" s="37">
        <v>44655</v>
      </c>
      <c r="N63" s="44">
        <v>72.614044000000007</v>
      </c>
      <c r="O63" s="36">
        <f>IF(ISBLANK(N64),"",Long2[[#This Row],[Adj Close]]/N64-1)</f>
        <v>0.12112930665650179</v>
      </c>
      <c r="P63" s="29">
        <v>44655</v>
      </c>
      <c r="Q63" s="44">
        <v>28.161228000000001</v>
      </c>
      <c r="R63" s="33">
        <f>IF(ISBLANK(Q64),"",Long3[[#This Row],[Adj Close]]/Q64-1)</f>
        <v>3.1012858015138089E-3</v>
      </c>
      <c r="S63" s="37">
        <v>44655</v>
      </c>
      <c r="T63" s="44">
        <v>76.357246000000004</v>
      </c>
      <c r="U63" s="36">
        <f>IF(ISBLANK(T64),"",Long4[[#This Row],[Adj Close]]/T64-1)</f>
        <v>-4.5581847651944729E-2</v>
      </c>
      <c r="V63" s="29">
        <v>44655</v>
      </c>
      <c r="W63" s="44">
        <v>110.655388</v>
      </c>
      <c r="X63" s="33">
        <f>IF(ISBLANK(W64),"",Long5[[#This Row],[Adj Close]]/W64-1)</f>
        <v>-4.187450476350485E-2</v>
      </c>
      <c r="Y63" s="37">
        <v>44655</v>
      </c>
      <c r="Z63" s="44">
        <v>152.53512599999999</v>
      </c>
      <c r="AA63" s="36">
        <f>IF(ISBLANK(Z64),"",Long6[[#This Row],[Adj Close]]/Z64-1)</f>
        <v>-7.8917371719355089E-2</v>
      </c>
      <c r="AH63" s="29">
        <v>44655</v>
      </c>
      <c r="AI63" s="44">
        <v>35.950001</v>
      </c>
      <c r="AJ63" s="33">
        <f>IF(ISBLANK(AI64),"",Short0[[#This Row],[Adj Close]]/AI64-1)</f>
        <v>-9.0333982793522338E-2</v>
      </c>
      <c r="AK63" s="37">
        <v>44655</v>
      </c>
      <c r="AL63" s="44">
        <v>89.064644000000001</v>
      </c>
      <c r="AM63" s="36">
        <f>IF(ISBLANK(AL64),"",Short1[[#This Row],[Adj Close]]/AL64-1)</f>
        <v>3.297191330428606E-2</v>
      </c>
      <c r="AN63" s="29">
        <v>44655</v>
      </c>
      <c r="AO63" s="44">
        <v>73.312218000000001</v>
      </c>
      <c r="AP63" s="33">
        <f>IF(ISBLANK(AO64),"",Short2[[#This Row],[Adj Close]]/AO64-1)</f>
        <v>-9.0003841331211865E-2</v>
      </c>
      <c r="AQ63" s="37">
        <v>44655</v>
      </c>
      <c r="AR63" s="44">
        <v>132.61000100000001</v>
      </c>
      <c r="AS63" s="36">
        <f>IF(ISBLANK(AR64),"",Short3[[#This Row],[Adj Close]]/AR64-1)</f>
        <v>-0.10319871857708507</v>
      </c>
    </row>
    <row r="64" spans="1:45" x14ac:dyDescent="0.25">
      <c r="A64" s="37">
        <v>44648</v>
      </c>
      <c r="B64" s="39">
        <v>4545.8598629999997</v>
      </c>
      <c r="C64" s="36">
        <f>IF(ISBLANK(B65), "", GSPC[[#This Row],[Adj Close]]/B65-1)</f>
        <v>6.1628152910997436E-4</v>
      </c>
      <c r="D6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62235.126799000005</v>
      </c>
      <c r="E6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34675.130057000002</v>
      </c>
      <c r="F64" s="11">
        <f>IF(ISBLANK(GSPC[[#This Row],[Long Exp.]]), "", (GSPC[[#This Row],[Long Exp.]]/D65-1)+(E65/GSPC[[#This Row],[Short Exp.]]-1))</f>
        <v>-8.671229473320885E-3</v>
      </c>
      <c r="G64" s="37">
        <v>44648</v>
      </c>
      <c r="H64" s="44">
        <v>10.222939</v>
      </c>
      <c r="I64" s="36">
        <f>IF(ISBLANK(H65), "", Long0[[#This Row],[Adj Close]]/H65-1)</f>
        <v>-3.3065150686387823E-2</v>
      </c>
      <c r="J64" s="29">
        <v>44648</v>
      </c>
      <c r="K64" s="44">
        <v>41.538918000000002</v>
      </c>
      <c r="L64" s="33">
        <f>IF(ISBLANK(K65),"",Long1[[#This Row],[Adj Close]]/K65-1)</f>
        <v>-9.2195836597637859E-2</v>
      </c>
      <c r="M64" s="37">
        <v>44648</v>
      </c>
      <c r="N64" s="44">
        <v>64.768660999999994</v>
      </c>
      <c r="O64" s="36">
        <f>IF(ISBLANK(N65),"",Long2[[#This Row],[Adj Close]]/N65-1)</f>
        <v>-7.6534738816539716E-2</v>
      </c>
      <c r="P64" s="29">
        <v>44648</v>
      </c>
      <c r="Q64" s="44">
        <v>28.074162000000001</v>
      </c>
      <c r="R64" s="33">
        <f>IF(ISBLANK(Q65),"",Long3[[#This Row],[Adj Close]]/Q65-1)</f>
        <v>5.1830391248749663E-2</v>
      </c>
      <c r="S64" s="37">
        <v>44648</v>
      </c>
      <c r="T64" s="44">
        <v>80.003974999999997</v>
      </c>
      <c r="U64" s="36">
        <f>IF(ISBLANK(T65),"",Long4[[#This Row],[Adj Close]]/T65-1)</f>
        <v>9.912990093839058E-3</v>
      </c>
      <c r="V64" s="29">
        <v>44648</v>
      </c>
      <c r="W64" s="44">
        <v>115.491539</v>
      </c>
      <c r="X64" s="33">
        <f>IF(ISBLANK(W65),"",Long5[[#This Row],[Adj Close]]/W65-1)</f>
        <v>0.10632219023700396</v>
      </c>
      <c r="Y64" s="37">
        <v>44648</v>
      </c>
      <c r="Z64" s="44">
        <v>165.60417200000001</v>
      </c>
      <c r="AA64" s="36">
        <f>IF(ISBLANK(Z65),"",Long6[[#This Row],[Adj Close]]/Z65-1)</f>
        <v>-7.7652397188374689E-3</v>
      </c>
      <c r="AH64" s="29">
        <v>44648</v>
      </c>
      <c r="AI64" s="44">
        <v>39.520000000000003</v>
      </c>
      <c r="AJ64" s="33">
        <f>IF(ISBLANK(AI65),"",Short0[[#This Row],[Adj Close]]/AI65-1)</f>
        <v>8.1632395876725106E-3</v>
      </c>
      <c r="AK64" s="37">
        <v>44648</v>
      </c>
      <c r="AL64" s="44">
        <v>86.221748000000005</v>
      </c>
      <c r="AM64" s="36">
        <f>IF(ISBLANK(AL65),"",Short1[[#This Row],[Adj Close]]/AL65-1)</f>
        <v>-5.308304232956973E-2</v>
      </c>
      <c r="AN64" s="29">
        <v>44648</v>
      </c>
      <c r="AO64" s="44">
        <v>80.563216999999995</v>
      </c>
      <c r="AP64" s="33">
        <f>IF(ISBLANK(AO65),"",Short2[[#This Row],[Adj Close]]/AO65-1)</f>
        <v>-5.4359470772811225E-3</v>
      </c>
      <c r="AQ64" s="37">
        <v>44648</v>
      </c>
      <c r="AR64" s="44">
        <v>147.86999499999999</v>
      </c>
      <c r="AS64" s="36">
        <f>IF(ISBLANK(AR65),"",Short3[[#This Row],[Adj Close]]/AR65-1)</f>
        <v>3.7611397011135805E-2</v>
      </c>
    </row>
    <row r="65" spans="1:45" x14ac:dyDescent="0.25">
      <c r="A65" s="37">
        <v>44641</v>
      </c>
      <c r="B65" s="39">
        <v>4543.0600590000004</v>
      </c>
      <c r="C65" s="36">
        <f>IF(ISBLANK(B66), "", GSPC[[#This Row],[Adj Close]]/B66-1)</f>
        <v>1.7911223517267372E-2</v>
      </c>
      <c r="D6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62876.814642000005</v>
      </c>
      <c r="E6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34728.330266000004</v>
      </c>
      <c r="F65" s="11">
        <f>IF(ISBLANK(GSPC[[#This Row],[Long Exp.]]), "", (GSPC[[#This Row],[Long Exp.]]/D66-1)+(E66/GSPC[[#This Row],[Short Exp.]]-1))</f>
        <v>4.828419527970973E-2</v>
      </c>
      <c r="G65" s="37">
        <v>44641</v>
      </c>
      <c r="H65" s="44">
        <v>10.572521</v>
      </c>
      <c r="I65" s="36">
        <f>IF(ISBLANK(H66), "", Long0[[#This Row],[Adj Close]]/H66-1)</f>
        <v>4.9718584633659635E-2</v>
      </c>
      <c r="J65" s="29">
        <v>44641</v>
      </c>
      <c r="K65" s="44">
        <v>45.757576</v>
      </c>
      <c r="L65" s="33">
        <f>IF(ISBLANK(K66),"",Long1[[#This Row],[Adj Close]]/K66-1)</f>
        <v>3.5183559393154873E-3</v>
      </c>
      <c r="M65" s="37">
        <v>44641</v>
      </c>
      <c r="N65" s="44">
        <v>70.136543000000003</v>
      </c>
      <c r="O65" s="36">
        <f>IF(ISBLANK(N66),"",Long2[[#This Row],[Adj Close]]/N66-1)</f>
        <v>0.14916221797667006</v>
      </c>
      <c r="P65" s="29">
        <v>44641</v>
      </c>
      <c r="Q65" s="44">
        <v>26.690769</v>
      </c>
      <c r="R65" s="33">
        <f>IF(ISBLANK(Q66),"",Long3[[#This Row],[Adj Close]]/Q66-1)</f>
        <v>3.4495657200729335E-2</v>
      </c>
      <c r="S65" s="37">
        <v>44641</v>
      </c>
      <c r="T65" s="44">
        <v>79.218681000000004</v>
      </c>
      <c r="U65" s="36">
        <f>IF(ISBLANK(T66),"",Long4[[#This Row],[Adj Close]]/T66-1)</f>
        <v>-5.065637862400163E-2</v>
      </c>
      <c r="V65" s="29">
        <v>44641</v>
      </c>
      <c r="W65" s="44">
        <v>104.392319</v>
      </c>
      <c r="X65" s="33">
        <f>IF(ISBLANK(W66),"",Long5[[#This Row],[Adj Close]]/W66-1)</f>
        <v>-0.10111536112191677</v>
      </c>
      <c r="Y65" s="37">
        <v>44641</v>
      </c>
      <c r="Z65" s="44">
        <v>166.900192</v>
      </c>
      <c r="AA65" s="36">
        <f>IF(ISBLANK(Z66),"",Long6[[#This Row],[Adj Close]]/Z66-1)</f>
        <v>1.7816488178816092E-2</v>
      </c>
      <c r="AH65" s="29">
        <v>44641</v>
      </c>
      <c r="AI65" s="44">
        <v>39.200001</v>
      </c>
      <c r="AJ65" s="33">
        <f>IF(ISBLANK(AI66),"",Short0[[#This Row],[Adj Close]]/AI66-1)</f>
        <v>6.1602157638658284E-3</v>
      </c>
      <c r="AK65" s="37">
        <v>44641</v>
      </c>
      <c r="AL65" s="44">
        <v>91.055237000000005</v>
      </c>
      <c r="AM65" s="36">
        <f>IF(ISBLANK(AL66),"",Short1[[#This Row],[Adj Close]]/AL66-1)</f>
        <v>-5.439895565955255E-2</v>
      </c>
      <c r="AN65" s="29">
        <v>44641</v>
      </c>
      <c r="AO65" s="44">
        <v>81.003547999999995</v>
      </c>
      <c r="AP65" s="33">
        <f>IF(ISBLANK(AO66),"",Short2[[#This Row],[Adj Close]]/AO66-1)</f>
        <v>-0.10546791365603558</v>
      </c>
      <c r="AQ65" s="37">
        <v>44641</v>
      </c>
      <c r="AR65" s="44">
        <v>142.509995</v>
      </c>
      <c r="AS65" s="36">
        <f>IF(ISBLANK(AR66),"",Short3[[#This Row],[Adj Close]]/AR66-1)</f>
        <v>0.11327240501806135</v>
      </c>
    </row>
    <row r="66" spans="1:45" x14ac:dyDescent="0.25">
      <c r="A66" s="37">
        <v>44634</v>
      </c>
      <c r="B66" s="39">
        <v>4463.1201170000004</v>
      </c>
      <c r="C66" s="36">
        <f>IF(ISBLANK(B67), "", GSPC[[#This Row],[Adj Close]]/B67-1)</f>
        <v>6.1558271004769294E-2</v>
      </c>
      <c r="D6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60835.047785999996</v>
      </c>
      <c r="E6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35239.595547999998</v>
      </c>
      <c r="F66" s="11">
        <f>IF(ISBLANK(GSPC[[#This Row],[Long Exp.]]), "", (GSPC[[#This Row],[Long Exp.]]/D67-1)+(E67/GSPC[[#This Row],[Short Exp.]]-1))</f>
        <v>-2.8019888889153521E-2</v>
      </c>
      <c r="G66" s="37">
        <v>44634</v>
      </c>
      <c r="H66" s="44">
        <v>10.071766999999999</v>
      </c>
      <c r="I66" s="36">
        <f>IF(ISBLANK(H67), "", Long0[[#This Row],[Adj Close]]/H67-1)</f>
        <v>6.3872036640634233E-2</v>
      </c>
      <c r="J66" s="29">
        <v>44634</v>
      </c>
      <c r="K66" s="44">
        <v>45.597149000000002</v>
      </c>
      <c r="L66" s="33">
        <f>IF(ISBLANK(K67),"",Long1[[#This Row],[Adj Close]]/K67-1)</f>
        <v>8.8819483980959513E-2</v>
      </c>
      <c r="M66" s="37">
        <v>44634</v>
      </c>
      <c r="N66" s="44">
        <v>61.032761000000001</v>
      </c>
      <c r="O66" s="36">
        <f>IF(ISBLANK(N67),"",Long2[[#This Row],[Adj Close]]/N67-1)</f>
        <v>2.5840134130901138E-3</v>
      </c>
      <c r="P66" s="29">
        <v>44634</v>
      </c>
      <c r="Q66" s="44">
        <v>25.800754999999999</v>
      </c>
      <c r="R66" s="33">
        <f>IF(ISBLANK(Q67),"",Long3[[#This Row],[Adj Close]]/Q67-1)</f>
        <v>2.3009020018947224E-2</v>
      </c>
      <c r="S66" s="37">
        <v>44634</v>
      </c>
      <c r="T66" s="44">
        <v>83.445740000000001</v>
      </c>
      <c r="U66" s="36">
        <f>IF(ISBLANK(T67),"",Long4[[#This Row],[Adj Close]]/T67-1)</f>
        <v>0.10587164329452059</v>
      </c>
      <c r="V66" s="29">
        <v>44634</v>
      </c>
      <c r="W66" s="44">
        <v>116.135391</v>
      </c>
      <c r="X66" s="33">
        <f>IF(ISBLANK(W67),"",Long5[[#This Row],[Adj Close]]/W67-1)</f>
        <v>-1.5001175828580848E-2</v>
      </c>
      <c r="Y66" s="37">
        <v>44634</v>
      </c>
      <c r="Z66" s="44">
        <v>163.978668</v>
      </c>
      <c r="AA66" s="36">
        <f>IF(ISBLANK(Z67),"",Long6[[#This Row],[Adj Close]]/Z67-1)</f>
        <v>5.9052348669809795E-2</v>
      </c>
      <c r="AH66" s="29">
        <v>44634</v>
      </c>
      <c r="AI66" s="44">
        <v>38.959999000000003</v>
      </c>
      <c r="AJ66" s="33">
        <f>IF(ISBLANK(AI67),"",Short0[[#This Row],[Adj Close]]/AI67-1)</f>
        <v>6.9741931342225838E-2</v>
      </c>
      <c r="AK66" s="37">
        <v>44634</v>
      </c>
      <c r="AL66" s="44">
        <v>96.293503000000001</v>
      </c>
      <c r="AM66" s="36">
        <f>IF(ISBLANK(AL67),"",Short1[[#This Row],[Adj Close]]/AL67-1)</f>
        <v>7.6646636408357782E-2</v>
      </c>
      <c r="AN66" s="29">
        <v>44634</v>
      </c>
      <c r="AO66" s="44">
        <v>90.554100000000005</v>
      </c>
      <c r="AP66" s="33">
        <f>IF(ISBLANK(AO67),"",Short2[[#This Row],[Adj Close]]/AO67-1)</f>
        <v>6.8961491848064993E-2</v>
      </c>
      <c r="AQ66" s="37">
        <v>44634</v>
      </c>
      <c r="AR66" s="44">
        <v>128.009995</v>
      </c>
      <c r="AS66" s="36">
        <f>IF(ISBLANK(AR67),"",Short3[[#This Row],[Adj Close]]/AR67-1)</f>
        <v>4.7802219003064916E-2</v>
      </c>
    </row>
    <row r="67" spans="1:45" x14ac:dyDescent="0.25">
      <c r="A67" s="37">
        <v>44627</v>
      </c>
      <c r="B67" s="39">
        <v>4204.3100590000004</v>
      </c>
      <c r="C67" s="36">
        <f>IF(ISBLANK(B68), "", GSPC[[#This Row],[Adj Close]]/B68-1)</f>
        <v>-2.8774265485775996E-2</v>
      </c>
      <c r="D6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58875.387011000006</v>
      </c>
      <c r="E6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33079.239937999999</v>
      </c>
      <c r="F67" s="11">
        <f>IF(ISBLANK(GSPC[[#This Row],[Long Exp.]]), "", (GSPC[[#This Row],[Long Exp.]]/D68-1)+(E68/GSPC[[#This Row],[Short Exp.]]-1))</f>
        <v>7.3018668902645967E-2</v>
      </c>
      <c r="G67" s="37">
        <v>44627</v>
      </c>
      <c r="H67" s="44">
        <v>9.4670850000000009</v>
      </c>
      <c r="I67" s="36">
        <f>IF(ISBLANK(H68), "", Long0[[#This Row],[Adj Close]]/H68-1)</f>
        <v>-1.764681467031215E-2</v>
      </c>
      <c r="J67" s="29">
        <v>44627</v>
      </c>
      <c r="K67" s="44">
        <v>41.877602000000003</v>
      </c>
      <c r="L67" s="33">
        <f>IF(ISBLANK(K68),"",Long1[[#This Row],[Adj Close]]/K68-1)</f>
        <v>5.60384549121411E-2</v>
      </c>
      <c r="M67" s="37">
        <v>44627</v>
      </c>
      <c r="N67" s="44">
        <v>60.875458000000002</v>
      </c>
      <c r="O67" s="36">
        <f>IF(ISBLANK(N68),"",Long2[[#This Row],[Adj Close]]/N68-1)</f>
        <v>3.7191826005109396E-2</v>
      </c>
      <c r="P67" s="29">
        <v>44627</v>
      </c>
      <c r="Q67" s="44">
        <v>25.220457</v>
      </c>
      <c r="R67" s="33">
        <f>IF(ISBLANK(Q68),"",Long3[[#This Row],[Adj Close]]/Q68-1)</f>
        <v>-6.8052690349192924E-3</v>
      </c>
      <c r="S67" s="37">
        <v>44627</v>
      </c>
      <c r="T67" s="44">
        <v>75.456985000000003</v>
      </c>
      <c r="U67" s="36">
        <f>IF(ISBLANK(T68),"",Long4[[#This Row],[Adj Close]]/T68-1)</f>
        <v>2.9089145661087557E-2</v>
      </c>
      <c r="V67" s="29">
        <v>44627</v>
      </c>
      <c r="W67" s="44">
        <v>117.90409099999999</v>
      </c>
      <c r="X67" s="33">
        <f>IF(ISBLANK(W68),"",Long5[[#This Row],[Adj Close]]/W68-1)</f>
        <v>-0.10162807764855153</v>
      </c>
      <c r="Y67" s="37">
        <v>44627</v>
      </c>
      <c r="Z67" s="44">
        <v>154.83528100000001</v>
      </c>
      <c r="AA67" s="36">
        <f>IF(ISBLANK(Z68),"",Long6[[#This Row],[Adj Close]]/Z68-1)</f>
        <v>4.7413700410035009E-3</v>
      </c>
      <c r="AH67" s="29">
        <v>44627</v>
      </c>
      <c r="AI67" s="44">
        <v>36.419998</v>
      </c>
      <c r="AJ67" s="33">
        <f>IF(ISBLANK(AI68),"",Short0[[#This Row],[Adj Close]]/AI68-1)</f>
        <v>-0.10735296831747476</v>
      </c>
      <c r="AK67" s="37">
        <v>44627</v>
      </c>
      <c r="AL67" s="44">
        <v>89.438354000000004</v>
      </c>
      <c r="AM67" s="36">
        <f>IF(ISBLANK(AL68),"",Short1[[#This Row],[Adj Close]]/AL68-1)</f>
        <v>-0.10848257263172345</v>
      </c>
      <c r="AN67" s="29">
        <v>44627</v>
      </c>
      <c r="AO67" s="44">
        <v>84.712219000000005</v>
      </c>
      <c r="AP67" s="33">
        <f>IF(ISBLANK(AO68),"",Short2[[#This Row],[Adj Close]]/AO68-1)</f>
        <v>-2.8831128738767475E-2</v>
      </c>
      <c r="AQ67" s="37">
        <v>44627</v>
      </c>
      <c r="AR67" s="44">
        <v>122.16999800000001</v>
      </c>
      <c r="AS67" s="36">
        <f>IF(ISBLANK(AR68),"",Short3[[#This Row],[Adj Close]]/AR68-1)</f>
        <v>-5.338602283257432E-2</v>
      </c>
    </row>
    <row r="68" spans="1:45" x14ac:dyDescent="0.25">
      <c r="A68" s="37">
        <v>44620</v>
      </c>
      <c r="B68" s="39">
        <v>4328.8701170000004</v>
      </c>
      <c r="C68" s="36">
        <f>IF(ISBLANK(B69), "", GSPC[[#This Row],[Adj Close]]/B69-1)</f>
        <v>-1.2721605201490904E-2</v>
      </c>
      <c r="D6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59053.030786000003</v>
      </c>
      <c r="E6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35594.151227000002</v>
      </c>
      <c r="F68" s="11">
        <f>IF(ISBLANK(GSPC[[#This Row],[Long Exp.]]), "", (GSPC[[#This Row],[Long Exp.]]/D69-1)+(E69/GSPC[[#This Row],[Short Exp.]]-1))</f>
        <v>-2.4573510327720482E-2</v>
      </c>
      <c r="G68" s="37">
        <v>44620</v>
      </c>
      <c r="H68" s="44">
        <v>9.6371500000000001</v>
      </c>
      <c r="I68" s="36">
        <f>IF(ISBLANK(H69), "", Long0[[#This Row],[Adj Close]]/H69-1)</f>
        <v>-0.29265316844537981</v>
      </c>
      <c r="J68" s="29">
        <v>44620</v>
      </c>
      <c r="K68" s="44">
        <v>39.655375999999997</v>
      </c>
      <c r="L68" s="33">
        <f>IF(ISBLANK(K69),"",Long1[[#This Row],[Adj Close]]/K69-1)</f>
        <v>-6.9825762225465215E-2</v>
      </c>
      <c r="M68" s="37">
        <v>44620</v>
      </c>
      <c r="N68" s="44">
        <v>58.692574</v>
      </c>
      <c r="O68" s="36">
        <f>IF(ISBLANK(N69),"",Long2[[#This Row],[Adj Close]]/N69-1)</f>
        <v>0.2079549721138052</v>
      </c>
      <c r="P68" s="29">
        <v>44620</v>
      </c>
      <c r="Q68" s="44">
        <v>25.393265</v>
      </c>
      <c r="R68" s="33">
        <f>IF(ISBLANK(Q69),"",Long3[[#This Row],[Adj Close]]/Q69-1)</f>
        <v>7.5675700813060409E-4</v>
      </c>
      <c r="S68" s="37">
        <v>44620</v>
      </c>
      <c r="T68" s="44">
        <v>73.324050999999997</v>
      </c>
      <c r="U68" s="36">
        <f>IF(ISBLANK(T69),"",Long4[[#This Row],[Adj Close]]/T69-1)</f>
        <v>-2.4129084990959004E-2</v>
      </c>
      <c r="V68" s="29">
        <v>44620</v>
      </c>
      <c r="W68" s="44">
        <v>131.24195900000001</v>
      </c>
      <c r="X68" s="33">
        <f>IF(ISBLANK(W69),"",Long5[[#This Row],[Adj Close]]/W69-1)</f>
        <v>-2.220177532248746E-2</v>
      </c>
      <c r="Y68" s="37">
        <v>44620</v>
      </c>
      <c r="Z68" s="44">
        <v>154.104614</v>
      </c>
      <c r="AA68" s="36">
        <f>IF(ISBLANK(Z69),"",Long6[[#This Row],[Adj Close]]/Z69-1)</f>
        <v>-1.0398779178178219E-2</v>
      </c>
      <c r="AH68" s="29">
        <v>44620</v>
      </c>
      <c r="AI68" s="44">
        <v>40.799999</v>
      </c>
      <c r="AJ68" s="33">
        <f>IF(ISBLANK(AI69),"",Short0[[#This Row],[Adj Close]]/AI69-1)</f>
        <v>-8.3557973944294761E-2</v>
      </c>
      <c r="AK68" s="37">
        <v>44620</v>
      </c>
      <c r="AL68" s="44">
        <v>100.321487</v>
      </c>
      <c r="AM68" s="36">
        <f>IF(ISBLANK(AL69),"",Short1[[#This Row],[Adj Close]]/AL69-1)</f>
        <v>0.1071688095745551</v>
      </c>
      <c r="AN68" s="29">
        <v>44620</v>
      </c>
      <c r="AO68" s="44">
        <v>87.227074000000002</v>
      </c>
      <c r="AP68" s="33">
        <f>IF(ISBLANK(AO69),"",Short2[[#This Row],[Adj Close]]/AO69-1)</f>
        <v>-1.8606088572697077E-2</v>
      </c>
      <c r="AQ68" s="37">
        <v>44620</v>
      </c>
      <c r="AR68" s="44">
        <v>129.05999800000001</v>
      </c>
      <c r="AS68" s="36">
        <f>IF(ISBLANK(AR69),"",Short3[[#This Row],[Adj Close]]/AR69-1)</f>
        <v>6.678785584093605E-2</v>
      </c>
    </row>
    <row r="69" spans="1:45" x14ac:dyDescent="0.25">
      <c r="A69" s="37">
        <v>44613</v>
      </c>
      <c r="B69" s="39">
        <v>4384.6499020000001</v>
      </c>
      <c r="C69" s="36">
        <f>IF(ISBLANK(B70), "", GSPC[[#This Row],[Adj Close]]/B70-1)</f>
        <v>8.227374935879217E-3</v>
      </c>
      <c r="D6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59374.897181000008</v>
      </c>
      <c r="E6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34912.430927000001</v>
      </c>
      <c r="F69" s="11">
        <f>IF(ISBLANK(GSPC[[#This Row],[Long Exp.]]), "", (GSPC[[#This Row],[Long Exp.]]/D70-1)+(E70/GSPC[[#This Row],[Short Exp.]]-1))</f>
        <v>2.3430007800965158E-2</v>
      </c>
      <c r="G69" s="37">
        <v>44613</v>
      </c>
      <c r="H69" s="44">
        <v>13.624363000000001</v>
      </c>
      <c r="I69" s="36">
        <f>IF(ISBLANK(H70), "", Long0[[#This Row],[Adj Close]]/H70-1)</f>
        <v>-1.1556873251144628E-2</v>
      </c>
      <c r="J69" s="29">
        <v>44613</v>
      </c>
      <c r="K69" s="44">
        <v>42.632201999999999</v>
      </c>
      <c r="L69" s="33">
        <f>IF(ISBLANK(K70),"",Long1[[#This Row],[Adj Close]]/K70-1)</f>
        <v>3.7771669512596251E-3</v>
      </c>
      <c r="M69" s="37">
        <v>44613</v>
      </c>
      <c r="N69" s="44">
        <v>48.588379000000003</v>
      </c>
      <c r="O69" s="36">
        <f>IF(ISBLANK(N70),"",Long2[[#This Row],[Adj Close]]/N70-1)</f>
        <v>0.10066652689842148</v>
      </c>
      <c r="P69" s="29">
        <v>44613</v>
      </c>
      <c r="Q69" s="44">
        <v>25.374063</v>
      </c>
      <c r="R69" s="33">
        <f>IF(ISBLANK(Q70),"",Long3[[#This Row],[Adj Close]]/Q70-1)</f>
        <v>1.2643606646523864E-2</v>
      </c>
      <c r="S69" s="37">
        <v>44613</v>
      </c>
      <c r="T69" s="44">
        <v>75.137039000000001</v>
      </c>
      <c r="U69" s="36">
        <f>IF(ISBLANK(T70),"",Long4[[#This Row],[Adj Close]]/T70-1)</f>
        <v>5.0576563865931679E-3</v>
      </c>
      <c r="V69" s="29">
        <v>44613</v>
      </c>
      <c r="W69" s="44">
        <v>134.221924</v>
      </c>
      <c r="X69" s="33">
        <f>IF(ISBLANK(W70),"",Long5[[#This Row],[Adj Close]]/W70-1)</f>
        <v>-6.7997224251936661E-2</v>
      </c>
      <c r="Y69" s="37">
        <v>44613</v>
      </c>
      <c r="Z69" s="44">
        <v>155.72395299999999</v>
      </c>
      <c r="AA69" s="36">
        <f>IF(ISBLANK(Z70),"",Long6[[#This Row],[Adj Close]]/Z70-1)</f>
        <v>0.14598194173468504</v>
      </c>
      <c r="AH69" s="29">
        <v>44613</v>
      </c>
      <c r="AI69" s="44">
        <v>44.52</v>
      </c>
      <c r="AJ69" s="33">
        <f>IF(ISBLANK(AI70),"",Short0[[#This Row],[Adj Close]]/AI70-1)</f>
        <v>-5.5178248199877822E-2</v>
      </c>
      <c r="AK69" s="37">
        <v>44613</v>
      </c>
      <c r="AL69" s="44">
        <v>90.610832000000002</v>
      </c>
      <c r="AM69" s="36">
        <f>IF(ISBLANK(AL70),"",Short1[[#This Row],[Adj Close]]/AL70-1)</f>
        <v>-1.9240535896078326E-2</v>
      </c>
      <c r="AN69" s="29">
        <v>44613</v>
      </c>
      <c r="AO69" s="44">
        <v>88.880797999999999</v>
      </c>
      <c r="AP69" s="33">
        <f>IF(ISBLANK(AO70),"",Short2[[#This Row],[Adj Close]]/AO70-1)</f>
        <v>1.5654711854500292E-2</v>
      </c>
      <c r="AQ69" s="37">
        <v>44613</v>
      </c>
      <c r="AR69" s="44">
        <v>120.980003</v>
      </c>
      <c r="AS69" s="36">
        <f>IF(ISBLANK(AR70),"",Short3[[#This Row],[Adj Close]]/AR70-1)</f>
        <v>5.4751579461680411E-2</v>
      </c>
    </row>
    <row r="70" spans="1:45" x14ac:dyDescent="0.25">
      <c r="A70" s="37">
        <v>44606</v>
      </c>
      <c r="B70" s="39">
        <v>4348.8701170000004</v>
      </c>
      <c r="C70" s="36">
        <f>IF(ISBLANK(B71), "", GSPC[[#This Row],[Adj Close]]/B71-1)</f>
        <v>-1.5789930348880987E-2</v>
      </c>
      <c r="D7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57962.454049999993</v>
      </c>
      <c r="E7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34879.674875999997</v>
      </c>
      <c r="F70" s="11">
        <f>IF(ISBLANK(GSPC[[#This Row],[Long Exp.]]), "", (GSPC[[#This Row],[Long Exp.]]/D71-1)+(E71/GSPC[[#This Row],[Short Exp.]]-1))</f>
        <v>-2.5225413738725444E-2</v>
      </c>
      <c r="G70" s="37">
        <v>44606</v>
      </c>
      <c r="H70" s="44">
        <v>13.783659</v>
      </c>
      <c r="I70" s="36">
        <f>IF(ISBLANK(H71), "", Long0[[#This Row],[Adj Close]]/H71-1)</f>
        <v>-3.0322858277096354E-2</v>
      </c>
      <c r="J70" s="29">
        <v>44606</v>
      </c>
      <c r="K70" s="44">
        <v>42.471778999999998</v>
      </c>
      <c r="L70" s="33">
        <f>IF(ISBLANK(K71),"",Long1[[#This Row],[Adj Close]]/K71-1)</f>
        <v>7.1503637333790726E-2</v>
      </c>
      <c r="M70" s="37">
        <v>44606</v>
      </c>
      <c r="N70" s="44">
        <v>44.144505000000002</v>
      </c>
      <c r="O70" s="36">
        <f>IF(ISBLANK(N71),"",Long2[[#This Row],[Adj Close]]/N71-1)</f>
        <v>-3.9897580097189689E-2</v>
      </c>
      <c r="P70" s="29">
        <v>44606</v>
      </c>
      <c r="Q70" s="44">
        <v>25.057248999999999</v>
      </c>
      <c r="R70" s="33">
        <f>IF(ISBLANK(Q71),"",Long3[[#This Row],[Adj Close]]/Q71-1)</f>
        <v>-8.9323213995288087E-2</v>
      </c>
      <c r="S70" s="37">
        <v>44606</v>
      </c>
      <c r="T70" s="44">
        <v>74.758933999999996</v>
      </c>
      <c r="U70" s="36">
        <f>IF(ISBLANK(T71),"",Long4[[#This Row],[Adj Close]]/T71-1)</f>
        <v>2.0783815304640463E-2</v>
      </c>
      <c r="V70" s="29">
        <v>44606</v>
      </c>
      <c r="W70" s="44">
        <v>144.014511</v>
      </c>
      <c r="X70" s="33">
        <f>IF(ISBLANK(W71),"",Long5[[#This Row],[Adj Close]]/W71-1)</f>
        <v>-2.2120906803470564E-2</v>
      </c>
      <c r="Y70" s="37">
        <v>44606</v>
      </c>
      <c r="Z70" s="44">
        <v>135.88691700000001</v>
      </c>
      <c r="AA70" s="36">
        <f>IF(ISBLANK(Z71),"",Long6[[#This Row],[Adj Close]]/Z71-1)</f>
        <v>-2.7970123663117352E-2</v>
      </c>
      <c r="AH70" s="29">
        <v>44606</v>
      </c>
      <c r="AI70" s="44">
        <v>47.119999</v>
      </c>
      <c r="AJ70" s="33">
        <f>IF(ISBLANK(AI71),"",Short0[[#This Row],[Adj Close]]/AI71-1)</f>
        <v>4.3401217891939847E-2</v>
      </c>
      <c r="AK70" s="37">
        <v>44606</v>
      </c>
      <c r="AL70" s="44">
        <v>92.388435000000001</v>
      </c>
      <c r="AM70" s="36">
        <f>IF(ISBLANK(AL71),"",Short1[[#This Row],[Adj Close]]/AL71-1)</f>
        <v>-2.8437860513471636E-2</v>
      </c>
      <c r="AN70" s="29">
        <v>44606</v>
      </c>
      <c r="AO70" s="44">
        <v>87.510840999999999</v>
      </c>
      <c r="AP70" s="33">
        <f>IF(ISBLANK(AO71),"",Short2[[#This Row],[Adj Close]]/AO71-1)</f>
        <v>-2.305004795839305E-2</v>
      </c>
      <c r="AQ70" s="37">
        <v>44606</v>
      </c>
      <c r="AR70" s="44">
        <v>114.699997</v>
      </c>
      <c r="AS70" s="36">
        <f>IF(ISBLANK(AR71),"",Short3[[#This Row],[Adj Close]]/AR71-1)</f>
        <v>1.6592000408837126E-3</v>
      </c>
    </row>
    <row r="71" spans="1:45" x14ac:dyDescent="0.25">
      <c r="A71" s="37">
        <v>44599</v>
      </c>
      <c r="B71" s="39">
        <v>4418.6401370000003</v>
      </c>
      <c r="C71" s="36">
        <f>IF(ISBLANK(B72), "", GSPC[[#This Row],[Adj Close]]/B72-1)</f>
        <v>-1.8195557392583606E-2</v>
      </c>
      <c r="D7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59741.936242000003</v>
      </c>
      <c r="E7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35038.751826</v>
      </c>
      <c r="F71" s="11">
        <f>IF(ISBLANK(GSPC[[#This Row],[Long Exp.]]), "", (GSPC[[#This Row],[Long Exp.]]/D72-1)+(E72/GSPC[[#This Row],[Short Exp.]]-1))</f>
        <v>4.0216739328385875E-3</v>
      </c>
      <c r="G71" s="37">
        <v>44599</v>
      </c>
      <c r="H71" s="44">
        <v>14.214689</v>
      </c>
      <c r="I71" s="36">
        <f>IF(ISBLANK(H72), "", Long0[[#This Row],[Adj Close]]/H72-1)</f>
        <v>2.6436797256781386E-3</v>
      </c>
      <c r="J71" s="29">
        <v>44599</v>
      </c>
      <c r="K71" s="44">
        <v>39.637549999999997</v>
      </c>
      <c r="L71" s="33">
        <f>IF(ISBLANK(K72),"",Long1[[#This Row],[Adj Close]]/K72-1)</f>
        <v>4.8240086781872416E-2</v>
      </c>
      <c r="M71" s="37">
        <v>44599</v>
      </c>
      <c r="N71" s="44">
        <v>45.978954000000002</v>
      </c>
      <c r="O71" s="36">
        <f>IF(ISBLANK(N72),"",Long2[[#This Row],[Adj Close]]/N72-1)</f>
        <v>6.935882363201884E-2</v>
      </c>
      <c r="P71" s="29">
        <v>44599</v>
      </c>
      <c r="Q71" s="44">
        <v>27.514975</v>
      </c>
      <c r="R71" s="33">
        <f>IF(ISBLANK(Q72),"",Long3[[#This Row],[Adj Close]]/Q72-1)</f>
        <v>-2.5501358136775232E-2</v>
      </c>
      <c r="S71" s="37">
        <v>44599</v>
      </c>
      <c r="T71" s="44">
        <v>73.236794000000003</v>
      </c>
      <c r="U71" s="36">
        <f>IF(ISBLANK(T72),"",Long4[[#This Row],[Adj Close]]/T72-1)</f>
        <v>-7.880273488067413E-3</v>
      </c>
      <c r="V71" s="29">
        <v>44599</v>
      </c>
      <c r="W71" s="44">
        <v>147.27230800000001</v>
      </c>
      <c r="X71" s="33">
        <f>IF(ISBLANK(W72),"",Long5[[#This Row],[Adj Close]]/W72-1)</f>
        <v>2.91950677401287E-2</v>
      </c>
      <c r="Y71" s="37">
        <v>44599</v>
      </c>
      <c r="Z71" s="44">
        <v>139.79705799999999</v>
      </c>
      <c r="AA71" s="36">
        <f>IF(ISBLANK(Z72),"",Long6[[#This Row],[Adj Close]]/Z72-1)</f>
        <v>-1.8509682163437846E-2</v>
      </c>
      <c r="AH71" s="29">
        <v>44599</v>
      </c>
      <c r="AI71" s="44">
        <v>45.16</v>
      </c>
      <c r="AJ71" s="33">
        <f>IF(ISBLANK(AI72),"",Short0[[#This Row],[Adj Close]]/AI72-1)</f>
        <v>2.1719433897750218E-2</v>
      </c>
      <c r="AK71" s="37">
        <v>44599</v>
      </c>
      <c r="AL71" s="44">
        <v>95.092667000000006</v>
      </c>
      <c r="AM71" s="36">
        <f>IF(ISBLANK(AL72),"",Short1[[#This Row],[Adj Close]]/AL72-1)</f>
        <v>3.8624304944562926E-2</v>
      </c>
      <c r="AN71" s="29">
        <v>44599</v>
      </c>
      <c r="AO71" s="44">
        <v>89.575562000000005</v>
      </c>
      <c r="AP71" s="33">
        <f>IF(ISBLANK(AO72),"",Short2[[#This Row],[Adj Close]]/AO72-1)</f>
        <v>1.3731972985047136E-2</v>
      </c>
      <c r="AQ71" s="37">
        <v>44599</v>
      </c>
      <c r="AR71" s="44">
        <v>114.510002</v>
      </c>
      <c r="AS71" s="36">
        <f>IF(ISBLANK(AR72),"",Short3[[#This Row],[Adj Close]]/AR72-1)</f>
        <v>-2.8093685282634451E-2</v>
      </c>
    </row>
    <row r="72" spans="1:45" x14ac:dyDescent="0.25">
      <c r="A72" s="37">
        <v>44592</v>
      </c>
      <c r="B72" s="39">
        <v>4500.5297849999997</v>
      </c>
      <c r="C72" s="36">
        <f>IF(ISBLANK(B73), "", GSPC[[#This Row],[Adj Close]]/B73-1)</f>
        <v>1.5496843413317141E-2</v>
      </c>
      <c r="D7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58861.197930999995</v>
      </c>
      <c r="E7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34655.382484999995</v>
      </c>
      <c r="F72" s="11">
        <f>IF(ISBLANK(GSPC[[#This Row],[Long Exp.]]), "", (GSPC[[#This Row],[Long Exp.]]/D73-1)+(E73/GSPC[[#This Row],[Short Exp.]]-1))</f>
        <v>1.7471206441257658E-2</v>
      </c>
      <c r="G72" s="37">
        <v>44592</v>
      </c>
      <c r="H72" s="44">
        <v>14.177209</v>
      </c>
      <c r="I72" s="36">
        <f>IF(ISBLANK(H73), "", Long0[[#This Row],[Adj Close]]/H73-1)</f>
        <v>3.4176335954929637E-2</v>
      </c>
      <c r="J72" s="29">
        <v>44592</v>
      </c>
      <c r="K72" s="44">
        <v>37.813426999999997</v>
      </c>
      <c r="L72" s="33">
        <f>IF(ISBLANK(K73),"",Long1[[#This Row],[Adj Close]]/K73-1)</f>
        <v>-5.7804381615720324E-3</v>
      </c>
      <c r="M72" s="37">
        <v>44592</v>
      </c>
      <c r="N72" s="44">
        <v>42.996749999999999</v>
      </c>
      <c r="O72" s="36">
        <f>IF(ISBLANK(N73),"",Long2[[#This Row],[Adj Close]]/N73-1)</f>
        <v>0.10208709806761074</v>
      </c>
      <c r="P72" s="29">
        <v>44592</v>
      </c>
      <c r="Q72" s="44">
        <v>28.235005999999998</v>
      </c>
      <c r="R72" s="33">
        <f>IF(ISBLANK(Q73),"",Long3[[#This Row],[Adj Close]]/Q73-1)</f>
        <v>-9.0970382448454234E-3</v>
      </c>
      <c r="S72" s="37">
        <v>44592</v>
      </c>
      <c r="T72" s="44">
        <v>73.818504000000004</v>
      </c>
      <c r="U72" s="36">
        <f>IF(ISBLANK(T73),"",Long4[[#This Row],[Adj Close]]/T73-1)</f>
        <v>-1.6533116786820901E-2</v>
      </c>
      <c r="V72" s="29">
        <v>44592</v>
      </c>
      <c r="W72" s="44">
        <v>143.09465</v>
      </c>
      <c r="X72" s="33">
        <f>IF(ISBLANK(W73),"",Long5[[#This Row],[Adj Close]]/W73-1)</f>
        <v>-8.0372712423988357E-3</v>
      </c>
      <c r="Y72" s="37">
        <v>44592</v>
      </c>
      <c r="Z72" s="44">
        <v>142.43345600000001</v>
      </c>
      <c r="AA72" s="36">
        <f>IF(ISBLANK(Z73),"",Long6[[#This Row],[Adj Close]]/Z73-1)</f>
        <v>5.3666841479855787E-3</v>
      </c>
      <c r="AH72" s="29">
        <v>44592</v>
      </c>
      <c r="AI72" s="44">
        <v>44.200001</v>
      </c>
      <c r="AJ72" s="33">
        <f>IF(ISBLANK(AI73),"",Short0[[#This Row],[Adj Close]]/AI73-1)</f>
        <v>2.5284156221661913E-2</v>
      </c>
      <c r="AK72" s="37">
        <v>44592</v>
      </c>
      <c r="AL72" s="44">
        <v>91.556365999999997</v>
      </c>
      <c r="AM72" s="36">
        <f>IF(ISBLANK(AL73),"",Short1[[#This Row],[Adj Close]]/AL73-1)</f>
        <v>-8.2956931624809105E-3</v>
      </c>
      <c r="AN72" s="29">
        <v>44592</v>
      </c>
      <c r="AO72" s="44">
        <v>88.362174999999993</v>
      </c>
      <c r="AP72" s="33">
        <f>IF(ISBLANK(AO73),"",Short2[[#This Row],[Adj Close]]/AO73-1)</f>
        <v>-2.9682634857643997E-2</v>
      </c>
      <c r="AQ72" s="37">
        <v>44592</v>
      </c>
      <c r="AR72" s="44">
        <v>117.82</v>
      </c>
      <c r="AS72" s="36">
        <f>IF(ISBLANK(AR73),"",Short3[[#This Row],[Adj Close]]/AR73-1)</f>
        <v>3.4688652814033771E-2</v>
      </c>
    </row>
    <row r="73" spans="1:45" x14ac:dyDescent="0.25">
      <c r="A73" s="37">
        <v>44585</v>
      </c>
      <c r="B73" s="39">
        <v>4431.8500979999999</v>
      </c>
      <c r="C73" s="36">
        <f>IF(ISBLANK(B74), "", GSPC[[#This Row],[Adj Close]]/B74-1)</f>
        <v>7.7104638660185909E-3</v>
      </c>
      <c r="D7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57725.081865</v>
      </c>
      <c r="E7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34578.783995999998</v>
      </c>
      <c r="F73" s="11">
        <f>IF(ISBLANK(GSPC[[#This Row],[Long Exp.]]), "", (GSPC[[#This Row],[Long Exp.]]/D74-1)+(E74/GSPC[[#This Row],[Short Exp.]]-1))</f>
        <v>2.2223192634355904E-2</v>
      </c>
      <c r="G73" s="37">
        <v>44585</v>
      </c>
      <c r="H73" s="44">
        <v>13.708696</v>
      </c>
      <c r="I73" s="36">
        <f>IF(ISBLANK(H74), "", Long0[[#This Row],[Adj Close]]/H74-1)</f>
        <v>6.8822652437452447E-3</v>
      </c>
      <c r="J73" s="29">
        <v>44585</v>
      </c>
      <c r="K73" s="44">
        <v>38.033276000000001</v>
      </c>
      <c r="L73" s="33">
        <f>IF(ISBLANK(K74),"",Long1[[#This Row],[Adj Close]]/K74-1)</f>
        <v>-3.9177370213214102E-2</v>
      </c>
      <c r="M73" s="37">
        <v>44585</v>
      </c>
      <c r="N73" s="44">
        <v>39.013930999999999</v>
      </c>
      <c r="O73" s="36">
        <f>IF(ISBLANK(N74),"",Long2[[#This Row],[Adj Close]]/N74-1)</f>
        <v>1.1701780366452086E-2</v>
      </c>
      <c r="P73" s="29">
        <v>44585</v>
      </c>
      <c r="Q73" s="44">
        <v>28.494219000000001</v>
      </c>
      <c r="R73" s="33">
        <f>IF(ISBLANK(Q74),"",Long3[[#This Row],[Adj Close]]/Q74-1)</f>
        <v>6.7427523051000193E-4</v>
      </c>
      <c r="S73" s="37">
        <v>44585</v>
      </c>
      <c r="T73" s="44">
        <v>75.059471000000002</v>
      </c>
      <c r="U73" s="36">
        <f>IF(ISBLANK(T74),"",Long4[[#This Row],[Adj Close]]/T74-1)</f>
        <v>1.1497094438621458E-2</v>
      </c>
      <c r="V73" s="29">
        <v>44585</v>
      </c>
      <c r="W73" s="44">
        <v>144.25405900000001</v>
      </c>
      <c r="X73" s="33">
        <f>IF(ISBLANK(W74),"",Long5[[#This Row],[Adj Close]]/W74-1)</f>
        <v>6.1706750274058031E-2</v>
      </c>
      <c r="Y73" s="37">
        <v>44585</v>
      </c>
      <c r="Z73" s="44">
        <v>141.67314099999999</v>
      </c>
      <c r="AA73" s="36">
        <f>IF(ISBLANK(Z74),"",Long6[[#This Row],[Adj Close]]/Z74-1)</f>
        <v>-1.40864554843112E-2</v>
      </c>
      <c r="AH73" s="29">
        <v>44585</v>
      </c>
      <c r="AI73" s="44">
        <v>43.110000999999997</v>
      </c>
      <c r="AJ73" s="33">
        <f>IF(ISBLANK(AI74),"",Short0[[#This Row],[Adj Close]]/AI74-1)</f>
        <v>-1.462854857142859E-2</v>
      </c>
      <c r="AK73" s="37">
        <v>44585</v>
      </c>
      <c r="AL73" s="44">
        <v>92.322243</v>
      </c>
      <c r="AM73" s="36">
        <f>IF(ISBLANK(AL74),"",Short1[[#This Row],[Adj Close]]/AL74-1)</f>
        <v>1.2338019435101932E-2</v>
      </c>
      <c r="AN73" s="29">
        <v>44585</v>
      </c>
      <c r="AO73" s="44">
        <v>91.065230999999997</v>
      </c>
      <c r="AP73" s="33">
        <f>IF(ISBLANK(AO74),"",Short2[[#This Row],[Adj Close]]/AO74-1)</f>
        <v>-1.9830121540110879E-2</v>
      </c>
      <c r="AQ73" s="37">
        <v>44585</v>
      </c>
      <c r="AR73" s="44">
        <v>113.870003</v>
      </c>
      <c r="AS73" s="36">
        <f>IF(ISBLANK(AR74),"",Short3[[#This Row],[Adj Close]]/AR74-1)</f>
        <v>-1.2231054929138341E-2</v>
      </c>
    </row>
    <row r="74" spans="1:45" x14ac:dyDescent="0.25">
      <c r="A74" s="37">
        <v>44578</v>
      </c>
      <c r="B74" s="39">
        <v>4397.9399409999996</v>
      </c>
      <c r="C74" s="36">
        <f>IF(ISBLANK(B75), "", GSPC[[#This Row],[Adj Close]]/B75-1)</f>
        <v>-5.681292587845066E-2</v>
      </c>
      <c r="D7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56987.873038999998</v>
      </c>
      <c r="E7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34899.915510999999</v>
      </c>
      <c r="F74" s="11">
        <f>IF(ISBLANK(GSPC[[#This Row],[Long Exp.]]), "", (GSPC[[#This Row],[Long Exp.]]/D75-1)+(E75/GSPC[[#This Row],[Short Exp.]]-1))</f>
        <v>-7.0797825360651157E-3</v>
      </c>
      <c r="G74" s="37">
        <v>44578</v>
      </c>
      <c r="H74" s="44">
        <v>13.614993999999999</v>
      </c>
      <c r="I74" s="36">
        <f>IF(ISBLANK(H75), "", Long0[[#This Row],[Adj Close]]/H75-1)</f>
        <v>-4.5335136597772108E-2</v>
      </c>
      <c r="J74" s="29">
        <v>44578</v>
      </c>
      <c r="K74" s="44">
        <v>39.584076000000003</v>
      </c>
      <c r="L74" s="33">
        <f>IF(ISBLANK(K75),"",Long1[[#This Row],[Adj Close]]/K75-1)</f>
        <v>-5.3827557056952191E-2</v>
      </c>
      <c r="M74" s="37">
        <v>44578</v>
      </c>
      <c r="N74" s="44">
        <v>38.562679000000003</v>
      </c>
      <c r="O74" s="36">
        <f>IF(ISBLANK(N75),"",Long2[[#This Row],[Adj Close]]/N75-1)</f>
        <v>-9.0677640972313012E-2</v>
      </c>
      <c r="P74" s="29">
        <v>44578</v>
      </c>
      <c r="Q74" s="44">
        <v>28.475019</v>
      </c>
      <c r="R74" s="33">
        <f>IF(ISBLANK(Q75),"",Long3[[#This Row],[Adj Close]]/Q75-1)</f>
        <v>-1.0343717216028447E-2</v>
      </c>
      <c r="S74" s="37">
        <v>44578</v>
      </c>
      <c r="T74" s="44">
        <v>74.206314000000006</v>
      </c>
      <c r="U74" s="36">
        <f>IF(ISBLANK(T75),"",Long4[[#This Row],[Adj Close]]/T75-1)</f>
        <v>-9.3450208525971412E-2</v>
      </c>
      <c r="V74" s="29">
        <v>44578</v>
      </c>
      <c r="W74" s="44">
        <v>135.86996500000001</v>
      </c>
      <c r="X74" s="33">
        <f>IF(ISBLANK(W75),"",Long5[[#This Row],[Adj Close]]/W75-1)</f>
        <v>-8.5161383848795014E-2</v>
      </c>
      <c r="Y74" s="37">
        <v>44578</v>
      </c>
      <c r="Z74" s="44">
        <v>143.697327</v>
      </c>
      <c r="AA74" s="36">
        <f>IF(ISBLANK(Z75),"",Long6[[#This Row],[Adj Close]]/Z75-1)</f>
        <v>-0.11418826243833957</v>
      </c>
      <c r="AH74" s="29">
        <v>44578</v>
      </c>
      <c r="AI74" s="44">
        <v>43.75</v>
      </c>
      <c r="AJ74" s="33">
        <f>IF(ISBLANK(AI75),"",Short0[[#This Row],[Adj Close]]/AI75-1)</f>
        <v>1.7678482545778973E-2</v>
      </c>
      <c r="AK74" s="37">
        <v>44578</v>
      </c>
      <c r="AL74" s="44">
        <v>91.197051999999999</v>
      </c>
      <c r="AM74" s="36">
        <f>IF(ISBLANK(AL75),"",Short1[[#This Row],[Adj Close]]/AL75-1)</f>
        <v>-3.5885715653399375E-2</v>
      </c>
      <c r="AN74" s="29">
        <v>44578</v>
      </c>
      <c r="AO74" s="44">
        <v>92.907600000000002</v>
      </c>
      <c r="AP74" s="33">
        <f>IF(ISBLANK(AO75),"",Short2[[#This Row],[Adj Close]]/AO75-1)</f>
        <v>-0.11880553418457018</v>
      </c>
      <c r="AQ74" s="37">
        <v>44578</v>
      </c>
      <c r="AR74" s="44">
        <v>115.279999</v>
      </c>
      <c r="AS74" s="36">
        <f>IF(ISBLANK(AR75),"",Short3[[#This Row],[Adj Close]]/AR75-1)</f>
        <v>-5.9859760401408502E-2</v>
      </c>
    </row>
    <row r="75" spans="1:45" x14ac:dyDescent="0.25">
      <c r="A75" s="37">
        <v>44571</v>
      </c>
      <c r="B75" s="39">
        <v>4662.8500979999999</v>
      </c>
      <c r="C75" s="36">
        <f>IF(ISBLANK(B76), "", GSPC[[#This Row],[Adj Close]]/B76-1)</f>
        <v>-3.0317717978782799E-3</v>
      </c>
      <c r="D7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61289.375151999993</v>
      </c>
      <c r="E7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37102.229493000006</v>
      </c>
      <c r="F75" s="11">
        <f>IF(ISBLANK(GSPC[[#This Row],[Long Exp.]]), "", (GSPC[[#This Row],[Long Exp.]]/D76-1)+(E76/GSPC[[#This Row],[Short Exp.]]-1))</f>
        <v>-4.16452978667331E-2</v>
      </c>
      <c r="G75" s="37">
        <v>44571</v>
      </c>
      <c r="H75" s="44">
        <v>14.261543</v>
      </c>
      <c r="I75" s="36">
        <f>IF(ISBLANK(H76), "", Long0[[#This Row],[Adj Close]]/H76-1)</f>
        <v>3.2564621705200913E-2</v>
      </c>
      <c r="J75" s="29">
        <v>44571</v>
      </c>
      <c r="K75" s="44">
        <v>41.836005999999998</v>
      </c>
      <c r="L75" s="33">
        <f>IF(ISBLANK(K76),"",Long1[[#This Row],[Adj Close]]/K76-1)</f>
        <v>-1.386551650660095E-2</v>
      </c>
      <c r="M75" s="37">
        <v>44571</v>
      </c>
      <c r="N75" s="44">
        <v>42.408149999999999</v>
      </c>
      <c r="O75" s="36">
        <f>IF(ISBLANK(N76),"",Long2[[#This Row],[Adj Close]]/N76-1)</f>
        <v>7.5908190101405593E-2</v>
      </c>
      <c r="P75" s="29">
        <v>44571</v>
      </c>
      <c r="Q75" s="44">
        <v>28.772635000000001</v>
      </c>
      <c r="R75" s="33">
        <f>IF(ISBLANK(Q76),"",Long3[[#This Row],[Adj Close]]/Q76-1)</f>
        <v>-9.2561503564199121E-3</v>
      </c>
      <c r="S75" s="37">
        <v>44571</v>
      </c>
      <c r="T75" s="44">
        <v>81.855750999999998</v>
      </c>
      <c r="U75" s="36">
        <f>IF(ISBLANK(T76),"",Long4[[#This Row],[Adj Close]]/T76-1)</f>
        <v>-2.1214887474943156E-2</v>
      </c>
      <c r="V75" s="29">
        <v>44571</v>
      </c>
      <c r="W75" s="44">
        <v>148.51795999999999</v>
      </c>
      <c r="X75" s="33">
        <f>IF(ISBLANK(W76),"",Long5[[#This Row],[Adj Close]]/W76-1)</f>
        <v>-5.3435118201363929E-2</v>
      </c>
      <c r="Y75" s="37">
        <v>44571</v>
      </c>
      <c r="Z75" s="44">
        <v>162.221069</v>
      </c>
      <c r="AA75" s="36">
        <f>IF(ISBLANK(Z76),"",Long6[[#This Row],[Adj Close]]/Z76-1)</f>
        <v>3.4245925343683981E-2</v>
      </c>
      <c r="AH75" s="29">
        <v>44571</v>
      </c>
      <c r="AI75" s="44">
        <v>42.990001999999997</v>
      </c>
      <c r="AJ75" s="33">
        <f>IF(ISBLANK(AI76),"",Short0[[#This Row],[Adj Close]]/AI76-1)</f>
        <v>0.13430078446961558</v>
      </c>
      <c r="AK75" s="37">
        <v>44571</v>
      </c>
      <c r="AL75" s="44">
        <v>94.591537000000002</v>
      </c>
      <c r="AM75" s="36">
        <f>IF(ISBLANK(AL76),"",Short1[[#This Row],[Adj Close]]/AL76-1)</f>
        <v>-2.3999985884910369E-2</v>
      </c>
      <c r="AN75" s="29">
        <v>44571</v>
      </c>
      <c r="AO75" s="44">
        <v>105.433708</v>
      </c>
      <c r="AP75" s="33">
        <f>IF(ISBLANK(AO76),"",Short2[[#This Row],[Adj Close]]/AO76-1)</f>
        <v>5.0607224736811673E-2</v>
      </c>
      <c r="AQ75" s="37">
        <v>44571</v>
      </c>
      <c r="AR75" s="44">
        <v>122.620003</v>
      </c>
      <c r="AS75" s="36">
        <f>IF(ISBLANK(AR76),"",Short3[[#This Row],[Adj Close]]/AR76-1)</f>
        <v>6.8211533511529421E-2</v>
      </c>
    </row>
    <row r="76" spans="1:45" x14ac:dyDescent="0.25">
      <c r="A76" s="37">
        <v>44564</v>
      </c>
      <c r="B76" s="39">
        <v>4677.0297849999997</v>
      </c>
      <c r="C76" s="36">
        <f>IF(ISBLANK(B77), "", GSPC[[#This Row],[Adj Close]]/B77-1)</f>
        <v>-1.8704788259771399E-2</v>
      </c>
      <c r="D7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60893.153248000002</v>
      </c>
      <c r="E7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35315.677884999997</v>
      </c>
      <c r="F76" s="11">
        <f>IF(ISBLANK(GSPC[[#This Row],[Long Exp.]]), "", (GSPC[[#This Row],[Long Exp.]]/D77-1)+(E77/GSPC[[#This Row],[Short Exp.]]-1))</f>
        <v>3.2462145757134575E-2</v>
      </c>
      <c r="G76" s="37">
        <v>44564</v>
      </c>
      <c r="H76" s="44">
        <v>13.811768000000001</v>
      </c>
      <c r="I76" s="36">
        <f>IF(ISBLANK(H77), "", Long0[[#This Row],[Adj Close]]/H77-1)</f>
        <v>8.9430907134472548E-2</v>
      </c>
      <c r="J76" s="29">
        <v>44564</v>
      </c>
      <c r="K76" s="44">
        <v>42.424239999999998</v>
      </c>
      <c r="L76" s="33">
        <f>IF(ISBLANK(K77),"",Long1[[#This Row],[Adj Close]]/K77-1)</f>
        <v>-7.7876842132947655E-2</v>
      </c>
      <c r="M76" s="37">
        <v>44564</v>
      </c>
      <c r="N76" s="44">
        <v>39.416142000000001</v>
      </c>
      <c r="O76" s="36">
        <f>IF(ISBLANK(N77),"",Long2[[#This Row],[Adj Close]]/N77-1)</f>
        <v>2.2652225604529175E-2</v>
      </c>
      <c r="P76" s="29">
        <v>44564</v>
      </c>
      <c r="Q76" s="44">
        <v>29.041447000000002</v>
      </c>
      <c r="R76" s="33">
        <f>IF(ISBLANK(Q77),"",Long3[[#This Row],[Adj Close]]/Q77-1)</f>
        <v>6.3206539898990055E-3</v>
      </c>
      <c r="S76" s="37">
        <v>44564</v>
      </c>
      <c r="T76" s="44">
        <v>83.629951000000005</v>
      </c>
      <c r="U76" s="36">
        <f>IF(ISBLANK(T77),"",Long4[[#This Row],[Adj Close]]/T77-1)</f>
        <v>-4.7377098303245768E-2</v>
      </c>
      <c r="V76" s="29">
        <v>44564</v>
      </c>
      <c r="W76" s="44">
        <v>156.902039</v>
      </c>
      <c r="X76" s="33">
        <f>IF(ISBLANK(W77),"",Long5[[#This Row],[Adj Close]]/W77-1)</f>
        <v>-5.2372636324797828E-2</v>
      </c>
      <c r="Y76" s="37">
        <v>44564</v>
      </c>
      <c r="Z76" s="44">
        <v>156.84960899999999</v>
      </c>
      <c r="AA76" s="36">
        <f>IF(ISBLANK(Z77),"",Long6[[#This Row],[Adj Close]]/Z77-1)</f>
        <v>-3.7447633200565433E-2</v>
      </c>
      <c r="AH76" s="29">
        <v>44564</v>
      </c>
      <c r="AI76" s="44">
        <v>37.900002000000001</v>
      </c>
      <c r="AJ76" s="33">
        <f>IF(ISBLANK(AI77),"",Short0[[#This Row],[Adj Close]]/AI77-1)</f>
        <v>6.9076250506807657E-3</v>
      </c>
      <c r="AK76" s="37">
        <v>44564</v>
      </c>
      <c r="AL76" s="44">
        <v>96.917557000000002</v>
      </c>
      <c r="AM76" s="36">
        <f>IF(ISBLANK(AL77),"",Short1[[#This Row],[Adj Close]]/AL77-1)</f>
        <v>8.8582632289977425E-3</v>
      </c>
      <c r="AN76" s="29">
        <v>44564</v>
      </c>
      <c r="AO76" s="44">
        <v>100.355019</v>
      </c>
      <c r="AP76" s="33">
        <f>IF(ISBLANK(AO77),"",Short2[[#This Row],[Adj Close]]/AO77-1)</f>
        <v>-0.11372247722658879</v>
      </c>
      <c r="AQ76" s="37">
        <v>44564</v>
      </c>
      <c r="AR76" s="44">
        <v>114.790001</v>
      </c>
      <c r="AS76" s="36">
        <f>IF(ISBLANK(AR77),"",Short3[[#This Row],[Adj Close]]/AR77-1)</f>
        <v>-8.0366400964686502E-3</v>
      </c>
    </row>
    <row r="77" spans="1:45" x14ac:dyDescent="0.25">
      <c r="A77" s="37">
        <v>44557</v>
      </c>
      <c r="B77" s="39">
        <v>4766.1801759999998</v>
      </c>
      <c r="C77" s="36">
        <f>IF(ISBLANK(B78), "", GSPC[[#This Row],[Adj Close]]/B78-1)</f>
        <v>8.5467480922081229E-3</v>
      </c>
      <c r="D7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61450.461282000004</v>
      </c>
      <c r="E7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36782.386382000004</v>
      </c>
      <c r="F77" s="11">
        <f>IF(ISBLANK(GSPC[[#This Row],[Long Exp.]]), "", (GSPC[[#This Row],[Long Exp.]]/D78-1)+(E78/GSPC[[#This Row],[Short Exp.]]-1))</f>
        <v>-1.0772105339354909E-2</v>
      </c>
      <c r="G77" s="37">
        <v>44557</v>
      </c>
      <c r="H77" s="44">
        <v>12.677966</v>
      </c>
      <c r="I77" s="36">
        <f>IF(ISBLANK(H78), "", Long0[[#This Row],[Adj Close]]/H78-1)</f>
        <v>-7.3367858186741408E-3</v>
      </c>
      <c r="J77" s="29">
        <v>44557</v>
      </c>
      <c r="K77" s="44">
        <v>46.007129999999997</v>
      </c>
      <c r="L77" s="33">
        <f>IF(ISBLANK(K78),"",Long1[[#This Row],[Adj Close]]/K78-1)</f>
        <v>2.8013770925831682E-2</v>
      </c>
      <c r="M77" s="37">
        <v>44557</v>
      </c>
      <c r="N77" s="44">
        <v>38.543056</v>
      </c>
      <c r="O77" s="36">
        <f>IF(ISBLANK(N78),"",Long2[[#This Row],[Adj Close]]/N78-1)</f>
        <v>2.8074822135466526E-3</v>
      </c>
      <c r="P77" s="29">
        <v>44557</v>
      </c>
      <c r="Q77" s="44">
        <v>28.859038999999999</v>
      </c>
      <c r="R77" s="33">
        <f>IF(ISBLANK(Q78),"",Long3[[#This Row],[Adj Close]]/Q78-1)</f>
        <v>2.1753922022921923E-2</v>
      </c>
      <c r="S77" s="37">
        <v>44557</v>
      </c>
      <c r="T77" s="44">
        <v>87.789146000000002</v>
      </c>
      <c r="U77" s="36">
        <f>IF(ISBLANK(T78),"",Long4[[#This Row],[Adj Close]]/T78-1)</f>
        <v>-1.6616012956016779E-2</v>
      </c>
      <c r="V77" s="29">
        <v>44557</v>
      </c>
      <c r="W77" s="44">
        <v>165.57356300000001</v>
      </c>
      <c r="X77" s="33">
        <f>IF(ISBLANK(W78),"",Long5[[#This Row],[Adj Close]]/W78-1)</f>
        <v>-9.8280734262123914E-4</v>
      </c>
      <c r="Y77" s="37">
        <v>44557</v>
      </c>
      <c r="Z77" s="44">
        <v>162.95176699999999</v>
      </c>
      <c r="AA77" s="36">
        <f>IF(ISBLANK(Z78),"",Long6[[#This Row],[Adj Close]]/Z78-1)</f>
        <v>3.5125140825834844E-2</v>
      </c>
      <c r="AH77" s="29">
        <v>44557</v>
      </c>
      <c r="AI77" s="44">
        <v>37.639999000000003</v>
      </c>
      <c r="AJ77" s="33">
        <f>IF(ISBLANK(AI78),"",Short0[[#This Row],[Adj Close]]/AI78-1)</f>
        <v>-2.4617802539518063E-2</v>
      </c>
      <c r="AK77" s="37">
        <v>44557</v>
      </c>
      <c r="AL77" s="44">
        <v>96.066574000000003</v>
      </c>
      <c r="AM77" s="36">
        <f>IF(ISBLANK(AL78),"",Short1[[#This Row],[Adj Close]]/AL78-1)</f>
        <v>3.5889005888387837E-2</v>
      </c>
      <c r="AN77" s="29">
        <v>44557</v>
      </c>
      <c r="AO77" s="44">
        <v>113.23204800000001</v>
      </c>
      <c r="AP77" s="33">
        <f>IF(ISBLANK(AO78),"",Short2[[#This Row],[Adj Close]]/AO78-1)</f>
        <v>3.6680039075438042E-2</v>
      </c>
      <c r="AQ77" s="37">
        <v>44557</v>
      </c>
      <c r="AR77" s="44">
        <v>115.720001</v>
      </c>
      <c r="AS77" s="36">
        <f>IF(ISBLANK(AR78),"",Short3[[#This Row],[Adj Close]]/AR78-1)</f>
        <v>-1.7253019621343846E-3</v>
      </c>
    </row>
    <row r="78" spans="1:45" x14ac:dyDescent="0.25">
      <c r="A78" s="37">
        <v>44550</v>
      </c>
      <c r="B78" s="39">
        <v>4725.7900390000004</v>
      </c>
      <c r="C78" s="36">
        <f>IF(ISBLANK(B79), "", GSPC[[#This Row],[Adj Close]]/B79-1)</f>
        <v>2.2756565948083063E-2</v>
      </c>
      <c r="D7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61096.193037000005</v>
      </c>
      <c r="E7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36172.878788000002</v>
      </c>
      <c r="F78" s="11">
        <f>IF(ISBLANK(GSPC[[#This Row],[Long Exp.]]), "", (GSPC[[#This Row],[Long Exp.]]/D79-1)+(E79/GSPC[[#This Row],[Short Exp.]]-1))</f>
        <v>5.8466369525145279E-3</v>
      </c>
      <c r="G78" s="37">
        <v>44550</v>
      </c>
      <c r="H78" s="44">
        <v>12.771668999999999</v>
      </c>
      <c r="I78" s="36">
        <f>IF(ISBLANK(H79), "", Long0[[#This Row],[Adj Close]]/H79-1)</f>
        <v>4.6047513672601514E-2</v>
      </c>
      <c r="J78" s="29">
        <v>44550</v>
      </c>
      <c r="K78" s="44">
        <v>44.753418000000003</v>
      </c>
      <c r="L78" s="33">
        <f>IF(ISBLANK(K79),"",Long1[[#This Row],[Adj Close]]/K79-1)</f>
        <v>5.5789208568192139E-2</v>
      </c>
      <c r="M78" s="37">
        <v>44550</v>
      </c>
      <c r="N78" s="44">
        <v>38.43515</v>
      </c>
      <c r="O78" s="36">
        <f>IF(ISBLANK(N79),"",Long2[[#This Row],[Adj Close]]/N79-1)</f>
        <v>7.4602389580946449E-2</v>
      </c>
      <c r="P78" s="29">
        <v>44550</v>
      </c>
      <c r="Q78" s="44">
        <v>28.244607999999999</v>
      </c>
      <c r="R78" s="33">
        <f>IF(ISBLANK(Q79),"",Long3[[#This Row],[Adj Close]]/Q79-1)</f>
        <v>-4.7361404192498568E-3</v>
      </c>
      <c r="S78" s="37">
        <v>44550</v>
      </c>
      <c r="T78" s="44">
        <v>89.272498999999996</v>
      </c>
      <c r="U78" s="36">
        <f>IF(ISBLANK(T79),"",Long4[[#This Row],[Adj Close]]/T79-1)</f>
        <v>6.9702522941463174E-2</v>
      </c>
      <c r="V78" s="29">
        <v>44550</v>
      </c>
      <c r="W78" s="44">
        <v>165.73644999999999</v>
      </c>
      <c r="X78" s="33">
        <f>IF(ISBLANK(W79),"",Long5[[#This Row],[Adj Close]]/W79-1)</f>
        <v>5.1553165047088401E-2</v>
      </c>
      <c r="Y78" s="37">
        <v>44550</v>
      </c>
      <c r="Z78" s="44">
        <v>157.42228700000001</v>
      </c>
      <c r="AA78" s="36">
        <f>IF(ISBLANK(Z79),"",Long6[[#This Row],[Adj Close]]/Z79-1)</f>
        <v>3.7467513872482927E-2</v>
      </c>
      <c r="AH78" s="29">
        <v>44550</v>
      </c>
      <c r="AI78" s="44">
        <v>38.590000000000003</v>
      </c>
      <c r="AJ78" s="33">
        <f>IF(ISBLANK(AI79),"",Short0[[#This Row],[Adj Close]]/AI79-1)</f>
        <v>8.8882649234837796E-2</v>
      </c>
      <c r="AK78" s="37">
        <v>44550</v>
      </c>
      <c r="AL78" s="44">
        <v>92.738288999999995</v>
      </c>
      <c r="AM78" s="36">
        <f>IF(ISBLANK(AL79),"",Short1[[#This Row],[Adj Close]]/AL79-1)</f>
        <v>-1.2838204688081056E-2</v>
      </c>
      <c r="AN78" s="29">
        <v>44550</v>
      </c>
      <c r="AO78" s="44">
        <v>109.225647</v>
      </c>
      <c r="AP78" s="33">
        <f>IF(ISBLANK(AO79),"",Short2[[#This Row],[Adj Close]]/AO79-1)</f>
        <v>5.8673514611347732E-2</v>
      </c>
      <c r="AQ78" s="37">
        <v>44550</v>
      </c>
      <c r="AR78" s="44">
        <v>115.91999800000001</v>
      </c>
      <c r="AS78" s="36">
        <f>IF(ISBLANK(AR79),"",Short3[[#This Row],[Adj Close]]/AR79-1)</f>
        <v>4.113528080241724E-2</v>
      </c>
    </row>
    <row r="79" spans="1:45" x14ac:dyDescent="0.25">
      <c r="A79" s="37">
        <v>44543</v>
      </c>
      <c r="B79" s="39">
        <v>4620.6401370000003</v>
      </c>
      <c r="C79" s="36">
        <f>IF(ISBLANK(B80), "", GSPC[[#This Row],[Adj Close]]/B80-1)</f>
        <v>-1.9392931823748794E-2</v>
      </c>
      <c r="D7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58411.402581000002</v>
      </c>
      <c r="E7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34721.737631000004</v>
      </c>
      <c r="F79" s="11">
        <f>IF(ISBLANK(GSPC[[#This Row],[Long Exp.]]), "", (GSPC[[#This Row],[Long Exp.]]/D80-1)+(E80/GSPC[[#This Row],[Short Exp.]]-1))</f>
        <v>6.0755062165064988E-2</v>
      </c>
      <c r="G79" s="37">
        <v>44543</v>
      </c>
      <c r="H79" s="44">
        <v>12.209453999999999</v>
      </c>
      <c r="I79" s="36">
        <f>IF(ISBLANK(H80), "", Long0[[#This Row],[Adj Close]]/H80-1)</f>
        <v>2.5984276781088722E-2</v>
      </c>
      <c r="J79" s="29">
        <v>44543</v>
      </c>
      <c r="K79" s="44">
        <v>42.388592000000003</v>
      </c>
      <c r="L79" s="33">
        <f>IF(ISBLANK(K80),"",Long1[[#This Row],[Adj Close]]/K80-1)</f>
        <v>-5.7844721206903871E-2</v>
      </c>
      <c r="M79" s="37">
        <v>44543</v>
      </c>
      <c r="N79" s="44">
        <v>35.766857000000002</v>
      </c>
      <c r="O79" s="36">
        <f>IF(ISBLANK(N80),"",Long2[[#This Row],[Adj Close]]/N80-1)</f>
        <v>-7.6211240065419128E-3</v>
      </c>
      <c r="P79" s="29">
        <v>44543</v>
      </c>
      <c r="Q79" s="44">
        <v>28.379014999999999</v>
      </c>
      <c r="R79" s="33">
        <f>IF(ISBLANK(Q80),"",Long3[[#This Row],[Adj Close]]/Q80-1)</f>
        <v>4.3738999995660111E-2</v>
      </c>
      <c r="S79" s="37">
        <v>44543</v>
      </c>
      <c r="T79" s="44">
        <v>83.455444</v>
      </c>
      <c r="U79" s="36">
        <f>IF(ISBLANK(T80),"",Long4[[#This Row],[Adj Close]]/T80-1)</f>
        <v>2.6792316385755299E-3</v>
      </c>
      <c r="V79" s="29">
        <v>44543</v>
      </c>
      <c r="W79" s="44">
        <v>157.611099</v>
      </c>
      <c r="X79" s="33">
        <f>IF(ISBLANK(W80),"",Long5[[#This Row],[Adj Close]]/W80-1)</f>
        <v>4.5804815497310081E-3</v>
      </c>
      <c r="Y79" s="37">
        <v>44543</v>
      </c>
      <c r="Z79" s="44">
        <v>151.737076</v>
      </c>
      <c r="AA79" s="36">
        <f>IF(ISBLANK(Z80),"",Long6[[#This Row],[Adj Close]]/Z80-1)</f>
        <v>-2.3791176995660912E-2</v>
      </c>
      <c r="AH79" s="29">
        <v>44543</v>
      </c>
      <c r="AI79" s="44">
        <v>35.439999</v>
      </c>
      <c r="AJ79" s="33">
        <f>IF(ISBLANK(AI80),"",Short0[[#This Row],[Adj Close]]/AI80-1)</f>
        <v>-5.8948513011152337E-2</v>
      </c>
      <c r="AK79" s="37">
        <v>44543</v>
      </c>
      <c r="AL79" s="44">
        <v>93.944366000000002</v>
      </c>
      <c r="AM79" s="36">
        <f>IF(ISBLANK(AL80),"",Short1[[#This Row],[Adj Close]]/AL80-1)</f>
        <v>-3.6505513549667912E-2</v>
      </c>
      <c r="AN79" s="29">
        <v>44543</v>
      </c>
      <c r="AO79" s="44">
        <v>103.172173</v>
      </c>
      <c r="AP79" s="33">
        <f>IF(ISBLANK(AO80),"",Short2[[#This Row],[Adj Close]]/AO80-1)</f>
        <v>-9.4688237009120102E-2</v>
      </c>
      <c r="AQ79" s="37">
        <v>44543</v>
      </c>
      <c r="AR79" s="44">
        <v>111.339996</v>
      </c>
      <c r="AS79" s="36">
        <f>IF(ISBLANK(AR80),"",Short3[[#This Row],[Adj Close]]/AR80-1)</f>
        <v>4.5110070195237828E-3</v>
      </c>
    </row>
    <row r="80" spans="1:45" x14ac:dyDescent="0.25">
      <c r="A80" s="37">
        <v>44536</v>
      </c>
      <c r="B80" s="39">
        <v>4712.0200199999999</v>
      </c>
      <c r="C80" s="36">
        <f>IF(ISBLANK(B81), "", GSPC[[#This Row],[Adj Close]]/B81-1)</f>
        <v>3.8248874008896872E-2</v>
      </c>
      <c r="D8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58104.562203000001</v>
      </c>
      <c r="E8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36647.899328</v>
      </c>
      <c r="F80" s="11">
        <f>IF(ISBLANK(GSPC[[#This Row],[Long Exp.]]), "", (GSPC[[#This Row],[Long Exp.]]/D81-1)+(E81/GSPC[[#This Row],[Short Exp.]]-1))</f>
        <v>2.5836502235768721E-2</v>
      </c>
      <c r="G80" s="37">
        <v>44536</v>
      </c>
      <c r="H80" s="44">
        <v>11.900235</v>
      </c>
      <c r="I80" s="36">
        <f>IF(ISBLANK(H81), "", Long0[[#This Row],[Adj Close]]/H81-1)</f>
        <v>4.0983680409975021E-2</v>
      </c>
      <c r="J80" s="29">
        <v>44536</v>
      </c>
      <c r="K80" s="44">
        <v>44.991089000000002</v>
      </c>
      <c r="L80" s="33">
        <f>IF(ISBLANK(K81),"",Long1[[#This Row],[Adj Close]]/K81-1)</f>
        <v>2.8804337859124507E-2</v>
      </c>
      <c r="M80" s="37">
        <v>44536</v>
      </c>
      <c r="N80" s="44">
        <v>36.041533999999999</v>
      </c>
      <c r="O80" s="36">
        <f>IF(ISBLANK(N81),"",Long2[[#This Row],[Adj Close]]/N81-1)</f>
        <v>7.0058028285263418E-2</v>
      </c>
      <c r="P80" s="29">
        <v>44536</v>
      </c>
      <c r="Q80" s="44">
        <v>27.189762000000002</v>
      </c>
      <c r="R80" s="33">
        <f>IF(ISBLANK(Q81),"",Long3[[#This Row],[Adj Close]]/Q81-1)</f>
        <v>2.4423824698833752E-3</v>
      </c>
      <c r="S80" s="37">
        <v>44536</v>
      </c>
      <c r="T80" s="44">
        <v>83.232444999999998</v>
      </c>
      <c r="U80" s="36">
        <f>IF(ISBLANK(T81),"",Long4[[#This Row],[Adj Close]]/T81-1)</f>
        <v>2.4096316609830248E-2</v>
      </c>
      <c r="V80" s="29">
        <v>44536</v>
      </c>
      <c r="W80" s="44">
        <v>156.89245600000001</v>
      </c>
      <c r="X80" s="33">
        <f>IF(ISBLANK(W81),"",Long5[[#This Row],[Adj Close]]/W81-1)</f>
        <v>5.3464688321078313E-2</v>
      </c>
      <c r="Y80" s="37">
        <v>44536</v>
      </c>
      <c r="Z80" s="44">
        <v>155.435059</v>
      </c>
      <c r="AA80" s="36">
        <f>IF(ISBLANK(Z81),"",Long6[[#This Row],[Adj Close]]/Z81-1)</f>
        <v>9.0569268382199919E-2</v>
      </c>
      <c r="AH80" s="29">
        <v>44536</v>
      </c>
      <c r="AI80" s="44">
        <v>37.659999999999997</v>
      </c>
      <c r="AJ80" s="33">
        <f>IF(ISBLANK(AI81),"",Short0[[#This Row],[Adj Close]]/AI81-1)</f>
        <v>9.8599798675606642E-2</v>
      </c>
      <c r="AK80" s="37">
        <v>44536</v>
      </c>
      <c r="AL80" s="44">
        <v>97.503792000000004</v>
      </c>
      <c r="AM80" s="36">
        <f>IF(ISBLANK(AL81),"",Short1[[#This Row],[Adj Close]]/AL81-1)</f>
        <v>-1.9363331066055367E-2</v>
      </c>
      <c r="AN80" s="29">
        <v>44536</v>
      </c>
      <c r="AO80" s="44">
        <v>113.963142</v>
      </c>
      <c r="AP80" s="33">
        <f>IF(ISBLANK(AO81),"",Short2[[#This Row],[Adj Close]]/AO81-1)</f>
        <v>4.0865389401611996E-2</v>
      </c>
      <c r="AQ80" s="37">
        <v>44536</v>
      </c>
      <c r="AR80" s="44">
        <v>110.839996</v>
      </c>
      <c r="AS80" s="36">
        <f>IF(ISBLANK(AR81),"",Short3[[#This Row],[Adj Close]]/AR81-1)</f>
        <v>-2.9507074945338219E-2</v>
      </c>
    </row>
    <row r="81" spans="1:45" x14ac:dyDescent="0.25">
      <c r="A81" s="37">
        <v>44529</v>
      </c>
      <c r="B81" s="39">
        <v>4538.4301759999998</v>
      </c>
      <c r="C81" s="36">
        <f>IF(ISBLANK(B82), "", GSPC[[#This Row],[Adj Close]]/B82-1)</f>
        <v>-1.2229507460714495E-2</v>
      </c>
      <c r="D8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55670.089246999996</v>
      </c>
      <c r="E8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35992.127088000001</v>
      </c>
      <c r="F81" s="11">
        <f>IF(ISBLANK(GSPC[[#This Row],[Long Exp.]]), "", (GSPC[[#This Row],[Long Exp.]]/D82-1)+(E82/GSPC[[#This Row],[Short Exp.]]-1))</f>
        <v>1.9436024485451897E-2</v>
      </c>
      <c r="G81" s="37">
        <v>44529</v>
      </c>
      <c r="H81" s="44">
        <v>11.431721</v>
      </c>
      <c r="I81" s="36">
        <f>IF(ISBLANK(H82), "", Long0[[#This Row],[Adj Close]]/H82-1)</f>
        <v>-3.5021993205990642E-2</v>
      </c>
      <c r="J81" s="29">
        <v>44529</v>
      </c>
      <c r="K81" s="44">
        <v>43.731434</v>
      </c>
      <c r="L81" s="33">
        <f>IF(ISBLANK(K82),"",Long1[[#This Row],[Adj Close]]/K82-1)</f>
        <v>-3.1196509727936972E-2</v>
      </c>
      <c r="M81" s="37">
        <v>44529</v>
      </c>
      <c r="N81" s="44">
        <v>33.681849999999997</v>
      </c>
      <c r="O81" s="36">
        <f>IF(ISBLANK(N82),"",Long2[[#This Row],[Adj Close]]/N82-1)</f>
        <v>-2.5764453775149354E-2</v>
      </c>
      <c r="P81" s="29">
        <v>44529</v>
      </c>
      <c r="Q81" s="44">
        <v>27.123515999999999</v>
      </c>
      <c r="R81" s="33">
        <f>IF(ISBLANK(Q82),"",Long3[[#This Row],[Adj Close]]/Q82-1)</f>
        <v>1.7033324896650548E-2</v>
      </c>
      <c r="S81" s="37">
        <v>44529</v>
      </c>
      <c r="T81" s="44">
        <v>81.274039999999999</v>
      </c>
      <c r="U81" s="36">
        <f>IF(ISBLANK(T82),"",Long4[[#This Row],[Adj Close]]/T82-1)</f>
        <v>3.5915480479065121E-3</v>
      </c>
      <c r="V81" s="29">
        <v>44529</v>
      </c>
      <c r="W81" s="44">
        <v>148.92996199999999</v>
      </c>
      <c r="X81" s="33">
        <f>IF(ISBLANK(W82),"",Long5[[#This Row],[Adj Close]]/W82-1)</f>
        <v>-7.2392066346014472E-2</v>
      </c>
      <c r="Y81" s="37">
        <v>44529</v>
      </c>
      <c r="Z81" s="44">
        <v>142.526535</v>
      </c>
      <c r="AA81" s="36">
        <f>IF(ISBLANK(Z82),"",Long6[[#This Row],[Adj Close]]/Z82-1)</f>
        <v>6.2304392675560649E-4</v>
      </c>
      <c r="AH81" s="29">
        <v>44529</v>
      </c>
      <c r="AI81" s="44">
        <v>34.279998999999997</v>
      </c>
      <c r="AJ81" s="33">
        <f>IF(ISBLANK(AI82),"",Short0[[#This Row],[Adj Close]]/AI82-1)</f>
        <v>-9.4797995637655119E-2</v>
      </c>
      <c r="AK81" s="37">
        <v>44529</v>
      </c>
      <c r="AL81" s="44">
        <v>99.429069999999996</v>
      </c>
      <c r="AM81" s="36">
        <f>IF(ISBLANK(AL82),"",Short1[[#This Row],[Adj Close]]/AL82-1)</f>
        <v>-7.7546415282431336E-2</v>
      </c>
      <c r="AN81" s="29">
        <v>44529</v>
      </c>
      <c r="AO81" s="44">
        <v>109.488838</v>
      </c>
      <c r="AP81" s="33">
        <f>IF(ISBLANK(AO82),"",Short2[[#This Row],[Adj Close]]/AO82-1)</f>
        <v>4.9327352369100907E-2</v>
      </c>
      <c r="AQ81" s="37">
        <v>44529</v>
      </c>
      <c r="AR81" s="44">
        <v>114.209999</v>
      </c>
      <c r="AS81" s="36">
        <f>IF(ISBLANK(AR82),"",Short3[[#This Row],[Adj Close]]/AR82-1)</f>
        <v>-8.5222260075646927E-2</v>
      </c>
    </row>
    <row r="82" spans="1:45" x14ac:dyDescent="0.25">
      <c r="A82" s="37">
        <v>44522</v>
      </c>
      <c r="B82" s="39">
        <v>4594.6201170000004</v>
      </c>
      <c r="C82" s="36">
        <f>IF(ISBLANK(B83), "", GSPC[[#This Row],[Adj Close]]/B83-1)</f>
        <v>-2.1996748558496093E-2</v>
      </c>
      <c r="D8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56974.450871000008</v>
      </c>
      <c r="E8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37515.667472999994</v>
      </c>
      <c r="F82" s="11">
        <f>IF(ISBLANK(GSPC[[#This Row],[Long Exp.]]), "", (GSPC[[#This Row],[Long Exp.]]/D83-1)+(E83/GSPC[[#This Row],[Short Exp.]]-1))</f>
        <v>4.8218715388729905E-2</v>
      </c>
      <c r="G82" s="37">
        <v>44522</v>
      </c>
      <c r="H82" s="44">
        <v>11.846613</v>
      </c>
      <c r="I82" s="36">
        <f>IF(ISBLANK(H83), "", Long0[[#This Row],[Adj Close]]/H83-1)</f>
        <v>-2.5229340247050369E-2</v>
      </c>
      <c r="J82" s="29">
        <v>44522</v>
      </c>
      <c r="K82" s="44">
        <v>45.139633000000003</v>
      </c>
      <c r="L82" s="33">
        <f>IF(ISBLANK(K83),"",Long1[[#This Row],[Adj Close]]/K83-1)</f>
        <v>-3.5668918478517497E-2</v>
      </c>
      <c r="M82" s="37">
        <v>44522</v>
      </c>
      <c r="N82" s="44">
        <v>34.572594000000002</v>
      </c>
      <c r="O82" s="36">
        <f>IF(ISBLANK(N83),"",Long2[[#This Row],[Adj Close]]/N83-1)</f>
        <v>-2.5655274461925504E-2</v>
      </c>
      <c r="P82" s="29">
        <v>44522</v>
      </c>
      <c r="Q82" s="44">
        <v>26.669250000000002</v>
      </c>
      <c r="R82" s="33">
        <f>IF(ISBLANK(Q83),"",Long3[[#This Row],[Adj Close]]/Q83-1)</f>
        <v>-7.7465289964001594E-3</v>
      </c>
      <c r="S82" s="37">
        <v>44522</v>
      </c>
      <c r="T82" s="44">
        <v>80.983185000000006</v>
      </c>
      <c r="U82" s="36">
        <f>IF(ISBLANK(T83),"",Long4[[#This Row],[Adj Close]]/T83-1)</f>
        <v>-1.2647755481701606E-2</v>
      </c>
      <c r="V82" s="29">
        <v>44522</v>
      </c>
      <c r="W82" s="44">
        <v>160.55270400000001</v>
      </c>
      <c r="X82" s="33">
        <f>IF(ISBLANK(W83),"",Long5[[#This Row],[Adj Close]]/W83-1)</f>
        <v>-5.1666848041064251E-2</v>
      </c>
      <c r="Y82" s="37">
        <v>44522</v>
      </c>
      <c r="Z82" s="44">
        <v>142.43779000000001</v>
      </c>
      <c r="AA82" s="36">
        <f>IF(ISBLANK(Z83),"",Long6[[#This Row],[Adj Close]]/Z83-1)</f>
        <v>-6.2443106991428077E-2</v>
      </c>
      <c r="AH82" s="29">
        <v>44522</v>
      </c>
      <c r="AI82" s="44">
        <v>37.869999</v>
      </c>
      <c r="AJ82" s="33">
        <f>IF(ISBLANK(AI83),"",Short0[[#This Row],[Adj Close]]/AI83-1)</f>
        <v>-1.0193387882560856E-2</v>
      </c>
      <c r="AK82" s="37">
        <v>44522</v>
      </c>
      <c r="AL82" s="44">
        <v>107.78761299999999</v>
      </c>
      <c r="AM82" s="36">
        <f>IF(ISBLANK(AL83),"",Short1[[#This Row],[Adj Close]]/AL83-1)</f>
        <v>-0.15690885357917761</v>
      </c>
      <c r="AN82" s="29">
        <v>44522</v>
      </c>
      <c r="AO82" s="44">
        <v>104.341927</v>
      </c>
      <c r="AP82" s="33">
        <f>IF(ISBLANK(AO83),"",Short2[[#This Row],[Adj Close]]/AO83-1)</f>
        <v>-3.9396977444851822E-2</v>
      </c>
      <c r="AQ82" s="37">
        <v>44522</v>
      </c>
      <c r="AR82" s="44">
        <v>124.849998</v>
      </c>
      <c r="AS82" s="36">
        <f>IF(ISBLANK(AR83),"",Short3[[#This Row],[Adj Close]]/AR83-1)</f>
        <v>-5.7664780071523092E-2</v>
      </c>
    </row>
    <row r="83" spans="1:45" x14ac:dyDescent="0.25">
      <c r="A83" s="37">
        <v>44515</v>
      </c>
      <c r="B83" s="39">
        <v>4697.9599609999996</v>
      </c>
      <c r="C83" s="36">
        <f>IF(ISBLANK(B84), "", GSPC[[#This Row],[Adj Close]]/B84-1)</f>
        <v>3.2266381976338021E-3</v>
      </c>
      <c r="D8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58796.963586000005</v>
      </c>
      <c r="E8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40487.487213</v>
      </c>
      <c r="F83" s="11">
        <f>IF(ISBLANK(GSPC[[#This Row],[Long Exp.]]), "", (GSPC[[#This Row],[Long Exp.]]/D84-1)+(E84/GSPC[[#This Row],[Short Exp.]]-1))</f>
        <v>3.3509656001415311E-2</v>
      </c>
      <c r="G83" s="37">
        <v>44515</v>
      </c>
      <c r="H83" s="44">
        <v>12.153231</v>
      </c>
      <c r="I83" s="36">
        <f>IF(ISBLANK(H84), "", Long0[[#This Row],[Adj Close]]/H84-1)</f>
        <v>-7.299791033765024E-2</v>
      </c>
      <c r="J83" s="29">
        <v>44515</v>
      </c>
      <c r="K83" s="44">
        <v>46.809269</v>
      </c>
      <c r="L83" s="33">
        <f>IF(ISBLANK(K84),"",Long1[[#This Row],[Adj Close]]/K84-1)</f>
        <v>-1.3400115729699569E-2</v>
      </c>
      <c r="M83" s="37">
        <v>44515</v>
      </c>
      <c r="N83" s="44">
        <v>35.482917999999998</v>
      </c>
      <c r="O83" s="36">
        <f>IF(ISBLANK(N84),"",Long2[[#This Row],[Adj Close]]/N84-1)</f>
        <v>-3.0489181539769761E-2</v>
      </c>
      <c r="P83" s="29">
        <v>44515</v>
      </c>
      <c r="Q83" s="44">
        <v>26.877457</v>
      </c>
      <c r="R83" s="33">
        <f>IF(ISBLANK(Q84),"",Long3[[#This Row],[Adj Close]]/Q84-1)</f>
        <v>-6.9929752145198032E-3</v>
      </c>
      <c r="S83" s="37">
        <v>44515</v>
      </c>
      <c r="T83" s="44">
        <v>82.020561000000001</v>
      </c>
      <c r="U83" s="36">
        <f>IF(ISBLANK(T84),"",Long4[[#This Row],[Adj Close]]/T84-1)</f>
        <v>-3.1925936537974153E-2</v>
      </c>
      <c r="V83" s="29">
        <v>44515</v>
      </c>
      <c r="W83" s="44">
        <v>169.29989599999999</v>
      </c>
      <c r="X83" s="33">
        <f>IF(ISBLANK(W84),"",Long5[[#This Row],[Adj Close]]/W84-1)</f>
        <v>4.1575966805341036E-2</v>
      </c>
      <c r="Y83" s="37">
        <v>44515</v>
      </c>
      <c r="Z83" s="44">
        <v>151.92442299999999</v>
      </c>
      <c r="AA83" s="36">
        <f>IF(ISBLANK(Z84),"",Long6[[#This Row],[Adj Close]]/Z84-1)</f>
        <v>-0.10715756635751528</v>
      </c>
      <c r="AH83" s="29">
        <v>44515</v>
      </c>
      <c r="AI83" s="44">
        <v>38.259998000000003</v>
      </c>
      <c r="AJ83" s="33">
        <f>IF(ISBLANK(AI84),"",Short0[[#This Row],[Adj Close]]/AI84-1)</f>
        <v>-3.6272114955362311E-2</v>
      </c>
      <c r="AK83" s="37">
        <v>44515</v>
      </c>
      <c r="AL83" s="44">
        <v>127.848114</v>
      </c>
      <c r="AM83" s="36">
        <f>IF(ISBLANK(AL84),"",Short1[[#This Row],[Adj Close]]/AL84-1)</f>
        <v>3.6863821057215862E-3</v>
      </c>
      <c r="AN83" s="29">
        <v>44515</v>
      </c>
      <c r="AO83" s="44">
        <v>108.62127700000001</v>
      </c>
      <c r="AP83" s="33">
        <f>IF(ISBLANK(AO84),"",Short2[[#This Row],[Adj Close]]/AO84-1)</f>
        <v>2.9566729253199586E-2</v>
      </c>
      <c r="AQ83" s="37">
        <v>44515</v>
      </c>
      <c r="AR83" s="44">
        <v>132.490005</v>
      </c>
      <c r="AS83" s="36">
        <f>IF(ISBLANK(AR84),"",Short3[[#This Row],[Adj Close]]/AR84-1)</f>
        <v>-0.21052318273351045</v>
      </c>
    </row>
    <row r="84" spans="1:45" x14ac:dyDescent="0.25">
      <c r="A84" s="37">
        <v>44508</v>
      </c>
      <c r="B84" s="39">
        <v>4682.8500979999999</v>
      </c>
      <c r="C84" s="36">
        <f>IF(ISBLANK(B85), "", GSPC[[#This Row],[Adj Close]]/B85-1)</f>
        <v>-3.1249800792907401E-3</v>
      </c>
      <c r="D8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60355.979485999997</v>
      </c>
      <c r="E8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42890.01483</v>
      </c>
      <c r="F84" s="11">
        <f>IF(ISBLANK(GSPC[[#This Row],[Long Exp.]]), "", (GSPC[[#This Row],[Long Exp.]]/D85-1)+(E85/GSPC[[#This Row],[Short Exp.]]-1))</f>
        <v>-3.2888609489371778E-2</v>
      </c>
      <c r="G84" s="37">
        <v>44508</v>
      </c>
      <c r="H84" s="44">
        <v>13.110251999999999</v>
      </c>
      <c r="I84" s="36">
        <f>IF(ISBLANK(H85), "", Long0[[#This Row],[Adj Close]]/H85-1)</f>
        <v>2.7676577662910651E-2</v>
      </c>
      <c r="J84" s="29">
        <v>44508</v>
      </c>
      <c r="K84" s="44">
        <v>47.445037999999997</v>
      </c>
      <c r="L84" s="33">
        <f>IF(ISBLANK(K85),"",Long1[[#This Row],[Adj Close]]/K85-1)</f>
        <v>1.5903322653206153E-2</v>
      </c>
      <c r="M84" s="37">
        <v>44508</v>
      </c>
      <c r="N84" s="44">
        <v>36.598784999999999</v>
      </c>
      <c r="O84" s="36">
        <f>IF(ISBLANK(N85),"",Long2[[#This Row],[Adj Close]]/N85-1)</f>
        <v>1.0709626691800533E-3</v>
      </c>
      <c r="P84" s="29">
        <v>44508</v>
      </c>
      <c r="Q84" s="44">
        <v>27.066734</v>
      </c>
      <c r="R84" s="33">
        <f>IF(ISBLANK(Q85),"",Long3[[#This Row],[Adj Close]]/Q85-1)</f>
        <v>-4.1782467448849836E-3</v>
      </c>
      <c r="S84" s="37">
        <v>44508</v>
      </c>
      <c r="T84" s="44">
        <v>84.725502000000006</v>
      </c>
      <c r="U84" s="36">
        <f>IF(ISBLANK(T85),"",Long4[[#This Row],[Adj Close]]/T85-1)</f>
        <v>-0.14440950942827357</v>
      </c>
      <c r="V84" s="29">
        <v>44508</v>
      </c>
      <c r="W84" s="44">
        <v>162.54205300000001</v>
      </c>
      <c r="X84" s="33">
        <f>IF(ISBLANK(W85),"",Long5[[#This Row],[Adj Close]]/W85-1)</f>
        <v>1.8533886800355504E-2</v>
      </c>
      <c r="Y84" s="37">
        <v>44508</v>
      </c>
      <c r="Z84" s="44">
        <v>170.15815699999999</v>
      </c>
      <c r="AA84" s="36">
        <f>IF(ISBLANK(Z85),"",Long6[[#This Row],[Adj Close]]/Z85-1)</f>
        <v>-1.0323744953641967E-2</v>
      </c>
      <c r="AH84" s="29">
        <v>44508</v>
      </c>
      <c r="AI84" s="44">
        <v>39.700001</v>
      </c>
      <c r="AJ84" s="33">
        <f>IF(ISBLANK(AI85),"",Short0[[#This Row],[Adj Close]]/AI85-1)</f>
        <v>-6.8949298052281893E-2</v>
      </c>
      <c r="AK84" s="37">
        <v>44508</v>
      </c>
      <c r="AL84" s="44">
        <v>127.37854799999999</v>
      </c>
      <c r="AM84" s="36">
        <f>IF(ISBLANK(AL85),"",Short1[[#This Row],[Adj Close]]/AL85-1)</f>
        <v>5.0825211605347587E-2</v>
      </c>
      <c r="AN84" s="29">
        <v>44508</v>
      </c>
      <c r="AO84" s="44">
        <v>105.50193</v>
      </c>
      <c r="AP84" s="33">
        <f>IF(ISBLANK(AO85),"",Short2[[#This Row],[Adj Close]]/AO85-1)</f>
        <v>3.7779060447045598E-2</v>
      </c>
      <c r="AQ84" s="37">
        <v>44508</v>
      </c>
      <c r="AR84" s="44">
        <v>167.820007</v>
      </c>
      <c r="AS84" s="36">
        <f>IF(ISBLANK(AR85),"",Short3[[#This Row],[Adj Close]]/AR85-1)</f>
        <v>1.0537724611524801E-2</v>
      </c>
    </row>
    <row r="85" spans="1:45" x14ac:dyDescent="0.25">
      <c r="A85" s="37">
        <v>44501</v>
      </c>
      <c r="B85" s="39">
        <v>4697.5297849999997</v>
      </c>
      <c r="C85" s="36">
        <f>IF(ISBLANK(B86), "", GSPC[[#This Row],[Adj Close]]/B86-1)</f>
        <v>2.0009185852432276E-2</v>
      </c>
      <c r="D8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61418.611329000007</v>
      </c>
      <c r="E8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42221.481893999997</v>
      </c>
      <c r="F85" s="11">
        <f>IF(ISBLANK(GSPC[[#This Row],[Long Exp.]]), "", (GSPC[[#This Row],[Long Exp.]]/D86-1)+(E86/GSPC[[#This Row],[Short Exp.]]-1))</f>
        <v>-6.3480918841185452E-2</v>
      </c>
      <c r="G85" s="37">
        <v>44501</v>
      </c>
      <c r="H85" s="44">
        <v>12.757177</v>
      </c>
      <c r="I85" s="36">
        <f>IF(ISBLANK(H86), "", Long0[[#This Row],[Adj Close]]/H86-1)</f>
        <v>2.8464291210738901E-2</v>
      </c>
      <c r="J85" s="29">
        <v>44501</v>
      </c>
      <c r="K85" s="44">
        <v>46.702316000000003</v>
      </c>
      <c r="L85" s="33">
        <f>IF(ISBLANK(K86),"",Long1[[#This Row],[Adj Close]]/K86-1)</f>
        <v>-8.3916106412049496E-2</v>
      </c>
      <c r="M85" s="37">
        <v>44501</v>
      </c>
      <c r="N85" s="44">
        <v>36.559631000000003</v>
      </c>
      <c r="O85" s="36">
        <f>IF(ISBLANK(N86),"",Long2[[#This Row],[Adj Close]]/N86-1)</f>
        <v>-0.10151567185310661</v>
      </c>
      <c r="P85" s="29">
        <v>44501</v>
      </c>
      <c r="Q85" s="44">
        <v>27.180299999999999</v>
      </c>
      <c r="R85" s="33">
        <f>IF(ISBLANK(Q86),"",Long3[[#This Row],[Adj Close]]/Q86-1)</f>
        <v>-2.777735992905761E-3</v>
      </c>
      <c r="S85" s="37">
        <v>44501</v>
      </c>
      <c r="T85" s="44">
        <v>99.025763999999995</v>
      </c>
      <c r="U85" s="36">
        <f>IF(ISBLANK(T86),"",Long4[[#This Row],[Adj Close]]/T86-1)</f>
        <v>8.2106043497868653E-2</v>
      </c>
      <c r="V85" s="29">
        <v>44501</v>
      </c>
      <c r="W85" s="44">
        <v>159.58433500000001</v>
      </c>
      <c r="X85" s="33">
        <f>IF(ISBLANK(W86),"",Long5[[#This Row],[Adj Close]]/W86-1)</f>
        <v>-3.3339088639791847E-2</v>
      </c>
      <c r="Y85" s="37">
        <v>44501</v>
      </c>
      <c r="Z85" s="44">
        <v>171.93315100000001</v>
      </c>
      <c r="AA85" s="36">
        <f>IF(ISBLANK(Z86),"",Long6[[#This Row],[Adj Close]]/Z86-1)</f>
        <v>-4.8307966525409363E-2</v>
      </c>
      <c r="AH85" s="29">
        <v>44501</v>
      </c>
      <c r="AI85" s="44">
        <v>42.639999000000003</v>
      </c>
      <c r="AJ85" s="33">
        <f>IF(ISBLANK(AI86),"",Short0[[#This Row],[Adj Close]]/AI86-1)</f>
        <v>9.8685851618504294E-2</v>
      </c>
      <c r="AK85" s="37">
        <v>44501</v>
      </c>
      <c r="AL85" s="44">
        <v>121.217636</v>
      </c>
      <c r="AM85" s="36">
        <f>IF(ISBLANK(AL86),"",Short1[[#This Row],[Adj Close]]/AL86-1)</f>
        <v>5.5873743677808729E-2</v>
      </c>
      <c r="AN85" s="29">
        <v>44501</v>
      </c>
      <c r="AO85" s="44">
        <v>101.66126300000001</v>
      </c>
      <c r="AP85" s="33">
        <f>IF(ISBLANK(AO86),"",Short2[[#This Row],[Adj Close]]/AO86-1)</f>
        <v>4.3630683830971906E-2</v>
      </c>
      <c r="AQ85" s="37">
        <v>44501</v>
      </c>
      <c r="AR85" s="44">
        <v>166.070007</v>
      </c>
      <c r="AS85" s="36">
        <f>IF(ISBLANK(AR86),"",Short3[[#This Row],[Adj Close]]/AR86-1)</f>
        <v>7.5840307420931286E-3</v>
      </c>
    </row>
    <row r="86" spans="1:45" x14ac:dyDescent="0.25">
      <c r="A86" s="37">
        <v>44494</v>
      </c>
      <c r="B86" s="39">
        <v>4605.3798829999996</v>
      </c>
      <c r="C86" s="36">
        <f>IF(ISBLANK(B87), "", GSPC[[#This Row],[Adj Close]]/B87-1)</f>
        <v>1.330721958769332E-2</v>
      </c>
      <c r="D8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62715.467120999994</v>
      </c>
      <c r="E8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40414.296306000004</v>
      </c>
      <c r="F86" s="11">
        <f>IF(ISBLANK(GSPC[[#This Row],[Long Exp.]]), "", (GSPC[[#This Row],[Long Exp.]]/D87-1)+(E87/GSPC[[#This Row],[Short Exp.]]-1))</f>
        <v>-7.7994503670865134E-3</v>
      </c>
      <c r="G86" s="37">
        <v>44494</v>
      </c>
      <c r="H86" s="44">
        <v>12.404102999999999</v>
      </c>
      <c r="I86" s="36">
        <f>IF(ISBLANK(H87), "", Long0[[#This Row],[Adj Close]]/H87-1)</f>
        <v>-4.2324075799064831E-2</v>
      </c>
      <c r="J86" s="29">
        <v>44494</v>
      </c>
      <c r="K86" s="44">
        <v>50.980392000000002</v>
      </c>
      <c r="L86" s="33">
        <f>IF(ISBLANK(K87),"",Long1[[#This Row],[Adj Close]]/K87-1)</f>
        <v>2.8050195965438895E-3</v>
      </c>
      <c r="M86" s="37">
        <v>44494</v>
      </c>
      <c r="N86" s="44">
        <v>40.690337999999997</v>
      </c>
      <c r="O86" s="36">
        <f>IF(ISBLANK(N87),"",Long2[[#This Row],[Adj Close]]/N87-1)</f>
        <v>-1.0473452054943211E-2</v>
      </c>
      <c r="P86" s="29">
        <v>44494</v>
      </c>
      <c r="Q86" s="44">
        <v>27.25601</v>
      </c>
      <c r="R86" s="33">
        <f>IF(ISBLANK(Q87),"",Long3[[#This Row],[Adj Close]]/Q87-1)</f>
        <v>-1.1328547090593388E-2</v>
      </c>
      <c r="S86" s="37">
        <v>44494</v>
      </c>
      <c r="T86" s="44">
        <v>91.512069999999994</v>
      </c>
      <c r="U86" s="36">
        <f>IF(ISBLANK(T87),"",Long4[[#This Row],[Adj Close]]/T87-1)</f>
        <v>5.3001416640152677E-4</v>
      </c>
      <c r="V86" s="29">
        <v>44494</v>
      </c>
      <c r="W86" s="44">
        <v>165.08822599999999</v>
      </c>
      <c r="X86" s="33">
        <f>IF(ISBLANK(W87),"",Long5[[#This Row],[Adj Close]]/W87-1)</f>
        <v>-4.055942236931287E-4</v>
      </c>
      <c r="Y86" s="37">
        <v>44494</v>
      </c>
      <c r="Z86" s="44">
        <v>180.660492</v>
      </c>
      <c r="AA86" s="36">
        <f>IF(ISBLANK(Z87),"",Long6[[#This Row],[Adj Close]]/Z87-1)</f>
        <v>5.6577636684622012E-2</v>
      </c>
      <c r="AH86" s="29">
        <v>44494</v>
      </c>
      <c r="AI86" s="44">
        <v>38.810001</v>
      </c>
      <c r="AJ86" s="33">
        <f>IF(ISBLANK(AI87),"",Short0[[#This Row],[Adj Close]]/AI87-1)</f>
        <v>2.1315815789473724E-2</v>
      </c>
      <c r="AK86" s="37">
        <v>44494</v>
      </c>
      <c r="AL86" s="44">
        <v>114.80315400000001</v>
      </c>
      <c r="AM86" s="36">
        <f>IF(ISBLANK(AL87),"",Short1[[#This Row],[Adj Close]]/AL87-1)</f>
        <v>3.2519662438662778E-2</v>
      </c>
      <c r="AN86" s="29">
        <v>44494</v>
      </c>
      <c r="AO86" s="44">
        <v>97.411147999999997</v>
      </c>
      <c r="AP86" s="33">
        <f>IF(ISBLANK(AO87),"",Short2[[#This Row],[Adj Close]]/AO87-1)</f>
        <v>-5.6715759569668789E-3</v>
      </c>
      <c r="AQ86" s="37">
        <v>44494</v>
      </c>
      <c r="AR86" s="44">
        <v>164.820007</v>
      </c>
      <c r="AS86" s="36">
        <f>IF(ISBLANK(AR87),"",Short3[[#This Row],[Adj Close]]/AR87-1)</f>
        <v>-1.5823693701417008E-2</v>
      </c>
    </row>
    <row r="87" spans="1:45" x14ac:dyDescent="0.25">
      <c r="A87" s="37">
        <v>44487</v>
      </c>
      <c r="B87" s="39">
        <v>4544.8999020000001</v>
      </c>
      <c r="C87" s="36">
        <f>IF(ISBLANK(B88), "", GSPC[[#This Row],[Adj Close]]/B88-1)</f>
        <v>1.6444575840510733E-2</v>
      </c>
      <c r="D8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62885.916633000001</v>
      </c>
      <c r="E8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40208.628181</v>
      </c>
      <c r="F87" s="11">
        <f>IF(ISBLANK(GSPC[[#This Row],[Long Exp.]]), "", (GSPC[[#This Row],[Long Exp.]]/D88-1)+(E88/GSPC[[#This Row],[Short Exp.]]-1))</f>
        <v>-3.0223362231511786E-3</v>
      </c>
      <c r="G87" s="37">
        <v>44487</v>
      </c>
      <c r="H87" s="44">
        <v>12.952297</v>
      </c>
      <c r="I87" s="36">
        <f>IF(ISBLANK(H88), "", Long0[[#This Row],[Adj Close]]/H88-1)</f>
        <v>3.5661123970399444E-2</v>
      </c>
      <c r="J87" s="29">
        <v>44487</v>
      </c>
      <c r="K87" s="44">
        <v>50.837791000000003</v>
      </c>
      <c r="L87" s="33">
        <f>IF(ISBLANK(K88),"",Long1[[#This Row],[Adj Close]]/K88-1)</f>
        <v>6.6699926601393678E-2</v>
      </c>
      <c r="M87" s="37">
        <v>44487</v>
      </c>
      <c r="N87" s="44">
        <v>41.121017000000002</v>
      </c>
      <c r="O87" s="36">
        <f>IF(ISBLANK(N88),"",Long2[[#This Row],[Adj Close]]/N88-1)</f>
        <v>1.3021138385390207E-2</v>
      </c>
      <c r="P87" s="29">
        <v>44487</v>
      </c>
      <c r="Q87" s="44">
        <v>27.568318999999999</v>
      </c>
      <c r="R87" s="33">
        <f>IF(ISBLANK(Q88),"",Long3[[#This Row],[Adj Close]]/Q88-1)</f>
        <v>9.7053359533310068E-3</v>
      </c>
      <c r="S87" s="37">
        <v>44487</v>
      </c>
      <c r="T87" s="44">
        <v>91.463593000000003</v>
      </c>
      <c r="U87" s="36">
        <f>IF(ISBLANK(T88),"",Long4[[#This Row],[Adj Close]]/T88-1)</f>
        <v>1.9891882995364929E-2</v>
      </c>
      <c r="V87" s="29">
        <v>44487</v>
      </c>
      <c r="W87" s="44">
        <v>165.15521200000001</v>
      </c>
      <c r="X87" s="33">
        <f>IF(ISBLANK(W88),"",Long5[[#This Row],[Adj Close]]/W88-1)</f>
        <v>4.1902139763010382E-3</v>
      </c>
      <c r="Y87" s="37">
        <v>44487</v>
      </c>
      <c r="Z87" s="44">
        <v>170.986481</v>
      </c>
      <c r="AA87" s="36">
        <f>IF(ISBLANK(Z88),"",Long6[[#This Row],[Adj Close]]/Z88-1)</f>
        <v>-1.9342779242857877E-2</v>
      </c>
      <c r="AH87" s="29">
        <v>44487</v>
      </c>
      <c r="AI87" s="44">
        <v>38</v>
      </c>
      <c r="AJ87" s="33">
        <f>IF(ISBLANK(AI88),"",Short0[[#This Row],[Adj Close]]/AI88-1)</f>
        <v>-5.2369030043343145E-2</v>
      </c>
      <c r="AK87" s="37">
        <v>44487</v>
      </c>
      <c r="AL87" s="44">
        <v>111.187378</v>
      </c>
      <c r="AM87" s="36">
        <f>IF(ISBLANK(AL88),"",Short1[[#This Row],[Adj Close]]/AL88-1)</f>
        <v>4.1798681463473875E-2</v>
      </c>
      <c r="AN87" s="29">
        <v>44487</v>
      </c>
      <c r="AO87" s="44">
        <v>97.966774000000001</v>
      </c>
      <c r="AP87" s="33">
        <f>IF(ISBLANK(AO88),"",Short2[[#This Row],[Adj Close]]/AO88-1)</f>
        <v>3.7546130330675886E-2</v>
      </c>
      <c r="AQ87" s="37">
        <v>44487</v>
      </c>
      <c r="AR87" s="44">
        <v>167.470001</v>
      </c>
      <c r="AS87" s="36">
        <f>IF(ISBLANK(AR88),"",Short3[[#This Row],[Adj Close]]/AR88-1)</f>
        <v>1.4969703030303094E-2</v>
      </c>
    </row>
    <row r="88" spans="1:45" x14ac:dyDescent="0.25">
      <c r="A88" s="37">
        <v>44480</v>
      </c>
      <c r="B88" s="39">
        <v>4471.3701170000004</v>
      </c>
      <c r="C88" s="36">
        <f>IF(ISBLANK(B89), "", GSPC[[#This Row],[Adj Close]]/B89-1)</f>
        <v>1.8224568319245016E-2</v>
      </c>
      <c r="D8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62044.590553999995</v>
      </c>
      <c r="E8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39541.874261999998</v>
      </c>
      <c r="F88" s="11">
        <f>IF(ISBLANK(GSPC[[#This Row],[Long Exp.]]), "", (GSPC[[#This Row],[Long Exp.]]/D89-1)+(E89/GSPC[[#This Row],[Short Exp.]]-1))</f>
        <v>-2.5812221696143944E-2</v>
      </c>
      <c r="G88" s="37">
        <v>44480</v>
      </c>
      <c r="H88" s="44">
        <v>12.506308000000001</v>
      </c>
      <c r="I88" s="36">
        <f>IF(ISBLANK(H89), "", Long0[[#This Row],[Adj Close]]/H89-1)</f>
        <v>-1.2472420422129593E-2</v>
      </c>
      <c r="J88" s="29">
        <v>44480</v>
      </c>
      <c r="K88" s="44">
        <v>47.658943000000001</v>
      </c>
      <c r="L88" s="33">
        <f>IF(ISBLANK(K89),"",Long1[[#This Row],[Adj Close]]/K89-1)</f>
        <v>2.5965732113717443E-2</v>
      </c>
      <c r="M88" s="37">
        <v>44480</v>
      </c>
      <c r="N88" s="44">
        <v>40.592457000000003</v>
      </c>
      <c r="O88" s="36">
        <f>IF(ISBLANK(N89),"",Long2[[#This Row],[Adj Close]]/N89-1)</f>
        <v>2.6485204980025934E-2</v>
      </c>
      <c r="P88" s="29">
        <v>44480</v>
      </c>
      <c r="Q88" s="44">
        <v>27.303331</v>
      </c>
      <c r="R88" s="33">
        <f>IF(ISBLANK(Q89),"",Long3[[#This Row],[Adj Close]]/Q89-1)</f>
        <v>1.7277789737716764E-2</v>
      </c>
      <c r="S88" s="37">
        <v>44480</v>
      </c>
      <c r="T88" s="44">
        <v>89.679694999999995</v>
      </c>
      <c r="U88" s="36">
        <f>IF(ISBLANK(T89),"",Long4[[#This Row],[Adj Close]]/T89-1)</f>
        <v>8.6643300921482869E-3</v>
      </c>
      <c r="V88" s="29">
        <v>44480</v>
      </c>
      <c r="W88" s="44">
        <v>164.46606399999999</v>
      </c>
      <c r="X88" s="33">
        <f>IF(ISBLANK(W89),"",Long5[[#This Row],[Adj Close]]/W89-1)</f>
        <v>8.8984671334680243E-2</v>
      </c>
      <c r="Y88" s="37">
        <v>44480</v>
      </c>
      <c r="Z88" s="44">
        <v>174.35907</v>
      </c>
      <c r="AA88" s="36">
        <f>IF(ISBLANK(Z89),"",Long6[[#This Row],[Adj Close]]/Z89-1)</f>
        <v>4.6151034655251832E-2</v>
      </c>
      <c r="AH88" s="29">
        <v>44480</v>
      </c>
      <c r="AI88" s="44">
        <v>40.099997999999999</v>
      </c>
      <c r="AJ88" s="33">
        <f>IF(ISBLANK(AI89),"",Short0[[#This Row],[Adj Close]]/AI89-1)</f>
        <v>4.9188826551835874E-2</v>
      </c>
      <c r="AK88" s="37">
        <v>44480</v>
      </c>
      <c r="AL88" s="44">
        <v>106.72635699999999</v>
      </c>
      <c r="AM88" s="36">
        <f>IF(ISBLANK(AL89),"",Short1[[#This Row],[Adj Close]]/AL89-1)</f>
        <v>5.9580414667789849E-2</v>
      </c>
      <c r="AN88" s="29">
        <v>44480</v>
      </c>
      <c r="AO88" s="44">
        <v>94.421608000000006</v>
      </c>
      <c r="AP88" s="33">
        <f>IF(ISBLANK(AO89),"",Short2[[#This Row],[Adj Close]]/AO89-1)</f>
        <v>3.4843004594122817E-2</v>
      </c>
      <c r="AQ88" s="37">
        <v>44480</v>
      </c>
      <c r="AR88" s="44">
        <v>165</v>
      </c>
      <c r="AS88" s="36">
        <f>IF(ISBLANK(AR89),"",Short3[[#This Row],[Adj Close]]/AR89-1)</f>
        <v>9.3439407293813392E-2</v>
      </c>
    </row>
    <row r="89" spans="1:45" x14ac:dyDescent="0.25">
      <c r="A89" s="37">
        <v>44473</v>
      </c>
      <c r="B89" s="39">
        <v>4391.3398440000001</v>
      </c>
      <c r="C89" s="36">
        <f>IF(ISBLANK(B90), "", GSPC[[#This Row],[Adj Close]]/B90-1)</f>
        <v>7.8722721602237922E-3</v>
      </c>
      <c r="D8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60154.644088999994</v>
      </c>
      <c r="E8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37278.878866999999</v>
      </c>
      <c r="F89" s="11">
        <f>IF(ISBLANK(GSPC[[#This Row],[Long Exp.]]), "", (GSPC[[#This Row],[Long Exp.]]/D90-1)+(E90/GSPC[[#This Row],[Short Exp.]]-1))</f>
        <v>-2.3942052531606195E-2</v>
      </c>
      <c r="G89" s="37">
        <v>44473</v>
      </c>
      <c r="H89" s="44">
        <v>12.664262000000001</v>
      </c>
      <c r="I89" s="36">
        <f>IF(ISBLANK(H90), "", Long0[[#This Row],[Adj Close]]/H90-1)</f>
        <v>2.2057725510034043E-3</v>
      </c>
      <c r="J89" s="29">
        <v>44473</v>
      </c>
      <c r="K89" s="44">
        <v>46.452762999999997</v>
      </c>
      <c r="L89" s="33">
        <f>IF(ISBLANK(K90),"",Long1[[#This Row],[Adj Close]]/K90-1)</f>
        <v>-3.302410332891581E-2</v>
      </c>
      <c r="M89" s="37">
        <v>44473</v>
      </c>
      <c r="N89" s="44">
        <v>39.545096999999998</v>
      </c>
      <c r="O89" s="36">
        <f>IF(ISBLANK(N90),"",Long2[[#This Row],[Adj Close]]/N90-1)</f>
        <v>6.8783199055808319E-2</v>
      </c>
      <c r="P89" s="29">
        <v>44473</v>
      </c>
      <c r="Q89" s="44">
        <v>26.839601999999999</v>
      </c>
      <c r="R89" s="33">
        <f>IF(ISBLANK(Q90),"",Long3[[#This Row],[Adj Close]]/Q90-1)</f>
        <v>1.4306391585515943E-2</v>
      </c>
      <c r="S89" s="37">
        <v>44473</v>
      </c>
      <c r="T89" s="44">
        <v>88.909355000000005</v>
      </c>
      <c r="U89" s="36">
        <f>IF(ISBLANK(T90),"",Long4[[#This Row],[Adj Close]]/T90-1)</f>
        <v>-2.7332292152333904E-2</v>
      </c>
      <c r="V89" s="29">
        <v>44473</v>
      </c>
      <c r="W89" s="44">
        <v>151.02697800000001</v>
      </c>
      <c r="X89" s="33">
        <f>IF(ISBLANK(W90),"",Long5[[#This Row],[Adj Close]]/W90-1)</f>
        <v>-6.8814746392574455E-2</v>
      </c>
      <c r="Y89" s="37">
        <v>44473</v>
      </c>
      <c r="Z89" s="44">
        <v>166.66720599999999</v>
      </c>
      <c r="AA89" s="36">
        <f>IF(ISBLANK(Z90),"",Long6[[#This Row],[Adj Close]]/Z90-1)</f>
        <v>-1.6640414099091227E-2</v>
      </c>
      <c r="AH89" s="29">
        <v>44473</v>
      </c>
      <c r="AI89" s="44">
        <v>38.220001000000003</v>
      </c>
      <c r="AJ89" s="33">
        <f>IF(ISBLANK(AI90),"",Short0[[#This Row],[Adj Close]]/AI90-1)</f>
        <v>1.0476951283395763E-3</v>
      </c>
      <c r="AK89" s="37">
        <v>44473</v>
      </c>
      <c r="AL89" s="44">
        <v>100.72511299999999</v>
      </c>
      <c r="AM89" s="36">
        <f>IF(ISBLANK(AL90),"",Short1[[#This Row],[Adj Close]]/AL90-1)</f>
        <v>1.8421822151101219E-2</v>
      </c>
      <c r="AN89" s="29">
        <v>44473</v>
      </c>
      <c r="AO89" s="44">
        <v>91.242446999999999</v>
      </c>
      <c r="AP89" s="33">
        <f>IF(ISBLANK(AO90),"",Short2[[#This Row],[Adj Close]]/AO90-1)</f>
        <v>1.6008058432990246E-3</v>
      </c>
      <c r="AQ89" s="37">
        <v>44473</v>
      </c>
      <c r="AR89" s="44">
        <v>150.89999399999999</v>
      </c>
      <c r="AS89" s="36">
        <f>IF(ISBLANK(AR90),"",Short3[[#This Row],[Adj Close]]/AR90-1)</f>
        <v>3.9685786410953439E-2</v>
      </c>
    </row>
    <row r="90" spans="1:45" x14ac:dyDescent="0.25">
      <c r="A90" s="37">
        <v>44466</v>
      </c>
      <c r="B90" s="39">
        <v>4357.0400390000004</v>
      </c>
      <c r="C90" s="36">
        <f>IF(ISBLANK(B91), "", GSPC[[#This Row],[Adj Close]]/B91-1)</f>
        <v>-2.2094127106817241E-2</v>
      </c>
      <c r="D9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60611.034815000006</v>
      </c>
      <c r="E9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36667.049572999997</v>
      </c>
      <c r="F90" s="11">
        <f>IF(ISBLANK(GSPC[[#This Row],[Long Exp.]]), "", (GSPC[[#This Row],[Long Exp.]]/D91-1)+(E91/GSPC[[#This Row],[Short Exp.]]-1))</f>
        <v>2.3700404060224001E-3</v>
      </c>
      <c r="G90" s="37">
        <v>44466</v>
      </c>
      <c r="H90" s="44">
        <v>12.636388999999999</v>
      </c>
      <c r="I90" s="36">
        <f>IF(ISBLANK(H91), "", Long0[[#This Row],[Adj Close]]/H91-1)</f>
        <v>1.6442600632642801E-2</v>
      </c>
      <c r="J90" s="29">
        <v>44466</v>
      </c>
      <c r="K90" s="44">
        <v>48.039214999999999</v>
      </c>
      <c r="L90" s="33">
        <f>IF(ISBLANK(K91),"",Long1[[#This Row],[Adj Close]]/K91-1)</f>
        <v>-5.4164758410259584E-2</v>
      </c>
      <c r="M90" s="37">
        <v>44466</v>
      </c>
      <c r="N90" s="44">
        <v>37.000110999999997</v>
      </c>
      <c r="O90" s="36">
        <f>IF(ISBLANK(N91),"",Long2[[#This Row],[Adj Close]]/N91-1)</f>
        <v>5.4099200009481097E-2</v>
      </c>
      <c r="P90" s="29">
        <v>44466</v>
      </c>
      <c r="Q90" s="44">
        <v>26.461040000000001</v>
      </c>
      <c r="R90" s="33">
        <f>IF(ISBLANK(Q91),"",Long3[[#This Row],[Adj Close]]/Q91-1)</f>
        <v>-1.6186004178628366E-2</v>
      </c>
      <c r="S90" s="37">
        <v>44466</v>
      </c>
      <c r="T90" s="44">
        <v>91.407737999999995</v>
      </c>
      <c r="U90" s="36">
        <f>IF(ISBLANK(T91),"",Long4[[#This Row],[Adj Close]]/T91-1)</f>
        <v>-2.4213026967125906E-3</v>
      </c>
      <c r="V90" s="29">
        <v>44466</v>
      </c>
      <c r="W90" s="44">
        <v>162.18789699999999</v>
      </c>
      <c r="X90" s="33">
        <f>IF(ISBLANK(W91),"",Long5[[#This Row],[Adj Close]]/W91-1)</f>
        <v>-6.644634038795505E-2</v>
      </c>
      <c r="Y90" s="37">
        <v>44466</v>
      </c>
      <c r="Z90" s="44">
        <v>169.487549</v>
      </c>
      <c r="AA90" s="36">
        <f>IF(ISBLANK(Z91),"",Long6[[#This Row],[Adj Close]]/Z91-1)</f>
        <v>-9.859968635240357E-2</v>
      </c>
      <c r="AH90" s="29">
        <v>44466</v>
      </c>
      <c r="AI90" s="44">
        <v>38.18</v>
      </c>
      <c r="AJ90" s="33">
        <f>IF(ISBLANK(AI91),"",Short0[[#This Row],[Adj Close]]/AI91-1)</f>
        <v>3.4688290802802557E-2</v>
      </c>
      <c r="AK90" s="37">
        <v>44466</v>
      </c>
      <c r="AL90" s="44">
        <v>98.903137000000001</v>
      </c>
      <c r="AM90" s="36">
        <f>IF(ISBLANK(AL91),"",Short1[[#This Row],[Adj Close]]/AL91-1)</f>
        <v>5.4419829021117305E-3</v>
      </c>
      <c r="AN90" s="29">
        <v>44466</v>
      </c>
      <c r="AO90" s="44">
        <v>91.096619000000004</v>
      </c>
      <c r="AP90" s="33">
        <f>IF(ISBLANK(AO91),"",Short2[[#This Row],[Adj Close]]/AO91-1)</f>
        <v>-6.262508078470308E-2</v>
      </c>
      <c r="AQ90" s="37">
        <v>44466</v>
      </c>
      <c r="AR90" s="44">
        <v>145.13999899999999</v>
      </c>
      <c r="AS90" s="36">
        <f>IF(ISBLANK(AR91),"",Short3[[#This Row],[Adj Close]]/AR91-1)</f>
        <v>-3.957117653425013E-2</v>
      </c>
    </row>
    <row r="91" spans="1:45" x14ac:dyDescent="0.25">
      <c r="A91" s="37">
        <v>44459</v>
      </c>
      <c r="B91" s="39">
        <v>4455.4799800000001</v>
      </c>
      <c r="C91" s="36">
        <f>IF(ISBLANK(B92), "", GSPC[[#This Row],[Adj Close]]/B92-1)</f>
        <v>5.0732676619742456E-3</v>
      </c>
      <c r="D9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61980.056236999997</v>
      </c>
      <c r="E9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37563.857266999999</v>
      </c>
      <c r="F91" s="11">
        <f>IF(ISBLANK(GSPC[[#This Row],[Long Exp.]]), "", (GSPC[[#This Row],[Long Exp.]]/D92-1)+(E92/GSPC[[#This Row],[Short Exp.]]-1))</f>
        <v>1.901534402169891E-2</v>
      </c>
      <c r="G91" s="37">
        <v>44459</v>
      </c>
      <c r="H91" s="44">
        <v>12.431975</v>
      </c>
      <c r="I91" s="36">
        <f>IF(ISBLANK(H92), "", Long0[[#This Row],[Adj Close]]/H92-1)</f>
        <v>-1.4001492483689426E-2</v>
      </c>
      <c r="J91" s="29">
        <v>44459</v>
      </c>
      <c r="K91" s="44">
        <v>50.790256999999997</v>
      </c>
      <c r="L91" s="33">
        <f>IF(ISBLANK(K92),"",Long1[[#This Row],[Adj Close]]/K92-1)</f>
        <v>2.8516430573153118E-2</v>
      </c>
      <c r="M91" s="37">
        <v>44459</v>
      </c>
      <c r="N91" s="44">
        <v>35.101165999999999</v>
      </c>
      <c r="O91" s="36">
        <f>IF(ISBLANK(N92),"",Long2[[#This Row],[Adj Close]]/N92-1)</f>
        <v>6.6944273710323854E-2</v>
      </c>
      <c r="P91" s="29">
        <v>44459</v>
      </c>
      <c r="Q91" s="44">
        <v>26.896384999999999</v>
      </c>
      <c r="R91" s="33">
        <f>IF(ISBLANK(Q92),"",Long3[[#This Row],[Adj Close]]/Q92-1)</f>
        <v>-9.065506073605345E-3</v>
      </c>
      <c r="S91" s="37">
        <v>44459</v>
      </c>
      <c r="T91" s="44">
        <v>91.629600999999994</v>
      </c>
      <c r="U91" s="36">
        <f>IF(ISBLANK(T92),"",Long4[[#This Row],[Adj Close]]/T92-1)</f>
        <v>-2.9029958344536366E-2</v>
      </c>
      <c r="V91" s="29">
        <v>44459</v>
      </c>
      <c r="W91" s="44">
        <v>173.73173499999999</v>
      </c>
      <c r="X91" s="33">
        <f>IF(ISBLANK(W92),"",Long5[[#This Row],[Adj Close]]/W92-1)</f>
        <v>-9.4958315145575733E-3</v>
      </c>
      <c r="Y91" s="37">
        <v>44459</v>
      </c>
      <c r="Z91" s="44">
        <v>188.02694700000001</v>
      </c>
      <c r="AA91" s="36">
        <f>IF(ISBLANK(Z92),"",Long6[[#This Row],[Adj Close]]/Z92-1)</f>
        <v>-2.4962475639676684E-2</v>
      </c>
      <c r="AH91" s="29">
        <v>44459</v>
      </c>
      <c r="AI91" s="44">
        <v>36.900002000000001</v>
      </c>
      <c r="AJ91" s="33">
        <f>IF(ISBLANK(AI92),"",Short0[[#This Row],[Adj Close]]/AI92-1)</f>
        <v>-3.3272100250044567E-2</v>
      </c>
      <c r="AK91" s="37">
        <v>44459</v>
      </c>
      <c r="AL91" s="44">
        <v>98.367821000000006</v>
      </c>
      <c r="AM91" s="36">
        <f>IF(ISBLANK(AL92),"",Short1[[#This Row],[Adj Close]]/AL92-1)</f>
        <v>-3.8472884388460415E-2</v>
      </c>
      <c r="AN91" s="29">
        <v>44459</v>
      </c>
      <c r="AO91" s="44">
        <v>97.182693</v>
      </c>
      <c r="AP91" s="33">
        <f>IF(ISBLANK(AO92),"",Short2[[#This Row],[Adj Close]]/AO92-1)</f>
        <v>-1.3033106418822937E-2</v>
      </c>
      <c r="AQ91" s="37">
        <v>44459</v>
      </c>
      <c r="AR91" s="44">
        <v>151.11999499999999</v>
      </c>
      <c r="AS91" s="36">
        <f>IF(ISBLANK(AR92),"",Short3[[#This Row],[Adj Close]]/AR92-1)</f>
        <v>-4.3484253811334472E-3</v>
      </c>
    </row>
    <row r="92" spans="1:45" x14ac:dyDescent="0.25">
      <c r="A92" s="37">
        <v>44452</v>
      </c>
      <c r="B92" s="39">
        <v>4432.9902339999999</v>
      </c>
      <c r="C92" s="36">
        <f>IF(ISBLANK(B93), "", GSPC[[#This Row],[Adj Close]]/B93-1)</f>
        <v>-5.7394604453261389E-3</v>
      </c>
      <c r="D9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62070.005765000009</v>
      </c>
      <c r="E9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38332.583071000001</v>
      </c>
      <c r="F92" s="11">
        <f>IF(ISBLANK(GSPC[[#This Row],[Long Exp.]]), "", (GSPC[[#This Row],[Long Exp.]]/D93-1)+(E93/GSPC[[#This Row],[Short Exp.]]-1))</f>
        <v>1.1092933129539295E-2</v>
      </c>
      <c r="G92" s="37">
        <v>44452</v>
      </c>
      <c r="H92" s="44">
        <v>12.608513</v>
      </c>
      <c r="I92" s="36">
        <f>IF(ISBLANK(H93), "", Long0[[#This Row],[Adj Close]]/H93-1)</f>
        <v>-1.6666773252490219E-2</v>
      </c>
      <c r="J92" s="29">
        <v>44452</v>
      </c>
      <c r="K92" s="44">
        <v>49.382057000000003</v>
      </c>
      <c r="L92" s="33">
        <f>IF(ISBLANK(K93),"",Long1[[#This Row],[Adj Close]]/K93-1)</f>
        <v>-1.2358859999999972E-2</v>
      </c>
      <c r="M92" s="37">
        <v>44452</v>
      </c>
      <c r="N92" s="44">
        <v>32.898781</v>
      </c>
      <c r="O92" s="36">
        <f>IF(ISBLANK(N93),"",Long2[[#This Row],[Adj Close]]/N93-1)</f>
        <v>5.7583437102507462E-2</v>
      </c>
      <c r="P92" s="29">
        <v>44452</v>
      </c>
      <c r="Q92" s="44">
        <v>27.142444999999999</v>
      </c>
      <c r="R92" s="33">
        <f>IF(ISBLANK(Q93),"",Long3[[#This Row],[Adj Close]]/Q93-1)</f>
        <v>-1.8029581419088614E-2</v>
      </c>
      <c r="S92" s="37">
        <v>44452</v>
      </c>
      <c r="T92" s="44">
        <v>94.369133000000005</v>
      </c>
      <c r="U92" s="36">
        <f>IF(ISBLANK(T93),"",Long4[[#This Row],[Adj Close]]/T93-1)</f>
        <v>-3.9375345356490343E-2</v>
      </c>
      <c r="V92" s="29">
        <v>44452</v>
      </c>
      <c r="W92" s="44">
        <v>175.397278</v>
      </c>
      <c r="X92" s="33">
        <f>IF(ISBLANK(W93),"",Long5[[#This Row],[Adj Close]]/W93-1)</f>
        <v>-3.5347058653260044E-3</v>
      </c>
      <c r="Y92" s="37">
        <v>44452</v>
      </c>
      <c r="Z92" s="44">
        <v>192.84072900000001</v>
      </c>
      <c r="AA92" s="36">
        <f>IF(ISBLANK(Z93),"",Long6[[#This Row],[Adj Close]]/Z93-1)</f>
        <v>-2.2667099372871147E-2</v>
      </c>
      <c r="AH92" s="29">
        <v>44452</v>
      </c>
      <c r="AI92" s="44">
        <v>38.169998</v>
      </c>
      <c r="AJ92" s="33">
        <f>IF(ISBLANK(AI93),"",Short0[[#This Row],[Adj Close]]/AI93-1)</f>
        <v>-8.7715152963671161E-2</v>
      </c>
      <c r="AK92" s="37">
        <v>44452</v>
      </c>
      <c r="AL92" s="44">
        <v>102.303741</v>
      </c>
      <c r="AM92" s="36">
        <f>IF(ISBLANK(AL93),"",Short1[[#This Row],[Adj Close]]/AL93-1)</f>
        <v>-1.5536422718552267E-2</v>
      </c>
      <c r="AN92" s="29">
        <v>44452</v>
      </c>
      <c r="AO92" s="44">
        <v>98.466010999999995</v>
      </c>
      <c r="AP92" s="33">
        <f>IF(ISBLANK(AO93),"",Short2[[#This Row],[Adj Close]]/AO93-1)</f>
        <v>1.5440173146008762E-2</v>
      </c>
      <c r="AQ92" s="37">
        <v>44452</v>
      </c>
      <c r="AR92" s="44">
        <v>151.779999</v>
      </c>
      <c r="AS92" s="36">
        <f>IF(ISBLANK(AR93),"",Short3[[#This Row],[Adj Close]]/AR93-1)</f>
        <v>-1.3454708607551158E-2</v>
      </c>
    </row>
    <row r="93" spans="1:45" x14ac:dyDescent="0.25">
      <c r="A93" s="37">
        <v>44445</v>
      </c>
      <c r="B93" s="39">
        <v>4458.580078</v>
      </c>
      <c r="C93" s="36">
        <f>IF(ISBLANK(B94), "", GSPC[[#This Row],[Adj Close]]/B94-1)</f>
        <v>-1.694439006175541E-2</v>
      </c>
      <c r="D9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62552.974783999991</v>
      </c>
      <c r="E9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39053.768194000004</v>
      </c>
      <c r="F93" s="11">
        <f>IF(ISBLANK(GSPC[[#This Row],[Long Exp.]]), "", (GSPC[[#This Row],[Long Exp.]]/D94-1)+(E94/GSPC[[#This Row],[Short Exp.]]-1))</f>
        <v>1.0249267599486633E-2</v>
      </c>
      <c r="G93" s="37">
        <v>44445</v>
      </c>
      <c r="H93" s="44">
        <v>12.822217999999999</v>
      </c>
      <c r="I93" s="36">
        <f>IF(ISBLANK(H94), "", Long0[[#This Row],[Adj Close]]/H94-1)</f>
        <v>-7.3203398977057188E-2</v>
      </c>
      <c r="J93" s="29">
        <v>44445</v>
      </c>
      <c r="K93" s="44">
        <v>50</v>
      </c>
      <c r="L93" s="33">
        <f>IF(ISBLANK(K94),"",Long1[[#This Row],[Adj Close]]/K94-1)</f>
        <v>-5.0975521242204724E-2</v>
      </c>
      <c r="M93" s="37">
        <v>44445</v>
      </c>
      <c r="N93" s="44">
        <v>31.107503999999999</v>
      </c>
      <c r="O93" s="36">
        <f>IF(ISBLANK(N94),"",Long2[[#This Row],[Adj Close]]/N94-1)</f>
        <v>-9.1992923503666502E-3</v>
      </c>
      <c r="P93" s="29">
        <v>44445</v>
      </c>
      <c r="Q93" s="44">
        <v>27.640796999999999</v>
      </c>
      <c r="R93" s="33">
        <f>IF(ISBLANK(Q94),"",Long3[[#This Row],[Adj Close]]/Q94-1)</f>
        <v>-1.5952011741589778E-2</v>
      </c>
      <c r="S93" s="37">
        <v>44445</v>
      </c>
      <c r="T93" s="44">
        <v>98.237258999999995</v>
      </c>
      <c r="U93" s="36">
        <f>IF(ISBLANK(T94),"",Long4[[#This Row],[Adj Close]]/T94-1)</f>
        <v>-7.9537359045540601E-2</v>
      </c>
      <c r="V93" s="29">
        <v>44445</v>
      </c>
      <c r="W93" s="44">
        <v>176.01945499999999</v>
      </c>
      <c r="X93" s="33">
        <f>IF(ISBLANK(W94),"",Long5[[#This Row],[Adj Close]]/W94-1)</f>
        <v>4.5067043853006084E-2</v>
      </c>
      <c r="Y93" s="37">
        <v>44445</v>
      </c>
      <c r="Z93" s="44">
        <v>197.31324799999999</v>
      </c>
      <c r="AA93" s="36">
        <f>IF(ISBLANK(Z94),"",Long6[[#This Row],[Adj Close]]/Z94-1)</f>
        <v>-4.2728085054880349E-2</v>
      </c>
      <c r="AH93" s="29">
        <v>44445</v>
      </c>
      <c r="AI93" s="44">
        <v>41.84</v>
      </c>
      <c r="AJ93" s="33">
        <f>IF(ISBLANK(AI94),"",Short0[[#This Row],[Adj Close]]/AI94-1)</f>
        <v>-2.9909598193609943E-2</v>
      </c>
      <c r="AK93" s="37">
        <v>44445</v>
      </c>
      <c r="AL93" s="44">
        <v>103.91825900000001</v>
      </c>
      <c r="AM93" s="36">
        <f>IF(ISBLANK(AL94),"",Short1[[#This Row],[Adj Close]]/AL94-1)</f>
        <v>-2.3417014170604933E-2</v>
      </c>
      <c r="AN93" s="29">
        <v>44445</v>
      </c>
      <c r="AO93" s="44">
        <v>96.968795999999998</v>
      </c>
      <c r="AP93" s="33">
        <f>IF(ISBLANK(AO94),"",Short2[[#This Row],[Adj Close]]/AO94-1)</f>
        <v>-5.5581956367812158E-2</v>
      </c>
      <c r="AQ93" s="37">
        <v>44445</v>
      </c>
      <c r="AR93" s="44">
        <v>153.85000600000001</v>
      </c>
      <c r="AS93" s="36">
        <f>IF(ISBLANK(AR94),"",Short3[[#This Row],[Adj Close]]/AR94-1)</f>
        <v>-2.896993146970539E-2</v>
      </c>
    </row>
    <row r="94" spans="1:45" x14ac:dyDescent="0.25">
      <c r="A94" s="37">
        <v>44438</v>
      </c>
      <c r="B94" s="39">
        <v>4535.4301759999998</v>
      </c>
      <c r="C94" s="36">
        <f>IF(ISBLANK(B95), "", GSPC[[#This Row],[Adj Close]]/B95-1)</f>
        <v>5.7790907208425946E-3</v>
      </c>
      <c r="D9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64277.401022999999</v>
      </c>
      <c r="E9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40501.770423000002</v>
      </c>
      <c r="F94" s="11">
        <f>IF(ISBLANK(GSPC[[#This Row],[Long Exp.]]), "", (GSPC[[#This Row],[Long Exp.]]/D95-1)+(E95/GSPC[[#This Row],[Short Exp.]]-1))</f>
        <v>2.848158685083213E-2</v>
      </c>
      <c r="G94" s="37">
        <v>44438</v>
      </c>
      <c r="H94" s="44">
        <v>13.834986000000001</v>
      </c>
      <c r="I94" s="36">
        <f>IF(ISBLANK(H95), "", Long0[[#This Row],[Adj Close]]/H95-1)</f>
        <v>4.4004041397688543E-2</v>
      </c>
      <c r="J94" s="29">
        <v>44438</v>
      </c>
      <c r="K94" s="44">
        <v>52.685679999999998</v>
      </c>
      <c r="L94" s="33">
        <f>IF(ISBLANK(K95),"",Long1[[#This Row],[Adj Close]]/K95-1)</f>
        <v>2.6006384629178037E-3</v>
      </c>
      <c r="M94" s="37">
        <v>44438</v>
      </c>
      <c r="N94" s="44">
        <v>31.396328</v>
      </c>
      <c r="O94" s="36">
        <f>IF(ISBLANK(N95),"",Long2[[#This Row],[Adj Close]]/N95-1)</f>
        <v>-1.5313941300891587E-2</v>
      </c>
      <c r="P94" s="29">
        <v>44438</v>
      </c>
      <c r="Q94" s="44">
        <v>28.088871000000001</v>
      </c>
      <c r="R94" s="33">
        <f>IF(ISBLANK(Q95),"",Long3[[#This Row],[Adj Close]]/Q95-1)</f>
        <v>2.9774095730166428E-2</v>
      </c>
      <c r="S94" s="37">
        <v>44438</v>
      </c>
      <c r="T94" s="44">
        <v>106.72596</v>
      </c>
      <c r="U94" s="36">
        <f>IF(ISBLANK(T95),"",Long4[[#This Row],[Adj Close]]/T95-1)</f>
        <v>2.4634231910990678E-2</v>
      </c>
      <c r="V94" s="29">
        <v>44438</v>
      </c>
      <c r="W94" s="44">
        <v>168.428864</v>
      </c>
      <c r="X94" s="33">
        <f>IF(ISBLANK(W95),"",Long5[[#This Row],[Adj Close]]/W95-1)</f>
        <v>2.3856702911284389E-2</v>
      </c>
      <c r="Y94" s="37">
        <v>44438</v>
      </c>
      <c r="Z94" s="44">
        <v>206.12037699999999</v>
      </c>
      <c r="AA94" s="36">
        <f>IF(ISBLANK(Z95),"",Long6[[#This Row],[Adj Close]]/Z95-1)</f>
        <v>-9.0720871904526046E-4</v>
      </c>
      <c r="AH94" s="29">
        <v>44438</v>
      </c>
      <c r="AI94" s="44">
        <v>43.130001</v>
      </c>
      <c r="AJ94" s="33">
        <f>IF(ISBLANK(AI95),"",Short0[[#This Row],[Adj Close]]/AI95-1)</f>
        <v>-1.7763584604873484E-2</v>
      </c>
      <c r="AK94" s="37">
        <v>44438</v>
      </c>
      <c r="AL94" s="44">
        <v>106.410065</v>
      </c>
      <c r="AM94" s="36">
        <f>IF(ISBLANK(AL95),"",Short1[[#This Row],[Adj Close]]/AL95-1)</f>
        <v>-2.9616990579940383E-2</v>
      </c>
      <c r="AN94" s="29">
        <v>44438</v>
      </c>
      <c r="AO94" s="44">
        <v>102.675713</v>
      </c>
      <c r="AP94" s="33">
        <f>IF(ISBLANK(AO95),"",Short2[[#This Row],[Adj Close]]/AO95-1)</f>
        <v>-2.1767310208622548E-2</v>
      </c>
      <c r="AQ94" s="37">
        <v>44438</v>
      </c>
      <c r="AR94" s="44">
        <v>158.44000199999999</v>
      </c>
      <c r="AS94" s="36">
        <f>IF(ISBLANK(AR95),"",Short3[[#This Row],[Adj Close]]/AR95-1)</f>
        <v>2.1732087753113971E-2</v>
      </c>
    </row>
    <row r="95" spans="1:45" x14ac:dyDescent="0.25">
      <c r="A95" s="37">
        <v>44431</v>
      </c>
      <c r="B95" s="39">
        <v>4509.3701170000004</v>
      </c>
      <c r="C95" s="36">
        <f>IF(ISBLANK(B96), "", GSPC[[#This Row],[Adj Close]]/B96-1)</f>
        <v>1.5242058997827712E-2</v>
      </c>
      <c r="D9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63179.164810000009</v>
      </c>
      <c r="E9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40951.287461</v>
      </c>
      <c r="F95" s="11">
        <f>IF(ISBLANK(GSPC[[#This Row],[Long Exp.]]), "", (GSPC[[#This Row],[Long Exp.]]/D96-1)+(E96/GSPC[[#This Row],[Short Exp.]]-1))</f>
        <v>-4.0328051321736336E-2</v>
      </c>
      <c r="G95" s="37">
        <v>44431</v>
      </c>
      <c r="H95" s="44">
        <v>13.251851</v>
      </c>
      <c r="I95" s="36">
        <f>IF(ISBLANK(H96), "", Long0[[#This Row],[Adj Close]]/H96-1)</f>
        <v>-2.1783499475269363E-2</v>
      </c>
      <c r="J95" s="29">
        <v>44431</v>
      </c>
      <c r="K95" s="44">
        <v>52.549019000000001</v>
      </c>
      <c r="L95" s="33">
        <f>IF(ISBLANK(K96),"",Long1[[#This Row],[Adj Close]]/K96-1)</f>
        <v>4.3047544483285183E-2</v>
      </c>
      <c r="M95" s="37">
        <v>44431</v>
      </c>
      <c r="N95" s="44">
        <v>31.884606999999999</v>
      </c>
      <c r="O95" s="36">
        <f>IF(ISBLANK(N96),"",Long2[[#This Row],[Adj Close]]/N96-1)</f>
        <v>6.2825582888767162E-2</v>
      </c>
      <c r="P95" s="29">
        <v>44431</v>
      </c>
      <c r="Q95" s="44">
        <v>27.276731000000002</v>
      </c>
      <c r="R95" s="33">
        <f>IF(ISBLANK(Q96),"",Long3[[#This Row],[Adj Close]]/Q96-1)</f>
        <v>-1.7484850235651717E-2</v>
      </c>
      <c r="S95" s="37">
        <v>44431</v>
      </c>
      <c r="T95" s="44">
        <v>104.16005699999999</v>
      </c>
      <c r="U95" s="36">
        <f>IF(ISBLANK(T96),"",Long4[[#This Row],[Adj Close]]/T96-1)</f>
        <v>3.5084382584627427E-2</v>
      </c>
      <c r="V95" s="29">
        <v>44431</v>
      </c>
      <c r="W95" s="44">
        <v>164.504333</v>
      </c>
      <c r="X95" s="33">
        <f>IF(ISBLANK(W96),"",Long5[[#This Row],[Adj Close]]/W96-1)</f>
        <v>3.4179869720532219E-2</v>
      </c>
      <c r="Y95" s="37">
        <v>44431</v>
      </c>
      <c r="Z95" s="44">
        <v>206.30754099999999</v>
      </c>
      <c r="AA95" s="36">
        <f>IF(ISBLANK(Z96),"",Long6[[#This Row],[Adj Close]]/Z96-1)</f>
        <v>2.9546197165781329E-2</v>
      </c>
      <c r="AH95" s="29">
        <v>44431</v>
      </c>
      <c r="AI95" s="44">
        <v>43.91</v>
      </c>
      <c r="AJ95" s="33">
        <f>IF(ISBLANK(AI96),"",Short0[[#This Row],[Adj Close]]/AI96-1)</f>
        <v>0.16937419891808769</v>
      </c>
      <c r="AK95" s="37">
        <v>44431</v>
      </c>
      <c r="AL95" s="44">
        <v>109.657799</v>
      </c>
      <c r="AM95" s="36">
        <f>IF(ISBLANK(AL96),"",Short1[[#This Row],[Adj Close]]/AL96-1)</f>
        <v>4.3238945776277182E-2</v>
      </c>
      <c r="AN95" s="29">
        <v>44431</v>
      </c>
      <c r="AO95" s="44">
        <v>104.960419</v>
      </c>
      <c r="AP95" s="33">
        <f>IF(ISBLANK(AO96),"",Short2[[#This Row],[Adj Close]]/AO96-1)</f>
        <v>2.5066476701980589E-2</v>
      </c>
      <c r="AQ95" s="37">
        <v>44431</v>
      </c>
      <c r="AR95" s="44">
        <v>155.070007</v>
      </c>
      <c r="AS95" s="36">
        <f>IF(ISBLANK(AR96),"",Short3[[#This Row],[Adj Close]]/AR96-1)</f>
        <v>7.441283760253814E-2</v>
      </c>
    </row>
    <row r="96" spans="1:45" x14ac:dyDescent="0.25">
      <c r="A96" s="37">
        <v>44424</v>
      </c>
      <c r="B96" s="39">
        <v>4441.669922</v>
      </c>
      <c r="C96" s="36">
        <f>IF(ISBLANK(B97), "", GSPC[[#This Row],[Adj Close]]/B97-1)</f>
        <v>-5.8930344673231438E-3</v>
      </c>
      <c r="D9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61834.969527000001</v>
      </c>
      <c r="E9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38409.585058999997</v>
      </c>
      <c r="F96" s="11">
        <f>IF(ISBLANK(GSPC[[#This Row],[Long Exp.]]), "", (GSPC[[#This Row],[Long Exp.]]/D97-1)+(E97/GSPC[[#This Row],[Short Exp.]]-1))</f>
        <v>1.0091556764353915E-2</v>
      </c>
      <c r="G96" s="37">
        <v>44424</v>
      </c>
      <c r="H96" s="44">
        <v>13.546951</v>
      </c>
      <c r="I96" s="36">
        <f>IF(ISBLANK(H97), "", Long0[[#This Row],[Adj Close]]/H97-1)</f>
        <v>-1.739115864994123E-2</v>
      </c>
      <c r="J96" s="29">
        <v>44424</v>
      </c>
      <c r="K96" s="44">
        <v>50.380271999999998</v>
      </c>
      <c r="L96" s="33">
        <f>IF(ISBLANK(K97),"",Long1[[#This Row],[Adj Close]]/K97-1)</f>
        <v>-5.6631113448652792E-2</v>
      </c>
      <c r="M96" s="37">
        <v>44424</v>
      </c>
      <c r="N96" s="44">
        <v>29.999849000000001</v>
      </c>
      <c r="O96" s="36">
        <f>IF(ISBLANK(N97),"",Long2[[#This Row],[Adj Close]]/N97-1)</f>
        <v>-8.4624789321520621E-2</v>
      </c>
      <c r="P96" s="29">
        <v>44424</v>
      </c>
      <c r="Q96" s="44">
        <v>27.762148</v>
      </c>
      <c r="R96" s="33">
        <f>IF(ISBLANK(Q97),"",Long3[[#This Row],[Adj Close]]/Q97-1)</f>
        <v>1.1220620777314894E-2</v>
      </c>
      <c r="S96" s="37">
        <v>44424</v>
      </c>
      <c r="T96" s="44">
        <v>100.629532</v>
      </c>
      <c r="U96" s="36">
        <f>IF(ISBLANK(T97),"",Long4[[#This Row],[Adj Close]]/T97-1)</f>
        <v>-7.1380720986474744E-3</v>
      </c>
      <c r="V96" s="29">
        <v>44424</v>
      </c>
      <c r="W96" s="44">
        <v>159.067429</v>
      </c>
      <c r="X96" s="33">
        <f>IF(ISBLANK(W97),"",Long5[[#This Row],[Adj Close]]/W97-1)</f>
        <v>-2.1699398772994205E-2</v>
      </c>
      <c r="Y96" s="37">
        <v>44424</v>
      </c>
      <c r="Z96" s="44">
        <v>200.38687100000001</v>
      </c>
      <c r="AA96" s="36">
        <f>IF(ISBLANK(Z97),"",Long6[[#This Row],[Adj Close]]/Z97-1)</f>
        <v>3.6748139817978531E-2</v>
      </c>
      <c r="AH96" s="29">
        <v>44424</v>
      </c>
      <c r="AI96" s="44">
        <v>37.549999</v>
      </c>
      <c r="AJ96" s="33">
        <f>IF(ISBLANK(AI97),"",Short0[[#This Row],[Adj Close]]/AI97-1)</f>
        <v>-6.0310311819577467E-2</v>
      </c>
      <c r="AK96" s="37">
        <v>44424</v>
      </c>
      <c r="AL96" s="44">
        <v>105.112831</v>
      </c>
      <c r="AM96" s="36">
        <f>IF(ISBLANK(AL97),"",Short1[[#This Row],[Adj Close]]/AL97-1)</f>
        <v>-1.0107182323241148E-2</v>
      </c>
      <c r="AN96" s="29">
        <v>44424</v>
      </c>
      <c r="AO96" s="44">
        <v>102.39376799999999</v>
      </c>
      <c r="AP96" s="33">
        <f>IF(ISBLANK(AO97),"",Short2[[#This Row],[Adj Close]]/AO97-1)</f>
        <v>-2.6347332515225252E-2</v>
      </c>
      <c r="AQ96" s="37">
        <v>44424</v>
      </c>
      <c r="AR96" s="44">
        <v>144.33000200000001</v>
      </c>
      <c r="AS96" s="36">
        <f>IF(ISBLANK(AR97),"",Short3[[#This Row],[Adj Close]]/AR97-1)</f>
        <v>-2.1226128112146303E-2</v>
      </c>
    </row>
    <row r="97" spans="1:45" x14ac:dyDescent="0.25">
      <c r="A97" s="37">
        <v>44417</v>
      </c>
      <c r="B97" s="39">
        <v>4468</v>
      </c>
      <c r="C97" s="36">
        <f>IF(ISBLANK(B98), "", GSPC[[#This Row],[Adj Close]]/B98-1)</f>
        <v>7.0956470066825261E-3</v>
      </c>
      <c r="D9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62915.071682000002</v>
      </c>
      <c r="E9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39456.598795999998</v>
      </c>
      <c r="F97" s="11">
        <f>IF(ISBLANK(GSPC[[#This Row],[Long Exp.]]), "", (GSPC[[#This Row],[Long Exp.]]/D98-1)+(E98/GSPC[[#This Row],[Short Exp.]]-1))</f>
        <v>-9.5093089752791293E-3</v>
      </c>
      <c r="G97" s="37">
        <v>44417</v>
      </c>
      <c r="H97" s="44">
        <v>13.786718</v>
      </c>
      <c r="I97" s="36">
        <f>IF(ISBLANK(H98), "", Long0[[#This Row],[Adj Close]]/H98-1)</f>
        <v>4.9122651620234103E-2</v>
      </c>
      <c r="J97" s="29">
        <v>44417</v>
      </c>
      <c r="K97" s="44">
        <v>53.404636000000004</v>
      </c>
      <c r="L97" s="33">
        <f>IF(ISBLANK(K98),"",Long1[[#This Row],[Adj Close]]/K98-1)</f>
        <v>5.061370186659353E-2</v>
      </c>
      <c r="M97" s="37">
        <v>44417</v>
      </c>
      <c r="N97" s="44">
        <v>32.773280999999997</v>
      </c>
      <c r="O97" s="36">
        <f>IF(ISBLANK(N98),"",Long2[[#This Row],[Adj Close]]/N98-1)</f>
        <v>6.5735406244037842E-2</v>
      </c>
      <c r="P97" s="29">
        <v>44417</v>
      </c>
      <c r="Q97" s="44">
        <v>27.454096</v>
      </c>
      <c r="R97" s="33">
        <f>IF(ISBLANK(Q98),"",Long3[[#This Row],[Adj Close]]/Q98-1)</f>
        <v>6.1579406634961753E-3</v>
      </c>
      <c r="S97" s="37">
        <v>44417</v>
      </c>
      <c r="T97" s="44">
        <v>101.352997</v>
      </c>
      <c r="U97" s="36">
        <f>IF(ISBLANK(T98),"",Long4[[#This Row],[Adj Close]]/T98-1)</f>
        <v>-9.3343553194717988E-3</v>
      </c>
      <c r="V97" s="29">
        <v>44417</v>
      </c>
      <c r="W97" s="44">
        <v>162.59565699999999</v>
      </c>
      <c r="X97" s="33">
        <f>IF(ISBLANK(W98),"",Long5[[#This Row],[Adj Close]]/W98-1)</f>
        <v>-3.7636673447504432E-2</v>
      </c>
      <c r="Y97" s="37">
        <v>44417</v>
      </c>
      <c r="Z97" s="44">
        <v>193.284042</v>
      </c>
      <c r="AA97" s="36">
        <f>IF(ISBLANK(Z98),"",Long6[[#This Row],[Adj Close]]/Z98-1)</f>
        <v>-6.1917230147227831E-2</v>
      </c>
      <c r="AH97" s="29">
        <v>44417</v>
      </c>
      <c r="AI97" s="44">
        <v>39.959999000000003</v>
      </c>
      <c r="AJ97" s="33">
        <f>IF(ISBLANK(AI98),"",Short0[[#This Row],[Adj Close]]/AI98-1)</f>
        <v>-2.226572112223435E-2</v>
      </c>
      <c r="AK97" s="37">
        <v>44417</v>
      </c>
      <c r="AL97" s="44">
        <v>106.18607299999999</v>
      </c>
      <c r="AM97" s="36">
        <f>IF(ISBLANK(AL98),"",Short1[[#This Row],[Adj Close]]/AL98-1)</f>
        <v>-9.2302770681436108E-3</v>
      </c>
      <c r="AN97" s="29">
        <v>44417</v>
      </c>
      <c r="AO97" s="44">
        <v>105.164574</v>
      </c>
      <c r="AP97" s="33">
        <f>IF(ISBLANK(AO98),"",Short2[[#This Row],[Adj Close]]/AO98-1)</f>
        <v>3.9596216880548596E-2</v>
      </c>
      <c r="AQ97" s="37">
        <v>44417</v>
      </c>
      <c r="AR97" s="44">
        <v>147.46000699999999</v>
      </c>
      <c r="AS97" s="36">
        <f>IF(ISBLANK(AR98),"",Short3[[#This Row],[Adj Close]]/AR98-1)</f>
        <v>1.9355750881909328E-2</v>
      </c>
    </row>
    <row r="98" spans="1:45" x14ac:dyDescent="0.25">
      <c r="A98" s="37">
        <v>44410</v>
      </c>
      <c r="B98" s="39">
        <v>4436.5200199999999</v>
      </c>
      <c r="C98" s="36">
        <f>IF(ISBLANK(B99), "", GSPC[[#This Row],[Adj Close]]/B99-1)</f>
        <v>9.3874437909615693E-3</v>
      </c>
      <c r="D9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62815.563662999994</v>
      </c>
      <c r="E9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39018.889424999994</v>
      </c>
      <c r="F98" s="11">
        <f>IF(ISBLANK(GSPC[[#This Row],[Long Exp.]]), "", (GSPC[[#This Row],[Long Exp.]]/D99-1)+(E99/GSPC[[#This Row],[Short Exp.]]-1))</f>
        <v>1.683508650843879E-3</v>
      </c>
      <c r="G98" s="37">
        <v>44410</v>
      </c>
      <c r="H98" s="44">
        <v>13.141188</v>
      </c>
      <c r="I98" s="36">
        <f>IF(ISBLANK(H99), "", Long0[[#This Row],[Adj Close]]/H99-1)</f>
        <v>1.2793180587511888E-2</v>
      </c>
      <c r="J98" s="29">
        <v>44410</v>
      </c>
      <c r="K98" s="44">
        <v>50.831848000000001</v>
      </c>
      <c r="L98" s="33">
        <f>IF(ISBLANK(K99),"",Long1[[#This Row],[Adj Close]]/K99-1)</f>
        <v>5.9736794550127925E-2</v>
      </c>
      <c r="M98" s="37">
        <v>44410</v>
      </c>
      <c r="N98" s="44">
        <v>30.751798999999998</v>
      </c>
      <c r="O98" s="36">
        <f>IF(ISBLANK(N99),"",Long2[[#This Row],[Adj Close]]/N99-1)</f>
        <v>8.3253950797648191E-3</v>
      </c>
      <c r="P98" s="29">
        <v>44410</v>
      </c>
      <c r="Q98" s="44">
        <v>27.286069999999999</v>
      </c>
      <c r="R98" s="33">
        <f>IF(ISBLANK(Q99),"",Long3[[#This Row],[Adj Close]]/Q99-1)</f>
        <v>3.0313827288867445E-2</v>
      </c>
      <c r="S98" s="37">
        <v>44410</v>
      </c>
      <c r="T98" s="44">
        <v>102.307976</v>
      </c>
      <c r="U98" s="36">
        <f>IF(ISBLANK(T99),"",Long4[[#This Row],[Adj Close]]/T99-1)</f>
        <v>1.4928091006496613E-2</v>
      </c>
      <c r="V98" s="29">
        <v>44410</v>
      </c>
      <c r="W98" s="44">
        <v>168.954544</v>
      </c>
      <c r="X98" s="33">
        <f>IF(ISBLANK(W99),"",Long5[[#This Row],[Adj Close]]/W99-1)</f>
        <v>3.1405284473309036E-2</v>
      </c>
      <c r="Y98" s="37">
        <v>44410</v>
      </c>
      <c r="Z98" s="44">
        <v>206.04156499999999</v>
      </c>
      <c r="AA98" s="36">
        <f>IF(ISBLANK(Z99),"",Long6[[#This Row],[Adj Close]]/Z99-1)</f>
        <v>-0.10806437873497921</v>
      </c>
      <c r="AH98" s="29">
        <v>44410</v>
      </c>
      <c r="AI98" s="44">
        <v>40.869999</v>
      </c>
      <c r="AJ98" s="33">
        <f>IF(ISBLANK(AI99),"",Short0[[#This Row],[Adj Close]]/AI99-1)</f>
        <v>-3.4946849348139297E-2</v>
      </c>
      <c r="AK98" s="37">
        <v>44410</v>
      </c>
      <c r="AL98" s="44">
        <v>107.175331</v>
      </c>
      <c r="AM98" s="36">
        <f>IF(ISBLANK(AL99),"",Short1[[#This Row],[Adj Close]]/AL99-1)</f>
        <v>2.2162834752883498E-2</v>
      </c>
      <c r="AN98" s="29">
        <v>44410</v>
      </c>
      <c r="AO98" s="44">
        <v>101.159058</v>
      </c>
      <c r="AP98" s="33">
        <f>IF(ISBLANK(AO99),"",Short2[[#This Row],[Adj Close]]/AO99-1)</f>
        <v>-1.0461290149028857E-2</v>
      </c>
      <c r="AQ98" s="37">
        <v>44410</v>
      </c>
      <c r="AR98" s="44">
        <v>144.66000399999999</v>
      </c>
      <c r="AS98" s="36">
        <f>IF(ISBLANK(AR99),"",Short3[[#This Row],[Adj Close]]/AR99-1)</f>
        <v>1.8875954891560909E-2</v>
      </c>
    </row>
    <row r="99" spans="1:45" x14ac:dyDescent="0.25">
      <c r="A99" s="37">
        <v>44403</v>
      </c>
      <c r="B99" s="39">
        <v>4395.2597660000001</v>
      </c>
      <c r="C99" s="36">
        <f>IF(ISBLANK(B100), "", GSPC[[#This Row],[Adj Close]]/B100-1)</f>
        <v>-3.7468403649932869E-3</v>
      </c>
      <c r="D9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62642.680560000008</v>
      </c>
      <c r="E9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38976.892590000003</v>
      </c>
      <c r="F99" s="11">
        <f>IF(ISBLANK(GSPC[[#This Row],[Long Exp.]]), "", (GSPC[[#This Row],[Long Exp.]]/D100-1)+(E100/GSPC[[#This Row],[Short Exp.]]-1))</f>
        <v>2.9777792256575397E-2</v>
      </c>
      <c r="G99" s="37">
        <v>44403</v>
      </c>
      <c r="H99" s="44">
        <v>12.975194</v>
      </c>
      <c r="I99" s="36">
        <f>IF(ISBLANK(H100), "", Long0[[#This Row],[Adj Close]]/H100-1)</f>
        <v>1.0775917640327259E-2</v>
      </c>
      <c r="J99" s="29">
        <v>44403</v>
      </c>
      <c r="K99" s="44">
        <v>47.966484000000001</v>
      </c>
      <c r="L99" s="33">
        <f>IF(ISBLANK(K100),"",Long1[[#This Row],[Adj Close]]/K100-1)</f>
        <v>-3.4326676745274454E-2</v>
      </c>
      <c r="M99" s="37">
        <v>44403</v>
      </c>
      <c r="N99" s="44">
        <v>30.497892</v>
      </c>
      <c r="O99" s="36">
        <f>IF(ISBLANK(N100),"",Long2[[#This Row],[Adj Close]]/N100-1)</f>
        <v>4.6230961740016729E-2</v>
      </c>
      <c r="P99" s="29">
        <v>44403</v>
      </c>
      <c r="Q99" s="44">
        <v>26.483260999999999</v>
      </c>
      <c r="R99" s="33">
        <f>IF(ISBLANK(Q100),"",Long3[[#This Row],[Adj Close]]/Q100-1)</f>
        <v>3.8924091766454616E-3</v>
      </c>
      <c r="S99" s="37">
        <v>44403</v>
      </c>
      <c r="T99" s="44">
        <v>100.80317700000001</v>
      </c>
      <c r="U99" s="36">
        <f>IF(ISBLANK(T100),"",Long4[[#This Row],[Adj Close]]/T100-1)</f>
        <v>2.8037524145117398E-2</v>
      </c>
      <c r="V99" s="29">
        <v>44403</v>
      </c>
      <c r="W99" s="44">
        <v>163.81004300000001</v>
      </c>
      <c r="X99" s="33">
        <f>IF(ISBLANK(W100),"",Long5[[#This Row],[Adj Close]]/W100-1)</f>
        <v>8.6549915256624033E-3</v>
      </c>
      <c r="Y99" s="37">
        <v>44403</v>
      </c>
      <c r="Z99" s="44">
        <v>231.004974</v>
      </c>
      <c r="AA99" s="36">
        <f>IF(ISBLANK(Z100),"",Long6[[#This Row],[Adj Close]]/Z100-1)</f>
        <v>5.2232541354387818E-2</v>
      </c>
      <c r="AH99" s="29">
        <v>44403</v>
      </c>
      <c r="AI99" s="44">
        <v>42.349997999999999</v>
      </c>
      <c r="AJ99" s="33">
        <f>IF(ISBLANK(AI100),"",Short0[[#This Row],[Adj Close]]/AI100-1)</f>
        <v>-7.4721476949967336E-2</v>
      </c>
      <c r="AK99" s="37">
        <v>44403</v>
      </c>
      <c r="AL99" s="44">
        <v>104.851524</v>
      </c>
      <c r="AM99" s="36">
        <f>IF(ISBLANK(AL100),"",Short1[[#This Row],[Adj Close]]/AL100-1)</f>
        <v>-8.2097285180782187E-3</v>
      </c>
      <c r="AN99" s="29">
        <v>44403</v>
      </c>
      <c r="AO99" s="44">
        <v>102.2285</v>
      </c>
      <c r="AP99" s="33">
        <f>IF(ISBLANK(AO100),"",Short2[[#This Row],[Adj Close]]/AO100-1)</f>
        <v>2.2263399574367071E-2</v>
      </c>
      <c r="AQ99" s="37">
        <v>44403</v>
      </c>
      <c r="AR99" s="44">
        <v>141.979996</v>
      </c>
      <c r="AS99" s="36">
        <f>IF(ISBLANK(AR100),"",Short3[[#This Row],[Adj Close]]/AR100-1)</f>
        <v>1.6225467372132929E-3</v>
      </c>
    </row>
    <row r="100" spans="1:45" x14ac:dyDescent="0.25">
      <c r="A100" s="37">
        <v>44396</v>
      </c>
      <c r="B100" s="39">
        <v>4411.7900390000004</v>
      </c>
      <c r="C100" s="36">
        <f>IF(ISBLANK(B101), "", GSPC[[#This Row],[Adj Close]]/B101-1)</f>
        <v>1.9557834688104458E-2</v>
      </c>
      <c r="D10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61378.418217999999</v>
      </c>
      <c r="E10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39334.698918000002</v>
      </c>
      <c r="F100" s="11">
        <f>IF(ISBLANK(GSPC[[#This Row],[Long Exp.]]), "", (GSPC[[#This Row],[Long Exp.]]/D101-1)+(E101/GSPC[[#This Row],[Short Exp.]]-1))</f>
        <v>5.134119709438445E-3</v>
      </c>
      <c r="G100" s="37">
        <v>44396</v>
      </c>
      <c r="H100" s="44">
        <v>12.836865</v>
      </c>
      <c r="I100" s="36">
        <f>IF(ISBLANK(H101), "", Long0[[#This Row],[Adj Close]]/H101-1)</f>
        <v>1.1627813508624074E-2</v>
      </c>
      <c r="J100" s="29">
        <v>44396</v>
      </c>
      <c r="K100" s="44">
        <v>49.671543</v>
      </c>
      <c r="L100" s="33">
        <f>IF(ISBLANK(K101),"",Long1[[#This Row],[Adj Close]]/K101-1)</f>
        <v>2.5857137215974157E-2</v>
      </c>
      <c r="M100" s="37">
        <v>44396</v>
      </c>
      <c r="N100" s="44">
        <v>29.150248000000001</v>
      </c>
      <c r="O100" s="36">
        <f>IF(ISBLANK(N101),"",Long2[[#This Row],[Adj Close]]/N101-1)</f>
        <v>8.7868916543372144E-3</v>
      </c>
      <c r="P100" s="29">
        <v>44396</v>
      </c>
      <c r="Q100" s="44">
        <v>26.380576999999999</v>
      </c>
      <c r="R100" s="33">
        <f>IF(ISBLANK(Q101),"",Long3[[#This Row],[Adj Close]]/Q101-1)</f>
        <v>-1.1542517860882451E-2</v>
      </c>
      <c r="S100" s="37">
        <v>44396</v>
      </c>
      <c r="T100" s="44">
        <v>98.053985999999995</v>
      </c>
      <c r="U100" s="36">
        <f>IF(ISBLANK(T101),"",Long4[[#This Row],[Adj Close]]/T101-1)</f>
        <v>1.5788913617672984E-2</v>
      </c>
      <c r="V100" s="29">
        <v>44396</v>
      </c>
      <c r="W100" s="44">
        <v>162.40443400000001</v>
      </c>
      <c r="X100" s="33">
        <f>IF(ISBLANK(W101),"",Long5[[#This Row],[Adj Close]]/W101-1)</f>
        <v>9.6307957026225521E-2</v>
      </c>
      <c r="Y100" s="37">
        <v>44396</v>
      </c>
      <c r="Z100" s="44">
        <v>219.537949</v>
      </c>
      <c r="AA100" s="36">
        <f>IF(ISBLANK(Z101),"",Long6[[#This Row],[Adj Close]]/Z101-1)</f>
        <v>8.9784335006507732E-2</v>
      </c>
      <c r="AH100" s="29">
        <v>44396</v>
      </c>
      <c r="AI100" s="44">
        <v>45.77</v>
      </c>
      <c r="AJ100" s="33">
        <f>IF(ISBLANK(AI101),"",Short0[[#This Row],[Adj Close]]/AI101-1)</f>
        <v>-4.2869092429945521E-2</v>
      </c>
      <c r="AK100" s="37">
        <v>44396</v>
      </c>
      <c r="AL100" s="44">
        <v>105.719452</v>
      </c>
      <c r="AM100" s="36">
        <f>IF(ISBLANK(AL101),"",Short1[[#This Row],[Adj Close]]/AL101-1)</f>
        <v>2.4324122791480995E-2</v>
      </c>
      <c r="AN100" s="29">
        <v>44396</v>
      </c>
      <c r="AO100" s="44">
        <v>100.00211299999999</v>
      </c>
      <c r="AP100" s="33">
        <f>IF(ISBLANK(AO101),"",Short2[[#This Row],[Adj Close]]/AO101-1)</f>
        <v>7.1904882971308037E-2</v>
      </c>
      <c r="AQ100" s="37">
        <v>44396</v>
      </c>
      <c r="AR100" s="44">
        <v>141.75</v>
      </c>
      <c r="AS100" s="36">
        <f>IF(ISBLANK(AR101),"",Short3[[#This Row],[Adj Close]]/AR101-1)</f>
        <v>5.4765987460123622E-2</v>
      </c>
    </row>
    <row r="101" spans="1:45" x14ac:dyDescent="0.25">
      <c r="A101" s="37">
        <v>44389</v>
      </c>
      <c r="B101" s="39">
        <v>4327.1601559999999</v>
      </c>
      <c r="C101" s="36">
        <f>IF(ISBLANK(B102), "", GSPC[[#This Row],[Adj Close]]/B102-1)</f>
        <v>-9.7011479195165951E-3</v>
      </c>
      <c r="D10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59228.760699999992</v>
      </c>
      <c r="E10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38109.028512999997</v>
      </c>
      <c r="F101" s="11">
        <f>IF(ISBLANK(GSPC[[#This Row],[Long Exp.]]), "", (GSPC[[#This Row],[Long Exp.]]/D102-1)+(E102/GSPC[[#This Row],[Short Exp.]]-1))</f>
        <v>1.3500300616289262E-3</v>
      </c>
      <c r="G101" s="37">
        <v>44389</v>
      </c>
      <c r="H101" s="44">
        <v>12.689316</v>
      </c>
      <c r="I101" s="36">
        <f>IF(ISBLANK(H102), "", Long0[[#This Row],[Adj Close]]/H102-1)</f>
        <v>-3.8434605368279362E-2</v>
      </c>
      <c r="J101" s="29">
        <v>44389</v>
      </c>
      <c r="K101" s="44">
        <v>48.419552000000003</v>
      </c>
      <c r="L101" s="33">
        <f>IF(ISBLANK(K102),"",Long1[[#This Row],[Adj Close]]/K102-1)</f>
        <v>-7.7959029173610972E-3</v>
      </c>
      <c r="M101" s="37">
        <v>44389</v>
      </c>
      <c r="N101" s="44">
        <v>28.896339000000001</v>
      </c>
      <c r="O101" s="36">
        <f>IF(ISBLANK(N102),"",Long2[[#This Row],[Adj Close]]/N102-1)</f>
        <v>-6.9204191482577393E-2</v>
      </c>
      <c r="P101" s="29">
        <v>44389</v>
      </c>
      <c r="Q101" s="44">
        <v>26.688631000000001</v>
      </c>
      <c r="R101" s="33">
        <f>IF(ISBLANK(Q102),"",Long3[[#This Row],[Adj Close]]/Q102-1)</f>
        <v>5.2742503589735534E-3</v>
      </c>
      <c r="S101" s="37">
        <v>44389</v>
      </c>
      <c r="T101" s="44">
        <v>96.529883999999996</v>
      </c>
      <c r="U101" s="36">
        <f>IF(ISBLANK(T102),"",Long4[[#This Row],[Adj Close]]/T102-1)</f>
        <v>-1.9978482953498689E-2</v>
      </c>
      <c r="V101" s="29">
        <v>44389</v>
      </c>
      <c r="W101" s="44">
        <v>148.13760400000001</v>
      </c>
      <c r="X101" s="33">
        <f>IF(ISBLANK(W102),"",Long5[[#This Row],[Adj Close]]/W102-1)</f>
        <v>-1.9989954833798951E-2</v>
      </c>
      <c r="Y101" s="37">
        <v>44389</v>
      </c>
      <c r="Z101" s="44">
        <v>201.45082099999999</v>
      </c>
      <c r="AA101" s="36">
        <f>IF(ISBLANK(Z102),"",Long6[[#This Row],[Adj Close]]/Z102-1)</f>
        <v>-6.0420937353647619E-2</v>
      </c>
      <c r="AH101" s="29">
        <v>44389</v>
      </c>
      <c r="AI101" s="44">
        <v>47.82</v>
      </c>
      <c r="AJ101" s="33">
        <f>IF(ISBLANK(AI102),"",Short0[[#This Row],[Adj Close]]/AI102-1)</f>
        <v>-6.8381100004632822E-2</v>
      </c>
      <c r="AK101" s="37">
        <v>44389</v>
      </c>
      <c r="AL101" s="44">
        <v>103.208984</v>
      </c>
      <c r="AM101" s="36">
        <f>IF(ISBLANK(AL102),"",Short1[[#This Row],[Adj Close]]/AL102-1)</f>
        <v>-2.4354693789812032E-3</v>
      </c>
      <c r="AN101" s="29">
        <v>44389</v>
      </c>
      <c r="AO101" s="44">
        <v>93.293830999999997</v>
      </c>
      <c r="AP101" s="33">
        <f>IF(ISBLANK(AO102),"",Short2[[#This Row],[Adj Close]]/AO102-1)</f>
        <v>-3.002123707751847E-2</v>
      </c>
      <c r="AQ101" s="37">
        <v>44389</v>
      </c>
      <c r="AR101" s="44">
        <v>134.38999899999999</v>
      </c>
      <c r="AS101" s="36">
        <f>IF(ISBLANK(AR102),"",Short3[[#This Row],[Adj Close]]/AR102-1)</f>
        <v>-2.8763432419000923E-2</v>
      </c>
    </row>
    <row r="102" spans="1:45" x14ac:dyDescent="0.25">
      <c r="A102" s="37">
        <v>44382</v>
      </c>
      <c r="B102" s="39">
        <v>4369.5498049999997</v>
      </c>
      <c r="C102" s="36">
        <f>IF(ISBLANK(B103), "", GSPC[[#This Row],[Adj Close]]/B103-1)</f>
        <v>3.9541859360372467E-3</v>
      </c>
      <c r="D10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61113.242826000002</v>
      </c>
      <c r="E10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39335.603214999996</v>
      </c>
      <c r="F102" s="11">
        <f>IF(ISBLANK(GSPC[[#This Row],[Long Exp.]]), "", (GSPC[[#This Row],[Long Exp.]]/D103-1)+(E103/GSPC[[#This Row],[Short Exp.]]-1))</f>
        <v>2.7112408581515424E-2</v>
      </c>
      <c r="G102" s="37">
        <v>44382</v>
      </c>
      <c r="H102" s="44">
        <v>13.196519</v>
      </c>
      <c r="I102" s="36">
        <f>IF(ISBLANK(H103), "", Long0[[#This Row],[Adj Close]]/H103-1)</f>
        <v>-2.7192497734677246E-2</v>
      </c>
      <c r="J102" s="29">
        <v>44382</v>
      </c>
      <c r="K102" s="44">
        <v>48.799992000000003</v>
      </c>
      <c r="L102" s="33">
        <f>IF(ISBLANK(K103),"",Long1[[#This Row],[Adj Close]]/K103-1)</f>
        <v>-1.9526041623657897E-2</v>
      </c>
      <c r="M102" s="37">
        <v>44382</v>
      </c>
      <c r="N102" s="44">
        <v>31.044767</v>
      </c>
      <c r="O102" s="36">
        <f>IF(ISBLANK(N103),"",Long2[[#This Row],[Adj Close]]/N103-1)</f>
        <v>1.1132244062089791E-2</v>
      </c>
      <c r="P102" s="29">
        <v>44382</v>
      </c>
      <c r="Q102" s="44">
        <v>26.548607000000001</v>
      </c>
      <c r="R102" s="33">
        <f>IF(ISBLANK(Q103),"",Long3[[#This Row],[Adj Close]]/Q103-1)</f>
        <v>6.7258121622575384E-3</v>
      </c>
      <c r="S102" s="37">
        <v>44382</v>
      </c>
      <c r="T102" s="44">
        <v>98.497719000000004</v>
      </c>
      <c r="U102" s="36">
        <f>IF(ISBLANK(T103),"",Long4[[#This Row],[Adj Close]]/T103-1)</f>
        <v>-1.1902358123046852E-2</v>
      </c>
      <c r="V102" s="29">
        <v>44382</v>
      </c>
      <c r="W102" s="44">
        <v>151.15927099999999</v>
      </c>
      <c r="X102" s="33">
        <f>IF(ISBLANK(W103),"",Long5[[#This Row],[Adj Close]]/W103-1)</f>
        <v>7.6491377578871145E-3</v>
      </c>
      <c r="Y102" s="37">
        <v>44382</v>
      </c>
      <c r="Z102" s="44">
        <v>214.405396</v>
      </c>
      <c r="AA102" s="36">
        <f>IF(ISBLANK(Z103),"",Long6[[#This Row],[Adj Close]]/Z103-1)</f>
        <v>-1.0187312212410093E-2</v>
      </c>
      <c r="AH102" s="29">
        <v>44382</v>
      </c>
      <c r="AI102" s="44">
        <v>51.330002</v>
      </c>
      <c r="AJ102" s="33">
        <f>IF(ISBLANK(AI103),"",Short0[[#This Row],[Adj Close]]/AI103-1)</f>
        <v>-3.2786847559826637E-2</v>
      </c>
      <c r="AK102" s="37">
        <v>44382</v>
      </c>
      <c r="AL102" s="44">
        <v>103.46096</v>
      </c>
      <c r="AM102" s="36">
        <f>IF(ISBLANK(AL103),"",Short1[[#This Row],[Adj Close]]/AL103-1)</f>
        <v>-4.1418223865811177E-2</v>
      </c>
      <c r="AN102" s="29">
        <v>44382</v>
      </c>
      <c r="AO102" s="44">
        <v>96.181313000000003</v>
      </c>
      <c r="AP102" s="33">
        <f>IF(ISBLANK(AO103),"",Short2[[#This Row],[Adj Close]]/AO103-1)</f>
        <v>-2.1801109291689658E-2</v>
      </c>
      <c r="AQ102" s="37">
        <v>44382</v>
      </c>
      <c r="AR102" s="44">
        <v>138.36999499999999</v>
      </c>
      <c r="AS102" s="36">
        <f>IF(ISBLANK(AR103),"",Short3[[#This Row],[Adj Close]]/AR103-1)</f>
        <v>-2.7549358302379146E-2</v>
      </c>
    </row>
    <row r="103" spans="1:45" x14ac:dyDescent="0.25">
      <c r="A103" s="37">
        <v>44375</v>
      </c>
      <c r="B103" s="39">
        <v>4352.3398440000001</v>
      </c>
      <c r="C103" s="36">
        <f>IF(ISBLANK(B104), "", GSPC[[#This Row],[Adj Close]]/B104-1)</f>
        <v>1.6735497871043892E-2</v>
      </c>
      <c r="D10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61374.605641000002</v>
      </c>
      <c r="E10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40569.596223</v>
      </c>
      <c r="F103" s="11">
        <f>IF(ISBLANK(GSPC[[#This Row],[Long Exp.]]), "", (GSPC[[#This Row],[Long Exp.]]/D104-1)+(E104/GSPC[[#This Row],[Short Exp.]]-1))</f>
        <v>-1.7035209565918974E-2</v>
      </c>
      <c r="G103" s="37">
        <v>44375</v>
      </c>
      <c r="H103" s="44">
        <v>13.565396</v>
      </c>
      <c r="I103" s="36">
        <f>IF(ISBLANK(H104), "", Long0[[#This Row],[Adj Close]]/H104-1)</f>
        <v>9.6089038877404942E-3</v>
      </c>
      <c r="J103" s="29">
        <v>44375</v>
      </c>
      <c r="K103" s="44">
        <v>49.771839</v>
      </c>
      <c r="L103" s="33">
        <f>IF(ISBLANK(K104),"",Long1[[#This Row],[Adj Close]]/K104-1)</f>
        <v>-4.1366945203770267E-2</v>
      </c>
      <c r="M103" s="37">
        <v>44375</v>
      </c>
      <c r="N103" s="44">
        <v>30.702974000000001</v>
      </c>
      <c r="O103" s="36">
        <f>IF(ISBLANK(N104),"",Long2[[#This Row],[Adj Close]]/N104-1)</f>
        <v>7.6924119610759512E-3</v>
      </c>
      <c r="P103" s="29">
        <v>44375</v>
      </c>
      <c r="Q103" s="44">
        <v>26.371238999999999</v>
      </c>
      <c r="R103" s="33">
        <f>IF(ISBLANK(Q104),"",Long3[[#This Row],[Adj Close]]/Q104-1)</f>
        <v>-1.7668313339641584E-3</v>
      </c>
      <c r="S103" s="37">
        <v>44375</v>
      </c>
      <c r="T103" s="44">
        <v>99.684196</v>
      </c>
      <c r="U103" s="36">
        <f>IF(ISBLANK(T104),"",Long4[[#This Row],[Adj Close]]/T104-1)</f>
        <v>2.5300076130057469E-2</v>
      </c>
      <c r="V103" s="29">
        <v>44375</v>
      </c>
      <c r="W103" s="44">
        <v>150.01181</v>
      </c>
      <c r="X103" s="33">
        <f>IF(ISBLANK(W104),"",Long5[[#This Row],[Adj Close]]/W104-1)</f>
        <v>1.9161473559694553E-3</v>
      </c>
      <c r="Y103" s="37">
        <v>44375</v>
      </c>
      <c r="Z103" s="44">
        <v>216.61209099999999</v>
      </c>
      <c r="AA103" s="36">
        <f>IF(ISBLANK(Z104),"",Long6[[#This Row],[Adj Close]]/Z104-1)</f>
        <v>-1.1357273654485356E-3</v>
      </c>
      <c r="AH103" s="29">
        <v>44375</v>
      </c>
      <c r="AI103" s="44">
        <v>53.07</v>
      </c>
      <c r="AJ103" s="33">
        <f>IF(ISBLANK(AI104),"",Short0[[#This Row],[Adj Close]]/AI104-1)</f>
        <v>7.4031890660593014E-3</v>
      </c>
      <c r="AK103" s="37">
        <v>44375</v>
      </c>
      <c r="AL103" s="44">
        <v>107.931282</v>
      </c>
      <c r="AM103" s="36">
        <f>IF(ISBLANK(AL104),"",Short1[[#This Row],[Adj Close]]/AL104-1)</f>
        <v>2.2998715120155611E-2</v>
      </c>
      <c r="AN103" s="29">
        <v>44375</v>
      </c>
      <c r="AO103" s="44">
        <v>98.324905000000001</v>
      </c>
      <c r="AP103" s="33">
        <f>IF(ISBLANK(AO104),"",Short2[[#This Row],[Adj Close]]/AO104-1)</f>
        <v>4.4288773075007226E-2</v>
      </c>
      <c r="AQ103" s="37">
        <v>44375</v>
      </c>
      <c r="AR103" s="44">
        <v>142.28999300000001</v>
      </c>
      <c r="AS103" s="36">
        <f>IF(ISBLANK(AR104),"",Short3[[#This Row],[Adj Close]]/AR104-1)</f>
        <v>7.4340694054777501E-3</v>
      </c>
    </row>
    <row r="104" spans="1:45" x14ac:dyDescent="0.25">
      <c r="A104" s="37">
        <v>44368</v>
      </c>
      <c r="B104" s="39">
        <v>4280.7001950000003</v>
      </c>
      <c r="C104" s="36">
        <f>IF(ISBLANK(B105), "", GSPC[[#This Row],[Adj Close]]/B105-1)</f>
        <v>2.7421424630758029E-2</v>
      </c>
      <c r="D10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61126.895598999996</v>
      </c>
      <c r="E10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39714.080809000006</v>
      </c>
      <c r="F104" s="11">
        <f>IF(ISBLANK(GSPC[[#This Row],[Long Exp.]]), "", (GSPC[[#This Row],[Long Exp.]]/D105-1)+(E105/GSPC[[#This Row],[Short Exp.]]-1))</f>
        <v>1.9327229444483396E-2</v>
      </c>
      <c r="G104" s="37">
        <v>44368</v>
      </c>
      <c r="H104" s="44">
        <v>13.436287999999999</v>
      </c>
      <c r="I104" s="36">
        <f>IF(ISBLANK(H105), "", Long0[[#This Row],[Adj Close]]/H105-1)</f>
        <v>2.1739094066268505E-2</v>
      </c>
      <c r="J104" s="29">
        <v>44368</v>
      </c>
      <c r="K104" s="44">
        <v>51.919593999999996</v>
      </c>
      <c r="L104" s="33">
        <f>IF(ISBLANK(K105),"",Long1[[#This Row],[Adj Close]]/K105-1)</f>
        <v>7.6206147987627926E-2</v>
      </c>
      <c r="M104" s="37">
        <v>44368</v>
      </c>
      <c r="N104" s="44">
        <v>30.468596999999999</v>
      </c>
      <c r="O104" s="36">
        <f>IF(ISBLANK(N105),"",Long2[[#This Row],[Adj Close]]/N105-1)</f>
        <v>4.2780758546190567E-2</v>
      </c>
      <c r="P104" s="29">
        <v>44368</v>
      </c>
      <c r="Q104" s="44">
        <v>26.417915000000001</v>
      </c>
      <c r="R104" s="33">
        <f>IF(ISBLANK(Q105),"",Long3[[#This Row],[Adj Close]]/Q105-1)</f>
        <v>2.4990837596899684E-2</v>
      </c>
      <c r="S104" s="37">
        <v>44368</v>
      </c>
      <c r="T104" s="44">
        <v>97.224411000000003</v>
      </c>
      <c r="U104" s="36">
        <f>IF(ISBLANK(T105),"",Long4[[#This Row],[Adj Close]]/T105-1)</f>
        <v>5.9831672965740434E-2</v>
      </c>
      <c r="V104" s="29">
        <v>44368</v>
      </c>
      <c r="W104" s="44">
        <v>149.72491500000001</v>
      </c>
      <c r="X104" s="33">
        <f>IF(ISBLANK(W105),"",Long5[[#This Row],[Adj Close]]/W105-1)</f>
        <v>8.2025851865218158E-2</v>
      </c>
      <c r="Y104" s="37">
        <v>44368</v>
      </c>
      <c r="Z104" s="44">
        <v>216.858383</v>
      </c>
      <c r="AA104" s="36">
        <f>IF(ISBLANK(Z105),"",Long6[[#This Row],[Adj Close]]/Z105-1)</f>
        <v>5.4557654819795465E-2</v>
      </c>
      <c r="AH104" s="29">
        <v>44368</v>
      </c>
      <c r="AI104" s="44">
        <v>52.68</v>
      </c>
      <c r="AJ104" s="33">
        <f>IF(ISBLANK(AI105),"",Short0[[#This Row],[Adj Close]]/AI105-1)</f>
        <v>-6.0377358490566468E-3</v>
      </c>
      <c r="AK104" s="37">
        <v>44368</v>
      </c>
      <c r="AL104" s="44">
        <v>105.504807</v>
      </c>
      <c r="AM104" s="36">
        <f>IF(ISBLANK(AL105),"",Short1[[#This Row],[Adj Close]]/AL105-1)</f>
        <v>5.6889837938286281E-2</v>
      </c>
      <c r="AN104" s="29">
        <v>44368</v>
      </c>
      <c r="AO104" s="44">
        <v>94.154899999999998</v>
      </c>
      <c r="AP104" s="33">
        <f>IF(ISBLANK(AO105),"",Short2[[#This Row],[Adj Close]]/AO105-1)</f>
        <v>-1.1001450669297697E-2</v>
      </c>
      <c r="AQ104" s="37">
        <v>44368</v>
      </c>
      <c r="AR104" s="44">
        <v>141.240005</v>
      </c>
      <c r="AS104" s="36">
        <f>IF(ISBLANK(AR105),"",Short3[[#This Row],[Adj Close]]/AR105-1)</f>
        <v>9.4120453764674261E-2</v>
      </c>
    </row>
    <row r="105" spans="1:45" x14ac:dyDescent="0.25">
      <c r="A105" s="37">
        <v>44361</v>
      </c>
      <c r="B105" s="39">
        <v>4166.4501950000003</v>
      </c>
      <c r="C105" s="36">
        <f>IF(ISBLANK(B106), "", GSPC[[#This Row],[Adj Close]]/B106-1)</f>
        <v>-1.9067896691890907E-2</v>
      </c>
      <c r="D10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58194.410551999994</v>
      </c>
      <c r="E10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38480.404546000005</v>
      </c>
      <c r="F105" s="11">
        <f>IF(ISBLANK(GSPC[[#This Row],[Long Exp.]]), "", (GSPC[[#This Row],[Long Exp.]]/D106-1)+(E106/GSPC[[#This Row],[Short Exp.]]-1))</f>
        <v>-7.654922069804615E-2</v>
      </c>
      <c r="G105" s="37">
        <v>44361</v>
      </c>
      <c r="H105" s="44">
        <v>13.150410000000001</v>
      </c>
      <c r="I105" s="36">
        <f>IF(ISBLANK(H106), "", Long0[[#This Row],[Adj Close]]/H106-1)</f>
        <v>-9.3451983785773907E-2</v>
      </c>
      <c r="J105" s="29">
        <v>44361</v>
      </c>
      <c r="K105" s="44">
        <v>48.243167999999997</v>
      </c>
      <c r="L105" s="33">
        <f>IF(ISBLANK(K106),"",Long1[[#This Row],[Adj Close]]/K106-1)</f>
        <v>-6.739316041210941E-2</v>
      </c>
      <c r="M105" s="37">
        <v>44361</v>
      </c>
      <c r="N105" s="44">
        <v>29.218603000000002</v>
      </c>
      <c r="O105" s="36">
        <f>IF(ISBLANK(N106),"",Long2[[#This Row],[Adj Close]]/N106-1)</f>
        <v>-0.13501017151744787</v>
      </c>
      <c r="P105" s="29">
        <v>44361</v>
      </c>
      <c r="Q105" s="44">
        <v>25.773806</v>
      </c>
      <c r="R105" s="33">
        <f>IF(ISBLANK(Q106),"",Long3[[#This Row],[Adj Close]]/Q106-1)</f>
        <v>-4.4928355006219056E-2</v>
      </c>
      <c r="S105" s="37">
        <v>44361</v>
      </c>
      <c r="T105" s="44">
        <v>91.735709999999997</v>
      </c>
      <c r="U105" s="36">
        <f>IF(ISBLANK(T106),"",Long4[[#This Row],[Adj Close]]/T106-1)</f>
        <v>-7.2376135314191847E-2</v>
      </c>
      <c r="V105" s="29">
        <v>44361</v>
      </c>
      <c r="W105" s="44">
        <v>138.374619</v>
      </c>
      <c r="X105" s="33">
        <f>IF(ISBLANK(W106),"",Long5[[#This Row],[Adj Close]]/W106-1)</f>
        <v>-3.2169555547955087E-2</v>
      </c>
      <c r="Y105" s="37">
        <v>44361</v>
      </c>
      <c r="Z105" s="44">
        <v>205.63919100000001</v>
      </c>
      <c r="AA105" s="36">
        <f>IF(ISBLANK(Z106),"",Long6[[#This Row],[Adj Close]]/Z106-1)</f>
        <v>-5.7812838970678349E-2</v>
      </c>
      <c r="AH105" s="29">
        <v>44361</v>
      </c>
      <c r="AI105" s="44">
        <v>53</v>
      </c>
      <c r="AJ105" s="33">
        <f>IF(ISBLANK(AI106),"",Short0[[#This Row],[Adj Close]]/AI106-1)</f>
        <v>-4.7276666416022572E-2</v>
      </c>
      <c r="AK105" s="37">
        <v>44361</v>
      </c>
      <c r="AL105" s="44">
        <v>99.825737000000004</v>
      </c>
      <c r="AM105" s="36">
        <f>IF(ISBLANK(AL106),"",Short1[[#This Row],[Adj Close]]/AL106-1)</f>
        <v>-5.958931322641936E-2</v>
      </c>
      <c r="AN105" s="29">
        <v>44361</v>
      </c>
      <c r="AO105" s="44">
        <v>95.202263000000002</v>
      </c>
      <c r="AP105" s="33">
        <f>IF(ISBLANK(AO106),"",Short2[[#This Row],[Adj Close]]/AO106-1)</f>
        <v>5.8550858974144804E-2</v>
      </c>
      <c r="AQ105" s="37">
        <v>44361</v>
      </c>
      <c r="AR105" s="44">
        <v>129.08999600000001</v>
      </c>
      <c r="AS105" s="36">
        <f>IF(ISBLANK(AR106),"",Short3[[#This Row],[Adj Close]]/AR106-1)</f>
        <v>6.7388737102881846E-2</v>
      </c>
    </row>
    <row r="106" spans="1:45" x14ac:dyDescent="0.25">
      <c r="A106" s="37">
        <v>44354</v>
      </c>
      <c r="B106" s="39">
        <v>4247.4399409999996</v>
      </c>
      <c r="C106" s="36">
        <f>IF(ISBLANK(B107), "", GSPC[[#This Row],[Adj Close]]/B107-1)</f>
        <v>4.1489975936930268E-3</v>
      </c>
      <c r="D10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62655.750724000005</v>
      </c>
      <c r="E10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38274.718351000003</v>
      </c>
      <c r="F106" s="11">
        <f>IF(ISBLANK(GSPC[[#This Row],[Long Exp.]]), "", (GSPC[[#This Row],[Long Exp.]]/D107-1)+(E107/GSPC[[#This Row],[Short Exp.]]-1))</f>
        <v>1.0890294030323711E-2</v>
      </c>
      <c r="G106" s="37">
        <v>44354</v>
      </c>
      <c r="H106" s="44">
        <v>14.506027</v>
      </c>
      <c r="I106" s="36">
        <f>IF(ISBLANK(H107), "", Long0[[#This Row],[Adj Close]]/H107-1)</f>
        <v>2.2092186258585889E-2</v>
      </c>
      <c r="J106" s="29">
        <v>44354</v>
      </c>
      <c r="K106" s="44">
        <v>51.729374</v>
      </c>
      <c r="L106" s="33">
        <f>IF(ISBLANK(K107),"",Long1[[#This Row],[Adj Close]]/K107-1)</f>
        <v>5.4275033052727295E-2</v>
      </c>
      <c r="M106" s="37">
        <v>44354</v>
      </c>
      <c r="N106" s="44">
        <v>33.779128999999998</v>
      </c>
      <c r="O106" s="36">
        <f>IF(ISBLANK(N107),"",Long2[[#This Row],[Adj Close]]/N107-1)</f>
        <v>-3.8312231457851564E-2</v>
      </c>
      <c r="P106" s="29">
        <v>44354</v>
      </c>
      <c r="Q106" s="44">
        <v>26.986253999999999</v>
      </c>
      <c r="R106" s="33">
        <f>IF(ISBLANK(Q107),"",Long3[[#This Row],[Adj Close]]/Q107-1)</f>
        <v>1.1728304806807532E-2</v>
      </c>
      <c r="S106" s="37">
        <v>44354</v>
      </c>
      <c r="T106" s="44">
        <v>98.893219000000002</v>
      </c>
      <c r="U106" s="36">
        <f>IF(ISBLANK(T107),"",Long4[[#This Row],[Adj Close]]/T107-1)</f>
        <v>-6.7321607721484433E-2</v>
      </c>
      <c r="V106" s="29">
        <v>44354</v>
      </c>
      <c r="W106" s="44">
        <v>142.97403</v>
      </c>
      <c r="X106" s="33">
        <f>IF(ISBLANK(W107),"",Long5[[#This Row],[Adj Close]]/W107-1)</f>
        <v>8.5051007229763664E-2</v>
      </c>
      <c r="Y106" s="37">
        <v>44354</v>
      </c>
      <c r="Z106" s="44">
        <v>218.25726299999999</v>
      </c>
      <c r="AA106" s="36">
        <f>IF(ISBLANK(Z107),"",Long6[[#This Row],[Adj Close]]/Z107-1)</f>
        <v>3.0819937902072825E-2</v>
      </c>
      <c r="AH106" s="29">
        <v>44354</v>
      </c>
      <c r="AI106" s="44">
        <v>55.630001</v>
      </c>
      <c r="AJ106" s="33">
        <f>IF(ISBLANK(AI107),"",Short0[[#This Row],[Adj Close]]/AI107-1)</f>
        <v>-1.5746620665251343E-2</v>
      </c>
      <c r="AK106" s="37">
        <v>44354</v>
      </c>
      <c r="AL106" s="44">
        <v>106.15121499999999</v>
      </c>
      <c r="AM106" s="36">
        <f>IF(ISBLANK(AL107),"",Short1[[#This Row],[Adj Close]]/AL107-1)</f>
        <v>-1.3277030564321501E-2</v>
      </c>
      <c r="AN106" s="29">
        <v>44354</v>
      </c>
      <c r="AO106" s="44">
        <v>89.936408999999998</v>
      </c>
      <c r="AP106" s="33">
        <f>IF(ISBLANK(AO107),"",Short2[[#This Row],[Adj Close]]/AO107-1)</f>
        <v>-3.9958585272427904E-2</v>
      </c>
      <c r="AQ106" s="37">
        <v>44354</v>
      </c>
      <c r="AR106" s="44">
        <v>120.94000200000001</v>
      </c>
      <c r="AS106" s="36">
        <f>IF(ISBLANK(AR107),"",Short3[[#This Row],[Adj Close]]/AR107-1)</f>
        <v>7.5882908072843813E-2</v>
      </c>
    </row>
    <row r="107" spans="1:45" x14ac:dyDescent="0.25">
      <c r="A107" s="37">
        <v>44347</v>
      </c>
      <c r="B107" s="39">
        <v>4229.8901370000003</v>
      </c>
      <c r="C107" s="36">
        <f>IF(ISBLANK(B108), "", GSPC[[#This Row],[Adj Close]]/B108-1)</f>
        <v>6.1321599197230459E-3</v>
      </c>
      <c r="D10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62134.119808999996</v>
      </c>
      <c r="E10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38370.215800000005</v>
      </c>
      <c r="F107" s="11">
        <f>IF(ISBLANK(GSPC[[#This Row],[Long Exp.]]), "", (GSPC[[#This Row],[Long Exp.]]/D108-1)+(E108/GSPC[[#This Row],[Short Exp.]]-1))</f>
        <v>2.4221862137195682E-2</v>
      </c>
      <c r="G107" s="37">
        <v>44347</v>
      </c>
      <c r="H107" s="44">
        <v>14.192484</v>
      </c>
      <c r="I107" s="36">
        <f>IF(ISBLANK(H108), "", Long0[[#This Row],[Adj Close]]/H108-1)</f>
        <v>9.8425696884658631E-3</v>
      </c>
      <c r="J107" s="29">
        <v>44347</v>
      </c>
      <c r="K107" s="44">
        <v>49.066299000000001</v>
      </c>
      <c r="L107" s="33">
        <f>IF(ISBLANK(K108),"",Long1[[#This Row],[Adj Close]]/K108-1)</f>
        <v>-3.4438149681798036E-2</v>
      </c>
      <c r="M107" s="37">
        <v>44347</v>
      </c>
      <c r="N107" s="44">
        <v>35.124839999999999</v>
      </c>
      <c r="O107" s="36">
        <f>IF(ISBLANK(N108),"",Long2[[#This Row],[Adj Close]]/N108-1)</f>
        <v>-2.7670253570316605E-3</v>
      </c>
      <c r="P107" s="29">
        <v>44347</v>
      </c>
      <c r="Q107" s="44">
        <v>26.67342</v>
      </c>
      <c r="R107" s="33">
        <f>IF(ISBLANK(Q108),"",Long3[[#This Row],[Adj Close]]/Q108-1)</f>
        <v>-4.1224120489993243E-3</v>
      </c>
      <c r="S107" s="37">
        <v>44347</v>
      </c>
      <c r="T107" s="44">
        <v>106.031425</v>
      </c>
      <c r="U107" s="36">
        <f>IF(ISBLANK(T108),"",Long4[[#This Row],[Adj Close]]/T108-1)</f>
        <v>1.3928443222395837E-2</v>
      </c>
      <c r="V107" s="29">
        <v>44347</v>
      </c>
      <c r="W107" s="44">
        <v>131.76710499999999</v>
      </c>
      <c r="X107" s="33">
        <f>IF(ISBLANK(W108),"",Long5[[#This Row],[Adj Close]]/W108-1)</f>
        <v>-3.4202508604340154E-2</v>
      </c>
      <c r="Y107" s="37">
        <v>44347</v>
      </c>
      <c r="Z107" s="44">
        <v>211.73170500000001</v>
      </c>
      <c r="AA107" s="36">
        <f>IF(ISBLANK(Z108),"",Long6[[#This Row],[Adj Close]]/Z108-1)</f>
        <v>-3.4280893964072634E-3</v>
      </c>
      <c r="AH107" s="29">
        <v>44347</v>
      </c>
      <c r="AI107" s="44">
        <v>56.52</v>
      </c>
      <c r="AJ107" s="33">
        <f>IF(ISBLANK(AI108),"",Short0[[#This Row],[Adj Close]]/AI108-1)</f>
        <v>-2.1298701298701261E-2</v>
      </c>
      <c r="AK107" s="37">
        <v>44347</v>
      </c>
      <c r="AL107" s="44">
        <v>107.57955200000001</v>
      </c>
      <c r="AM107" s="36">
        <f>IF(ISBLANK(AL108),"",Short1[[#This Row],[Adj Close]]/AL108-1)</f>
        <v>-2.1507182763859101E-3</v>
      </c>
      <c r="AN107" s="29">
        <v>44347</v>
      </c>
      <c r="AO107" s="44">
        <v>93.679717999999994</v>
      </c>
      <c r="AP107" s="33">
        <f>IF(ISBLANK(AO108),"",Short2[[#This Row],[Adj Close]]/AO108-1)</f>
        <v>-2.4341045738535905E-2</v>
      </c>
      <c r="AQ107" s="37">
        <v>44347</v>
      </c>
      <c r="AR107" s="44">
        <v>112.410004</v>
      </c>
      <c r="AS107" s="36">
        <f>IF(ISBLANK(AR108),"",Short3[[#This Row],[Adj Close]]/AR108-1)</f>
        <v>-7.2524696514637665E-2</v>
      </c>
    </row>
    <row r="108" spans="1:45" x14ac:dyDescent="0.25">
      <c r="A108" s="37">
        <v>44340</v>
      </c>
      <c r="B108" s="39">
        <v>4204.1098629999997</v>
      </c>
      <c r="C108" s="36">
        <f>IF(ISBLANK(B109), "", GSPC[[#This Row],[Adj Close]]/B109-1)</f>
        <v>1.1610112369181191E-2</v>
      </c>
      <c r="D10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62475.850292000003</v>
      </c>
      <c r="E10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39509.491330999997</v>
      </c>
      <c r="F108" s="11">
        <f>IF(ISBLANK(GSPC[[#This Row],[Long Exp.]]), "", (GSPC[[#This Row],[Long Exp.]]/D109-1)+(E109/GSPC[[#This Row],[Short Exp.]]-1))</f>
        <v>2.8903270305752349E-3</v>
      </c>
      <c r="G108" s="37">
        <v>44340</v>
      </c>
      <c r="H108" s="44">
        <v>14.054155</v>
      </c>
      <c r="I108" s="36">
        <f>IF(ISBLANK(H109), "", Long0[[#This Row],[Adj Close]]/H109-1)</f>
        <v>2.5012322483128901E-3</v>
      </c>
      <c r="J108" s="29">
        <v>44340</v>
      </c>
      <c r="K108" s="44">
        <v>50.816319</v>
      </c>
      <c r="L108" s="33">
        <f>IF(ISBLANK(K109),"",Long1[[#This Row],[Adj Close]]/K109-1)</f>
        <v>3.1377247545892217E-2</v>
      </c>
      <c r="M108" s="37">
        <v>44340</v>
      </c>
      <c r="N108" s="44">
        <v>35.222301000000002</v>
      </c>
      <c r="O108" s="36">
        <f>IF(ISBLANK(N109),"",Long2[[#This Row],[Adj Close]]/N109-1)</f>
        <v>1.917680720405035E-2</v>
      </c>
      <c r="P108" s="29">
        <v>44340</v>
      </c>
      <c r="Q108" s="44">
        <v>26.783833999999999</v>
      </c>
      <c r="R108" s="33">
        <f>IF(ISBLANK(Q109),"",Long3[[#This Row],[Adj Close]]/Q109-1)</f>
        <v>-1.3220364835146992E-2</v>
      </c>
      <c r="S108" s="37">
        <v>44340</v>
      </c>
      <c r="T108" s="44">
        <v>104.57486</v>
      </c>
      <c r="U108" s="36">
        <f>IF(ISBLANK(T109),"",Long4[[#This Row],[Adj Close]]/T109-1)</f>
        <v>7.1245265719581008E-2</v>
      </c>
      <c r="V108" s="29">
        <v>44340</v>
      </c>
      <c r="W108" s="44">
        <v>136.43347199999999</v>
      </c>
      <c r="X108" s="33">
        <f>IF(ISBLANK(W109),"",Long5[[#This Row],[Adj Close]]/W109-1)</f>
        <v>3.5488929673230363E-2</v>
      </c>
      <c r="Y108" s="37">
        <v>44340</v>
      </c>
      <c r="Z108" s="44">
        <v>212.460037</v>
      </c>
      <c r="AA108" s="36">
        <f>IF(ISBLANK(Z109),"",Long6[[#This Row],[Adj Close]]/Z109-1)</f>
        <v>2.7659941860654236E-2</v>
      </c>
      <c r="AH108" s="29">
        <v>44340</v>
      </c>
      <c r="AI108" s="44">
        <v>57.75</v>
      </c>
      <c r="AJ108" s="33">
        <f>IF(ISBLANK(AI109),"",Short0[[#This Row],[Adj Close]]/AI109-1)</f>
        <v>5.1973318572873239E-4</v>
      </c>
      <c r="AK108" s="37">
        <v>44340</v>
      </c>
      <c r="AL108" s="44">
        <v>107.811424</v>
      </c>
      <c r="AM108" s="36">
        <f>IF(ISBLANK(AL109),"",Short1[[#This Row],[Adj Close]]/AL109-1)</f>
        <v>1.1398168906610717E-2</v>
      </c>
      <c r="AN108" s="29">
        <v>44340</v>
      </c>
      <c r="AO108" s="44">
        <v>96.016869</v>
      </c>
      <c r="AP108" s="33">
        <f>IF(ISBLANK(AO109),"",Short2[[#This Row],[Adj Close]]/AO109-1)</f>
        <v>4.6728123377447695E-2</v>
      </c>
      <c r="AQ108" s="37">
        <v>44340</v>
      </c>
      <c r="AR108" s="44">
        <v>121.199997</v>
      </c>
      <c r="AS108" s="36">
        <f>IF(ISBLANK(AR109),"",Short3[[#This Row],[Adj Close]]/AR109-1)</f>
        <v>2.6683557136377045E-2</v>
      </c>
    </row>
    <row r="109" spans="1:45" x14ac:dyDescent="0.25">
      <c r="A109" s="37">
        <v>44333</v>
      </c>
      <c r="B109" s="39">
        <v>4155.8598629999997</v>
      </c>
      <c r="C109" s="36">
        <f>IF(ISBLANK(B110), "", GSPC[[#This Row],[Adj Close]]/B110-1)</f>
        <v>-4.3102254699134424E-3</v>
      </c>
      <c r="D10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60983.864931000004</v>
      </c>
      <c r="E10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38657.077190000004</v>
      </c>
      <c r="F109" s="11">
        <f>IF(ISBLANK(GSPC[[#This Row],[Long Exp.]]), "", (GSPC[[#This Row],[Long Exp.]]/D110-1)+(E110/GSPC[[#This Row],[Short Exp.]]-1))</f>
        <v>1.615066265781695E-2</v>
      </c>
      <c r="G109" s="37">
        <v>44333</v>
      </c>
      <c r="H109" s="44">
        <v>14.01909</v>
      </c>
      <c r="I109" s="36">
        <f>IF(ISBLANK(H110), "", Long0[[#This Row],[Adj Close]]/H110-1)</f>
        <v>-4.3124966299021628E-2</v>
      </c>
      <c r="J109" s="29">
        <v>44333</v>
      </c>
      <c r="K109" s="44">
        <v>49.270350999999998</v>
      </c>
      <c r="L109" s="33">
        <f>IF(ISBLANK(K110),"",Long1[[#This Row],[Adj Close]]/K110-1)</f>
        <v>-2.4580630566218065E-2</v>
      </c>
      <c r="M109" s="37">
        <v>44333</v>
      </c>
      <c r="N109" s="44">
        <v>34.559559</v>
      </c>
      <c r="O109" s="36">
        <f>IF(ISBLANK(N110),"",Long2[[#This Row],[Adj Close]]/N110-1)</f>
        <v>-2.8227128488121478E-2</v>
      </c>
      <c r="P109" s="29">
        <v>44333</v>
      </c>
      <c r="Q109" s="44">
        <v>27.142669999999999</v>
      </c>
      <c r="R109" s="33">
        <f>IF(ISBLANK(Q110),"",Long3[[#This Row],[Adj Close]]/Q110-1)</f>
        <v>8.2024092998675968E-3</v>
      </c>
      <c r="S109" s="37">
        <v>44333</v>
      </c>
      <c r="T109" s="44">
        <v>97.619904000000005</v>
      </c>
      <c r="U109" s="36">
        <f>IF(ISBLANK(T110),"",Long4[[#This Row],[Adj Close]]/T110-1)</f>
        <v>-6.27894529666011E-2</v>
      </c>
      <c r="V109" s="29">
        <v>44333</v>
      </c>
      <c r="W109" s="44">
        <v>131.75753800000001</v>
      </c>
      <c r="X109" s="33">
        <f>IF(ISBLANK(W110),"",Long5[[#This Row],[Adj Close]]/W110-1)</f>
        <v>1.2520391320623325E-2</v>
      </c>
      <c r="Y109" s="37">
        <v>44333</v>
      </c>
      <c r="Z109" s="44">
        <v>206.74157700000001</v>
      </c>
      <c r="AA109" s="36">
        <f>IF(ISBLANK(Z110),"",Long6[[#This Row],[Adj Close]]/Z110-1)</f>
        <v>8.9810179645567034E-2</v>
      </c>
      <c r="AH109" s="29">
        <v>44333</v>
      </c>
      <c r="AI109" s="44">
        <v>57.720001000000003</v>
      </c>
      <c r="AJ109" s="33">
        <f>IF(ISBLANK(AI110),"",Short0[[#This Row],[Adj Close]]/AI110-1)</f>
        <v>-3.1088254539265447E-3</v>
      </c>
      <c r="AK109" s="37">
        <v>44333</v>
      </c>
      <c r="AL109" s="44">
        <v>106.59641999999999</v>
      </c>
      <c r="AM109" s="36">
        <f>IF(ISBLANK(AL110),"",Short1[[#This Row],[Adj Close]]/AL110-1)</f>
        <v>-4.5352534535778144E-2</v>
      </c>
      <c r="AN109" s="29">
        <v>44333</v>
      </c>
      <c r="AO109" s="44">
        <v>91.730475999999996</v>
      </c>
      <c r="AP109" s="33">
        <f>IF(ISBLANK(AO110),"",Short2[[#This Row],[Adj Close]]/AO110-1)</f>
        <v>-5.1349052107369064E-2</v>
      </c>
      <c r="AQ109" s="37">
        <v>44333</v>
      </c>
      <c r="AR109" s="44">
        <v>118.050003</v>
      </c>
      <c r="AS109" s="36">
        <f>IF(ISBLANK(AR110),"",Short3[[#This Row],[Adj Close]]/AR110-1)</f>
        <v>1.5746016040733002E-2</v>
      </c>
    </row>
    <row r="110" spans="1:45" x14ac:dyDescent="0.25">
      <c r="A110" s="37">
        <v>44326</v>
      </c>
      <c r="B110" s="39">
        <v>4173.8500979999999</v>
      </c>
      <c r="C110" s="36">
        <f>IF(ISBLANK(B111), "", GSPC[[#This Row],[Adj Close]]/B111-1)</f>
        <v>-1.3880356905855762E-2</v>
      </c>
      <c r="D11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61498.040951000003</v>
      </c>
      <c r="E11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39604.620705000001</v>
      </c>
      <c r="F110" s="11">
        <f>IF(ISBLANK(GSPC[[#This Row],[Long Exp.]]), "", (GSPC[[#This Row],[Long Exp.]]/D111-1)+(E111/GSPC[[#This Row],[Short Exp.]]-1))</f>
        <v>2.5154292189210614E-2</v>
      </c>
      <c r="G110" s="37">
        <v>44326</v>
      </c>
      <c r="H110" s="44">
        <v>14.65091</v>
      </c>
      <c r="I110" s="36">
        <f>IF(ISBLANK(H111), "", Long0[[#This Row],[Adj Close]]/H111-1)</f>
        <v>0.13636370687515509</v>
      </c>
      <c r="J110" s="29">
        <v>44326</v>
      </c>
      <c r="K110" s="44">
        <v>50.511966999999999</v>
      </c>
      <c r="L110" s="33">
        <f>IF(ISBLANK(K111),"",Long1[[#This Row],[Adj Close]]/K111-1)</f>
        <v>-6.4626194888213195E-3</v>
      </c>
      <c r="M110" s="37">
        <v>44326</v>
      </c>
      <c r="N110" s="44">
        <v>35.563412</v>
      </c>
      <c r="O110" s="36">
        <f>IF(ISBLANK(N111),"",Long2[[#This Row],[Adj Close]]/N111-1)</f>
        <v>-1.3783603118707077E-2</v>
      </c>
      <c r="P110" s="29">
        <v>44326</v>
      </c>
      <c r="Q110" s="44">
        <v>26.921845999999999</v>
      </c>
      <c r="R110" s="33">
        <f>IF(ISBLANK(Q111),"",Long3[[#This Row],[Adj Close]]/Q111-1)</f>
        <v>3.41883898814066E-4</v>
      </c>
      <c r="S110" s="37">
        <v>44326</v>
      </c>
      <c r="T110" s="44">
        <v>104.16005699999999</v>
      </c>
      <c r="U110" s="36">
        <f>IF(ISBLANK(T111),"",Long4[[#This Row],[Adj Close]]/T111-1)</f>
        <v>6.3528051027100352E-2</v>
      </c>
      <c r="V110" s="29">
        <v>44326</v>
      </c>
      <c r="W110" s="44">
        <v>130.12828099999999</v>
      </c>
      <c r="X110" s="33">
        <f>IF(ISBLANK(W111),"",Long5[[#This Row],[Adj Close]]/W111-1)</f>
        <v>-6.8130560063366596E-2</v>
      </c>
      <c r="Y110" s="37">
        <v>44326</v>
      </c>
      <c r="Z110" s="44">
        <v>189.70420799999999</v>
      </c>
      <c r="AA110" s="36">
        <f>IF(ISBLANK(Z111),"",Long6[[#This Row],[Adj Close]]/Z111-1)</f>
        <v>-0.1290162022349215</v>
      </c>
      <c r="AH110" s="29">
        <v>44326</v>
      </c>
      <c r="AI110" s="44">
        <v>57.900002000000001</v>
      </c>
      <c r="AJ110" s="33">
        <f>IF(ISBLANK(AI111),"",Short0[[#This Row],[Adj Close]]/AI111-1)</f>
        <v>3.466221777015166E-3</v>
      </c>
      <c r="AK110" s="37">
        <v>44326</v>
      </c>
      <c r="AL110" s="44">
        <v>111.660507</v>
      </c>
      <c r="AM110" s="36">
        <f>IF(ISBLANK(AL111),"",Short1[[#This Row],[Adj Close]]/AL111-1)</f>
        <v>-1.5939157502329659E-2</v>
      </c>
      <c r="AN110" s="29">
        <v>44326</v>
      </c>
      <c r="AO110" s="44">
        <v>96.695708999999994</v>
      </c>
      <c r="AP110" s="33">
        <f>IF(ISBLANK(AO111),"",Short2[[#This Row],[Adj Close]]/AO111-1)</f>
        <v>-7.7186540808793835E-2</v>
      </c>
      <c r="AQ110" s="37">
        <v>44326</v>
      </c>
      <c r="AR110" s="44">
        <v>116.220001</v>
      </c>
      <c r="AS110" s="36">
        <f>IF(ISBLANK(AR111),"",Short3[[#This Row],[Adj Close]]/AR111-1)</f>
        <v>-1.3580028857579363E-2</v>
      </c>
    </row>
    <row r="111" spans="1:45" x14ac:dyDescent="0.25">
      <c r="A111" s="37">
        <v>44319</v>
      </c>
      <c r="B111" s="39">
        <v>4232.6000979999999</v>
      </c>
      <c r="C111" s="36">
        <f>IF(ISBLANK(B112), "", GSPC[[#This Row],[Adj Close]]/B112-1)</f>
        <v>1.2300427143463022E-2</v>
      </c>
      <c r="D11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61823.882140999995</v>
      </c>
      <c r="E11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40809.582047000004</v>
      </c>
      <c r="F111" s="11">
        <f>IF(ISBLANK(GSPC[[#This Row],[Long Exp.]]), "", (GSPC[[#This Row],[Long Exp.]]/D112-1)+(E112/GSPC[[#This Row],[Short Exp.]]-1))</f>
        <v>7.1325835214717248E-3</v>
      </c>
      <c r="G111" s="37">
        <v>44319</v>
      </c>
      <c r="H111" s="44">
        <v>12.892799999999999</v>
      </c>
      <c r="I111" s="36">
        <f>IF(ISBLANK(H112), "", Long0[[#This Row],[Adj Close]]/H112-1)</f>
        <v>5.8646545419252405E-2</v>
      </c>
      <c r="J111" s="29">
        <v>44319</v>
      </c>
      <c r="K111" s="44">
        <v>50.840530000000001</v>
      </c>
      <c r="L111" s="33">
        <f>IF(ISBLANK(K112),"",Long1[[#This Row],[Adj Close]]/K112-1)</f>
        <v>5.664176808991761E-2</v>
      </c>
      <c r="M111" s="37">
        <v>44319</v>
      </c>
      <c r="N111" s="44">
        <v>36.060454999999997</v>
      </c>
      <c r="O111" s="36">
        <f>IF(ISBLANK(N112),"",Long2[[#This Row],[Adj Close]]/N112-1)</f>
        <v>5.1733923074654742E-2</v>
      </c>
      <c r="P111" s="29">
        <v>44319</v>
      </c>
      <c r="Q111" s="44">
        <v>26.912645000000001</v>
      </c>
      <c r="R111" s="33">
        <f>IF(ISBLANK(Q112),"",Long3[[#This Row],[Adj Close]]/Q112-1)</f>
        <v>4.1194325771714002E-3</v>
      </c>
      <c r="S111" s="37">
        <v>44319</v>
      </c>
      <c r="T111" s="44">
        <v>97.938231999999999</v>
      </c>
      <c r="U111" s="36">
        <f>IF(ISBLANK(T112),"",Long4[[#This Row],[Adj Close]]/T112-1)</f>
        <v>-1.9660726538811568E-3</v>
      </c>
      <c r="V111" s="29">
        <v>44319</v>
      </c>
      <c r="W111" s="44">
        <v>139.64218099999999</v>
      </c>
      <c r="X111" s="33">
        <f>IF(ISBLANK(W112),"",Long5[[#This Row],[Adj Close]]/W112-1)</f>
        <v>-7.7141687302169526E-2</v>
      </c>
      <c r="Y111" s="37">
        <v>44319</v>
      </c>
      <c r="Z111" s="44">
        <v>217.80452</v>
      </c>
      <c r="AA111" s="36">
        <f>IF(ISBLANK(Z112),"",Long6[[#This Row],[Adj Close]]/Z112-1)</f>
        <v>-1.072913300183731E-2</v>
      </c>
      <c r="AH111" s="29">
        <v>44319</v>
      </c>
      <c r="AI111" s="44">
        <v>57.700001</v>
      </c>
      <c r="AJ111" s="33">
        <f>IF(ISBLANK(AI112),"",Short0[[#This Row],[Adj Close]]/AI112-1)</f>
        <v>-5.8112914074858524E-2</v>
      </c>
      <c r="AK111" s="37">
        <v>44319</v>
      </c>
      <c r="AL111" s="44">
        <v>113.469109</v>
      </c>
      <c r="AM111" s="36">
        <f>IF(ISBLANK(AL112),"",Short1[[#This Row],[Adj Close]]/AL112-1)</f>
        <v>5.2205970337925844E-2</v>
      </c>
      <c r="AN111" s="29">
        <v>44319</v>
      </c>
      <c r="AO111" s="44">
        <v>104.783592</v>
      </c>
      <c r="AP111" s="33">
        <f>IF(ISBLANK(AO112),"",Short2[[#This Row],[Adj Close]]/AO112-1)</f>
        <v>4.2953759585541818E-2</v>
      </c>
      <c r="AQ111" s="37">
        <v>44319</v>
      </c>
      <c r="AR111" s="44">
        <v>117.82</v>
      </c>
      <c r="AS111" s="36">
        <f>IF(ISBLANK(AR112),"",Short3[[#This Row],[Adj Close]]/AR112-1)</f>
        <v>-6.8027196140281632E-2</v>
      </c>
    </row>
    <row r="112" spans="1:45" x14ac:dyDescent="0.25">
      <c r="A112" s="37">
        <v>44312</v>
      </c>
      <c r="B112" s="39">
        <v>4181.169922</v>
      </c>
      <c r="C112" s="36">
        <f>IF(ISBLANK(B113), "", GSPC[[#This Row],[Adj Close]]/B113-1)</f>
        <v>2.3922472498960623E-4</v>
      </c>
      <c r="D11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61657.428258</v>
      </c>
      <c r="E11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40990.487942000007</v>
      </c>
      <c r="F112" s="11">
        <f>IF(ISBLANK(GSPC[[#This Row],[Long Exp.]]), "", (GSPC[[#This Row],[Long Exp.]]/D113-1)+(E113/GSPC[[#This Row],[Short Exp.]]-1))</f>
        <v>2.1748691709629009E-2</v>
      </c>
      <c r="G112" s="37">
        <v>44312</v>
      </c>
      <c r="H112" s="44">
        <v>12.178569</v>
      </c>
      <c r="I112" s="36">
        <f>IF(ISBLANK(H113), "", Long0[[#This Row],[Adj Close]]/H113-1)</f>
        <v>-4.4910250614910163E-3</v>
      </c>
      <c r="J112" s="29">
        <v>44312</v>
      </c>
      <c r="K112" s="44">
        <v>48.115200000000002</v>
      </c>
      <c r="L112" s="33">
        <f>IF(ISBLANK(K113),"",Long1[[#This Row],[Adj Close]]/K113-1)</f>
        <v>1.6438948882913529E-2</v>
      </c>
      <c r="M112" s="37">
        <v>44312</v>
      </c>
      <c r="N112" s="44">
        <v>34.286670999999998</v>
      </c>
      <c r="O112" s="36">
        <f>IF(ISBLANK(N113),"",Long2[[#This Row],[Adj Close]]/N113-1)</f>
        <v>3.6229358288102587E-2</v>
      </c>
      <c r="P112" s="29">
        <v>44312</v>
      </c>
      <c r="Q112" s="44">
        <v>26.802235</v>
      </c>
      <c r="R112" s="33">
        <f>IF(ISBLANK(Q113),"",Long3[[#This Row],[Adj Close]]/Q113-1)</f>
        <v>-1.0288172444424815E-3</v>
      </c>
      <c r="S112" s="37">
        <v>44312</v>
      </c>
      <c r="T112" s="44">
        <v>98.131164999999996</v>
      </c>
      <c r="U112" s="36">
        <f>IF(ISBLANK(T113),"",Long4[[#This Row],[Adj Close]]/T113-1)</f>
        <v>-4.1819638382747937E-2</v>
      </c>
      <c r="V112" s="29">
        <v>44312</v>
      </c>
      <c r="W112" s="44">
        <v>151.314865</v>
      </c>
      <c r="X112" s="33">
        <f>IF(ISBLANK(W113),"",Long5[[#This Row],[Adj Close]]/W113-1)</f>
        <v>0.11266410835927854</v>
      </c>
      <c r="Y112" s="37">
        <v>44312</v>
      </c>
      <c r="Z112" s="44">
        <v>220.166718</v>
      </c>
      <c r="AA112" s="36">
        <f>IF(ISBLANK(Z113),"",Long6[[#This Row],[Adj Close]]/Z113-1)</f>
        <v>5.3664501342276516E-4</v>
      </c>
      <c r="AH112" s="29">
        <v>44312</v>
      </c>
      <c r="AI112" s="44">
        <v>61.259998000000003</v>
      </c>
      <c r="AJ112" s="33">
        <f>IF(ISBLANK(AI113),"",Short0[[#This Row],[Adj Close]]/AI113-1)</f>
        <v>2.5100402446466052E-2</v>
      </c>
      <c r="AK112" s="37">
        <v>44312</v>
      </c>
      <c r="AL112" s="44">
        <v>107.83925600000001</v>
      </c>
      <c r="AM112" s="36">
        <f>IF(ISBLANK(AL113),"",Short1[[#This Row],[Adj Close]]/AL113-1)</f>
        <v>-1.2485143792321463E-2</v>
      </c>
      <c r="AN112" s="29">
        <v>44312</v>
      </c>
      <c r="AO112" s="44">
        <v>100.468109</v>
      </c>
      <c r="AP112" s="33">
        <f>IF(ISBLANK(AO113),"",Short2[[#This Row],[Adj Close]]/AO113-1)</f>
        <v>1.9533045887999201E-2</v>
      </c>
      <c r="AQ112" s="37">
        <v>44312</v>
      </c>
      <c r="AR112" s="44">
        <v>126.41999800000001</v>
      </c>
      <c r="AS112" s="36">
        <f>IF(ISBLANK(AR113),"",Short3[[#This Row],[Adj Close]]/AR113-1)</f>
        <v>-5.0900894539809838E-2</v>
      </c>
    </row>
    <row r="113" spans="1:45" x14ac:dyDescent="0.25">
      <c r="A113" s="37">
        <v>44305</v>
      </c>
      <c r="B113" s="39">
        <v>4180.169922</v>
      </c>
      <c r="C113" s="36">
        <f>IF(ISBLANK(B114), "", GSPC[[#This Row],[Adj Close]]/B114-1)</f>
        <v>-1.2663554458003379E-3</v>
      </c>
      <c r="D11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60560.079027999993</v>
      </c>
      <c r="E11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41139.229380999997</v>
      </c>
      <c r="F113" s="11">
        <f>IF(ISBLANK(GSPC[[#This Row],[Long Exp.]]), "", (GSPC[[#This Row],[Long Exp.]]/D114-1)+(E114/GSPC[[#This Row],[Short Exp.]]-1))</f>
        <v>2.0870895638783193E-2</v>
      </c>
      <c r="G113" s="37">
        <v>44305</v>
      </c>
      <c r="H113" s="44">
        <v>12.233510000000001</v>
      </c>
      <c r="I113" s="36">
        <f>IF(ISBLANK(H114), "", Long0[[#This Row],[Adj Close]]/H114-1)</f>
        <v>-2.985052245137898E-3</v>
      </c>
      <c r="J113" s="29">
        <v>44305</v>
      </c>
      <c r="K113" s="44">
        <v>47.337029000000001</v>
      </c>
      <c r="L113" s="33">
        <f>IF(ISBLANK(K114),"",Long1[[#This Row],[Adj Close]]/K114-1)</f>
        <v>-1.8232103194762983E-3</v>
      </c>
      <c r="M113" s="37">
        <v>44305</v>
      </c>
      <c r="N113" s="44">
        <v>33.087916999999997</v>
      </c>
      <c r="O113" s="36">
        <f>IF(ISBLANK(N114),"",Long2[[#This Row],[Adj Close]]/N114-1)</f>
        <v>1.4644489457413146E-2</v>
      </c>
      <c r="P113" s="29">
        <v>44305</v>
      </c>
      <c r="Q113" s="44">
        <v>26.829837999999999</v>
      </c>
      <c r="R113" s="33">
        <f>IF(ISBLANK(Q114),"",Long3[[#This Row],[Adj Close]]/Q114-1)</f>
        <v>6.8642356093295831E-4</v>
      </c>
      <c r="S113" s="37">
        <v>44305</v>
      </c>
      <c r="T113" s="44">
        <v>102.414085</v>
      </c>
      <c r="U113" s="36">
        <f>IF(ISBLANK(T114),"",Long4[[#This Row],[Adj Close]]/T114-1)</f>
        <v>-3.2002236220993741E-2</v>
      </c>
      <c r="V113" s="29">
        <v>44305</v>
      </c>
      <c r="W113" s="44">
        <v>135.993301</v>
      </c>
      <c r="X113" s="33">
        <f>IF(ISBLANK(W114),"",Long5[[#This Row],[Adj Close]]/W114-1)</f>
        <v>3.730425972052509E-2</v>
      </c>
      <c r="Y113" s="37">
        <v>44305</v>
      </c>
      <c r="Z113" s="44">
        <v>220.04863</v>
      </c>
      <c r="AA113" s="36">
        <f>IF(ISBLANK(Z114),"",Long6[[#This Row],[Adj Close]]/Z114-1)</f>
        <v>-2.4776352525179179E-2</v>
      </c>
      <c r="AH113" s="29">
        <v>44305</v>
      </c>
      <c r="AI113" s="44">
        <v>59.759998000000003</v>
      </c>
      <c r="AJ113" s="33">
        <f>IF(ISBLANK(AI114),"",Short0[[#This Row],[Adj Close]]/AI114-1)</f>
        <v>-2.032790163934417E-2</v>
      </c>
      <c r="AK113" s="37">
        <v>44305</v>
      </c>
      <c r="AL113" s="44">
        <v>109.20266700000001</v>
      </c>
      <c r="AM113" s="36">
        <f>IF(ISBLANK(AL114),"",Short1[[#This Row],[Adj Close]]/AL114-1)</f>
        <v>-1.7769271235788642E-2</v>
      </c>
      <c r="AN113" s="29">
        <v>44305</v>
      </c>
      <c r="AO113" s="44">
        <v>98.543259000000006</v>
      </c>
      <c r="AP113" s="33">
        <f>IF(ISBLANK(AO114),"",Short2[[#This Row],[Adj Close]]/AO114-1)</f>
        <v>-3.7967484844974364E-2</v>
      </c>
      <c r="AQ113" s="37">
        <v>44305</v>
      </c>
      <c r="AR113" s="44">
        <v>133.199997</v>
      </c>
      <c r="AS113" s="36">
        <f>IF(ISBLANK(AR114),"",Short3[[#This Row],[Adj Close]]/AR114-1)</f>
        <v>-7.8212513966480213E-3</v>
      </c>
    </row>
    <row r="114" spans="1:45" x14ac:dyDescent="0.25">
      <c r="A114" s="37">
        <v>44298</v>
      </c>
      <c r="B114" s="39">
        <v>4185.4702150000003</v>
      </c>
      <c r="C114" s="36">
        <f>IF(ISBLANK(B115), "", GSPC[[#This Row],[Adj Close]]/B115-1)</f>
        <v>1.3725637637207022E-2</v>
      </c>
      <c r="D11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60649.747416999991</v>
      </c>
      <c r="E11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42058.66476</v>
      </c>
      <c r="F114" s="11">
        <f>IF(ISBLANK(GSPC[[#This Row],[Long Exp.]]), "", (GSPC[[#This Row],[Long Exp.]]/D115-1)+(E115/GSPC[[#This Row],[Short Exp.]]-1))</f>
        <v>3.4903671093790445E-2</v>
      </c>
      <c r="G114" s="37">
        <v>44298</v>
      </c>
      <c r="H114" s="44">
        <v>12.270137</v>
      </c>
      <c r="I114" s="36">
        <f>IF(ISBLANK(H115), "", Long0[[#This Row],[Adj Close]]/H115-1)</f>
        <v>0</v>
      </c>
      <c r="J114" s="29">
        <v>44298</v>
      </c>
      <c r="K114" s="44">
        <v>47.423492000000003</v>
      </c>
      <c r="L114" s="33">
        <f>IF(ISBLANK(K115),"",Long1[[#This Row],[Adj Close]]/K115-1)</f>
        <v>4.4087406445803001E-2</v>
      </c>
      <c r="M114" s="37">
        <v>44298</v>
      </c>
      <c r="N114" s="44">
        <v>32.610354999999998</v>
      </c>
      <c r="O114" s="36">
        <f>IF(ISBLANK(N115),"",Long2[[#This Row],[Adj Close]]/N115-1)</f>
        <v>6.3234958054517065E-2</v>
      </c>
      <c r="P114" s="29">
        <v>44298</v>
      </c>
      <c r="Q114" s="44">
        <v>26.811433999999998</v>
      </c>
      <c r="R114" s="33">
        <f>IF(ISBLANK(Q115),"",Long3[[#This Row],[Adj Close]]/Q115-1)</f>
        <v>1.7458170228382919E-2</v>
      </c>
      <c r="S114" s="37">
        <v>44298</v>
      </c>
      <c r="T114" s="44">
        <v>105.799919</v>
      </c>
      <c r="U114" s="36">
        <f>IF(ISBLANK(T115),"",Long4[[#This Row],[Adj Close]]/T115-1)</f>
        <v>4.1298623995646766E-2</v>
      </c>
      <c r="V114" s="29">
        <v>44298</v>
      </c>
      <c r="W114" s="44">
        <v>131.10261499999999</v>
      </c>
      <c r="X114" s="33">
        <f>IF(ISBLANK(W115),"",Long5[[#This Row],[Adj Close]]/W115-1)</f>
        <v>-2.9784417286706777E-3</v>
      </c>
      <c r="Y114" s="37">
        <v>44298</v>
      </c>
      <c r="Z114" s="44">
        <v>225.63914500000001</v>
      </c>
      <c r="AA114" s="36">
        <f>IF(ISBLANK(Z115),"",Long6[[#This Row],[Adj Close]]/Z115-1)</f>
        <v>-4.8083676208797721E-2</v>
      </c>
      <c r="AH114" s="29">
        <v>44298</v>
      </c>
      <c r="AI114" s="44">
        <v>61</v>
      </c>
      <c r="AJ114" s="33">
        <f>IF(ISBLANK(AI115),"",Short0[[#This Row],[Adj Close]]/AI115-1)</f>
        <v>-1.5175960852049752E-2</v>
      </c>
      <c r="AK114" s="37">
        <v>44298</v>
      </c>
      <c r="AL114" s="44">
        <v>111.178223</v>
      </c>
      <c r="AM114" s="36">
        <f>IF(ISBLANK(AL115),"",Short1[[#This Row],[Adj Close]]/AL115-1)</f>
        <v>-2.1309577202236696E-2</v>
      </c>
      <c r="AN114" s="29">
        <v>44298</v>
      </c>
      <c r="AO114" s="44">
        <v>102.43235799999999</v>
      </c>
      <c r="AP114" s="33">
        <f>IF(ISBLANK(AO115),"",Short2[[#This Row],[Adj Close]]/AO115-1)</f>
        <v>3.4118646592633528E-3</v>
      </c>
      <c r="AQ114" s="37">
        <v>44298</v>
      </c>
      <c r="AR114" s="44">
        <v>134.25</v>
      </c>
      <c r="AS114" s="36">
        <f>IF(ISBLANK(AR115),"",Short3[[#This Row],[Adj Close]]/AR115-1)</f>
        <v>-5.6371714166817632E-2</v>
      </c>
    </row>
    <row r="115" spans="1:45" x14ac:dyDescent="0.25">
      <c r="A115" s="37">
        <v>44291</v>
      </c>
      <c r="B115" s="39">
        <v>4128.7998049999997</v>
      </c>
      <c r="C115" s="36">
        <f>IF(ISBLANK(B116), "", GSPC[[#This Row],[Adj Close]]/B116-1)</f>
        <v>2.7097812822194589E-2</v>
      </c>
      <c r="D11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59870.084789999994</v>
      </c>
      <c r="E11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42978.954475000006</v>
      </c>
      <c r="F115" s="11">
        <f>IF(ISBLANK(GSPC[[#This Row],[Long Exp.]]), "", (GSPC[[#This Row],[Long Exp.]]/D116-1)+(E116/GSPC[[#This Row],[Short Exp.]]-1))</f>
        <v>-1.4812870858612159E-2</v>
      </c>
      <c r="G115" s="37">
        <v>44291</v>
      </c>
      <c r="H115" s="44">
        <v>12.270137</v>
      </c>
      <c r="I115" s="36">
        <f>IF(ISBLANK(H116), "", Long0[[#This Row],[Adj Close]]/H116-1)</f>
        <v>-3.597115236773285E-2</v>
      </c>
      <c r="J115" s="29">
        <v>44291</v>
      </c>
      <c r="K115" s="44">
        <v>45.420997999999997</v>
      </c>
      <c r="L115" s="33">
        <f>IF(ISBLANK(K116),"",Long1[[#This Row],[Adj Close]]/K116-1)</f>
        <v>3.0200870239774691E-2</v>
      </c>
      <c r="M115" s="37">
        <v>44291</v>
      </c>
      <c r="N115" s="44">
        <v>30.670883</v>
      </c>
      <c r="O115" s="36">
        <f>IF(ISBLANK(N116),"",Long2[[#This Row],[Adj Close]]/N116-1)</f>
        <v>6.7177354695704405E-3</v>
      </c>
      <c r="P115" s="29">
        <v>44291</v>
      </c>
      <c r="Q115" s="44">
        <v>26.351386999999999</v>
      </c>
      <c r="R115" s="33">
        <f>IF(ISBLANK(Q116),"",Long3[[#This Row],[Adj Close]]/Q116-1)</f>
        <v>-4.5187558627831637E-3</v>
      </c>
      <c r="S115" s="37">
        <v>44291</v>
      </c>
      <c r="T115" s="44">
        <v>101.603821</v>
      </c>
      <c r="U115" s="36">
        <f>IF(ISBLANK(T116),"",Long4[[#This Row],[Adj Close]]/T116-1)</f>
        <v>6.1863558360548909E-2</v>
      </c>
      <c r="V115" s="29">
        <v>44291</v>
      </c>
      <c r="W115" s="44">
        <v>131.49426299999999</v>
      </c>
      <c r="X115" s="33">
        <f>IF(ISBLANK(W116),"",Long5[[#This Row],[Adj Close]]/W116-1)</f>
        <v>1.34728168103182E-2</v>
      </c>
      <c r="Y115" s="37">
        <v>44291</v>
      </c>
      <c r="Z115" s="44">
        <v>237.036743</v>
      </c>
      <c r="AA115" s="36">
        <f>IF(ISBLANK(Z116),"",Long6[[#This Row],[Adj Close]]/Z116-1)</f>
        <v>1.1295801132074734E-2</v>
      </c>
      <c r="AH115" s="29">
        <v>44291</v>
      </c>
      <c r="AI115" s="44">
        <v>61.939999</v>
      </c>
      <c r="AJ115" s="33">
        <f>IF(ISBLANK(AI116),"",Short0[[#This Row],[Adj Close]]/AI116-1)</f>
        <v>1.4551496024299837E-3</v>
      </c>
      <c r="AK115" s="37">
        <v>44291</v>
      </c>
      <c r="AL115" s="44">
        <v>113.598969</v>
      </c>
      <c r="AM115" s="36">
        <f>IF(ISBLANK(AL116),"",Short1[[#This Row],[Adj Close]]/AL116-1)</f>
        <v>5.8051096340422159E-2</v>
      </c>
      <c r="AN115" s="29">
        <v>44291</v>
      </c>
      <c r="AO115" s="44">
        <v>102.08406100000001</v>
      </c>
      <c r="AP115" s="33">
        <f>IF(ISBLANK(AO116),"",Short2[[#This Row],[Adj Close]]/AO116-1)</f>
        <v>2.0206714759851252E-2</v>
      </c>
      <c r="AQ115" s="37">
        <v>44291</v>
      </c>
      <c r="AR115" s="44">
        <v>142.270004</v>
      </c>
      <c r="AS115" s="36">
        <f>IF(ISBLANK(AR116),"",Short3[[#This Row],[Adj Close]]/AR116-1)</f>
        <v>2.8928906373648422E-2</v>
      </c>
    </row>
    <row r="116" spans="1:45" x14ac:dyDescent="0.25">
      <c r="A116" s="37">
        <v>44284</v>
      </c>
      <c r="B116" s="39">
        <v>4019.8701169999999</v>
      </c>
      <c r="C116" s="36">
        <f>IF(ISBLANK(B117), "", GSPC[[#This Row],[Adj Close]]/B117-1)</f>
        <v>1.1405112932616257E-2</v>
      </c>
      <c r="D11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59206.064192999998</v>
      </c>
      <c r="E11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41860.285949999998</v>
      </c>
      <c r="F116" s="11">
        <f>IF(ISBLANK(GSPC[[#This Row],[Long Exp.]]), "", (GSPC[[#This Row],[Long Exp.]]/D117-1)+(E117/GSPC[[#This Row],[Short Exp.]]-1))</f>
        <v>-8.3715495324987454E-4</v>
      </c>
      <c r="G116" s="37">
        <v>44284</v>
      </c>
      <c r="H116" s="44">
        <v>12.727976999999999</v>
      </c>
      <c r="I116" s="36">
        <f>IF(ISBLANK(H117), "", Long0[[#This Row],[Adj Close]]/H117-1)</f>
        <v>-3.203345361703247E-2</v>
      </c>
      <c r="J116" s="29">
        <v>44284</v>
      </c>
      <c r="K116" s="44">
        <v>44.089458</v>
      </c>
      <c r="L116" s="33">
        <f>IF(ISBLANK(K117),"",Long1[[#This Row],[Adj Close]]/K117-1)</f>
        <v>3.4656247604145429E-2</v>
      </c>
      <c r="M116" s="37">
        <v>44284</v>
      </c>
      <c r="N116" s="44">
        <v>30.466218999999999</v>
      </c>
      <c r="O116" s="36">
        <f>IF(ISBLANK(N117),"",Long2[[#This Row],[Adj Close]]/N117-1)</f>
        <v>3.5313403325292203E-3</v>
      </c>
      <c r="P116" s="29">
        <v>44284</v>
      </c>
      <c r="Q116" s="44">
        <v>26.471003</v>
      </c>
      <c r="R116" s="33">
        <f>IF(ISBLANK(Q117),"",Long3[[#This Row],[Adj Close]]/Q117-1)</f>
        <v>-1.7082291676220329E-2</v>
      </c>
      <c r="S116" s="37">
        <v>44284</v>
      </c>
      <c r="T116" s="44">
        <v>95.684441000000007</v>
      </c>
      <c r="U116" s="36">
        <f>IF(ISBLANK(T117),"",Long4[[#This Row],[Adj Close]]/T117-1)</f>
        <v>-2.6197481322951854E-2</v>
      </c>
      <c r="V116" s="29">
        <v>44284</v>
      </c>
      <c r="W116" s="44">
        <v>129.746216</v>
      </c>
      <c r="X116" s="33">
        <f>IF(ISBLANK(W117),"",Long5[[#This Row],[Adj Close]]/W117-1)</f>
        <v>8.5511056819380649E-2</v>
      </c>
      <c r="Y116" s="37">
        <v>44284</v>
      </c>
      <c r="Z116" s="44">
        <v>234.38912999999999</v>
      </c>
      <c r="AA116" s="36">
        <f>IF(ISBLANK(Z117),"",Long6[[#This Row],[Adj Close]]/Z117-1)</f>
        <v>-8.2458450512998827E-3</v>
      </c>
      <c r="AH116" s="29">
        <v>44284</v>
      </c>
      <c r="AI116" s="44">
        <v>61.849997999999999</v>
      </c>
      <c r="AJ116" s="33">
        <f>IF(ISBLANK(AI117),"",Short0[[#This Row],[Adj Close]]/AI117-1)</f>
        <v>1.3934393442623039E-2</v>
      </c>
      <c r="AK116" s="37">
        <v>44284</v>
      </c>
      <c r="AL116" s="44">
        <v>107.366241</v>
      </c>
      <c r="AM116" s="36">
        <f>IF(ISBLANK(AL117),"",Short1[[#This Row],[Adj Close]]/AL117-1)</f>
        <v>-2.9347591523377292E-2</v>
      </c>
      <c r="AN116" s="29">
        <v>44284</v>
      </c>
      <c r="AO116" s="44">
        <v>100.062134</v>
      </c>
      <c r="AP116" s="33">
        <f>IF(ISBLANK(AO117),"",Short2[[#This Row],[Adj Close]]/AO117-1)</f>
        <v>5.6393294078458389E-3</v>
      </c>
      <c r="AQ116" s="37">
        <v>44284</v>
      </c>
      <c r="AR116" s="44">
        <v>138.270004</v>
      </c>
      <c r="AS116" s="36">
        <f>IF(ISBLANK(AR117),"",Short3[[#This Row],[Adj Close]]/AR117-1)</f>
        <v>2.2782764660363108E-2</v>
      </c>
    </row>
    <row r="117" spans="1:45" x14ac:dyDescent="0.25">
      <c r="A117" s="37">
        <v>44277</v>
      </c>
      <c r="B117" s="39">
        <v>3974.540039</v>
      </c>
      <c r="C117" s="36">
        <f>IF(ISBLANK(B118), "", GSPC[[#This Row],[Adj Close]]/B118-1)</f>
        <v>1.5701091068792916E-2</v>
      </c>
      <c r="D11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59070.725860000006</v>
      </c>
      <c r="E11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41729.335315999997</v>
      </c>
      <c r="F117" s="11">
        <f>IF(ISBLANK(GSPC[[#This Row],[Long Exp.]]), "", (GSPC[[#This Row],[Long Exp.]]/D118-1)+(E118/GSPC[[#This Row],[Short Exp.]]-1))</f>
        <v>-1.8607725567488465E-2</v>
      </c>
      <c r="G117" s="37">
        <v>44277</v>
      </c>
      <c r="H117" s="44">
        <v>13.149191</v>
      </c>
      <c r="I117" s="36">
        <f>IF(ISBLANK(H118), "", Long0[[#This Row],[Adj Close]]/H118-1)</f>
        <v>-2.8416824925013517E-2</v>
      </c>
      <c r="J117" s="29">
        <v>44277</v>
      </c>
      <c r="K117" s="44">
        <v>42.612662999999998</v>
      </c>
      <c r="L117" s="33">
        <f>IF(ISBLANK(K118),"",Long1[[#This Row],[Adj Close]]/K118-1)</f>
        <v>-1.234471099375678E-2</v>
      </c>
      <c r="M117" s="37">
        <v>44277</v>
      </c>
      <c r="N117" s="44">
        <v>30.359010999999999</v>
      </c>
      <c r="O117" s="36">
        <f>IF(ISBLANK(N118),"",Long2[[#This Row],[Adj Close]]/N118-1)</f>
        <v>-6.4845468842337439E-2</v>
      </c>
      <c r="P117" s="29">
        <v>44277</v>
      </c>
      <c r="Q117" s="44">
        <v>26.931047</v>
      </c>
      <c r="R117" s="33">
        <f>IF(ISBLANK(Q118),"",Long3[[#This Row],[Adj Close]]/Q118-1)</f>
        <v>-1.0814502901087875E-2</v>
      </c>
      <c r="S117" s="37">
        <v>44277</v>
      </c>
      <c r="T117" s="44">
        <v>98.258567999999997</v>
      </c>
      <c r="U117" s="36">
        <f>IF(ISBLANK(T118),"",Long4[[#This Row],[Adj Close]]/T118-1)</f>
        <v>8.2081684151545042E-2</v>
      </c>
      <c r="V117" s="29">
        <v>44277</v>
      </c>
      <c r="W117" s="44">
        <v>119.52546700000001</v>
      </c>
      <c r="X117" s="33">
        <f>IF(ISBLANK(W118),"",Long5[[#This Row],[Adj Close]]/W118-1)</f>
        <v>-4.786179511249633E-2</v>
      </c>
      <c r="Y117" s="37">
        <v>44277</v>
      </c>
      <c r="Z117" s="44">
        <v>236.33793600000001</v>
      </c>
      <c r="AA117" s="36">
        <f>IF(ISBLANK(Z118),"",Long6[[#This Row],[Adj Close]]/Z118-1)</f>
        <v>4.6534245643676808E-2</v>
      </c>
      <c r="AH117" s="29">
        <v>44277</v>
      </c>
      <c r="AI117" s="44">
        <v>61</v>
      </c>
      <c r="AJ117" s="33">
        <f>IF(ISBLANK(AI118),"",Short0[[#This Row],[Adj Close]]/AI118-1)</f>
        <v>-4.298716526554236E-2</v>
      </c>
      <c r="AK117" s="37">
        <v>44277</v>
      </c>
      <c r="AL117" s="44">
        <v>110.61245</v>
      </c>
      <c r="AM117" s="36">
        <f>IF(ISBLANK(AL118),"",Short1[[#This Row],[Adj Close]]/AL118-1)</f>
        <v>1.5317805700545861E-2</v>
      </c>
      <c r="AN117" s="29">
        <v>44277</v>
      </c>
      <c r="AO117" s="44">
        <v>99.501014999999995</v>
      </c>
      <c r="AP117" s="33">
        <f>IF(ISBLANK(AO118),"",Short2[[#This Row],[Adj Close]]/AO118-1)</f>
        <v>8.1265652111508713E-2</v>
      </c>
      <c r="AQ117" s="37">
        <v>44277</v>
      </c>
      <c r="AR117" s="44">
        <v>135.19000199999999</v>
      </c>
      <c r="AS117" s="36">
        <f>IF(ISBLANK(AR118),"",Short3[[#This Row],[Adj Close]]/AR118-1)</f>
        <v>1.1108486950230922E-3</v>
      </c>
    </row>
    <row r="118" spans="1:45" x14ac:dyDescent="0.25">
      <c r="A118" s="37">
        <v>44270</v>
      </c>
      <c r="B118" s="39">
        <v>3913.1000979999999</v>
      </c>
      <c r="C118" s="36">
        <f>IF(ISBLANK(B119), "", GSPC[[#This Row],[Adj Close]]/B119-1)</f>
        <v>-7.6686233814891036E-3</v>
      </c>
      <c r="D11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59321.195574999998</v>
      </c>
      <c r="E11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41129.039543000006</v>
      </c>
      <c r="F118" s="11">
        <f>IF(ISBLANK(GSPC[[#This Row],[Long Exp.]]), "", (GSPC[[#This Row],[Long Exp.]]/D119-1)+(E119/GSPC[[#This Row],[Short Exp.]]-1))</f>
        <v>-8.6634787299497695E-3</v>
      </c>
      <c r="G118" s="37">
        <v>44270</v>
      </c>
      <c r="H118" s="44">
        <v>13.533778</v>
      </c>
      <c r="I118" s="36">
        <f>IF(ISBLANK(H119), "", Long0[[#This Row],[Adj Close]]/H119-1)</f>
        <v>2.9247959056948769E-2</v>
      </c>
      <c r="J118" s="29">
        <v>44270</v>
      </c>
      <c r="K118" s="44">
        <v>43.145279000000002</v>
      </c>
      <c r="L118" s="33">
        <f>IF(ISBLANK(K119),"",Long1[[#This Row],[Adj Close]]/K119-1)</f>
        <v>-1.760425578395064E-3</v>
      </c>
      <c r="M118" s="37">
        <v>44270</v>
      </c>
      <c r="N118" s="44">
        <v>32.464165000000001</v>
      </c>
      <c r="O118" s="36">
        <f>IF(ISBLANK(N119),"",Long2[[#This Row],[Adj Close]]/N119-1)</f>
        <v>3.3133215621397039E-3</v>
      </c>
      <c r="P118" s="29">
        <v>44270</v>
      </c>
      <c r="Q118" s="44">
        <v>27.225477000000001</v>
      </c>
      <c r="R118" s="33">
        <f>IF(ISBLANK(Q119),"",Long3[[#This Row],[Adj Close]]/Q119-1)</f>
        <v>8.3732200831463821E-2</v>
      </c>
      <c r="S118" s="37">
        <v>44270</v>
      </c>
      <c r="T118" s="44">
        <v>90.805130000000005</v>
      </c>
      <c r="U118" s="36">
        <f>IF(ISBLANK(T119),"",Long4[[#This Row],[Adj Close]]/T119-1)</f>
        <v>1.3073250619236809E-2</v>
      </c>
      <c r="V118" s="29">
        <v>44270</v>
      </c>
      <c r="W118" s="44">
        <v>125.533737</v>
      </c>
      <c r="X118" s="33">
        <f>IF(ISBLANK(W119),"",Long5[[#This Row],[Adj Close]]/W119-1)</f>
        <v>2.3520315217587573E-2</v>
      </c>
      <c r="Y118" s="37">
        <v>44270</v>
      </c>
      <c r="Z118" s="44">
        <v>225.82914700000001</v>
      </c>
      <c r="AA118" s="36">
        <f>IF(ISBLANK(Z119),"",Long6[[#This Row],[Adj Close]]/Z119-1)</f>
        <v>3.4738985177247272E-2</v>
      </c>
      <c r="AH118" s="29">
        <v>44270</v>
      </c>
      <c r="AI118" s="44">
        <v>63.740001999999997</v>
      </c>
      <c r="AJ118" s="33">
        <f>IF(ISBLANK(AI119),"",Short0[[#This Row],[Adj Close]]/AI119-1)</f>
        <v>2.0656540902217024E-2</v>
      </c>
      <c r="AK118" s="37">
        <v>44270</v>
      </c>
      <c r="AL118" s="44">
        <v>108.94367200000001</v>
      </c>
      <c r="AM118" s="36">
        <f>IF(ISBLANK(AL119),"",Short1[[#This Row],[Adj Close]]/AL119-1)</f>
        <v>6.4870727350223145E-2</v>
      </c>
      <c r="AN118" s="29">
        <v>44270</v>
      </c>
      <c r="AO118" s="44">
        <v>92.022728000000001</v>
      </c>
      <c r="AP118" s="33">
        <f>IF(ISBLANK(AO119),"",Short2[[#This Row],[Adj Close]]/AO119-1)</f>
        <v>8.2015762651580948E-2</v>
      </c>
      <c r="AQ118" s="37">
        <v>44270</v>
      </c>
      <c r="AR118" s="44">
        <v>135.03999300000001</v>
      </c>
      <c r="AS118" s="36">
        <f>IF(ISBLANK(AR119),"",Short3[[#This Row],[Adj Close]]/AR119-1)</f>
        <v>-6.4744335855565494E-3</v>
      </c>
    </row>
    <row r="119" spans="1:45" x14ac:dyDescent="0.25">
      <c r="A119" s="37">
        <v>44263</v>
      </c>
      <c r="B119" s="39">
        <v>3943.3400879999999</v>
      </c>
      <c r="C119" s="36">
        <f>IF(ISBLANK(B120), "", GSPC[[#This Row],[Adj Close]]/B120-1)</f>
        <v>2.6392954746087716E-2</v>
      </c>
      <c r="D11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57607.679682999995</v>
      </c>
      <c r="E11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39549.353222999998</v>
      </c>
      <c r="F119" s="11">
        <f>IF(ISBLANK(GSPC[[#This Row],[Long Exp.]]), "", (GSPC[[#This Row],[Long Exp.]]/D120-1)+(E120/GSPC[[#This Row],[Short Exp.]]-1))</f>
        <v>5.7896913020058838E-2</v>
      </c>
      <c r="G119" s="37">
        <v>44263</v>
      </c>
      <c r="H119" s="44">
        <v>13.149191</v>
      </c>
      <c r="I119" s="36">
        <f>IF(ISBLANK(H120), "", Long0[[#This Row],[Adj Close]]/H120-1)</f>
        <v>3.235084124890264E-2</v>
      </c>
      <c r="J119" s="29">
        <v>44263</v>
      </c>
      <c r="K119" s="44">
        <v>43.221367000000001</v>
      </c>
      <c r="L119" s="33">
        <f>IF(ISBLANK(K120),"",Long1[[#This Row],[Adj Close]]/K120-1)</f>
        <v>6.8850542993276864E-2</v>
      </c>
      <c r="M119" s="37">
        <v>44263</v>
      </c>
      <c r="N119" s="44">
        <v>32.356955999999997</v>
      </c>
      <c r="O119" s="36">
        <f>IF(ISBLANK(N120),"",Long2[[#This Row],[Adj Close]]/N120-1)</f>
        <v>0.10586102011127041</v>
      </c>
      <c r="P119" s="29">
        <v>44263</v>
      </c>
      <c r="Q119" s="44">
        <v>25.121960000000001</v>
      </c>
      <c r="R119" s="33">
        <f>IF(ISBLANK(Q120),"",Long3[[#This Row],[Adj Close]]/Q120-1)</f>
        <v>-1.9115065615379567E-2</v>
      </c>
      <c r="S119" s="37">
        <v>44263</v>
      </c>
      <c r="T119" s="44">
        <v>89.633330999999998</v>
      </c>
      <c r="U119" s="36">
        <f>IF(ISBLANK(T120),"",Long4[[#This Row],[Adj Close]]/T120-1)</f>
        <v>0.14264734143584623</v>
      </c>
      <c r="V119" s="29">
        <v>44263</v>
      </c>
      <c r="W119" s="44">
        <v>122.648994</v>
      </c>
      <c r="X119" s="33">
        <f>IF(ISBLANK(W120),"",Long5[[#This Row],[Adj Close]]/W120-1)</f>
        <v>6.6451294778572478E-2</v>
      </c>
      <c r="Y119" s="37">
        <v>44263</v>
      </c>
      <c r="Z119" s="44">
        <v>218.24745200000001</v>
      </c>
      <c r="AA119" s="36">
        <f>IF(ISBLANK(Z120),"",Long6[[#This Row],[Adj Close]]/Z120-1)</f>
        <v>0.17378919058279529</v>
      </c>
      <c r="AH119" s="29">
        <v>44263</v>
      </c>
      <c r="AI119" s="44">
        <v>62.450001</v>
      </c>
      <c r="AJ119" s="33">
        <f>IF(ISBLANK(AI120),"",Short0[[#This Row],[Adj Close]]/AI120-1)</f>
        <v>1.6018578091259172E-4</v>
      </c>
      <c r="AK119" s="37">
        <v>44263</v>
      </c>
      <c r="AL119" s="44">
        <v>102.306946</v>
      </c>
      <c r="AM119" s="36">
        <f>IF(ISBLANK(AL120),"",Short1[[#This Row],[Adj Close]]/AL120-1)</f>
        <v>7.9144517797497649E-2</v>
      </c>
      <c r="AN119" s="29">
        <v>44263</v>
      </c>
      <c r="AO119" s="44">
        <v>85.047493000000003</v>
      </c>
      <c r="AP119" s="33">
        <f>IF(ISBLANK(AO120),"",Short2[[#This Row],[Adj Close]]/AO120-1)</f>
        <v>2.2447096150224777E-2</v>
      </c>
      <c r="AQ119" s="37">
        <v>44263</v>
      </c>
      <c r="AR119" s="44">
        <v>135.91999799999999</v>
      </c>
      <c r="AS119" s="36">
        <f>IF(ISBLANK(AR120),"",Short3[[#This Row],[Adj Close]]/AR120-1)</f>
        <v>-6.2148568775358681E-3</v>
      </c>
    </row>
    <row r="120" spans="1:45" x14ac:dyDescent="0.25">
      <c r="A120" s="37">
        <v>44256</v>
      </c>
      <c r="B120" s="39">
        <v>3841.9399410000001</v>
      </c>
      <c r="C120" s="36">
        <f>IF(ISBLANK(B121), "", GSPC[[#This Row],[Adj Close]]/B121-1)</f>
        <v>8.0789367492057895E-3</v>
      </c>
      <c r="D12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53370.387555000001</v>
      </c>
      <c r="E12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38699.154685000001</v>
      </c>
      <c r="F120" s="11">
        <f>IF(ISBLANK(GSPC[[#This Row],[Long Exp.]]), "", (GSPC[[#This Row],[Long Exp.]]/D121-1)+(E121/GSPC[[#This Row],[Short Exp.]]-1))</f>
        <v>-3.7655908976029995E-2</v>
      </c>
      <c r="G120" s="37">
        <v>44256</v>
      </c>
      <c r="H120" s="44">
        <v>12.737133999999999</v>
      </c>
      <c r="I120" s="36">
        <f>IF(ISBLANK(H121), "", Long0[[#This Row],[Adj Close]]/H121-1)</f>
        <v>-6.3299807756755033E-2</v>
      </c>
      <c r="J120" s="29">
        <v>44256</v>
      </c>
      <c r="K120" s="44">
        <v>40.437241</v>
      </c>
      <c r="L120" s="33">
        <f>IF(ISBLANK(K121),"",Long1[[#This Row],[Adj Close]]/K121-1)</f>
        <v>2.7443941486815504E-3</v>
      </c>
      <c r="M120" s="37">
        <v>44256</v>
      </c>
      <c r="N120" s="44">
        <v>29.259513999999999</v>
      </c>
      <c r="O120" s="36">
        <f>IF(ISBLANK(N121),"",Long2[[#This Row],[Adj Close]]/N121-1)</f>
        <v>2.2789105528106202E-2</v>
      </c>
      <c r="P120" s="29">
        <v>44256</v>
      </c>
      <c r="Q120" s="44">
        <v>25.611526000000001</v>
      </c>
      <c r="R120" s="33">
        <f>IF(ISBLANK(Q121),"",Long3[[#This Row],[Adj Close]]/Q121-1)</f>
        <v>7.8655950943241182E-2</v>
      </c>
      <c r="S120" s="37">
        <v>44256</v>
      </c>
      <c r="T120" s="44">
        <v>78.443565000000007</v>
      </c>
      <c r="U120" s="36">
        <f>IF(ISBLANK(T121),"",Long4[[#This Row],[Adj Close]]/T121-1)</f>
        <v>-2.9355934173129095E-2</v>
      </c>
      <c r="V120" s="29">
        <v>44256</v>
      </c>
      <c r="W120" s="44">
        <v>115.006653</v>
      </c>
      <c r="X120" s="33">
        <f>IF(ISBLANK(W121),"",Long5[[#This Row],[Adj Close]]/W121-1)</f>
        <v>-0.11472639954390873</v>
      </c>
      <c r="Y120" s="37">
        <v>44256</v>
      </c>
      <c r="Z120" s="44">
        <v>185.934113</v>
      </c>
      <c r="AA120" s="36">
        <f>IF(ISBLANK(Z121),"",Long6[[#This Row],[Adj Close]]/Z121-1)</f>
        <v>-0.10680721830415474</v>
      </c>
      <c r="AH120" s="29">
        <v>44256</v>
      </c>
      <c r="AI120" s="44">
        <v>62.439999</v>
      </c>
      <c r="AJ120" s="33">
        <f>IF(ISBLANK(AI121),"",Short0[[#This Row],[Adj Close]]/AI121-1)</f>
        <v>-2.5558946503481117E-3</v>
      </c>
      <c r="AK120" s="37">
        <v>44256</v>
      </c>
      <c r="AL120" s="44">
        <v>94.803748999999996</v>
      </c>
      <c r="AM120" s="36">
        <f>IF(ISBLANK(AL121),"",Short1[[#This Row],[Adj Close]]/AL121-1)</f>
        <v>2.4912751806131839E-2</v>
      </c>
      <c r="AN120" s="29">
        <v>44256</v>
      </c>
      <c r="AO120" s="44">
        <v>83.180335999999997</v>
      </c>
      <c r="AP120" s="33">
        <f>IF(ISBLANK(AO121),"",Short2[[#This Row],[Adj Close]]/AO121-1)</f>
        <v>3.6278147442648789E-2</v>
      </c>
      <c r="AQ120" s="37">
        <v>44256</v>
      </c>
      <c r="AR120" s="44">
        <v>136.770004</v>
      </c>
      <c r="AS120" s="36">
        <f>IF(ISBLANK(AR121),"",Short3[[#This Row],[Adj Close]]/AR121-1)</f>
        <v>-4.3633250948648783E-2</v>
      </c>
    </row>
    <row r="121" spans="1:45" x14ac:dyDescent="0.25">
      <c r="A121" s="37">
        <v>44249</v>
      </c>
      <c r="B121" s="39">
        <v>3811.1499020000001</v>
      </c>
      <c r="C121" s="36">
        <f>IF(ISBLANK(B122), "", GSPC[[#This Row],[Adj Close]]/B122-1)</f>
        <v>-2.4460494880336414E-2</v>
      </c>
      <c r="D12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55348.726642999995</v>
      </c>
      <c r="E12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38625.133403</v>
      </c>
      <c r="F121" s="11">
        <f>IF(ISBLANK(GSPC[[#This Row],[Long Exp.]]), "", (GSPC[[#This Row],[Long Exp.]]/D122-1)+(E122/GSPC[[#This Row],[Short Exp.]]-1))</f>
        <v>3.6137549766231292E-2</v>
      </c>
      <c r="G121" s="37">
        <v>44249</v>
      </c>
      <c r="H121" s="44">
        <v>13.597877</v>
      </c>
      <c r="I121" s="36">
        <f>IF(ISBLANK(H122), "", Long0[[#This Row],[Adj Close]]/H122-1)</f>
        <v>-0.18451388779773925</v>
      </c>
      <c r="J121" s="29">
        <v>44249</v>
      </c>
      <c r="K121" s="44">
        <v>40.326568999999999</v>
      </c>
      <c r="L121" s="33">
        <f>IF(ISBLANK(K122),"",Long1[[#This Row],[Adj Close]]/K122-1)</f>
        <v>-2.4186150888513835E-2</v>
      </c>
      <c r="M121" s="37">
        <v>44249</v>
      </c>
      <c r="N121" s="44">
        <v>28.607572999999999</v>
      </c>
      <c r="O121" s="36">
        <f>IF(ISBLANK(N122),"",Long2[[#This Row],[Adj Close]]/N122-1)</f>
        <v>1.1004057081869689E-2</v>
      </c>
      <c r="P121" s="29">
        <v>44249</v>
      </c>
      <c r="Q121" s="44">
        <v>23.743925000000001</v>
      </c>
      <c r="R121" s="33">
        <f>IF(ISBLANK(Q122),"",Long3[[#This Row],[Adj Close]]/Q122-1)</f>
        <v>-5.3829553693768295E-2</v>
      </c>
      <c r="S121" s="37">
        <v>44249</v>
      </c>
      <c r="T121" s="44">
        <v>80.815994000000003</v>
      </c>
      <c r="U121" s="36">
        <f>IF(ISBLANK(T122),"",Long4[[#This Row],[Adj Close]]/T122-1)</f>
        <v>3.5669026587359376E-4</v>
      </c>
      <c r="V121" s="29">
        <v>44249</v>
      </c>
      <c r="W121" s="44">
        <v>129.91085799999999</v>
      </c>
      <c r="X121" s="33">
        <f>IF(ISBLANK(W122),"",Long5[[#This Row],[Adj Close]]/W122-1)</f>
        <v>-3.0684754432793615E-2</v>
      </c>
      <c r="Y121" s="37">
        <v>44249</v>
      </c>
      <c r="Z121" s="44">
        <v>208.16795300000001</v>
      </c>
      <c r="AA121" s="36">
        <f>IF(ISBLANK(Z122),"",Long6[[#This Row],[Adj Close]]/Z122-1)</f>
        <v>-5.8318624647640593E-2</v>
      </c>
      <c r="AH121" s="29">
        <v>44249</v>
      </c>
      <c r="AI121" s="44">
        <v>62.599997999999999</v>
      </c>
      <c r="AJ121" s="33">
        <f>IF(ISBLANK(AI122),"",Short0[[#This Row],[Adj Close]]/AI122-1)</f>
        <v>4.0212662013958012E-2</v>
      </c>
      <c r="AK121" s="37">
        <v>44249</v>
      </c>
      <c r="AL121" s="44">
        <v>92.499336</v>
      </c>
      <c r="AM121" s="36">
        <f>IF(ISBLANK(AL122),"",Short1[[#This Row],[Adj Close]]/AL122-1)</f>
        <v>-0.14957636785026596</v>
      </c>
      <c r="AN121" s="29">
        <v>44249</v>
      </c>
      <c r="AO121" s="44">
        <v>80.268349000000001</v>
      </c>
      <c r="AP121" s="33">
        <f>IF(ISBLANK(AO122),"",Short2[[#This Row],[Adj Close]]/AO122-1)</f>
        <v>-5.1337904622692609E-2</v>
      </c>
      <c r="AQ121" s="37">
        <v>44249</v>
      </c>
      <c r="AR121" s="44">
        <v>143.009995</v>
      </c>
      <c r="AS121" s="36">
        <f>IF(ISBLANK(AR122),"",Short3[[#This Row],[Adj Close]]/AR122-1)</f>
        <v>-0.15707891295346188</v>
      </c>
    </row>
    <row r="122" spans="1:45" x14ac:dyDescent="0.25">
      <c r="A122" s="37">
        <v>44242</v>
      </c>
      <c r="B122" s="39">
        <v>3906.709961</v>
      </c>
      <c r="C122" s="36">
        <f>IF(ISBLANK(B123), "", GSPC[[#This Row],[Adj Close]]/B123-1)</f>
        <v>-7.1464628567373678E-3</v>
      </c>
      <c r="D12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58634.541369999999</v>
      </c>
      <c r="E12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42185.460760000002</v>
      </c>
      <c r="F122" s="11">
        <f>IF(ISBLANK(GSPC[[#This Row],[Long Exp.]]), "", (GSPC[[#This Row],[Long Exp.]]/D123-1)+(E123/GSPC[[#This Row],[Short Exp.]]-1))</f>
        <v>-4.842784175897108E-2</v>
      </c>
      <c r="G122" s="37">
        <v>44242</v>
      </c>
      <c r="H122" s="44">
        <v>16.674565999999999</v>
      </c>
      <c r="I122" s="36">
        <f>IF(ISBLANK(H123), "", Long0[[#This Row],[Adj Close]]/H123-1)</f>
        <v>-1.6449487607502755E-3</v>
      </c>
      <c r="J122" s="29">
        <v>44242</v>
      </c>
      <c r="K122" s="44">
        <v>41.326087999999999</v>
      </c>
      <c r="L122" s="33">
        <f>IF(ISBLANK(K123),"",Long1[[#This Row],[Adj Close]]/K123-1)</f>
        <v>-1.5002833952321937E-2</v>
      </c>
      <c r="M122" s="37">
        <v>44242</v>
      </c>
      <c r="N122" s="44">
        <v>28.296199999999999</v>
      </c>
      <c r="O122" s="36">
        <f>IF(ISBLANK(N123),"",Long2[[#This Row],[Adj Close]]/N123-1)</f>
        <v>-6.4912919907283984E-3</v>
      </c>
      <c r="P122" s="29">
        <v>44242</v>
      </c>
      <c r="Q122" s="44">
        <v>25.094764999999999</v>
      </c>
      <c r="R122" s="33">
        <f>IF(ISBLANK(Q123),"",Long3[[#This Row],[Adj Close]]/Q123-1)</f>
        <v>-1.1781509796193967E-2</v>
      </c>
      <c r="S122" s="37">
        <v>44242</v>
      </c>
      <c r="T122" s="44">
        <v>80.787177999999997</v>
      </c>
      <c r="U122" s="36">
        <f>IF(ISBLANK(T123),"",Long4[[#This Row],[Adj Close]]/T123-1)</f>
        <v>-6.5548266574859904E-2</v>
      </c>
      <c r="V122" s="29">
        <v>44242</v>
      </c>
      <c r="W122" s="44">
        <v>134.02333100000001</v>
      </c>
      <c r="X122" s="33">
        <f>IF(ISBLANK(W123),"",Long5[[#This Row],[Adj Close]]/W123-1)</f>
        <v>-0.17768306322122507</v>
      </c>
      <c r="Y122" s="37">
        <v>44242</v>
      </c>
      <c r="Z122" s="44">
        <v>221.05985999999999</v>
      </c>
      <c r="AA122" s="36">
        <f>IF(ISBLANK(Z123),"",Long6[[#This Row],[Adj Close]]/Z123-1)</f>
        <v>-5.609664005204229E-2</v>
      </c>
      <c r="AH122" s="29">
        <v>44242</v>
      </c>
      <c r="AI122" s="44">
        <v>60.18</v>
      </c>
      <c r="AJ122" s="33">
        <f>IF(ISBLANK(AI123),"",Short0[[#This Row],[Adj Close]]/AI123-1)</f>
        <v>7.4259193145305158E-2</v>
      </c>
      <c r="AK122" s="37">
        <v>44242</v>
      </c>
      <c r="AL122" s="44">
        <v>108.768539</v>
      </c>
      <c r="AM122" s="36">
        <f>IF(ISBLANK(AL123),"",Short1[[#This Row],[Adj Close]]/AL123-1)</f>
        <v>-2.0828156985329471E-2</v>
      </c>
      <c r="AN122" s="29">
        <v>44242</v>
      </c>
      <c r="AO122" s="44">
        <v>84.612160000000003</v>
      </c>
      <c r="AP122" s="33">
        <f>IF(ISBLANK(AO123),"",Short2[[#This Row],[Adj Close]]/AO123-1)</f>
        <v>-5.5303368721615009E-2</v>
      </c>
      <c r="AQ122" s="37">
        <v>44242</v>
      </c>
      <c r="AR122" s="44">
        <v>169.66000399999999</v>
      </c>
      <c r="AS122" s="36">
        <f>IF(ISBLANK(AR123),"",Short3[[#This Row],[Adj Close]]/AR123-1)</f>
        <v>-2.1173472322466247E-2</v>
      </c>
    </row>
    <row r="123" spans="1:45" x14ac:dyDescent="0.25">
      <c r="A123" s="37">
        <v>44235</v>
      </c>
      <c r="B123" s="39">
        <v>3934.830078</v>
      </c>
      <c r="C123" s="36">
        <f>IF(ISBLANK(B124), "", GSPC[[#This Row],[Adj Close]]/B124-1)</f>
        <v>1.2349395017725806E-2</v>
      </c>
      <c r="D12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62218.689805000002</v>
      </c>
      <c r="E12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42572.631077999999</v>
      </c>
      <c r="F123" s="11">
        <f>IF(ISBLANK(GSPC[[#This Row],[Long Exp.]]), "", (GSPC[[#This Row],[Long Exp.]]/D124-1)+(E124/GSPC[[#This Row],[Short Exp.]]-1))</f>
        <v>2.2241551045810382E-2</v>
      </c>
      <c r="G123" s="37">
        <v>44235</v>
      </c>
      <c r="H123" s="44">
        <v>16.70204</v>
      </c>
      <c r="I123" s="36">
        <f>IF(ISBLANK(H124), "", Long0[[#This Row],[Adj Close]]/H124-1)</f>
        <v>1.8994731342517834E-2</v>
      </c>
      <c r="J123" s="29">
        <v>44235</v>
      </c>
      <c r="K123" s="44">
        <v>41.955539999999999</v>
      </c>
      <c r="L123" s="33">
        <f>IF(ISBLANK(K124),"",Long1[[#This Row],[Adj Close]]/K124-1)</f>
        <v>2.857385773752652E-2</v>
      </c>
      <c r="M123" s="37">
        <v>44235</v>
      </c>
      <c r="N123" s="44">
        <v>28.481079000000001</v>
      </c>
      <c r="O123" s="36">
        <f>IF(ISBLANK(N124),"",Long2[[#This Row],[Adj Close]]/N124-1)</f>
        <v>5.8589599505901147E-2</v>
      </c>
      <c r="P123" s="29">
        <v>44235</v>
      </c>
      <c r="Q123" s="44">
        <v>25.393944000000001</v>
      </c>
      <c r="R123" s="33">
        <f>IF(ISBLANK(Q124),"",Long3[[#This Row],[Adj Close]]/Q124-1)</f>
        <v>5.0233468380262991E-3</v>
      </c>
      <c r="S123" s="37">
        <v>44235</v>
      </c>
      <c r="T123" s="44">
        <v>86.454093999999998</v>
      </c>
      <c r="U123" s="36">
        <f>IF(ISBLANK(T124),"",Long4[[#This Row],[Adj Close]]/T124-1)</f>
        <v>5.8318651107054809E-2</v>
      </c>
      <c r="V123" s="29">
        <v>44235</v>
      </c>
      <c r="W123" s="44">
        <v>162.982574</v>
      </c>
      <c r="X123" s="33">
        <f>IF(ISBLANK(W124),"",Long5[[#This Row],[Adj Close]]/W124-1)</f>
        <v>0.10128958784844166</v>
      </c>
      <c r="Y123" s="37">
        <v>44235</v>
      </c>
      <c r="Z123" s="44">
        <v>234.19755599999999</v>
      </c>
      <c r="AA123" s="36">
        <f>IF(ISBLANK(Z124),"",Long6[[#This Row],[Adj Close]]/Z124-1)</f>
        <v>3.0995694658801476E-2</v>
      </c>
      <c r="AH123" s="29">
        <v>44235</v>
      </c>
      <c r="AI123" s="44">
        <v>56.02</v>
      </c>
      <c r="AJ123" s="33">
        <f>IF(ISBLANK(AI124),"",Short0[[#This Row],[Adj Close]]/AI124-1)</f>
        <v>8.0978945474177166E-3</v>
      </c>
      <c r="AK123" s="37">
        <v>44235</v>
      </c>
      <c r="AL123" s="44">
        <v>111.082176</v>
      </c>
      <c r="AM123" s="36">
        <f>IF(ISBLANK(AL124),"",Short1[[#This Row],[Adj Close]]/AL124-1)</f>
        <v>5.2213549471520349E-2</v>
      </c>
      <c r="AN123" s="29">
        <v>44235</v>
      </c>
      <c r="AO123" s="44">
        <v>89.565430000000006</v>
      </c>
      <c r="AP123" s="33">
        <f>IF(ISBLANK(AO124),"",Short2[[#This Row],[Adj Close]]/AO124-1)</f>
        <v>1.7809888639530369E-2</v>
      </c>
      <c r="AQ123" s="37">
        <v>44235</v>
      </c>
      <c r="AR123" s="44">
        <v>173.33000200000001</v>
      </c>
      <c r="AS123" s="36">
        <f>IF(ISBLANK(AR124),"",Short3[[#This Row],[Adj Close]]/AR124-1)</f>
        <v>1.815082770938603E-2</v>
      </c>
    </row>
    <row r="124" spans="1:45" x14ac:dyDescent="0.25">
      <c r="A124" s="37">
        <v>44228</v>
      </c>
      <c r="B124" s="39">
        <v>3886.830078</v>
      </c>
      <c r="C124" s="36">
        <f>IF(ISBLANK(B125), "", GSPC[[#This Row],[Adj Close]]/B125-1)</f>
        <v>4.646713418213988E-2</v>
      </c>
      <c r="D12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59509.870432000011</v>
      </c>
      <c r="E12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41581.656285000005</v>
      </c>
      <c r="F124" s="11">
        <f>IF(ISBLANK(GSPC[[#This Row],[Long Exp.]]), "", (GSPC[[#This Row],[Long Exp.]]/D125-1)+(E125/GSPC[[#This Row],[Short Exp.]]-1))</f>
        <v>-2.7510730413807249E-2</v>
      </c>
      <c r="G124" s="37">
        <v>44228</v>
      </c>
      <c r="H124" s="44">
        <v>16.390702999999998</v>
      </c>
      <c r="I124" s="36">
        <f>IF(ISBLANK(H125), "", Long0[[#This Row],[Adj Close]]/H125-1)</f>
        <v>5.3560892725682985E-2</v>
      </c>
      <c r="J124" s="29">
        <v>44228</v>
      </c>
      <c r="K124" s="44">
        <v>40.790011999999997</v>
      </c>
      <c r="L124" s="33">
        <f>IF(ISBLANK(K125),"",Long1[[#This Row],[Adj Close]]/K125-1)</f>
        <v>6.820028652585286E-2</v>
      </c>
      <c r="M124" s="37">
        <v>44228</v>
      </c>
      <c r="N124" s="44">
        <v>26.904741000000001</v>
      </c>
      <c r="O124" s="36">
        <f>IF(ISBLANK(N125),"",Long2[[#This Row],[Adj Close]]/N125-1)</f>
        <v>6.5100242317091439E-2</v>
      </c>
      <c r="P124" s="29">
        <v>44228</v>
      </c>
      <c r="Q124" s="44">
        <v>25.267019000000001</v>
      </c>
      <c r="R124" s="33">
        <f>IF(ISBLANK(Q125),"",Long3[[#This Row],[Adj Close]]/Q125-1)</f>
        <v>7.2281029305265587E-3</v>
      </c>
      <c r="S124" s="37">
        <v>44228</v>
      </c>
      <c r="T124" s="44">
        <v>81.690040999999994</v>
      </c>
      <c r="U124" s="36">
        <f>IF(ISBLANK(T125),"",Long4[[#This Row],[Adj Close]]/T125-1)</f>
        <v>0.12529778913051315</v>
      </c>
      <c r="V124" s="29">
        <v>44228</v>
      </c>
      <c r="W124" s="44">
        <v>147.99247700000001</v>
      </c>
      <c r="X124" s="33">
        <f>IF(ISBLANK(W125),"",Long5[[#This Row],[Adj Close]]/W125-1)</f>
        <v>3.3655602557768338E-2</v>
      </c>
      <c r="Y124" s="37">
        <v>44228</v>
      </c>
      <c r="Z124" s="44">
        <v>227.156677</v>
      </c>
      <c r="AA124" s="36">
        <f>IF(ISBLANK(Z125),"",Long6[[#This Row],[Adj Close]]/Z125-1)</f>
        <v>7.7974377011558182E-4</v>
      </c>
      <c r="AH124" s="29">
        <v>44228</v>
      </c>
      <c r="AI124" s="44">
        <v>55.57</v>
      </c>
      <c r="AJ124" s="33">
        <f>IF(ISBLANK(AI125),"",Short0[[#This Row],[Adj Close]]/AI125-1)</f>
        <v>0.1555416926595965</v>
      </c>
      <c r="AK124" s="37">
        <v>44228</v>
      </c>
      <c r="AL124" s="44">
        <v>105.569992</v>
      </c>
      <c r="AM124" s="36">
        <f>IF(ISBLANK(AL125),"",Short1[[#This Row],[Adj Close]]/AL125-1)</f>
        <v>5.2471967426463761E-2</v>
      </c>
      <c r="AN124" s="29">
        <v>44228</v>
      </c>
      <c r="AO124" s="44">
        <v>87.998192000000003</v>
      </c>
      <c r="AP124" s="33">
        <f>IF(ISBLANK(AO125),"",Short2[[#This Row],[Adj Close]]/AO125-1)</f>
        <v>9.7152219320846056E-2</v>
      </c>
      <c r="AQ124" s="37">
        <v>44228</v>
      </c>
      <c r="AR124" s="44">
        <v>170.240005</v>
      </c>
      <c r="AS124" s="36">
        <f>IF(ISBLANK(AR125),"",Short3[[#This Row],[Adj Close]]/AR125-1)</f>
        <v>3.1570054120887425E-2</v>
      </c>
    </row>
    <row r="125" spans="1:45" x14ac:dyDescent="0.25">
      <c r="A125" s="37">
        <v>44221</v>
      </c>
      <c r="B125" s="39">
        <v>3714.23999</v>
      </c>
      <c r="C125" s="36">
        <f>IF(ISBLANK(B126), "", GSPC[[#This Row],[Adj Close]]/B126-1)</f>
        <v>-3.3120129002825349E-2</v>
      </c>
      <c r="D12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56962.771660000013</v>
      </c>
      <c r="E12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38578.384629</v>
      </c>
      <c r="F125" s="11">
        <f>IF(ISBLANK(GSPC[[#This Row],[Long Exp.]]), "", (GSPC[[#This Row],[Long Exp.]]/D126-1)+(E126/GSPC[[#This Row],[Short Exp.]]-1))</f>
        <v>5.5749458350233816E-3</v>
      </c>
      <c r="G125" s="37">
        <v>44221</v>
      </c>
      <c r="H125" s="44">
        <v>15.557433</v>
      </c>
      <c r="I125" s="36">
        <f>IF(ISBLANK(H126), "", Long0[[#This Row],[Adj Close]]/H126-1)</f>
        <v>-2.5243895271865879E-2</v>
      </c>
      <c r="J125" s="29">
        <v>44221</v>
      </c>
      <c r="K125" s="44">
        <v>38.185733999999997</v>
      </c>
      <c r="L125" s="33">
        <f>IF(ISBLANK(K126),"",Long1[[#This Row],[Adj Close]]/K126-1)</f>
        <v>-5.7372138820878105E-2</v>
      </c>
      <c r="M125" s="37">
        <v>44221</v>
      </c>
      <c r="N125" s="44">
        <v>25.260290000000001</v>
      </c>
      <c r="O125" s="36">
        <f>IF(ISBLANK(N126),"",Long2[[#This Row],[Adj Close]]/N126-1)</f>
        <v>-8.3656951800618717E-2</v>
      </c>
      <c r="P125" s="29">
        <v>44221</v>
      </c>
      <c r="Q125" s="44">
        <v>25.085697</v>
      </c>
      <c r="R125" s="33">
        <f>IF(ISBLANK(Q126),"",Long3[[#This Row],[Adj Close]]/Q126-1)</f>
        <v>-5.3917884239860214E-3</v>
      </c>
      <c r="S125" s="37">
        <v>44221</v>
      </c>
      <c r="T125" s="44">
        <v>72.594154000000003</v>
      </c>
      <c r="U125" s="36">
        <f>IF(ISBLANK(T126),"",Long4[[#This Row],[Adj Close]]/T126-1)</f>
        <v>-8.8189305737023549E-2</v>
      </c>
      <c r="V125" s="29">
        <v>44221</v>
      </c>
      <c r="W125" s="44">
        <v>143.17387400000001</v>
      </c>
      <c r="X125" s="33">
        <f>IF(ISBLANK(W126),"",Long5[[#This Row],[Adj Close]]/W126-1)</f>
        <v>-3.467599210366501E-2</v>
      </c>
      <c r="Y125" s="37">
        <v>44221</v>
      </c>
      <c r="Z125" s="44">
        <v>226.979691</v>
      </c>
      <c r="AA125" s="36">
        <f>IF(ISBLANK(Z126),"",Long6[[#This Row],[Adj Close]]/Z126-1)</f>
        <v>-6.8748510146365516E-2</v>
      </c>
      <c r="AH125" s="29">
        <v>44221</v>
      </c>
      <c r="AI125" s="44">
        <v>48.09</v>
      </c>
      <c r="AJ125" s="33">
        <f>IF(ISBLANK(AI126),"",Short0[[#This Row],[Adj Close]]/AI126-1)</f>
        <v>-0.11240310077519378</v>
      </c>
      <c r="AK125" s="37">
        <v>44221</v>
      </c>
      <c r="AL125" s="44">
        <v>100.306702</v>
      </c>
      <c r="AM125" s="36">
        <f>IF(ISBLANK(AL126),"",Short1[[#This Row],[Adj Close]]/AL126-1)</f>
        <v>-5.3162916940476812E-2</v>
      </c>
      <c r="AN125" s="29">
        <v>44221</v>
      </c>
      <c r="AO125" s="44">
        <v>80.206001000000001</v>
      </c>
      <c r="AP125" s="33">
        <f>IF(ISBLANK(AO126),"",Short2[[#This Row],[Adj Close]]/AO126-1)</f>
        <v>-1.7371787485671253E-2</v>
      </c>
      <c r="AQ125" s="37">
        <v>44221</v>
      </c>
      <c r="AR125" s="44">
        <v>165.029999</v>
      </c>
      <c r="AS125" s="36">
        <f>IF(ISBLANK(AR126),"",Short3[[#This Row],[Adj Close]]/AR126-1)</f>
        <v>-3.4347543628351351E-2</v>
      </c>
    </row>
    <row r="126" spans="1:45" x14ac:dyDescent="0.25">
      <c r="A126" s="37">
        <v>44214</v>
      </c>
      <c r="B126" s="39">
        <v>3841.469971</v>
      </c>
      <c r="C126" s="36">
        <f>IF(ISBLANK(B127), "", GSPC[[#This Row],[Adj Close]]/B127-1)</f>
        <v>1.9430762555562975E-2</v>
      </c>
      <c r="D12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59899.770138999993</v>
      </c>
      <c r="E12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40685.027847999998</v>
      </c>
      <c r="F126" s="11">
        <f>IF(ISBLANK(GSPC[[#This Row],[Long Exp.]]), "", (GSPC[[#This Row],[Long Exp.]]/D127-1)+(E127/GSPC[[#This Row],[Short Exp.]]-1))</f>
        <v>-5.2794639598677806E-3</v>
      </c>
      <c r="G126" s="37">
        <v>44214</v>
      </c>
      <c r="H126" s="44">
        <v>15.960334</v>
      </c>
      <c r="I126" s="36">
        <f>IF(ISBLANK(H127), "", Long0[[#This Row],[Adj Close]]/H127-1)</f>
        <v>2.2287384206438832E-2</v>
      </c>
      <c r="J126" s="29">
        <v>44214</v>
      </c>
      <c r="K126" s="44">
        <v>40.509872000000001</v>
      </c>
      <c r="L126" s="33">
        <f>IF(ISBLANK(K127),"",Long1[[#This Row],[Adj Close]]/K127-1)</f>
        <v>-1.4554954972487155E-2</v>
      </c>
      <c r="M126" s="37">
        <v>44214</v>
      </c>
      <c r="N126" s="44">
        <v>27.566412</v>
      </c>
      <c r="O126" s="36">
        <f>IF(ISBLANK(N127),"",Long2[[#This Row],[Adj Close]]/N127-1)</f>
        <v>-1.082411229285829E-2</v>
      </c>
      <c r="P126" s="29">
        <v>44214</v>
      </c>
      <c r="Q126" s="44">
        <v>25.221686999999999</v>
      </c>
      <c r="R126" s="33">
        <f>IF(ISBLANK(Q127),"",Long3[[#This Row],[Adj Close]]/Q127-1)</f>
        <v>-2.6251349335408958E-2</v>
      </c>
      <c r="S126" s="37">
        <v>44214</v>
      </c>
      <c r="T126" s="44">
        <v>79.615379000000004</v>
      </c>
      <c r="U126" s="36">
        <f>IF(ISBLANK(T127),"",Long4[[#This Row],[Adj Close]]/T127-1)</f>
        <v>0.1234751206796898</v>
      </c>
      <c r="V126" s="29">
        <v>44214</v>
      </c>
      <c r="W126" s="44">
        <v>148.31691000000001</v>
      </c>
      <c r="X126" s="33">
        <f>IF(ISBLANK(W127),"",Long5[[#This Row],[Adj Close]]/W127-1)</f>
        <v>7.2370021176061616E-2</v>
      </c>
      <c r="Y126" s="37">
        <v>44214</v>
      </c>
      <c r="Z126" s="44">
        <v>243.73619099999999</v>
      </c>
      <c r="AA126" s="36">
        <f>IF(ISBLANK(Z127),"",Long6[[#This Row],[Adj Close]]/Z127-1)</f>
        <v>-1.093369545504641E-2</v>
      </c>
      <c r="AH126" s="29">
        <v>44214</v>
      </c>
      <c r="AI126" s="44">
        <v>54.18</v>
      </c>
      <c r="AJ126" s="33">
        <f>IF(ISBLANK(AI127),"",Short0[[#This Row],[Adj Close]]/AI127-1)</f>
        <v>1.3847324360915403E-2</v>
      </c>
      <c r="AK126" s="37">
        <v>44214</v>
      </c>
      <c r="AL126" s="44">
        <v>105.93871300000001</v>
      </c>
      <c r="AM126" s="36">
        <f>IF(ISBLANK(AL127),"",Short1[[#This Row],[Adj Close]]/AL127-1)</f>
        <v>8.1579180846418353E-3</v>
      </c>
      <c r="AN126" s="29">
        <v>44214</v>
      </c>
      <c r="AO126" s="44">
        <v>81.623954999999995</v>
      </c>
      <c r="AP126" s="33">
        <f>IF(ISBLANK(AO127),"",Short2[[#This Row],[Adj Close]]/AO127-1)</f>
        <v>0.10484406657233292</v>
      </c>
      <c r="AQ126" s="37">
        <v>44214</v>
      </c>
      <c r="AR126" s="44">
        <v>170.89999399999999</v>
      </c>
      <c r="AS126" s="36">
        <f>IF(ISBLANK(AR127),"",Short3[[#This Row],[Adj Close]]/AR127-1)</f>
        <v>5.4715125876829696E-3</v>
      </c>
    </row>
    <row r="127" spans="1:45" x14ac:dyDescent="0.25">
      <c r="A127" s="37">
        <v>44207</v>
      </c>
      <c r="B127" s="39">
        <v>3768.25</v>
      </c>
      <c r="C127" s="36">
        <f>IF(ISBLANK(B128), "", GSPC[[#This Row],[Adj Close]]/B128-1)</f>
        <v>-1.4754157995775508E-2</v>
      </c>
      <c r="D12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58509.726965000002</v>
      </c>
      <c r="E12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39503.659318000005</v>
      </c>
      <c r="F127" s="11">
        <f>IF(ISBLANK(GSPC[[#This Row],[Long Exp.]]), "", (GSPC[[#This Row],[Long Exp.]]/D128-1)+(E128/GSPC[[#This Row],[Short Exp.]]-1))</f>
        <v>-1.9460237358197685E-2</v>
      </c>
      <c r="G127" s="37">
        <v>44207</v>
      </c>
      <c r="H127" s="44">
        <v>15.612375</v>
      </c>
      <c r="I127" s="36">
        <f>IF(ISBLANK(H128), "", Long0[[#This Row],[Adj Close]]/H128-1)</f>
        <v>-6.8305884564487385E-2</v>
      </c>
      <c r="J127" s="29">
        <v>44207</v>
      </c>
      <c r="K127" s="44">
        <v>41.108199999999997</v>
      </c>
      <c r="L127" s="33">
        <f>IF(ISBLANK(K128),"",Long1[[#This Row],[Adj Close]]/K128-1)</f>
        <v>-5.5917377877244268E-2</v>
      </c>
      <c r="M127" s="37">
        <v>44207</v>
      </c>
      <c r="N127" s="44">
        <v>27.868058999999999</v>
      </c>
      <c r="O127" s="36">
        <f>IF(ISBLANK(N128),"",Long2[[#This Row],[Adj Close]]/N128-1)</f>
        <v>6.8258130759992319E-2</v>
      </c>
      <c r="P127" s="29">
        <v>44207</v>
      </c>
      <c r="Q127" s="44">
        <v>25.90164</v>
      </c>
      <c r="R127" s="33">
        <f>IF(ISBLANK(Q128),"",Long3[[#This Row],[Adj Close]]/Q128-1)</f>
        <v>2.7328296120887385E-2</v>
      </c>
      <c r="S127" s="37">
        <v>44207</v>
      </c>
      <c r="T127" s="44">
        <v>70.865279999999998</v>
      </c>
      <c r="U127" s="36">
        <f>IF(ISBLANK(T128),"",Long4[[#This Row],[Adj Close]]/T128-1)</f>
        <v>-3.4924614448357372E-2</v>
      </c>
      <c r="V127" s="29">
        <v>44207</v>
      </c>
      <c r="W127" s="44">
        <v>138.30758700000001</v>
      </c>
      <c r="X127" s="33">
        <f>IF(ISBLANK(W128),"",Long5[[#This Row],[Adj Close]]/W128-1)</f>
        <v>-1.2602216925532428E-2</v>
      </c>
      <c r="Y127" s="37">
        <v>44207</v>
      </c>
      <c r="Z127" s="44">
        <v>246.430588</v>
      </c>
      <c r="AA127" s="36">
        <f>IF(ISBLANK(Z128),"",Long6[[#This Row],[Adj Close]]/Z128-1)</f>
        <v>1.3877186131723729E-2</v>
      </c>
      <c r="AH127" s="29">
        <v>44207</v>
      </c>
      <c r="AI127" s="44">
        <v>53.439999</v>
      </c>
      <c r="AJ127" s="33">
        <f>IF(ISBLANK(AI128),"",Short0[[#This Row],[Adj Close]]/AI128-1)</f>
        <v>-7.734805170400727E-2</v>
      </c>
      <c r="AK127" s="37">
        <v>44207</v>
      </c>
      <c r="AL127" s="44">
        <v>105.081467</v>
      </c>
      <c r="AM127" s="36">
        <f>IF(ISBLANK(AL128),"",Short1[[#This Row],[Adj Close]]/AL128-1)</f>
        <v>5.9775121642241302E-2</v>
      </c>
      <c r="AN127" s="29">
        <v>44207</v>
      </c>
      <c r="AO127" s="44">
        <v>73.878258000000002</v>
      </c>
      <c r="AP127" s="33">
        <f>IF(ISBLANK(AO128),"",Short2[[#This Row],[Adj Close]]/AO128-1)</f>
        <v>4.3602774624937668E-2</v>
      </c>
      <c r="AQ127" s="37">
        <v>44207</v>
      </c>
      <c r="AR127" s="44">
        <v>169.970001</v>
      </c>
      <c r="AS127" s="36">
        <f>IF(ISBLANK(AR128),"",Short3[[#This Row],[Adj Close]]/AR128-1)</f>
        <v>2.7630031232044772E-2</v>
      </c>
    </row>
    <row r="128" spans="1:45" x14ac:dyDescent="0.25">
      <c r="A128" s="37">
        <v>44200</v>
      </c>
      <c r="B128" s="39">
        <v>3824.679932</v>
      </c>
      <c r="C128" s="36">
        <f>IF(ISBLANK(B129), "", GSPC[[#This Row],[Adj Close]]/B129-1)</f>
        <v>1.8266396195460999E-2</v>
      </c>
      <c r="D12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58891.167656999998</v>
      </c>
      <c r="E12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38990.775676000005</v>
      </c>
      <c r="F128" s="11">
        <f>IF(ISBLANK(GSPC[[#This Row],[Long Exp.]]), "", (GSPC[[#This Row],[Long Exp.]]/D129-1)+(E129/GSPC[[#This Row],[Short Exp.]]-1))</f>
        <v>5.9226130170974667E-2</v>
      </c>
      <c r="G128" s="37">
        <v>44200</v>
      </c>
      <c r="H128" s="44">
        <v>16.756975000000001</v>
      </c>
      <c r="I128" s="36">
        <f>IF(ISBLANK(H129), "", Long0[[#This Row],[Adj Close]]/H129-1)</f>
        <v>-2.3479476546456102E-2</v>
      </c>
      <c r="J128" s="29">
        <v>44200</v>
      </c>
      <c r="K128" s="44">
        <v>43.543011</v>
      </c>
      <c r="L128" s="33">
        <f>IF(ISBLANK(K129),"",Long1[[#This Row],[Adj Close]]/K129-1)</f>
        <v>5.6208094797363106E-2</v>
      </c>
      <c r="M128" s="37">
        <v>44200</v>
      </c>
      <c r="N128" s="44">
        <v>26.087382999999999</v>
      </c>
      <c r="O128" s="36">
        <f>IF(ISBLANK(N129),"",Long2[[#This Row],[Adj Close]]/N129-1)</f>
        <v>0.16514550572052711</v>
      </c>
      <c r="P128" s="29">
        <v>44200</v>
      </c>
      <c r="Q128" s="44">
        <v>25.212622</v>
      </c>
      <c r="R128" s="33">
        <f>IF(ISBLANK(Q129),"",Long3[[#This Row],[Adj Close]]/Q129-1)</f>
        <v>-1.3829707549363524E-2</v>
      </c>
      <c r="S128" s="37">
        <v>44200</v>
      </c>
      <c r="T128" s="44">
        <v>73.429787000000005</v>
      </c>
      <c r="U128" s="36">
        <f>IF(ISBLANK(T129),"",Long4[[#This Row],[Adj Close]]/T129-1)</f>
        <v>4.8265282950576083E-2</v>
      </c>
      <c r="V128" s="29">
        <v>44200</v>
      </c>
      <c r="W128" s="44">
        <v>140.07281499999999</v>
      </c>
      <c r="X128" s="33">
        <f>IF(ISBLANK(W129),"",Long5[[#This Row],[Adj Close]]/W129-1)</f>
        <v>0.10750658841297978</v>
      </c>
      <c r="Y128" s="37">
        <v>44200</v>
      </c>
      <c r="Z128" s="44">
        <v>243.05763200000001</v>
      </c>
      <c r="AA128" s="36">
        <f>IF(ISBLANK(Z129),"",Long6[[#This Row],[Adj Close]]/Z129-1)</f>
        <v>7.5587285517515257E-2</v>
      </c>
      <c r="AH128" s="29">
        <v>44200</v>
      </c>
      <c r="AI128" s="44">
        <v>57.919998</v>
      </c>
      <c r="AJ128" s="33">
        <f>IF(ISBLANK(AI129),"",Short0[[#This Row],[Adj Close]]/AI129-1)</f>
        <v>-2.8187920408990652E-2</v>
      </c>
      <c r="AK128" s="37">
        <v>44200</v>
      </c>
      <c r="AL128" s="44">
        <v>99.154494999999997</v>
      </c>
      <c r="AM128" s="36">
        <f>IF(ISBLANK(AL129),"",Short1[[#This Row],[Adj Close]]/AL129-1)</f>
        <v>7.7963540761949446E-2</v>
      </c>
      <c r="AN128" s="29">
        <v>44200</v>
      </c>
      <c r="AO128" s="44">
        <v>70.791550000000001</v>
      </c>
      <c r="AP128" s="33">
        <f>IF(ISBLANK(AO129),"",Short2[[#This Row],[Adj Close]]/AO129-1)</f>
        <v>-3.725588548603298E-2</v>
      </c>
      <c r="AQ128" s="37">
        <v>44200</v>
      </c>
      <c r="AR128" s="44">
        <v>165.39999399999999</v>
      </c>
      <c r="AS128" s="36">
        <f>IF(ISBLANK(AR129),"",Short3[[#This Row],[Adj Close]]/AR129-1)</f>
        <v>-2.6428895323026058E-2</v>
      </c>
    </row>
    <row r="129" spans="1:45" x14ac:dyDescent="0.25">
      <c r="A129" s="37">
        <v>44193</v>
      </c>
      <c r="B129" s="39">
        <v>3756.070068</v>
      </c>
      <c r="C129" s="36">
        <f>IF(ISBLANK(B130), "", GSPC[[#This Row],[Adj Close]]/B130-1)</f>
        <v>1.431519018201266E-2</v>
      </c>
      <c r="D12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55957.485980000005</v>
      </c>
      <c r="E12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39255.880038999996</v>
      </c>
      <c r="F129" s="11">
        <f>IF(ISBLANK(GSPC[[#This Row],[Long Exp.]]), "", (GSPC[[#This Row],[Long Exp.]]/D130-1)+(E130/GSPC[[#This Row],[Short Exp.]]-1))</f>
        <v>2.9451834972899826E-2</v>
      </c>
      <c r="G129" s="37">
        <v>44193</v>
      </c>
      <c r="H129" s="44">
        <v>17.159880000000001</v>
      </c>
      <c r="I129" s="36">
        <f>IF(ISBLANK(H130), "", Long0[[#This Row],[Adj Close]]/H130-1)</f>
        <v>5.4586348825065301E-2</v>
      </c>
      <c r="J129" s="29">
        <v>44193</v>
      </c>
      <c r="K129" s="44">
        <v>41.225788000000001</v>
      </c>
      <c r="L129" s="33">
        <f>IF(ISBLANK(K130),"",Long1[[#This Row],[Adj Close]]/K130-1)</f>
        <v>5.0362776045154156E-4</v>
      </c>
      <c r="M129" s="37">
        <v>44193</v>
      </c>
      <c r="N129" s="44">
        <v>22.389807000000001</v>
      </c>
      <c r="O129" s="36">
        <f>IF(ISBLANK(N130),"",Long2[[#This Row],[Adj Close]]/N130-1)</f>
        <v>4.7814347598909679E-2</v>
      </c>
      <c r="P129" s="29">
        <v>44193</v>
      </c>
      <c r="Q129" s="44">
        <v>25.566195</v>
      </c>
      <c r="R129" s="33">
        <f>IF(ISBLANK(Q130),"",Long3[[#This Row],[Adj Close]]/Q130-1)</f>
        <v>4.8716888306883588E-2</v>
      </c>
      <c r="S129" s="37">
        <v>44193</v>
      </c>
      <c r="T129" s="44">
        <v>70.048858999999993</v>
      </c>
      <c r="U129" s="36">
        <f>IF(ISBLANK(T130),"",Long4[[#This Row],[Adj Close]]/T130-1)</f>
        <v>-5.2364716603057193E-2</v>
      </c>
      <c r="V129" s="29">
        <v>44193</v>
      </c>
      <c r="W129" s="44">
        <v>126.47583</v>
      </c>
      <c r="X129" s="33">
        <f>IF(ISBLANK(W130),"",Long5[[#This Row],[Adj Close]]/W130-1)</f>
        <v>-5.8326112329763258E-2</v>
      </c>
      <c r="Y129" s="37">
        <v>44193</v>
      </c>
      <c r="Z129" s="44">
        <v>225.97666899999999</v>
      </c>
      <c r="AA129" s="36">
        <f>IF(ISBLANK(Z130),"",Long6[[#This Row],[Adj Close]]/Z130-1)</f>
        <v>-1.4368312455520726E-2</v>
      </c>
      <c r="AH129" s="29">
        <v>44193</v>
      </c>
      <c r="AI129" s="44">
        <v>59.599997999999999</v>
      </c>
      <c r="AJ129" s="33">
        <f>IF(ISBLANK(AI130),"",Short0[[#This Row],[Adj Close]]/AI130-1)</f>
        <v>4.5430627799706302E-2</v>
      </c>
      <c r="AK129" s="37">
        <v>44193</v>
      </c>
      <c r="AL129" s="44">
        <v>91.983161999999993</v>
      </c>
      <c r="AM129" s="36">
        <f>IF(ISBLANK(AL130),"",Short1[[#This Row],[Adj Close]]/AL130-1)</f>
        <v>-2.6913589099284985E-2</v>
      </c>
      <c r="AN129" s="29">
        <v>44193</v>
      </c>
      <c r="AO129" s="44">
        <v>73.531013000000002</v>
      </c>
      <c r="AP129" s="33">
        <f>IF(ISBLANK(AO130),"",Short2[[#This Row],[Adj Close]]/AO130-1)</f>
        <v>-5.221947407322336E-2</v>
      </c>
      <c r="AQ129" s="37">
        <v>44193</v>
      </c>
      <c r="AR129" s="44">
        <v>169.88999899999999</v>
      </c>
      <c r="AS129" s="36">
        <f>IF(ISBLANK(AR130),"",Short3[[#This Row],[Adj Close]]/AR130-1)</f>
        <v>-5.7214196291024422E-2</v>
      </c>
    </row>
    <row r="130" spans="1:45" x14ac:dyDescent="0.25">
      <c r="A130" s="37">
        <v>44186</v>
      </c>
      <c r="B130" s="39">
        <v>3703.0600589999999</v>
      </c>
      <c r="C130" s="36">
        <f>IF(ISBLANK(B131), "", GSPC[[#This Row],[Adj Close]]/B131-1)</f>
        <v>-1.7118229450614475E-3</v>
      </c>
      <c r="D13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55796.036666</v>
      </c>
      <c r="E13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40298.448401000001</v>
      </c>
      <c r="F130" s="11">
        <f>IF(ISBLANK(GSPC[[#This Row],[Long Exp.]]), "", (GSPC[[#This Row],[Long Exp.]]/D131-1)+(E131/GSPC[[#This Row],[Short Exp.]]-1))</f>
        <v>-4.072826337462343E-2</v>
      </c>
      <c r="G130" s="37">
        <v>44186</v>
      </c>
      <c r="H130" s="44">
        <v>16.271668999999999</v>
      </c>
      <c r="I130" s="36">
        <f>IF(ISBLANK(H131), "", Long0[[#This Row],[Adj Close]]/H131-1)</f>
        <v>1.1269059375009771E-3</v>
      </c>
      <c r="J130" s="29">
        <v>44186</v>
      </c>
      <c r="K130" s="44">
        <v>41.205036</v>
      </c>
      <c r="L130" s="33">
        <f>IF(ISBLANK(K131),"",Long1[[#This Row],[Adj Close]]/K131-1)</f>
        <v>2.5178018201565955E-4</v>
      </c>
      <c r="M130" s="37">
        <v>44186</v>
      </c>
      <c r="N130" s="44">
        <v>21.368105</v>
      </c>
      <c r="O130" s="36">
        <f>IF(ISBLANK(N131),"",Long2[[#This Row],[Adj Close]]/N131-1)</f>
        <v>-6.1137166096356887E-2</v>
      </c>
      <c r="P130" s="29">
        <v>44186</v>
      </c>
      <c r="Q130" s="44">
        <v>24.378547999999999</v>
      </c>
      <c r="R130" s="33">
        <f>IF(ISBLANK(Q131),"",Long3[[#This Row],[Adj Close]]/Q131-1)</f>
        <v>-2.2262975033340293E-3</v>
      </c>
      <c r="S130" s="37">
        <v>44186</v>
      </c>
      <c r="T130" s="44">
        <v>73.919640000000001</v>
      </c>
      <c r="U130" s="36">
        <f>IF(ISBLANK(T131),"",Long4[[#This Row],[Adj Close]]/T131-1)</f>
        <v>1.117798965592165E-2</v>
      </c>
      <c r="V130" s="29">
        <v>44186</v>
      </c>
      <c r="W130" s="44">
        <v>134.309586</v>
      </c>
      <c r="X130" s="33">
        <f>IF(ISBLANK(W131),"",Long5[[#This Row],[Adj Close]]/W131-1)</f>
        <v>-2.453243486133827E-2</v>
      </c>
      <c r="Y130" s="37">
        <v>44186</v>
      </c>
      <c r="Z130" s="44">
        <v>229.270905</v>
      </c>
      <c r="AA130" s="36">
        <f>IF(ISBLANK(Z131),"",Long6[[#This Row],[Adj Close]]/Z131-1)</f>
        <v>-2.8398720707006664E-2</v>
      </c>
      <c r="AH130" s="29">
        <v>44186</v>
      </c>
      <c r="AI130" s="44">
        <v>57.009998000000003</v>
      </c>
      <c r="AJ130" s="33">
        <f>IF(ISBLANK(AI131),"",Short0[[#This Row],[Adj Close]]/AI131-1)</f>
        <v>-7.3132857391606798E-3</v>
      </c>
      <c r="AK130" s="37">
        <v>44186</v>
      </c>
      <c r="AL130" s="44">
        <v>94.527229000000005</v>
      </c>
      <c r="AM130" s="36">
        <f>IF(ISBLANK(AL131),"",Short1[[#This Row],[Adj Close]]/AL131-1)</f>
        <v>1.1414737854276158E-2</v>
      </c>
      <c r="AN130" s="29">
        <v>44186</v>
      </c>
      <c r="AO130" s="44">
        <v>77.582320999999993</v>
      </c>
      <c r="AP130" s="33">
        <f>IF(ISBLANK(AO131),"",Short2[[#This Row],[Adj Close]]/AO131-1)</f>
        <v>-5.0712787778178781E-3</v>
      </c>
      <c r="AQ130" s="37">
        <v>44186</v>
      </c>
      <c r="AR130" s="44">
        <v>180.199997</v>
      </c>
      <c r="AS130" s="36">
        <f>IF(ISBLANK(AR131),"",Short3[[#This Row],[Adj Close]]/AR131-1)</f>
        <v>8.6261969294484153E-2</v>
      </c>
    </row>
    <row r="131" spans="1:45" x14ac:dyDescent="0.25">
      <c r="A131" s="37">
        <v>44179</v>
      </c>
      <c r="B131" s="39">
        <v>3709.4099120000001</v>
      </c>
      <c r="C131" s="36">
        <f>IF(ISBLANK(B132), "", GSPC[[#This Row],[Adj Close]]/B132-1)</f>
        <v>1.2542774177735971E-2</v>
      </c>
      <c r="D13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56658.789291000001</v>
      </c>
      <c r="E13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39270.793626999999</v>
      </c>
      <c r="F131" s="11">
        <f>IF(ISBLANK(GSPC[[#This Row],[Long Exp.]]), "", (GSPC[[#This Row],[Long Exp.]]/D132-1)+(E132/GSPC[[#This Row],[Short Exp.]]-1))</f>
        <v>-1.0946575371418188E-2</v>
      </c>
      <c r="G131" s="37">
        <v>44179</v>
      </c>
      <c r="H131" s="44">
        <v>16.253353000000001</v>
      </c>
      <c r="I131" s="36">
        <f>IF(ISBLANK(H132), "", Long0[[#This Row],[Adj Close]]/H132-1)</f>
        <v>2.3644715770147373E-2</v>
      </c>
      <c r="J131" s="29">
        <v>44179</v>
      </c>
      <c r="K131" s="44">
        <v>41.194664000000003</v>
      </c>
      <c r="L131" s="33">
        <f>IF(ISBLANK(K132),"",Long1[[#This Row],[Adj Close]]/K132-1)</f>
        <v>-1.4561029107609591E-2</v>
      </c>
      <c r="M131" s="37">
        <v>44179</v>
      </c>
      <c r="N131" s="44">
        <v>22.75956</v>
      </c>
      <c r="O131" s="36">
        <f>IF(ISBLANK(N132),"",Long2[[#This Row],[Adj Close]]/N132-1)</f>
        <v>5.2181587677476493E-2</v>
      </c>
      <c r="P131" s="29">
        <v>44179</v>
      </c>
      <c r="Q131" s="44">
        <v>24.432943000000002</v>
      </c>
      <c r="R131" s="33">
        <f>IF(ISBLANK(Q132),"",Long3[[#This Row],[Adj Close]]/Q132-1)</f>
        <v>-2.6332559235426323E-2</v>
      </c>
      <c r="S131" s="37">
        <v>44179</v>
      </c>
      <c r="T131" s="44">
        <v>73.102501000000004</v>
      </c>
      <c r="U131" s="36">
        <f>IF(ISBLANK(T132),"",Long4[[#This Row],[Adj Close]]/T132-1)</f>
        <v>7.1643986070805354E-2</v>
      </c>
      <c r="V131" s="29">
        <v>44179</v>
      </c>
      <c r="W131" s="44">
        <v>137.68739299999999</v>
      </c>
      <c r="X131" s="33">
        <f>IF(ISBLANK(W132),"",Long5[[#This Row],[Adj Close]]/W132-1)</f>
        <v>0.10001522346354741</v>
      </c>
      <c r="Y131" s="37">
        <v>44179</v>
      </c>
      <c r="Z131" s="44">
        <v>235.97221400000001</v>
      </c>
      <c r="AA131" s="36">
        <f>IF(ISBLANK(Z132),"",Long6[[#This Row],[Adj Close]]/Z132-1)</f>
        <v>3.5401641437356357E-2</v>
      </c>
      <c r="AH131" s="29">
        <v>44179</v>
      </c>
      <c r="AI131" s="44">
        <v>57.43</v>
      </c>
      <c r="AJ131" s="33">
        <f>IF(ISBLANK(AI132),"",Short0[[#This Row],[Adj Close]]/AI132-1)</f>
        <v>1.1982378854625608E-2</v>
      </c>
      <c r="AK131" s="37">
        <v>44179</v>
      </c>
      <c r="AL131" s="44">
        <v>93.460402999999999</v>
      </c>
      <c r="AM131" s="36">
        <f>IF(ISBLANK(AL132),"",Short1[[#This Row],[Adj Close]]/AL132-1)</f>
        <v>1.3419531669907059E-2</v>
      </c>
      <c r="AN131" s="29">
        <v>44179</v>
      </c>
      <c r="AO131" s="44">
        <v>77.977767999999998</v>
      </c>
      <c r="AP131" s="33">
        <f>IF(ISBLANK(AO132),"",Short2[[#This Row],[Adj Close]]/AO132-1)</f>
        <v>0.1110496091723403</v>
      </c>
      <c r="AQ131" s="37">
        <v>44179</v>
      </c>
      <c r="AR131" s="44">
        <v>165.88999899999999</v>
      </c>
      <c r="AS131" s="36">
        <f>IF(ISBLANK(AR132),"",Short3[[#This Row],[Adj Close]]/AR132-1)</f>
        <v>6.8534615136875976E-2</v>
      </c>
    </row>
    <row r="132" spans="1:45" x14ac:dyDescent="0.25">
      <c r="A132" s="37">
        <v>44172</v>
      </c>
      <c r="B132" s="39">
        <v>3663.459961</v>
      </c>
      <c r="C132" s="36">
        <f>IF(ISBLANK(B133), "", GSPC[[#This Row],[Adj Close]]/B133-1)</f>
        <v>-9.6401724929442434E-3</v>
      </c>
      <c r="D13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54586.013185000003</v>
      </c>
      <c r="E13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37349.69644</v>
      </c>
      <c r="F132" s="11">
        <f>IF(ISBLANK(GSPC[[#This Row],[Long Exp.]]), "", (GSPC[[#This Row],[Long Exp.]]/D133-1)+(E133/GSPC[[#This Row],[Short Exp.]]-1))</f>
        <v>3.9970711491680189E-2</v>
      </c>
      <c r="G132" s="37">
        <v>44172</v>
      </c>
      <c r="H132" s="44">
        <v>15.877924</v>
      </c>
      <c r="I132" s="36">
        <f>IF(ISBLANK(H133), "", Long0[[#This Row],[Adj Close]]/H133-1)</f>
        <v>-1.4772587166330675E-2</v>
      </c>
      <c r="J132" s="29">
        <v>44172</v>
      </c>
      <c r="K132" s="44">
        <v>41.803364000000002</v>
      </c>
      <c r="L132" s="33">
        <f>IF(ISBLANK(K133),"",Long1[[#This Row],[Adj Close]]/K133-1)</f>
        <v>8.0059129016014641E-3</v>
      </c>
      <c r="M132" s="37">
        <v>44172</v>
      </c>
      <c r="N132" s="44">
        <v>21.630828999999999</v>
      </c>
      <c r="O132" s="36">
        <f>IF(ISBLANK(N133),"",Long2[[#This Row],[Adj Close]]/N133-1)</f>
        <v>-2.1896514738907635E-2</v>
      </c>
      <c r="P132" s="29">
        <v>44172</v>
      </c>
      <c r="Q132" s="44">
        <v>25.093724999999999</v>
      </c>
      <c r="R132" s="33">
        <f>IF(ISBLANK(Q133),"",Long3[[#This Row],[Adj Close]]/Q133-1)</f>
        <v>-1.8525063320963708E-2</v>
      </c>
      <c r="S132" s="37">
        <v>44172</v>
      </c>
      <c r="T132" s="44">
        <v>68.215286000000006</v>
      </c>
      <c r="U132" s="36">
        <f>IF(ISBLANK(T133),"",Long4[[#This Row],[Adj Close]]/T133-1)</f>
        <v>1.3325843730791931E-2</v>
      </c>
      <c r="V132" s="29">
        <v>44172</v>
      </c>
      <c r="W132" s="44">
        <v>125.16862500000001</v>
      </c>
      <c r="X132" s="33">
        <f>IF(ISBLANK(W133),"",Long5[[#This Row],[Adj Close]]/W133-1)</f>
        <v>5.3316173552563573E-2</v>
      </c>
      <c r="Y132" s="37">
        <v>44172</v>
      </c>
      <c r="Z132" s="44">
        <v>227.90403699999999</v>
      </c>
      <c r="AA132" s="36">
        <f>IF(ISBLANK(Z133),"",Long6[[#This Row],[Adj Close]]/Z133-1)</f>
        <v>-1.7954579113948821E-2</v>
      </c>
      <c r="AH132" s="29">
        <v>44172</v>
      </c>
      <c r="AI132" s="44">
        <v>56.75</v>
      </c>
      <c r="AJ132" s="33">
        <f>IF(ISBLANK(AI133),"",Short0[[#This Row],[Adj Close]]/AI133-1)</f>
        <v>-5.5897536917359214E-2</v>
      </c>
      <c r="AK132" s="37">
        <v>44172</v>
      </c>
      <c r="AL132" s="44">
        <v>92.222815999999995</v>
      </c>
      <c r="AM132" s="36">
        <f>IF(ISBLANK(AL133),"",Short1[[#This Row],[Adj Close]]/AL133-1)</f>
        <v>-4.7077698077017782E-2</v>
      </c>
      <c r="AN132" s="29">
        <v>44172</v>
      </c>
      <c r="AO132" s="44">
        <v>70.183875999999998</v>
      </c>
      <c r="AP132" s="33">
        <f>IF(ISBLANK(AO133),"",Short2[[#This Row],[Adj Close]]/AO133-1)</f>
        <v>-1.5159711070159676E-2</v>
      </c>
      <c r="AQ132" s="37">
        <v>44172</v>
      </c>
      <c r="AR132" s="44">
        <v>155.25</v>
      </c>
      <c r="AS132" s="36">
        <f>IF(ISBLANK(AR133),"",Short3[[#This Row],[Adj Close]]/AR133-1)</f>
        <v>-3.6133400056287401E-2</v>
      </c>
    </row>
    <row r="133" spans="1:45" x14ac:dyDescent="0.25">
      <c r="A133" s="37">
        <v>44165</v>
      </c>
      <c r="B133" s="39">
        <v>3699.1201169999999</v>
      </c>
      <c r="C133" s="36">
        <f>IF(ISBLANK(B134), "", GSPC[[#This Row],[Adj Close]]/B134-1)</f>
        <v>1.6702630962700749E-2</v>
      </c>
      <c r="D13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54624.464738000002</v>
      </c>
      <c r="E13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38868.881784000005</v>
      </c>
      <c r="F133" s="11">
        <f>IF(ISBLANK(GSPC[[#This Row],[Long Exp.]]), "", (GSPC[[#This Row],[Long Exp.]]/D134-1)+(E134/GSPC[[#This Row],[Short Exp.]]-1))</f>
        <v>0.11529615647989022</v>
      </c>
      <c r="G133" s="37">
        <v>44165</v>
      </c>
      <c r="H133" s="44">
        <v>16.115998999999999</v>
      </c>
      <c r="I133" s="36">
        <f>IF(ISBLANK(H134), "", Long0[[#This Row],[Adj Close]]/H134-1)</f>
        <v>3.2258000464375103E-2</v>
      </c>
      <c r="J133" s="29">
        <v>44165</v>
      </c>
      <c r="K133" s="44">
        <v>41.471347999999999</v>
      </c>
      <c r="L133" s="33">
        <f>IF(ISBLANK(K134),"",Long1[[#This Row],[Adj Close]]/K134-1)</f>
        <v>0.1331507181092173</v>
      </c>
      <c r="M133" s="37">
        <v>44165</v>
      </c>
      <c r="N133" s="44">
        <v>22.115072000000001</v>
      </c>
      <c r="O133" s="36">
        <f>IF(ISBLANK(N134),"",Long2[[#This Row],[Adj Close]]/N134-1)</f>
        <v>4.4092126483843419E-3</v>
      </c>
      <c r="P133" s="29">
        <v>44165</v>
      </c>
      <c r="Q133" s="44">
        <v>25.567361999999999</v>
      </c>
      <c r="R133" s="33">
        <f>IF(ISBLANK(Q134),"",Long3[[#This Row],[Adj Close]]/Q134-1)</f>
        <v>-1.7176280221535944E-2</v>
      </c>
      <c r="S133" s="37">
        <v>44165</v>
      </c>
      <c r="T133" s="44">
        <v>67.318213999999998</v>
      </c>
      <c r="U133" s="36">
        <f>IF(ISBLANK(T134),"",Long4[[#This Row],[Adj Close]]/T134-1)</f>
        <v>5.0145677259052057E-2</v>
      </c>
      <c r="V133" s="29">
        <v>44165</v>
      </c>
      <c r="W133" s="44">
        <v>118.832909</v>
      </c>
      <c r="X133" s="33">
        <f>IF(ISBLANK(W134),"",Long5[[#This Row],[Adj Close]]/W134-1)</f>
        <v>-1.1665652753988232E-2</v>
      </c>
      <c r="Y133" s="37">
        <v>44165</v>
      </c>
      <c r="Z133" s="44">
        <v>232.07077000000001</v>
      </c>
      <c r="AA133" s="36">
        <f>IF(ISBLANK(Z134),"",Long6[[#This Row],[Adj Close]]/Z134-1)</f>
        <v>5.2783973573599541E-2</v>
      </c>
      <c r="AH133" s="29">
        <v>44165</v>
      </c>
      <c r="AI133" s="44">
        <v>60.110000999999997</v>
      </c>
      <c r="AJ133" s="33">
        <f>IF(ISBLANK(AI134),"",Short0[[#This Row],[Adj Close]]/AI134-1)</f>
        <v>6.2201820109559769E-2</v>
      </c>
      <c r="AK133" s="37">
        <v>44165</v>
      </c>
      <c r="AL133" s="44">
        <v>96.778946000000005</v>
      </c>
      <c r="AM133" s="36">
        <f>IF(ISBLANK(AL134),"",Short1[[#This Row],[Adj Close]]/AL134-1)</f>
        <v>-6.2683133134391E-2</v>
      </c>
      <c r="AN133" s="29">
        <v>44165</v>
      </c>
      <c r="AO133" s="44">
        <v>71.264221000000006</v>
      </c>
      <c r="AP133" s="33">
        <f>IF(ISBLANK(AO134),"",Short2[[#This Row],[Adj Close]]/AO134-1)</f>
        <v>-4.9285630363201771E-2</v>
      </c>
      <c r="AQ133" s="37">
        <v>44165</v>
      </c>
      <c r="AR133" s="44">
        <v>161.070007</v>
      </c>
      <c r="AS133" s="36">
        <f>IF(ISBLANK(AR134),"",Short3[[#This Row],[Adj Close]]/AR134-1)</f>
        <v>-0.21055723281163174</v>
      </c>
    </row>
    <row r="134" spans="1:45" x14ac:dyDescent="0.25">
      <c r="A134" s="37">
        <v>44158</v>
      </c>
      <c r="B134" s="39">
        <v>3638.3500979999999</v>
      </c>
      <c r="C134" s="36">
        <f>IF(ISBLANK(B135), "", GSPC[[#This Row],[Adj Close]]/B135-1)</f>
        <v>2.2715150950968654E-2</v>
      </c>
      <c r="D13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53404.730938999994</v>
      </c>
      <c r="E13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42462.571220999998</v>
      </c>
      <c r="F134" s="11">
        <f>IF(ISBLANK(GSPC[[#This Row],[Long Exp.]]), "", (GSPC[[#This Row],[Long Exp.]]/D135-1)+(E135/GSPC[[#This Row],[Short Exp.]]-1))</f>
        <v>2.4460060905341363E-2</v>
      </c>
      <c r="G134" s="37">
        <v>44158</v>
      </c>
      <c r="H134" s="44">
        <v>15.612375</v>
      </c>
      <c r="I134" s="36">
        <f>IF(ISBLANK(H135), "", Long0[[#This Row],[Adj Close]]/H135-1)</f>
        <v>-4.6701981367659462E-3</v>
      </c>
      <c r="J134" s="29">
        <v>44158</v>
      </c>
      <c r="K134" s="44">
        <v>36.598263000000003</v>
      </c>
      <c r="L134" s="33">
        <f>IF(ISBLANK(K135),"",Long1[[#This Row],[Adj Close]]/K135-1)</f>
        <v>1.9558739107023326E-2</v>
      </c>
      <c r="M134" s="37">
        <v>44158</v>
      </c>
      <c r="N134" s="44">
        <v>22.017990000000001</v>
      </c>
      <c r="O134" s="36">
        <f>IF(ISBLANK(N135),"",Long2[[#This Row],[Adj Close]]/N135-1)</f>
        <v>0.15655276103328375</v>
      </c>
      <c r="P134" s="29">
        <v>44158</v>
      </c>
      <c r="Q134" s="44">
        <v>26.014188999999998</v>
      </c>
      <c r="R134" s="33">
        <f>IF(ISBLANK(Q135),"",Long3[[#This Row],[Adj Close]]/Q135-1)</f>
        <v>-1.372095712188437E-3</v>
      </c>
      <c r="S134" s="37">
        <v>44158</v>
      </c>
      <c r="T134" s="44">
        <v>64.103690999999998</v>
      </c>
      <c r="U134" s="36">
        <f>IF(ISBLANK(T135),"",Long4[[#This Row],[Adj Close]]/T135-1)</f>
        <v>5.4411456150819104E-2</v>
      </c>
      <c r="V134" s="29">
        <v>44158</v>
      </c>
      <c r="W134" s="44">
        <v>120.235535</v>
      </c>
      <c r="X134" s="33">
        <f>IF(ISBLANK(W135),"",Long5[[#This Row],[Adj Close]]/W135-1)</f>
        <v>1.6167105724797182E-2</v>
      </c>
      <c r="Y134" s="37">
        <v>44158</v>
      </c>
      <c r="Z134" s="44">
        <v>220.435318</v>
      </c>
      <c r="AA134" s="36">
        <f>IF(ISBLANK(Z135),"",Long6[[#This Row],[Adj Close]]/Z135-1)</f>
        <v>1.5391069589580475E-2</v>
      </c>
      <c r="AH134" s="29">
        <v>44158</v>
      </c>
      <c r="AI134" s="44">
        <v>56.59</v>
      </c>
      <c r="AJ134" s="33">
        <f>IF(ISBLANK(AI135),"",Short0[[#This Row],[Adj Close]]/AI135-1)</f>
        <v>1.23434342632045E-2</v>
      </c>
      <c r="AK134" s="37">
        <v>44158</v>
      </c>
      <c r="AL134" s="44">
        <v>103.251045</v>
      </c>
      <c r="AM134" s="36">
        <f>IF(ISBLANK(AL135),"",Short1[[#This Row],[Adj Close]]/AL135-1)</f>
        <v>-5.4641515313100575E-2</v>
      </c>
      <c r="AN134" s="29">
        <v>44158</v>
      </c>
      <c r="AO134" s="44">
        <v>74.958602999999997</v>
      </c>
      <c r="AP134" s="33">
        <f>IF(ISBLANK(AO135),"",Short2[[#This Row],[Adj Close]]/AO135-1)</f>
        <v>2.573918502353445E-2</v>
      </c>
      <c r="AQ134" s="37">
        <v>44158</v>
      </c>
      <c r="AR134" s="44">
        <v>204.029999</v>
      </c>
      <c r="AS134" s="36">
        <f>IF(ISBLANK(AR135),"",Short3[[#This Row],[Adj Close]]/AR135-1)</f>
        <v>2.5585588362465161E-2</v>
      </c>
    </row>
    <row r="135" spans="1:45" x14ac:dyDescent="0.25">
      <c r="A135" s="37">
        <v>44151</v>
      </c>
      <c r="B135" s="39">
        <v>3557.540039</v>
      </c>
      <c r="C135" s="36">
        <f>IF(ISBLANK(B136), "", GSPC[[#This Row],[Adj Close]]/B136-1)</f>
        <v>-7.7011739410387525E-3</v>
      </c>
      <c r="D13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51942.235754000001</v>
      </c>
      <c r="E13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42305.624300000003</v>
      </c>
      <c r="F135" s="11">
        <f>IF(ISBLANK(GSPC[[#This Row],[Long Exp.]]), "", (GSPC[[#This Row],[Long Exp.]]/D136-1)+(E136/GSPC[[#This Row],[Short Exp.]]-1))</f>
        <v>2.5037916802220894E-2</v>
      </c>
      <c r="G135" s="37">
        <v>44151</v>
      </c>
      <c r="H135" s="44">
        <v>15.68563</v>
      </c>
      <c r="I135" s="36">
        <f>IF(ISBLANK(H136), "", Long0[[#This Row],[Adj Close]]/H136-1)</f>
        <v>0.10160769269828118</v>
      </c>
      <c r="J135" s="29">
        <v>44151</v>
      </c>
      <c r="K135" s="44">
        <v>35.896178999999997</v>
      </c>
      <c r="L135" s="33">
        <f>IF(ISBLANK(K136),"",Long1[[#This Row],[Adj Close]]/K136-1)</f>
        <v>-8.0282545836254382E-3</v>
      </c>
      <c r="M135" s="37">
        <v>44151</v>
      </c>
      <c r="N135" s="44">
        <v>19.037600999999999</v>
      </c>
      <c r="O135" s="36">
        <f>IF(ISBLANK(N136),"",Long2[[#This Row],[Adj Close]]/N136-1)</f>
        <v>8.8235215099017106E-2</v>
      </c>
      <c r="P135" s="29">
        <v>44151</v>
      </c>
      <c r="Q135" s="44">
        <v>26.049931999999998</v>
      </c>
      <c r="R135" s="33">
        <f>IF(ISBLANK(Q136),"",Long3[[#This Row],[Adj Close]]/Q136-1)</f>
        <v>-2.21402294361559E-2</v>
      </c>
      <c r="S135" s="37">
        <v>44151</v>
      </c>
      <c r="T135" s="44">
        <v>60.795707999999998</v>
      </c>
      <c r="U135" s="36">
        <f>IF(ISBLANK(T136),"",Long4[[#This Row],[Adj Close]]/T136-1)</f>
        <v>4.379904570802795E-2</v>
      </c>
      <c r="V135" s="29">
        <v>44151</v>
      </c>
      <c r="W135" s="44">
        <v>118.32260100000001</v>
      </c>
      <c r="X135" s="33">
        <f>IF(ISBLANK(W136),"",Long5[[#This Row],[Adj Close]]/W136-1)</f>
        <v>-7.5395808914670015E-3</v>
      </c>
      <c r="Y135" s="37">
        <v>44151</v>
      </c>
      <c r="Z135" s="44">
        <v>217.094009</v>
      </c>
      <c r="AA135" s="36">
        <f>IF(ISBLANK(Z136),"",Long6[[#This Row],[Adj Close]]/Z136-1)</f>
        <v>5.637892235534947E-2</v>
      </c>
      <c r="AH135" s="29">
        <v>44151</v>
      </c>
      <c r="AI135" s="44">
        <v>55.900002000000001</v>
      </c>
      <c r="AJ135" s="33">
        <f>IF(ISBLANK(AI136),"",Short0[[#This Row],[Adj Close]]/AI136-1)</f>
        <v>-4.0837286218896374E-2</v>
      </c>
      <c r="AK135" s="37">
        <v>44151</v>
      </c>
      <c r="AL135" s="44">
        <v>109.21893300000001</v>
      </c>
      <c r="AM135" s="36">
        <f>IF(ISBLANK(AL136),"",Short1[[#This Row],[Adj Close]]/AL136-1)</f>
        <v>4.2344668536740349E-2</v>
      </c>
      <c r="AN135" s="29">
        <v>44151</v>
      </c>
      <c r="AO135" s="44">
        <v>73.077644000000006</v>
      </c>
      <c r="AP135" s="33">
        <f>IF(ISBLANK(AO136),"",Short2[[#This Row],[Adj Close]]/AO136-1)</f>
        <v>2.1164014924226482E-3</v>
      </c>
      <c r="AQ135" s="37">
        <v>44151</v>
      </c>
      <c r="AR135" s="44">
        <v>198.94000199999999</v>
      </c>
      <c r="AS135" s="36">
        <f>IF(ISBLANK(AR136),"",Short3[[#This Row],[Adj Close]]/AR136-1)</f>
        <v>2.9443736093143658E-2</v>
      </c>
    </row>
    <row r="136" spans="1:45" x14ac:dyDescent="0.25">
      <c r="A136" s="37">
        <v>44144</v>
      </c>
      <c r="B136" s="39">
        <v>3585.1499020000001</v>
      </c>
      <c r="C136" s="36">
        <f>IF(ISBLANK(B137), "", GSPC[[#This Row],[Adj Close]]/B137-1)</f>
        <v>2.1573231704437479E-2</v>
      </c>
      <c r="D13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50148.638465000004</v>
      </c>
      <c r="E13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41851.781998999999</v>
      </c>
      <c r="F136" s="11">
        <f>IF(ISBLANK(GSPC[[#This Row],[Long Exp.]]), "", (GSPC[[#This Row],[Long Exp.]]/D137-1)+(E137/GSPC[[#This Row],[Short Exp.]]-1))</f>
        <v>4.6033563836912705E-2</v>
      </c>
      <c r="G136" s="37">
        <v>44144</v>
      </c>
      <c r="H136" s="44">
        <v>14.238853000000001</v>
      </c>
      <c r="I136" s="36">
        <f>IF(ISBLANK(H137), "", Long0[[#This Row],[Adj Close]]/H137-1)</f>
        <v>6.1433551665340147E-2</v>
      </c>
      <c r="J136" s="29">
        <v>44144</v>
      </c>
      <c r="K136" s="44">
        <v>36.186695</v>
      </c>
      <c r="L136" s="33">
        <f>IF(ISBLANK(K137),"",Long1[[#This Row],[Adj Close]]/K137-1)</f>
        <v>8.5373323190259587E-2</v>
      </c>
      <c r="M136" s="37">
        <v>44144</v>
      </c>
      <c r="N136" s="44">
        <v>17.494012999999999</v>
      </c>
      <c r="O136" s="36">
        <f>IF(ISBLANK(N137),"",Long2[[#This Row],[Adj Close]]/N137-1)</f>
        <v>6.6903665391351508E-2</v>
      </c>
      <c r="P136" s="29">
        <v>44144</v>
      </c>
      <c r="Q136" s="44">
        <v>26.639741999999998</v>
      </c>
      <c r="R136" s="33">
        <f>IF(ISBLANK(Q137),"",Long3[[#This Row],[Adj Close]]/Q137-1)</f>
        <v>7.9681247773439656E-2</v>
      </c>
      <c r="S136" s="37">
        <v>44144</v>
      </c>
      <c r="T136" s="44">
        <v>58.244647999999998</v>
      </c>
      <c r="U136" s="36">
        <f>IF(ISBLANK(T137),"",Long4[[#This Row],[Adj Close]]/T137-1)</f>
        <v>4.527925114876874E-2</v>
      </c>
      <c r="V136" s="29">
        <v>44144</v>
      </c>
      <c r="W136" s="44">
        <v>119.221481</v>
      </c>
      <c r="X136" s="33">
        <f>IF(ISBLANK(W137),"",Long5[[#This Row],[Adj Close]]/W137-1)</f>
        <v>-1.7387289820994023E-2</v>
      </c>
      <c r="Y136" s="37">
        <v>44144</v>
      </c>
      <c r="Z136" s="44">
        <v>205.50770600000001</v>
      </c>
      <c r="AA136" s="36">
        <f>IF(ISBLANK(Z137),"",Long6[[#This Row],[Adj Close]]/Z137-1)</f>
        <v>-1.5442490527989627E-2</v>
      </c>
      <c r="AH136" s="29">
        <v>44144</v>
      </c>
      <c r="AI136" s="44">
        <v>58.279998999999997</v>
      </c>
      <c r="AJ136" s="33">
        <f>IF(ISBLANK(AI137),"",Short0[[#This Row],[Adj Close]]/AI137-1)</f>
        <v>0.10003773121932813</v>
      </c>
      <c r="AK136" s="37">
        <v>44144</v>
      </c>
      <c r="AL136" s="44">
        <v>104.781975</v>
      </c>
      <c r="AM136" s="36">
        <f>IF(ISBLANK(AL137),"",Short1[[#This Row],[Adj Close]]/AL137-1)</f>
        <v>-7.1184775007395396E-2</v>
      </c>
      <c r="AN136" s="29">
        <v>44144</v>
      </c>
      <c r="AO136" s="44">
        <v>72.923309000000003</v>
      </c>
      <c r="AP136" s="33">
        <f>IF(ISBLANK(AO137),"",Short2[[#This Row],[Adj Close]]/AO137-1)</f>
        <v>1.3236203291300264E-4</v>
      </c>
      <c r="AQ136" s="37">
        <v>44144</v>
      </c>
      <c r="AR136" s="44">
        <v>193.25</v>
      </c>
      <c r="AS136" s="36">
        <f>IF(ISBLANK(AR137),"",Short3[[#This Row],[Adj Close]]/AR137-1)</f>
        <v>-3.8557213930348277E-2</v>
      </c>
    </row>
    <row r="137" spans="1:45" x14ac:dyDescent="0.25">
      <c r="A137" s="37">
        <v>44137</v>
      </c>
      <c r="B137" s="39">
        <v>3509.4399410000001</v>
      </c>
      <c r="C137" s="36">
        <f>IF(ISBLANK(B138), "", GSPC[[#This Row],[Adj Close]]/B138-1)</f>
        <v>7.3236364621040773E-2</v>
      </c>
      <c r="D13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48427.910918000001</v>
      </c>
      <c r="E13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42291.302380000001</v>
      </c>
      <c r="F137" s="11">
        <f>IF(ISBLANK(GSPC[[#This Row],[Long Exp.]]), "", (GSPC[[#This Row],[Long Exp.]]/D138-1)+(E138/GSPC[[#This Row],[Short Exp.]]-1))</f>
        <v>-1.891716689487366E-2</v>
      </c>
      <c r="G137" s="37">
        <v>44137</v>
      </c>
      <c r="H137" s="44">
        <v>13.414738</v>
      </c>
      <c r="I137" s="36">
        <f>IF(ISBLANK(H138), "", Long0[[#This Row],[Adj Close]]/H138-1)</f>
        <v>7.5653373629724907E-3</v>
      </c>
      <c r="J137" s="29">
        <v>44137</v>
      </c>
      <c r="K137" s="44">
        <v>33.340321000000003</v>
      </c>
      <c r="L137" s="33">
        <f>IF(ISBLANK(K138),"",Long1[[#This Row],[Adj Close]]/K138-1)</f>
        <v>7.1111169795701201E-2</v>
      </c>
      <c r="M137" s="37">
        <v>44137</v>
      </c>
      <c r="N137" s="44">
        <v>16.396993999999999</v>
      </c>
      <c r="O137" s="36">
        <f>IF(ISBLANK(N138),"",Long2[[#This Row],[Adj Close]]/N138-1)</f>
        <v>-8.7026805965146448E-2</v>
      </c>
      <c r="P137" s="29">
        <v>44137</v>
      </c>
      <c r="Q137" s="44">
        <v>24.67371</v>
      </c>
      <c r="R137" s="33">
        <f>IF(ISBLANK(Q138),"",Long3[[#This Row],[Adj Close]]/Q138-1)</f>
        <v>3.999892412786199E-3</v>
      </c>
      <c r="S137" s="37">
        <v>44137</v>
      </c>
      <c r="T137" s="44">
        <v>55.721615</v>
      </c>
      <c r="U137" s="36">
        <f>IF(ISBLANK(T138),"",Long4[[#This Row],[Adj Close]]/T138-1)</f>
        <v>8.8535964101858822E-2</v>
      </c>
      <c r="V137" s="29">
        <v>44137</v>
      </c>
      <c r="W137" s="44">
        <v>121.33110000000001</v>
      </c>
      <c r="X137" s="33">
        <f>IF(ISBLANK(W138),"",Long5[[#This Row],[Adj Close]]/W138-1)</f>
        <v>0.13710983582936986</v>
      </c>
      <c r="Y137" s="37">
        <v>44137</v>
      </c>
      <c r="Z137" s="44">
        <v>208.731033</v>
      </c>
      <c r="AA137" s="36">
        <f>IF(ISBLANK(Z138),"",Long6[[#This Row],[Adj Close]]/Z138-1)</f>
        <v>7.1050329674874346E-2</v>
      </c>
      <c r="AH137" s="29">
        <v>44137</v>
      </c>
      <c r="AI137" s="44">
        <v>52.98</v>
      </c>
      <c r="AJ137" s="33">
        <f>IF(ISBLANK(AI138),"",Short0[[#This Row],[Adj Close]]/AI138-1)</f>
        <v>0.10237201201889268</v>
      </c>
      <c r="AK137" s="37">
        <v>44137</v>
      </c>
      <c r="AL137" s="44">
        <v>112.81250799999999</v>
      </c>
      <c r="AM137" s="36">
        <f>IF(ISBLANK(AL138),"",Short1[[#This Row],[Adj Close]]/AL138-1)</f>
        <v>0.10318244484496431</v>
      </c>
      <c r="AN137" s="29">
        <v>44137</v>
      </c>
      <c r="AO137" s="44">
        <v>72.913657999999998</v>
      </c>
      <c r="AP137" s="33">
        <f>IF(ISBLANK(AO138),"",Short2[[#This Row],[Adj Close]]/AO138-1)</f>
        <v>7.6320475341629335E-2</v>
      </c>
      <c r="AQ137" s="37">
        <v>44137</v>
      </c>
      <c r="AR137" s="44">
        <v>201</v>
      </c>
      <c r="AS137" s="36">
        <f>IF(ISBLANK(AR138),"",Short3[[#This Row],[Adj Close]]/AR138-1)</f>
        <v>1.4946511334203105E-2</v>
      </c>
    </row>
    <row r="138" spans="1:45" x14ac:dyDescent="0.25">
      <c r="A138" s="37">
        <v>44130</v>
      </c>
      <c r="B138" s="39">
        <v>3269.959961</v>
      </c>
      <c r="C138" s="36">
        <f>IF(ISBLANK(B139), "", GSPC[[#This Row],[Adj Close]]/B139-1)</f>
        <v>-5.6394789052384375E-2</v>
      </c>
      <c r="D13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46452.098798999999</v>
      </c>
      <c r="E13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39692.435612000001</v>
      </c>
      <c r="F138" s="11">
        <f>IF(ISBLANK(GSPC[[#This Row],[Long Exp.]]), "", (GSPC[[#This Row],[Long Exp.]]/D139-1)+(E139/GSPC[[#This Row],[Short Exp.]]-1))</f>
        <v>3.666744451526649E-2</v>
      </c>
      <c r="G138" s="37">
        <v>44130</v>
      </c>
      <c r="H138" s="44">
        <v>13.314012999999999</v>
      </c>
      <c r="I138" s="36">
        <f>IF(ISBLANK(H139), "", Long0[[#This Row],[Adj Close]]/H139-1)</f>
        <v>-7.3295025296083893E-2</v>
      </c>
      <c r="J138" s="29">
        <v>44130</v>
      </c>
      <c r="K138" s="44">
        <v>31.126854000000002</v>
      </c>
      <c r="L138" s="33">
        <f>IF(ISBLANK(K139),"",Long1[[#This Row],[Adj Close]]/K139-1)</f>
        <v>-5.6109084911553753E-2</v>
      </c>
      <c r="M138" s="37">
        <v>44130</v>
      </c>
      <c r="N138" s="44">
        <v>17.959994999999999</v>
      </c>
      <c r="O138" s="36">
        <f>IF(ISBLANK(N139),"",Long2[[#This Row],[Adj Close]]/N139-1)</f>
        <v>-1.069534475844669E-2</v>
      </c>
      <c r="P138" s="29">
        <v>44130</v>
      </c>
      <c r="Q138" s="44">
        <v>24.575410999999999</v>
      </c>
      <c r="R138" s="33">
        <f>IF(ISBLANK(Q139),"",Long3[[#This Row],[Adj Close]]/Q139-1)</f>
        <v>-4.0809132171793161E-2</v>
      </c>
      <c r="S138" s="37">
        <v>44130</v>
      </c>
      <c r="T138" s="44">
        <v>51.189503000000002</v>
      </c>
      <c r="U138" s="36">
        <f>IF(ISBLANK(T139),"",Long4[[#This Row],[Adj Close]]/T139-1)</f>
        <v>-7.8553475837498943E-2</v>
      </c>
      <c r="V138" s="29">
        <v>44130</v>
      </c>
      <c r="W138" s="44">
        <v>106.701302</v>
      </c>
      <c r="X138" s="33">
        <f>IF(ISBLANK(W139),"",Long5[[#This Row],[Adj Close]]/W139-1)</f>
        <v>-8.0467932869566217E-2</v>
      </c>
      <c r="Y138" s="37">
        <v>44130</v>
      </c>
      <c r="Z138" s="44">
        <v>194.88443000000001</v>
      </c>
      <c r="AA138" s="36">
        <f>IF(ISBLANK(Z139),"",Long6[[#This Row],[Adj Close]]/Z139-1)</f>
        <v>2.4963737104502615E-2</v>
      </c>
      <c r="AH138" s="29">
        <v>44130</v>
      </c>
      <c r="AI138" s="44">
        <v>48.060001</v>
      </c>
      <c r="AJ138" s="33">
        <f>IF(ISBLANK(AI139),"",Short0[[#This Row],[Adj Close]]/AI139-1)</f>
        <v>-5.1696902131018185E-2</v>
      </c>
      <c r="AK138" s="37">
        <v>44130</v>
      </c>
      <c r="AL138" s="44">
        <v>102.260971</v>
      </c>
      <c r="AM138" s="36">
        <f>IF(ISBLANK(AL139),"",Short1[[#This Row],[Adj Close]]/AL139-1)</f>
        <v>-5.6340487353707669E-2</v>
      </c>
      <c r="AN138" s="29">
        <v>44130</v>
      </c>
      <c r="AO138" s="44">
        <v>67.743446000000006</v>
      </c>
      <c r="AP138" s="33">
        <f>IF(ISBLANK(AO139),"",Short2[[#This Row],[Adj Close]]/AO139-1)</f>
        <v>-0.10272122041932019</v>
      </c>
      <c r="AQ138" s="37">
        <v>44130</v>
      </c>
      <c r="AR138" s="44">
        <v>198.03999300000001</v>
      </c>
      <c r="AS138" s="36">
        <f>IF(ISBLANK(AR139),"",Short3[[#This Row],[Adj Close]]/AR139-1)</f>
        <v>-8.5307849182666984E-2</v>
      </c>
    </row>
    <row r="139" spans="1:45" x14ac:dyDescent="0.25">
      <c r="A139" s="37">
        <v>44123</v>
      </c>
      <c r="B139" s="39">
        <v>3465.389893</v>
      </c>
      <c r="C139" s="36">
        <f>IF(ISBLANK(B140), "", GSPC[[#This Row],[Adj Close]]/B140-1)</f>
        <v>-5.2873623096683087E-3</v>
      </c>
      <c r="D13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48654.568396999995</v>
      </c>
      <c r="E13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42944.632243</v>
      </c>
      <c r="F139" s="11">
        <f>IF(ISBLANK(GSPC[[#This Row],[Long Exp.]]), "", (GSPC[[#This Row],[Long Exp.]]/D140-1)+(E140/GSPC[[#This Row],[Short Exp.]]-1))</f>
        <v>-2.2087119558035884E-2</v>
      </c>
      <c r="G139" s="37">
        <v>44123</v>
      </c>
      <c r="H139" s="44">
        <v>14.367046</v>
      </c>
      <c r="I139" s="36">
        <f>IF(ISBLANK(H140), "", Long0[[#This Row],[Adj Close]]/H140-1)</f>
        <v>-1.2733081535725166E-3</v>
      </c>
      <c r="J139" s="29">
        <v>44123</v>
      </c>
      <c r="K139" s="44">
        <v>32.977173000000001</v>
      </c>
      <c r="L139" s="33">
        <f>IF(ISBLANK(K140),"",Long1[[#This Row],[Adj Close]]/K140-1)</f>
        <v>-6.8742959172620743E-3</v>
      </c>
      <c r="M139" s="37">
        <v>44123</v>
      </c>
      <c r="N139" s="44">
        <v>18.154160000000001</v>
      </c>
      <c r="O139" s="36">
        <f>IF(ISBLANK(N140),"",Long2[[#This Row],[Adj Close]]/N140-1)</f>
        <v>-2.2988678952840846E-2</v>
      </c>
      <c r="P139" s="29">
        <v>44123</v>
      </c>
      <c r="Q139" s="44">
        <v>25.620981</v>
      </c>
      <c r="R139" s="33">
        <f>IF(ISBLANK(Q140),"",Long3[[#This Row],[Adj Close]]/Q140-1)</f>
        <v>2.798138045025711E-3</v>
      </c>
      <c r="S139" s="37">
        <v>44123</v>
      </c>
      <c r="T139" s="44">
        <v>55.553417000000003</v>
      </c>
      <c r="U139" s="36">
        <f>IF(ISBLANK(T140),"",Long4[[#This Row],[Adj Close]]/T140-1)</f>
        <v>4.8860869335256574E-3</v>
      </c>
      <c r="V139" s="29">
        <v>44123</v>
      </c>
      <c r="W139" s="44">
        <v>116.038696</v>
      </c>
      <c r="X139" s="33">
        <f>IF(ISBLANK(W140),"",Long5[[#This Row],[Adj Close]]/W140-1)</f>
        <v>-2.6171997212423803E-2</v>
      </c>
      <c r="Y139" s="37">
        <v>44123</v>
      </c>
      <c r="Z139" s="44">
        <v>190.137878</v>
      </c>
      <c r="AA139" s="36">
        <f>IF(ISBLANK(Z140),"",Long6[[#This Row],[Adj Close]]/Z140-1)</f>
        <v>1.356808274202459E-2</v>
      </c>
      <c r="AH139" s="29">
        <v>44123</v>
      </c>
      <c r="AI139" s="44">
        <v>50.68</v>
      </c>
      <c r="AJ139" s="33">
        <f>IF(ISBLANK(AI140),"",Short0[[#This Row],[Adj Close]]/AI140-1)</f>
        <v>0.11703771472421676</v>
      </c>
      <c r="AK139" s="37">
        <v>44123</v>
      </c>
      <c r="AL139" s="44">
        <v>108.36638600000001</v>
      </c>
      <c r="AM139" s="36">
        <f>IF(ISBLANK(AL140),"",Short1[[#This Row],[Adj Close]]/AL140-1)</f>
        <v>-9.5517872666008863E-3</v>
      </c>
      <c r="AN139" s="29">
        <v>44123</v>
      </c>
      <c r="AO139" s="44">
        <v>75.498772000000002</v>
      </c>
      <c r="AP139" s="33">
        <f>IF(ISBLANK(AO140),"",Short2[[#This Row],[Adj Close]]/AO140-1)</f>
        <v>-7.2914974274077227E-2</v>
      </c>
      <c r="AQ139" s="37">
        <v>44123</v>
      </c>
      <c r="AR139" s="44">
        <v>216.509995</v>
      </c>
      <c r="AS139" s="36">
        <f>IF(ISBLANK(AR140),"",Short3[[#This Row],[Adj Close]]/AR140-1)</f>
        <v>4.4932423430488866E-2</v>
      </c>
    </row>
    <row r="140" spans="1:45" x14ac:dyDescent="0.25">
      <c r="A140" s="37">
        <v>44116</v>
      </c>
      <c r="B140" s="39">
        <v>3483.8100589999999</v>
      </c>
      <c r="C140" s="36">
        <f>IF(ISBLANK(B141), "", GSPC[[#This Row],[Adj Close]]/B141-1)</f>
        <v>1.9182909532711179E-3</v>
      </c>
      <c r="D14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48882.436872999999</v>
      </c>
      <c r="E14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42196.298051999998</v>
      </c>
      <c r="F140" s="11">
        <f>IF(ISBLANK(GSPC[[#This Row],[Long Exp.]]), "", (GSPC[[#This Row],[Long Exp.]]/D141-1)+(E141/GSPC[[#This Row],[Short Exp.]]-1))</f>
        <v>-1.0780607476355675E-2</v>
      </c>
      <c r="G140" s="37">
        <v>44116</v>
      </c>
      <c r="H140" s="44">
        <v>14.385363</v>
      </c>
      <c r="I140" s="36">
        <f>IF(ISBLANK(H141), "", Long0[[#This Row],[Adj Close]]/H141-1)</f>
        <v>4.4757219421607264E-3</v>
      </c>
      <c r="J140" s="29">
        <v>44116</v>
      </c>
      <c r="K140" s="44">
        <v>33.205437000000003</v>
      </c>
      <c r="L140" s="33">
        <f>IF(ISBLANK(K141),"",Long1[[#This Row],[Adj Close]]/K141-1)</f>
        <v>7.7674004510841499E-3</v>
      </c>
      <c r="M140" s="37">
        <v>44116</v>
      </c>
      <c r="N140" s="44">
        <v>18.581320000000002</v>
      </c>
      <c r="O140" s="36">
        <f>IF(ISBLANK(N141),"",Long2[[#This Row],[Adj Close]]/N141-1)</f>
        <v>-2.8919218926054535E-2</v>
      </c>
      <c r="P140" s="29">
        <v>44116</v>
      </c>
      <c r="Q140" s="44">
        <v>25.549489999999999</v>
      </c>
      <c r="R140" s="33">
        <f>IF(ISBLANK(Q141),"",Long3[[#This Row],[Adj Close]]/Q141-1)</f>
        <v>-1.2093989591322796E-2</v>
      </c>
      <c r="S140" s="37">
        <v>44116</v>
      </c>
      <c r="T140" s="44">
        <v>55.283298000000002</v>
      </c>
      <c r="U140" s="36">
        <f>IF(ISBLANK(T141),"",Long4[[#This Row],[Adj Close]]/T141-1)</f>
        <v>1.4994082338979586E-2</v>
      </c>
      <c r="V140" s="29">
        <v>44116</v>
      </c>
      <c r="W140" s="44">
        <v>119.15728</v>
      </c>
      <c r="X140" s="33">
        <f>IF(ISBLANK(W141),"",Long5[[#This Row],[Adj Close]]/W141-1)</f>
        <v>-1.0284916040659287E-2</v>
      </c>
      <c r="Y140" s="37">
        <v>44116</v>
      </c>
      <c r="Z140" s="44">
        <v>187.59260599999999</v>
      </c>
      <c r="AA140" s="36">
        <f>IF(ISBLANK(Z141),"",Long6[[#This Row],[Adj Close]]/Z141-1)</f>
        <v>-5.5934744603801545E-2</v>
      </c>
      <c r="AH140" s="29">
        <v>44116</v>
      </c>
      <c r="AI140" s="44">
        <v>45.369999</v>
      </c>
      <c r="AJ140" s="33">
        <f>IF(ISBLANK(AI141),"",Short0[[#This Row],[Adj Close]]/AI141-1)</f>
        <v>-7.6553366654563693E-3</v>
      </c>
      <c r="AK140" s="37">
        <v>44116</v>
      </c>
      <c r="AL140" s="44">
        <v>109.411461</v>
      </c>
      <c r="AM140" s="36">
        <f>IF(ISBLANK(AL141),"",Short1[[#This Row],[Adj Close]]/AL141-1)</f>
        <v>2.3672826744522757E-2</v>
      </c>
      <c r="AN140" s="29">
        <v>44116</v>
      </c>
      <c r="AO140" s="44">
        <v>81.436729</v>
      </c>
      <c r="AP140" s="33">
        <f>IF(ISBLANK(AO141),"",Short2[[#This Row],[Adj Close]]/AO141-1)</f>
        <v>7.2557858866169056E-3</v>
      </c>
      <c r="AQ140" s="37">
        <v>44116</v>
      </c>
      <c r="AR140" s="44">
        <v>207.199997</v>
      </c>
      <c r="AS140" s="36">
        <f>IF(ISBLANK(AR141),"",Short3[[#This Row],[Adj Close]]/AR141-1)</f>
        <v>-2.4619856763823389E-2</v>
      </c>
    </row>
    <row r="141" spans="1:45" x14ac:dyDescent="0.25">
      <c r="A141" s="37">
        <v>44109</v>
      </c>
      <c r="B141" s="39">
        <v>3477.139893</v>
      </c>
      <c r="C141" s="36">
        <f>IF(ISBLANK(B142), "", GSPC[[#This Row],[Adj Close]]/B142-1)</f>
        <v>3.8442003690838167E-2</v>
      </c>
      <c r="D14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49577.692906999997</v>
      </c>
      <c r="E14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42333.138884</v>
      </c>
      <c r="F141" s="11">
        <f>IF(ISBLANK(GSPC[[#This Row],[Long Exp.]]), "", (GSPC[[#This Row],[Long Exp.]]/D142-1)+(E142/GSPC[[#This Row],[Short Exp.]]-1))</f>
        <v>-3.5854434552422543E-3</v>
      </c>
      <c r="G141" s="37">
        <v>44109</v>
      </c>
      <c r="H141" s="44">
        <v>14.321265</v>
      </c>
      <c r="I141" s="36">
        <f>IF(ISBLANK(H142), "", Long0[[#This Row],[Adj Close]]/H142-1)</f>
        <v>5.0369496443654516E-2</v>
      </c>
      <c r="J141" s="29">
        <v>44109</v>
      </c>
      <c r="K141" s="44">
        <v>32.949505000000002</v>
      </c>
      <c r="L141" s="33">
        <f>IF(ISBLANK(K142),"",Long1[[#This Row],[Adj Close]]/K142-1)</f>
        <v>0.1044516573241614</v>
      </c>
      <c r="M141" s="37">
        <v>44109</v>
      </c>
      <c r="N141" s="44">
        <v>19.134679999999999</v>
      </c>
      <c r="O141" s="36">
        <f>IF(ISBLANK(N142),"",Long2[[#This Row],[Adj Close]]/N142-1)</f>
        <v>7.6460946767032967E-2</v>
      </c>
      <c r="P141" s="29">
        <v>44109</v>
      </c>
      <c r="Q141" s="44">
        <v>25.862268</v>
      </c>
      <c r="R141" s="33">
        <f>IF(ISBLANK(Q142),"",Long3[[#This Row],[Adj Close]]/Q142-1)</f>
        <v>2.5877452905406217E-2</v>
      </c>
      <c r="S141" s="37">
        <v>44109</v>
      </c>
      <c r="T141" s="44">
        <v>54.466621000000004</v>
      </c>
      <c r="U141" s="36">
        <f>IF(ISBLANK(T142),"",Long4[[#This Row],[Adj Close]]/T142-1)</f>
        <v>4.3377624622925604E-2</v>
      </c>
      <c r="V141" s="29">
        <v>44109</v>
      </c>
      <c r="W141" s="44">
        <v>120.395538</v>
      </c>
      <c r="X141" s="33">
        <f>IF(ISBLANK(W142),"",Long5[[#This Row],[Adj Close]]/W142-1)</f>
        <v>-8.094109745409872E-2</v>
      </c>
      <c r="Y141" s="37">
        <v>44109</v>
      </c>
      <c r="Z141" s="44">
        <v>198.707245</v>
      </c>
      <c r="AA141" s="36">
        <f>IF(ISBLANK(Z142),"",Long6[[#This Row],[Adj Close]]/Z142-1)</f>
        <v>0.12690196833786338</v>
      </c>
      <c r="AH141" s="29">
        <v>44109</v>
      </c>
      <c r="AI141" s="44">
        <v>45.720001000000003</v>
      </c>
      <c r="AJ141" s="33">
        <f>IF(ISBLANK(AI142),"",Short0[[#This Row],[Adj Close]]/AI142-1)</f>
        <v>-9.3174643849418537E-3</v>
      </c>
      <c r="AK141" s="37">
        <v>44109</v>
      </c>
      <c r="AL141" s="44">
        <v>106.88127900000001</v>
      </c>
      <c r="AM141" s="36">
        <f>IF(ISBLANK(AL142),"",Short1[[#This Row],[Adj Close]]/AL142-1)</f>
        <v>3.7092959590255381E-2</v>
      </c>
      <c r="AN141" s="29">
        <v>44109</v>
      </c>
      <c r="AO141" s="44">
        <v>80.850098000000003</v>
      </c>
      <c r="AP141" s="33">
        <f>IF(ISBLANK(AO142),"",Short2[[#This Row],[Adj Close]]/AO142-1)</f>
        <v>2.5040872606274522E-3</v>
      </c>
      <c r="AQ141" s="37">
        <v>44109</v>
      </c>
      <c r="AR141" s="44">
        <v>212.429993</v>
      </c>
      <c r="AS141" s="36">
        <f>IF(ISBLANK(AR142),"",Short3[[#This Row],[Adj Close]]/AR142-1)</f>
        <v>9.0503027353649346E-2</v>
      </c>
    </row>
    <row r="142" spans="1:45" x14ac:dyDescent="0.25">
      <c r="A142" s="37">
        <v>44102</v>
      </c>
      <c r="B142" s="39">
        <v>3348.419922</v>
      </c>
      <c r="C142" s="36">
        <f>IF(ISBLANK(B143), "", GSPC[[#This Row],[Adj Close]]/B143-1)</f>
        <v>1.5146450643849452E-2</v>
      </c>
      <c r="D14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47946.041492999997</v>
      </c>
      <c r="E14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40740.717044999998</v>
      </c>
      <c r="F142" s="11">
        <f>IF(ISBLANK(GSPC[[#This Row],[Long Exp.]]), "", (GSPC[[#This Row],[Long Exp.]]/D143-1)+(E143/GSPC[[#This Row],[Short Exp.]]-1))</f>
        <v>-4.0952595093052269E-3</v>
      </c>
      <c r="G142" s="37">
        <v>44102</v>
      </c>
      <c r="H142" s="44">
        <v>13.634501999999999</v>
      </c>
      <c r="I142" s="36">
        <f>IF(ISBLANK(H143), "", Long0[[#This Row],[Adj Close]]/H143-1)</f>
        <v>3.2593585098967592E-2</v>
      </c>
      <c r="J142" s="29">
        <v>44102</v>
      </c>
      <c r="K142" s="44">
        <v>29.833361</v>
      </c>
      <c r="L142" s="33">
        <f>IF(ISBLANK(K143),"",Long1[[#This Row],[Adj Close]]/K143-1)</f>
        <v>2.4587255137753727E-2</v>
      </c>
      <c r="M142" s="37">
        <v>44102</v>
      </c>
      <c r="N142" s="44">
        <v>17.775545000000001</v>
      </c>
      <c r="O142" s="36">
        <f>IF(ISBLANK(N143),"",Long2[[#This Row],[Adj Close]]/N143-1)</f>
        <v>-1.5062024255604878E-2</v>
      </c>
      <c r="P142" s="29">
        <v>44102</v>
      </c>
      <c r="Q142" s="44">
        <v>25.209900000000001</v>
      </c>
      <c r="R142" s="33">
        <f>IF(ISBLANK(Q143),"",Long3[[#This Row],[Adj Close]]/Q143-1)</f>
        <v>6.5734881226737096E-2</v>
      </c>
      <c r="S142" s="37">
        <v>44102</v>
      </c>
      <c r="T142" s="44">
        <v>52.202213</v>
      </c>
      <c r="U142" s="36">
        <f>IF(ISBLANK(T143),"",Long4[[#This Row],[Adj Close]]/T143-1)</f>
        <v>7.655512674135978E-2</v>
      </c>
      <c r="V142" s="29">
        <v>44102</v>
      </c>
      <c r="W142" s="44">
        <v>130.998718</v>
      </c>
      <c r="X142" s="33">
        <f>IF(ISBLANK(W143),"",Long5[[#This Row],[Adj Close]]/W143-1)</f>
        <v>5.2623950415173315E-2</v>
      </c>
      <c r="Y142" s="37">
        <v>44102</v>
      </c>
      <c r="Z142" s="44">
        <v>176.33055100000001</v>
      </c>
      <c r="AA142" s="36">
        <f>IF(ISBLANK(Z143),"",Long6[[#This Row],[Adj Close]]/Z143-1)</f>
        <v>4.2470295113709922E-2</v>
      </c>
      <c r="AH142" s="29">
        <v>44102</v>
      </c>
      <c r="AI142" s="44">
        <v>46.150002000000001</v>
      </c>
      <c r="AJ142" s="33">
        <f>IF(ISBLANK(AI143),"",Short0[[#This Row],[Adj Close]]/AI143-1)</f>
        <v>-1.7248658800014138E-2</v>
      </c>
      <c r="AK142" s="37">
        <v>44102</v>
      </c>
      <c r="AL142" s="44">
        <v>103.058533</v>
      </c>
      <c r="AM142" s="36">
        <f>IF(ISBLANK(AL143),"",Short1[[#This Row],[Adj Close]]/AL143-1)</f>
        <v>6.0866381740485975E-2</v>
      </c>
      <c r="AN142" s="29">
        <v>44102</v>
      </c>
      <c r="AO142" s="44">
        <v>80.648148000000006</v>
      </c>
      <c r="AP142" s="33">
        <f>IF(ISBLANK(AO143),"",Short2[[#This Row],[Adj Close]]/AO143-1)</f>
        <v>9.3350749619979023E-2</v>
      </c>
      <c r="AQ142" s="37">
        <v>44102</v>
      </c>
      <c r="AR142" s="44">
        <v>194.800003</v>
      </c>
      <c r="AS142" s="36">
        <f>IF(ISBLANK(AR143),"",Short3[[#This Row],[Adj Close]]/AR143-1)</f>
        <v>5.3599459427765117E-2</v>
      </c>
    </row>
    <row r="143" spans="1:45" x14ac:dyDescent="0.25">
      <c r="A143" s="37">
        <v>44095</v>
      </c>
      <c r="B143" s="39">
        <v>3298.459961</v>
      </c>
      <c r="C143" s="36">
        <f>IF(ISBLANK(B144), "", GSPC[[#This Row],[Adj Close]]/B144-1)</f>
        <v>-6.3293267249140417E-3</v>
      </c>
      <c r="D14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45937.775979999999</v>
      </c>
      <c r="E14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38792.807973999996</v>
      </c>
      <c r="F143" s="11">
        <f>IF(ISBLANK(GSPC[[#This Row],[Long Exp.]]), "", (GSPC[[#This Row],[Long Exp.]]/D144-1)+(E144/GSPC[[#This Row],[Short Exp.]]-1))</f>
        <v>-2.3277657759374071E-2</v>
      </c>
      <c r="G143" s="37">
        <v>44095</v>
      </c>
      <c r="H143" s="44">
        <v>13.204132</v>
      </c>
      <c r="I143" s="36">
        <f>IF(ISBLANK(H144), "", Long0[[#This Row],[Adj Close]]/H144-1)</f>
        <v>-8.328040702942785E-2</v>
      </c>
      <c r="J143" s="29">
        <v>44095</v>
      </c>
      <c r="K143" s="44">
        <v>29.117443000000002</v>
      </c>
      <c r="L143" s="33">
        <f>IF(ISBLANK(K144),"",Long1[[#This Row],[Adj Close]]/K144-1)</f>
        <v>-2.8838427115077558E-2</v>
      </c>
      <c r="M143" s="37">
        <v>44095</v>
      </c>
      <c r="N143" s="44">
        <v>18.047374999999999</v>
      </c>
      <c r="O143" s="36">
        <f>IF(ISBLANK(N144),"",Long2[[#This Row],[Adj Close]]/N144-1)</f>
        <v>-3.4787055622589658E-2</v>
      </c>
      <c r="P143" s="29">
        <v>44095</v>
      </c>
      <c r="Q143" s="44">
        <v>23.654945000000001</v>
      </c>
      <c r="R143" s="33">
        <f>IF(ISBLANK(Q144),"",Long3[[#This Row],[Adj Close]]/Q144-1)</f>
        <v>-1.2313520768311936E-2</v>
      </c>
      <c r="S143" s="37">
        <v>44095</v>
      </c>
      <c r="T143" s="44">
        <v>48.490051000000001</v>
      </c>
      <c r="U143" s="36">
        <f>IF(ISBLANK(T144),"",Long4[[#This Row],[Adj Close]]/T144-1)</f>
        <v>-5.4127307932305579E-2</v>
      </c>
      <c r="V143" s="29">
        <v>44095</v>
      </c>
      <c r="W143" s="44">
        <v>124.449684</v>
      </c>
      <c r="X143" s="33">
        <f>IF(ISBLANK(W144),"",Long5[[#This Row],[Adj Close]]/W144-1)</f>
        <v>2.2225371639006619E-2</v>
      </c>
      <c r="Y143" s="37">
        <v>44095</v>
      </c>
      <c r="Z143" s="44">
        <v>169.14683500000001</v>
      </c>
      <c r="AA143" s="36">
        <f>IF(ISBLANK(Z144),"",Long6[[#This Row],[Adj Close]]/Z144-1)</f>
        <v>4.9296610412005171E-2</v>
      </c>
      <c r="AH143" s="29">
        <v>44095</v>
      </c>
      <c r="AI143" s="44">
        <v>46.959999000000003</v>
      </c>
      <c r="AJ143" s="33">
        <f>IF(ISBLANK(AI144),"",Short0[[#This Row],[Adj Close]]/AI144-1)</f>
        <v>-4.1632673469387704E-2</v>
      </c>
      <c r="AK143" s="37">
        <v>44095</v>
      </c>
      <c r="AL143" s="44">
        <v>97.145629999999997</v>
      </c>
      <c r="AM143" s="36">
        <f>IF(ISBLANK(AL144),"",Short1[[#This Row],[Adj Close]]/AL144-1)</f>
        <v>8.8742871032285731E-3</v>
      </c>
      <c r="AN143" s="29">
        <v>44095</v>
      </c>
      <c r="AO143" s="44">
        <v>73.762375000000006</v>
      </c>
      <c r="AP143" s="33">
        <f>IF(ISBLANK(AO144),"",Short2[[#This Row],[Adj Close]]/AO144-1)</f>
        <v>-3.1321263095389851E-2</v>
      </c>
      <c r="AQ143" s="37">
        <v>44095</v>
      </c>
      <c r="AR143" s="44">
        <v>184.88999899999999</v>
      </c>
      <c r="AS143" s="36">
        <f>IF(ISBLANK(AR144),"",Short3[[#This Row],[Adj Close]]/AR144-1)</f>
        <v>5.7178798428605404E-2</v>
      </c>
    </row>
    <row r="144" spans="1:45" x14ac:dyDescent="0.25">
      <c r="A144" s="37">
        <v>44088</v>
      </c>
      <c r="B144" s="39">
        <v>3319.469971</v>
      </c>
      <c r="C144" s="36">
        <f>IF(ISBLANK(B145), "", GSPC[[#This Row],[Adj Close]]/B145-1)</f>
        <v>-6.4352568824690426E-3</v>
      </c>
      <c r="D14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46792.186482000005</v>
      </c>
      <c r="E14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38598.146650999995</v>
      </c>
      <c r="F144" s="11">
        <f>IF(ISBLANK(GSPC[[#This Row],[Long Exp.]]), "", (GSPC[[#This Row],[Long Exp.]]/D145-1)+(E145/GSPC[[#This Row],[Short Exp.]]-1))</f>
        <v>4.0226110796659942E-2</v>
      </c>
      <c r="G144" s="37">
        <v>44088</v>
      </c>
      <c r="H144" s="44">
        <v>14.403676000000001</v>
      </c>
      <c r="I144" s="36">
        <f>IF(ISBLANK(H145), "", Long0[[#This Row],[Adj Close]]/H145-1)</f>
        <v>2.609272000616647E-2</v>
      </c>
      <c r="J144" s="29">
        <v>44088</v>
      </c>
      <c r="K144" s="44">
        <v>29.982078999999999</v>
      </c>
      <c r="L144" s="33">
        <f>IF(ISBLANK(K145),"",Long1[[#This Row],[Adj Close]]/K145-1)</f>
        <v>-1.0726864063235197E-2</v>
      </c>
      <c r="M144" s="37">
        <v>44088</v>
      </c>
      <c r="N144" s="44">
        <v>18.697817000000001</v>
      </c>
      <c r="O144" s="36">
        <f>IF(ISBLANK(N145),"",Long2[[#This Row],[Adj Close]]/N145-1)</f>
        <v>5.1884316345855996E-2</v>
      </c>
      <c r="P144" s="29">
        <v>44088</v>
      </c>
      <c r="Q144" s="44">
        <v>23.949852</v>
      </c>
      <c r="R144" s="33">
        <f>IF(ISBLANK(Q145),"",Long3[[#This Row],[Adj Close]]/Q145-1)</f>
        <v>-1.1992260406952004E-2</v>
      </c>
      <c r="S144" s="37">
        <v>44088</v>
      </c>
      <c r="T144" s="44">
        <v>51.264881000000003</v>
      </c>
      <c r="U144" s="36">
        <f>IF(ISBLANK(T145),"",Long4[[#This Row],[Adj Close]]/T145-1)</f>
        <v>2.4480596724112624E-2</v>
      </c>
      <c r="V144" s="29">
        <v>44088</v>
      </c>
      <c r="W144" s="44">
        <v>121.743881</v>
      </c>
      <c r="X144" s="33">
        <f>IF(ISBLANK(W145),"",Long5[[#This Row],[Adj Close]]/W145-1)</f>
        <v>-1.3599864186737753E-2</v>
      </c>
      <c r="Y144" s="37">
        <v>44088</v>
      </c>
      <c r="Z144" s="44">
        <v>161.200211</v>
      </c>
      <c r="AA144" s="36">
        <f>IF(ISBLANK(Z145),"",Long6[[#This Row],[Adj Close]]/Z145-1)</f>
        <v>-6.1743801880851379E-3</v>
      </c>
      <c r="AH144" s="29">
        <v>44088</v>
      </c>
      <c r="AI144" s="44">
        <v>49</v>
      </c>
      <c r="AJ144" s="33">
        <f>IF(ISBLANK(AI145),"",Short0[[#This Row],[Adj Close]]/AI145-1)</f>
        <v>-5.6058562897322251E-2</v>
      </c>
      <c r="AK144" s="37">
        <v>44088</v>
      </c>
      <c r="AL144" s="44">
        <v>96.291115000000005</v>
      </c>
      <c r="AM144" s="36">
        <f>IF(ISBLANK(AL145),"",Short1[[#This Row],[Adj Close]]/AL145-1)</f>
        <v>-1.4284549773564859E-2</v>
      </c>
      <c r="AN144" s="29">
        <v>44088</v>
      </c>
      <c r="AO144" s="44">
        <v>76.147407999999999</v>
      </c>
      <c r="AP144" s="33">
        <f>IF(ISBLANK(AO145),"",Short2[[#This Row],[Adj Close]]/AO145-1)</f>
        <v>2.194111808324295E-2</v>
      </c>
      <c r="AQ144" s="37">
        <v>44088</v>
      </c>
      <c r="AR144" s="44">
        <v>174.88999899999999</v>
      </c>
      <c r="AS144" s="36">
        <f>IF(ISBLANK(AR145),"",Short3[[#This Row],[Adj Close]]/AR145-1)</f>
        <v>-6.4409107424510559E-2</v>
      </c>
    </row>
    <row r="145" spans="1:45" x14ac:dyDescent="0.25">
      <c r="A145" s="37">
        <v>44081</v>
      </c>
      <c r="B145" s="39">
        <v>3340.969971</v>
      </c>
      <c r="C145" s="36">
        <f>IF(ISBLANK(B146), "", GSPC[[#This Row],[Adj Close]]/B146-1)</f>
        <v>-2.5092207372889086E-2</v>
      </c>
      <c r="D14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46474.383949000003</v>
      </c>
      <c r="E14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39886.856964999999</v>
      </c>
      <c r="F145" s="11">
        <f>IF(ISBLANK(GSPC[[#This Row],[Long Exp.]]), "", (GSPC[[#This Row],[Long Exp.]]/D146-1)+(E146/GSPC[[#This Row],[Short Exp.]]-1))</f>
        <v>-2.1185604865696317E-2</v>
      </c>
      <c r="G145" s="37">
        <v>44081</v>
      </c>
      <c r="H145" s="44">
        <v>14.037402</v>
      </c>
      <c r="I145" s="36">
        <f>IF(ISBLANK(H146), "", Long0[[#This Row],[Adj Close]]/H146-1)</f>
        <v>-3.0360714549187651E-2</v>
      </c>
      <c r="J145" s="29">
        <v>44081</v>
      </c>
      <c r="K145" s="44">
        <v>30.307179999999999</v>
      </c>
      <c r="L145" s="33">
        <f>IF(ISBLANK(K146),"",Long1[[#This Row],[Adj Close]]/K146-1)</f>
        <v>1.8291777519412467E-3</v>
      </c>
      <c r="M145" s="37">
        <v>44081</v>
      </c>
      <c r="N145" s="44">
        <v>17.775545000000001</v>
      </c>
      <c r="O145" s="36">
        <f>IF(ISBLANK(N146),"",Long2[[#This Row],[Adj Close]]/N146-1)</f>
        <v>-9.2237741770552217E-3</v>
      </c>
      <c r="P145" s="29">
        <v>44081</v>
      </c>
      <c r="Q145" s="44">
        <v>24.240551</v>
      </c>
      <c r="R145" s="33">
        <f>IF(ISBLANK(Q146),"",Long3[[#This Row],[Adj Close]]/Q146-1)</f>
        <v>-2.6864551777738277E-2</v>
      </c>
      <c r="S145" s="37">
        <v>44081</v>
      </c>
      <c r="T145" s="44">
        <v>50.039875000000002</v>
      </c>
      <c r="U145" s="36">
        <f>IF(ISBLANK(T146),"",Long4[[#This Row],[Adj Close]]/T146-1)</f>
        <v>-2.846837462508367E-2</v>
      </c>
      <c r="V145" s="29">
        <v>44081</v>
      </c>
      <c r="W145" s="44">
        <v>123.422409</v>
      </c>
      <c r="X145" s="33">
        <f>IF(ISBLANK(W146),"",Long5[[#This Row],[Adj Close]]/W146-1)</f>
        <v>-5.8164760808966265E-2</v>
      </c>
      <c r="Y145" s="37">
        <v>44081</v>
      </c>
      <c r="Z145" s="44">
        <v>162.201706</v>
      </c>
      <c r="AA145" s="36">
        <f>IF(ISBLANK(Z146),"",Long6[[#This Row],[Adj Close]]/Z146-1)</f>
        <v>-3.8584761865077422E-2</v>
      </c>
      <c r="AH145" s="29">
        <v>44081</v>
      </c>
      <c r="AI145" s="44">
        <v>51.91</v>
      </c>
      <c r="AJ145" s="33">
        <f>IF(ISBLANK(AI146),"",Short0[[#This Row],[Adj Close]]/AI146-1)</f>
        <v>-9.6225944885042214E-4</v>
      </c>
      <c r="AK145" s="37">
        <v>44081</v>
      </c>
      <c r="AL145" s="44">
        <v>97.686522999999994</v>
      </c>
      <c r="AM145" s="36">
        <f>IF(ISBLANK(AL146),"",Short1[[#This Row],[Adj Close]]/AL146-1)</f>
        <v>7.5252926315894086E-3</v>
      </c>
      <c r="AN145" s="29">
        <v>44081</v>
      </c>
      <c r="AO145" s="44">
        <v>74.512519999999995</v>
      </c>
      <c r="AP145" s="33">
        <f>IF(ISBLANK(AO146),"",Short2[[#This Row],[Adj Close]]/AO146-1)</f>
        <v>5.2431579924764549E-2</v>
      </c>
      <c r="AQ145" s="37">
        <v>44081</v>
      </c>
      <c r="AR145" s="44">
        <v>186.929993</v>
      </c>
      <c r="AS145" s="36">
        <f>IF(ISBLANK(AR146),"",Short3[[#This Row],[Adj Close]]/AR146-1)</f>
        <v>-6.6003827650663593E-2</v>
      </c>
    </row>
    <row r="146" spans="1:45" x14ac:dyDescent="0.25">
      <c r="A146" s="37">
        <v>44074</v>
      </c>
      <c r="B146" s="39">
        <v>3426.959961</v>
      </c>
      <c r="C146" s="36">
        <f>IF(ISBLANK(B147), "", GSPC[[#This Row],[Adj Close]]/B147-1)</f>
        <v>-2.3104280993770598E-2</v>
      </c>
      <c r="D14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48055.490889000001</v>
      </c>
      <c r="E14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40354.17484</v>
      </c>
      <c r="F146" s="11">
        <f>IF(ISBLANK(GSPC[[#This Row],[Long Exp.]]), "", (GSPC[[#This Row],[Long Exp.]]/D147-1)+(E147/GSPC[[#This Row],[Short Exp.]]-1))</f>
        <v>5.9526195458931008E-3</v>
      </c>
      <c r="G146" s="37">
        <v>44074</v>
      </c>
      <c r="H146" s="44">
        <v>14.476932</v>
      </c>
      <c r="I146" s="36">
        <f>IF(ISBLANK(H147), "", Long0[[#This Row],[Adj Close]]/H147-1)</f>
        <v>-2.5877910041081198E-2</v>
      </c>
      <c r="J146" s="29">
        <v>44074</v>
      </c>
      <c r="K146" s="44">
        <v>30.251843999999998</v>
      </c>
      <c r="L146" s="33">
        <f>IF(ISBLANK(K147),"",Long1[[#This Row],[Adj Close]]/K147-1)</f>
        <v>-3.123269134501927E-2</v>
      </c>
      <c r="M146" s="37">
        <v>44074</v>
      </c>
      <c r="N146" s="44">
        <v>17.941029</v>
      </c>
      <c r="O146" s="36">
        <f>IF(ISBLANK(N147),"",Long2[[#This Row],[Adj Close]]/N147-1)</f>
        <v>-2.0094984162660978E-2</v>
      </c>
      <c r="P146" s="29">
        <v>44074</v>
      </c>
      <c r="Q146" s="44">
        <v>24.909739999999999</v>
      </c>
      <c r="R146" s="33">
        <f>IF(ISBLANK(Q147),"",Long3[[#This Row],[Adj Close]]/Q147-1)</f>
        <v>2.0562646853368838E-2</v>
      </c>
      <c r="S146" s="37">
        <v>44074</v>
      </c>
      <c r="T146" s="44">
        <v>51.506171999999999</v>
      </c>
      <c r="U146" s="36">
        <f>IF(ISBLANK(T147),"",Long4[[#This Row],[Adj Close]]/T147-1)</f>
        <v>-4.9982930331201381E-2</v>
      </c>
      <c r="V146" s="29">
        <v>44074</v>
      </c>
      <c r="W146" s="44">
        <v>131.04458600000001</v>
      </c>
      <c r="X146" s="33">
        <f>IF(ISBLANK(W147),"",Long5[[#This Row],[Adj Close]]/W147-1)</f>
        <v>-0.1323426919320374</v>
      </c>
      <c r="Y146" s="37">
        <v>44074</v>
      </c>
      <c r="Z146" s="44">
        <v>168.71139500000001</v>
      </c>
      <c r="AA146" s="36">
        <f>IF(ISBLANK(Z147),"",Long6[[#This Row],[Adj Close]]/Z147-1)</f>
        <v>-5.2704186854533375E-2</v>
      </c>
      <c r="AH146" s="29">
        <v>44074</v>
      </c>
      <c r="AI146" s="44">
        <v>51.959999000000003</v>
      </c>
      <c r="AJ146" s="33">
        <f>IF(ISBLANK(AI147),"",Short0[[#This Row],[Adj Close]]/AI147-1)</f>
        <v>-3.8343749999998344E-3</v>
      </c>
      <c r="AK146" s="37">
        <v>44074</v>
      </c>
      <c r="AL146" s="44">
        <v>96.956894000000005</v>
      </c>
      <c r="AM146" s="36">
        <f>IF(ISBLANK(AL147),"",Short1[[#This Row],[Adj Close]]/AL147-1)</f>
        <v>-4.4232561636480039E-2</v>
      </c>
      <c r="AN146" s="29">
        <v>44074</v>
      </c>
      <c r="AO146" s="44">
        <v>70.800346000000005</v>
      </c>
      <c r="AP146" s="33">
        <f>IF(ISBLANK(AO147),"",Short2[[#This Row],[Adj Close]]/AO147-1)</f>
        <v>-3.0422668190922431E-2</v>
      </c>
      <c r="AQ146" s="37">
        <v>44074</v>
      </c>
      <c r="AR146" s="44">
        <v>200.13999899999999</v>
      </c>
      <c r="AS146" s="36">
        <f>IF(ISBLANK(AR147),"",Short3[[#This Row],[Adj Close]]/AR147-1)</f>
        <v>-9.2006166337048945E-2</v>
      </c>
    </row>
    <row r="147" spans="1:45" x14ac:dyDescent="0.25">
      <c r="A147" s="37">
        <v>44067</v>
      </c>
      <c r="B147" s="39">
        <v>3508.01001</v>
      </c>
      <c r="C147" s="36">
        <f>IF(ISBLANK(B148), "", GSPC[[#This Row],[Adj Close]]/B148-1)</f>
        <v>3.2630226680951058E-2</v>
      </c>
      <c r="D14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50492.627697999997</v>
      </c>
      <c r="E14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42542.170158000001</v>
      </c>
      <c r="F147" s="11">
        <f>IF(ISBLANK(GSPC[[#This Row],[Long Exp.]]), "", (GSPC[[#This Row],[Long Exp.]]/D148-1)+(E148/GSPC[[#This Row],[Short Exp.]]-1))</f>
        <v>-2.2158745505622468E-2</v>
      </c>
      <c r="G147" s="37">
        <v>44067</v>
      </c>
      <c r="H147" s="44">
        <v>14.861516999999999</v>
      </c>
      <c r="I147" s="36">
        <f>IF(ISBLANK(H148), "", Long0[[#This Row],[Adj Close]]/H148-1)</f>
        <v>1.5009474276029167E-2</v>
      </c>
      <c r="J147" s="29">
        <v>44067</v>
      </c>
      <c r="K147" s="44">
        <v>31.227152</v>
      </c>
      <c r="L147" s="33">
        <f>IF(ISBLANK(K148),"",Long1[[#This Row],[Adj Close]]/K148-1)</f>
        <v>6.8015172192025908E-2</v>
      </c>
      <c r="M147" s="37">
        <v>44067</v>
      </c>
      <c r="N147" s="44">
        <v>18.308947</v>
      </c>
      <c r="O147" s="36">
        <f>IF(ISBLANK(N148),"",Long2[[#This Row],[Adj Close]]/N148-1)</f>
        <v>8.1189225374012075E-2</v>
      </c>
      <c r="P147" s="29">
        <v>44067</v>
      </c>
      <c r="Q147" s="44">
        <v>24.40785</v>
      </c>
      <c r="R147" s="33">
        <f>IF(ISBLANK(Q148),"",Long3[[#This Row],[Adj Close]]/Q148-1)</f>
        <v>-1.141220804068499E-2</v>
      </c>
      <c r="S147" s="37">
        <v>44067</v>
      </c>
      <c r="T147" s="44">
        <v>54.216048999999998</v>
      </c>
      <c r="U147" s="36">
        <f>IF(ISBLANK(T148),"",Long4[[#This Row],[Adj Close]]/T148-1)</f>
        <v>6.027064545532923E-3</v>
      </c>
      <c r="V147" s="29">
        <v>44067</v>
      </c>
      <c r="W147" s="44">
        <v>151.03265400000001</v>
      </c>
      <c r="X147" s="33">
        <f>IF(ISBLANK(W148),"",Long5[[#This Row],[Adj Close]]/W148-1)</f>
        <v>-2.0738072882961145E-2</v>
      </c>
      <c r="Y147" s="37">
        <v>44067</v>
      </c>
      <c r="Z147" s="44">
        <v>178.09790000000001</v>
      </c>
      <c r="AA147" s="36">
        <f>IF(ISBLANK(Z148),"",Long6[[#This Row],[Adj Close]]/Z148-1)</f>
        <v>8.3387883444241417E-3</v>
      </c>
      <c r="AH147" s="29">
        <v>44067</v>
      </c>
      <c r="AI147" s="44">
        <v>52.16</v>
      </c>
      <c r="AJ147" s="33">
        <f>IF(ISBLANK(AI148),"",Short0[[#This Row],[Adj Close]]/AI148-1)</f>
        <v>7.5020610057707993E-2</v>
      </c>
      <c r="AK147" s="37">
        <v>44067</v>
      </c>
      <c r="AL147" s="44">
        <v>101.444023</v>
      </c>
      <c r="AM147" s="36">
        <f>IF(ISBLANK(AL148),"",Short1[[#This Row],[Adj Close]]/AL148-1)</f>
        <v>-2.4298411190107005E-2</v>
      </c>
      <c r="AN147" s="29">
        <v>44067</v>
      </c>
      <c r="AO147" s="44">
        <v>73.021866000000003</v>
      </c>
      <c r="AP147" s="33">
        <f>IF(ISBLANK(AO148),"",Short2[[#This Row],[Adj Close]]/AO148-1)</f>
        <v>-4.3220849841621223E-2</v>
      </c>
      <c r="AQ147" s="37">
        <v>44067</v>
      </c>
      <c r="AR147" s="44">
        <v>220.41999799999999</v>
      </c>
      <c r="AS147" s="36">
        <f>IF(ISBLANK(AR148),"",Short3[[#This Row],[Adj Close]]/AR148-1)</f>
        <v>8.9300674396816992E-2</v>
      </c>
    </row>
    <row r="148" spans="1:45" x14ac:dyDescent="0.25">
      <c r="A148" s="37">
        <v>44060</v>
      </c>
      <c r="B148" s="39">
        <v>3397.1599120000001</v>
      </c>
      <c r="C148" s="36">
        <f>IF(ISBLANK(B149), "", GSPC[[#This Row],[Adj Close]]/B149-1)</f>
        <v>7.2074990864299249E-3</v>
      </c>
      <c r="D14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50082.840241000005</v>
      </c>
      <c r="E14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41251.400796000002</v>
      </c>
      <c r="F148" s="11">
        <f>IF(ISBLANK(GSPC[[#This Row],[Long Exp.]]), "", (GSPC[[#This Row],[Long Exp.]]/D149-1)+(E149/GSPC[[#This Row],[Short Exp.]]-1))</f>
        <v>-4.3585117511045768E-2</v>
      </c>
      <c r="G148" s="37">
        <v>44060</v>
      </c>
      <c r="H148" s="44">
        <v>14.641752</v>
      </c>
      <c r="I148" s="36">
        <f>IF(ISBLANK(H149), "", Long0[[#This Row],[Adj Close]]/H149-1)</f>
        <v>-1.2353546993799314E-2</v>
      </c>
      <c r="J148" s="29">
        <v>44060</v>
      </c>
      <c r="K148" s="44">
        <v>29.238491</v>
      </c>
      <c r="L148" s="33">
        <f>IF(ISBLANK(K149),"",Long1[[#This Row],[Adj Close]]/K149-1)</f>
        <v>1.9045280254180508E-2</v>
      </c>
      <c r="M148" s="37">
        <v>44060</v>
      </c>
      <c r="N148" s="44">
        <v>16.934082</v>
      </c>
      <c r="O148" s="36">
        <f>IF(ISBLANK(N149),"",Long2[[#This Row],[Adj Close]]/N149-1)</f>
        <v>-1.9068863708521677E-2</v>
      </c>
      <c r="P148" s="29">
        <v>44060</v>
      </c>
      <c r="Q148" s="44">
        <v>24.689613000000001</v>
      </c>
      <c r="R148" s="33">
        <f>IF(ISBLANK(Q149),"",Long3[[#This Row],[Adj Close]]/Q149-1)</f>
        <v>-3.4767711586417116E-2</v>
      </c>
      <c r="S148" s="37">
        <v>44060</v>
      </c>
      <c r="T148" s="44">
        <v>53.891243000000003</v>
      </c>
      <c r="U148" s="36">
        <f>IF(ISBLANK(T149),"",Long4[[#This Row],[Adj Close]]/T149-1)</f>
        <v>-3.7741282503729323E-3</v>
      </c>
      <c r="V148" s="29">
        <v>44060</v>
      </c>
      <c r="W148" s="44">
        <v>154.23111</v>
      </c>
      <c r="X148" s="33">
        <f>IF(ISBLANK(W149),"",Long5[[#This Row],[Adj Close]]/W149-1)</f>
        <v>6.6206288423254378E-2</v>
      </c>
      <c r="Y148" s="37">
        <v>44060</v>
      </c>
      <c r="Z148" s="44">
        <v>176.62506099999999</v>
      </c>
      <c r="AA148" s="36">
        <f>IF(ISBLANK(Z149),"",Long6[[#This Row],[Adj Close]]/Z149-1)</f>
        <v>-4.0740576803510287E-2</v>
      </c>
      <c r="AH148" s="29">
        <v>44060</v>
      </c>
      <c r="AI148" s="44">
        <v>48.52</v>
      </c>
      <c r="AJ148" s="33">
        <f>IF(ISBLANK(AI149),"",Short0[[#This Row],[Adj Close]]/AI149-1)</f>
        <v>3.1011164585719175E-3</v>
      </c>
      <c r="AK148" s="37">
        <v>44060</v>
      </c>
      <c r="AL148" s="44">
        <v>103.970337</v>
      </c>
      <c r="AM148" s="36">
        <f>IF(ISBLANK(AL149),"",Short1[[#This Row],[Adj Close]]/AL149-1)</f>
        <v>4.1190982027481615E-2</v>
      </c>
      <c r="AN148" s="29">
        <v>44060</v>
      </c>
      <c r="AO148" s="44">
        <v>76.320503000000002</v>
      </c>
      <c r="AP148" s="33">
        <f>IF(ISBLANK(AO149),"",Short2[[#This Row],[Adj Close]]/AO149-1)</f>
        <v>6.8821392845752838E-2</v>
      </c>
      <c r="AQ148" s="37">
        <v>44060</v>
      </c>
      <c r="AR148" s="44">
        <v>202.35000600000001</v>
      </c>
      <c r="AS148" s="36">
        <f>IF(ISBLANK(AR149),"",Short3[[#This Row],[Adj Close]]/AR149-1)</f>
        <v>5.204330980645322E-2</v>
      </c>
    </row>
    <row r="149" spans="1:45" x14ac:dyDescent="0.25">
      <c r="A149" s="37">
        <v>44053</v>
      </c>
      <c r="B149" s="39">
        <v>3372.8500979999999</v>
      </c>
      <c r="C149" s="36">
        <f>IF(ISBLANK(B150), "", GSPC[[#This Row],[Adj Close]]/B150-1)</f>
        <v>6.4363672427685259E-3</v>
      </c>
      <c r="D14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50185.599942000001</v>
      </c>
      <c r="E14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39537.919739000004</v>
      </c>
      <c r="F149" s="11">
        <f>IF(ISBLANK(GSPC[[#This Row],[Long Exp.]]), "", (GSPC[[#This Row],[Long Exp.]]/D150-1)+(E150/GSPC[[#This Row],[Short Exp.]]-1))</f>
        <v>-1.4556879597556915E-2</v>
      </c>
      <c r="G149" s="37">
        <v>44053</v>
      </c>
      <c r="H149" s="44">
        <v>14.824892</v>
      </c>
      <c r="I149" s="36">
        <f>IF(ISBLANK(H150), "", Long0[[#This Row],[Adj Close]]/H150-1)</f>
        <v>-1.0391069597149749E-2</v>
      </c>
      <c r="J149" s="29">
        <v>44053</v>
      </c>
      <c r="K149" s="44">
        <v>28.692043000000002</v>
      </c>
      <c r="L149" s="33">
        <f>IF(ISBLANK(K150),"",Long1[[#This Row],[Adj Close]]/K150-1)</f>
        <v>2.5463530837342097E-2</v>
      </c>
      <c r="M149" s="37">
        <v>44053</v>
      </c>
      <c r="N149" s="44">
        <v>17.263273000000002</v>
      </c>
      <c r="O149" s="36">
        <f>IF(ISBLANK(N150),"",Long2[[#This Row],[Adj Close]]/N150-1)</f>
        <v>3.7230662560188366E-2</v>
      </c>
      <c r="P149" s="29">
        <v>44053</v>
      </c>
      <c r="Q149" s="44">
        <v>25.578934</v>
      </c>
      <c r="R149" s="33">
        <f>IF(ISBLANK(Q150),"",Long3[[#This Row],[Adj Close]]/Q150-1)</f>
        <v>7.0375923488784187E-2</v>
      </c>
      <c r="S149" s="37">
        <v>44053</v>
      </c>
      <c r="T149" s="44">
        <v>54.095405999999997</v>
      </c>
      <c r="U149" s="36">
        <f>IF(ISBLANK(T150),"",Long4[[#This Row],[Adj Close]]/T150-1)</f>
        <v>5.1491128711056433E-4</v>
      </c>
      <c r="V149" s="29">
        <v>44053</v>
      </c>
      <c r="W149" s="44">
        <v>144.654099</v>
      </c>
      <c r="X149" s="33">
        <f>IF(ISBLANK(W150),"",Long5[[#This Row],[Adj Close]]/W150-1)</f>
        <v>-4.8296770883167084E-2</v>
      </c>
      <c r="Y149" s="37">
        <v>44053</v>
      </c>
      <c r="Z149" s="44">
        <v>184.12647999999999</v>
      </c>
      <c r="AA149" s="36">
        <f>IF(ISBLANK(Z150),"",Long6[[#This Row],[Adj Close]]/Z150-1)</f>
        <v>5.4690029735922074E-3</v>
      </c>
      <c r="AH149" s="29">
        <v>44053</v>
      </c>
      <c r="AI149" s="44">
        <v>48.369999</v>
      </c>
      <c r="AJ149" s="33">
        <f>IF(ISBLANK(AI150),"",Short0[[#This Row],[Adj Close]]/AI150-1)</f>
        <v>9.4343844019370016E-2</v>
      </c>
      <c r="AK149" s="37">
        <v>44053</v>
      </c>
      <c r="AL149" s="44">
        <v>99.857123999999999</v>
      </c>
      <c r="AM149" s="36">
        <f>IF(ISBLANK(AL150),"",Short1[[#This Row],[Adj Close]]/AL150-1)</f>
        <v>6.4042940665068215E-2</v>
      </c>
      <c r="AN149" s="29">
        <v>44053</v>
      </c>
      <c r="AO149" s="44">
        <v>71.406227000000001</v>
      </c>
      <c r="AP149" s="33">
        <f>IF(ISBLANK(AO150),"",Short2[[#This Row],[Adj Close]]/AO150-1)</f>
        <v>1.3790551617379521E-2</v>
      </c>
      <c r="AQ149" s="37">
        <v>44053</v>
      </c>
      <c r="AR149" s="44">
        <v>192.33999600000001</v>
      </c>
      <c r="AS149" s="36">
        <f>IF(ISBLANK(AR150),"",Short3[[#This Row],[Adj Close]]/AR150-1)</f>
        <v>-4.0123808760260227E-2</v>
      </c>
    </row>
    <row r="150" spans="1:45" x14ac:dyDescent="0.25">
      <c r="A150" s="37">
        <v>44046</v>
      </c>
      <c r="B150" s="39">
        <v>3351.280029</v>
      </c>
      <c r="C150" s="36">
        <f>IF(ISBLANK(B151), "", GSPC[[#This Row],[Adj Close]]/B151-1)</f>
        <v>2.4505340413337073E-2</v>
      </c>
      <c r="D15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49952.125044999993</v>
      </c>
      <c r="E15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38777.571821999998</v>
      </c>
      <c r="F150" s="11">
        <f>IF(ISBLANK(GSPC[[#This Row],[Long Exp.]]), "", (GSPC[[#This Row],[Long Exp.]]/D151-1)+(E151/GSPC[[#This Row],[Short Exp.]]-1))</f>
        <v>8.5123749957513928E-2</v>
      </c>
      <c r="G150" s="37">
        <v>44046</v>
      </c>
      <c r="H150" s="44">
        <v>14.980556</v>
      </c>
      <c r="I150" s="36">
        <f>IF(ISBLANK(H151), "", Long0[[#This Row],[Adj Close]]/H151-1)</f>
        <v>1.5518278786163187E-2</v>
      </c>
      <c r="J150" s="29">
        <v>44046</v>
      </c>
      <c r="K150" s="44">
        <v>27.979583999999999</v>
      </c>
      <c r="L150" s="33">
        <f>IF(ISBLANK(K151),"",Long1[[#This Row],[Adj Close]]/K151-1)</f>
        <v>7.8379091190409866E-2</v>
      </c>
      <c r="M150" s="37">
        <v>44046</v>
      </c>
      <c r="N150" s="44">
        <v>16.643619999999999</v>
      </c>
      <c r="O150" s="36">
        <f>IF(ISBLANK(N151),"",Long2[[#This Row],[Adj Close]]/N151-1)</f>
        <v>0.27616949028041016</v>
      </c>
      <c r="P150" s="29">
        <v>44046</v>
      </c>
      <c r="Q150" s="44">
        <v>23.89715</v>
      </c>
      <c r="R150" s="33">
        <f>IF(ISBLANK(Q151),"",Long3[[#This Row],[Adj Close]]/Q151-1)</f>
        <v>1.9534085617372687E-2</v>
      </c>
      <c r="S150" s="37">
        <v>44046</v>
      </c>
      <c r="T150" s="44">
        <v>54.067565999999999</v>
      </c>
      <c r="U150" s="36">
        <f>IF(ISBLANK(T151),"",Long4[[#This Row],[Adj Close]]/T151-1)</f>
        <v>0.22755994551540826</v>
      </c>
      <c r="V150" s="29">
        <v>44046</v>
      </c>
      <c r="W150" s="44">
        <v>151.99496500000001</v>
      </c>
      <c r="X150" s="33">
        <f>IF(ISBLANK(W151),"",Long5[[#This Row],[Adj Close]]/W151-1)</f>
        <v>6.1440450058955154E-2</v>
      </c>
      <c r="Y150" s="37">
        <v>44046</v>
      </c>
      <c r="Z150" s="44">
        <v>183.12496899999999</v>
      </c>
      <c r="AA150" s="36">
        <f>IF(ISBLANK(Z151),"",Long6[[#This Row],[Adj Close]]/Z151-1)</f>
        <v>6.9131786551248631E-2</v>
      </c>
      <c r="AH150" s="29">
        <v>44046</v>
      </c>
      <c r="AI150" s="44">
        <v>44.200001</v>
      </c>
      <c r="AJ150" s="33">
        <f>IF(ISBLANK(AI151),"",Short0[[#This Row],[Adj Close]]/AI151-1)</f>
        <v>1.283231010156527E-2</v>
      </c>
      <c r="AK150" s="37">
        <v>44046</v>
      </c>
      <c r="AL150" s="44">
        <v>93.846892999999994</v>
      </c>
      <c r="AM150" s="36">
        <f>IF(ISBLANK(AL151),"",Short1[[#This Row],[Adj Close]]/AL151-1)</f>
        <v>3.3236219491961316E-2</v>
      </c>
      <c r="AN150" s="29">
        <v>44046</v>
      </c>
      <c r="AO150" s="44">
        <v>70.434890999999993</v>
      </c>
      <c r="AP150" s="33">
        <f>IF(ISBLANK(AO151),"",Short2[[#This Row],[Adj Close]]/AO151-1)</f>
        <v>1.230140336077401E-2</v>
      </c>
      <c r="AQ150" s="37">
        <v>44046</v>
      </c>
      <c r="AR150" s="44">
        <v>200.38000500000001</v>
      </c>
      <c r="AS150" s="36">
        <f>IF(ISBLANK(AR151),"",Short3[[#This Row],[Adj Close]]/AR151-1)</f>
        <v>-4.4990952650192151E-2</v>
      </c>
    </row>
    <row r="151" spans="1:45" x14ac:dyDescent="0.25">
      <c r="A151" s="37">
        <v>44039</v>
      </c>
      <c r="B151" s="39">
        <v>3271.1201169999999</v>
      </c>
      <c r="C151" s="36">
        <f>IF(ISBLANK(B152), "", GSPC[[#This Row],[Adj Close]]/B152-1)</f>
        <v>1.7256411968727736E-2</v>
      </c>
      <c r="D15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46274.537928000005</v>
      </c>
      <c r="E15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38996.685164000002</v>
      </c>
      <c r="F151" s="11">
        <f>IF(ISBLANK(GSPC[[#This Row],[Long Exp.]]), "", (GSPC[[#This Row],[Long Exp.]]/D152-1)+(E152/GSPC[[#This Row],[Short Exp.]]-1))</f>
        <v>2.7319497802018478E-2</v>
      </c>
      <c r="G151" s="37">
        <v>44039</v>
      </c>
      <c r="H151" s="44">
        <v>14.751636</v>
      </c>
      <c r="I151" s="36">
        <f>IF(ISBLANK(H152), "", Long0[[#This Row],[Adj Close]]/H152-1)</f>
        <v>9.398476175774384E-3</v>
      </c>
      <c r="J151" s="29">
        <v>44039</v>
      </c>
      <c r="K151" s="44">
        <v>25.945962999999999</v>
      </c>
      <c r="L151" s="33">
        <f>IF(ISBLANK(K152),"",Long1[[#This Row],[Adj Close]]/K152-1)</f>
        <v>-5.3375353224373145E-2</v>
      </c>
      <c r="M151" s="37">
        <v>44039</v>
      </c>
      <c r="N151" s="44">
        <v>13.041857</v>
      </c>
      <c r="O151" s="36">
        <f>IF(ISBLANK(N152),"",Long2[[#This Row],[Adj Close]]/N152-1)</f>
        <v>-1.4630651306663744E-2</v>
      </c>
      <c r="P151" s="29">
        <v>44039</v>
      </c>
      <c r="Q151" s="44">
        <v>23.439285000000002</v>
      </c>
      <c r="R151" s="33">
        <f>IF(ISBLANK(Q152),"",Long3[[#This Row],[Adj Close]]/Q152-1)</f>
        <v>3.5395024969507194E-2</v>
      </c>
      <c r="S151" s="37">
        <v>44039</v>
      </c>
      <c r="T151" s="44">
        <v>44.044746000000004</v>
      </c>
      <c r="U151" s="36">
        <f>IF(ISBLANK(T152),"",Long4[[#This Row],[Adj Close]]/T152-1)</f>
        <v>3.2412598192568032E-2</v>
      </c>
      <c r="V151" s="29">
        <v>44039</v>
      </c>
      <c r="W151" s="44">
        <v>143.19688400000001</v>
      </c>
      <c r="X151" s="33">
        <f>IF(ISBLANK(W152),"",Long5[[#This Row],[Adj Close]]/W152-1)</f>
        <v>0.14209462542819917</v>
      </c>
      <c r="Y151" s="37">
        <v>44039</v>
      </c>
      <c r="Z151" s="44">
        <v>171.28381300000001</v>
      </c>
      <c r="AA151" s="36">
        <f>IF(ISBLANK(Z152),"",Long6[[#This Row],[Adj Close]]/Z152-1)</f>
        <v>0.11334462417837399</v>
      </c>
      <c r="AH151" s="29">
        <v>44039</v>
      </c>
      <c r="AI151" s="44">
        <v>43.639999000000003</v>
      </c>
      <c r="AJ151" s="33">
        <f>IF(ISBLANK(AI152),"",Short0[[#This Row],[Adj Close]]/AI152-1)</f>
        <v>-1.6230883313099853E-2</v>
      </c>
      <c r="AK151" s="37">
        <v>44039</v>
      </c>
      <c r="AL151" s="44">
        <v>90.828109999999995</v>
      </c>
      <c r="AM151" s="36">
        <f>IF(ISBLANK(AL152),"",Short1[[#This Row],[Adj Close]]/AL152-1)</f>
        <v>2.6806724827515005E-2</v>
      </c>
      <c r="AN151" s="29">
        <v>44039</v>
      </c>
      <c r="AO151" s="44">
        <v>69.578971999999993</v>
      </c>
      <c r="AP151" s="33">
        <f>IF(ISBLANK(AO152),"",Short2[[#This Row],[Adj Close]]/AO152-1)</f>
        <v>3.6681253872433262E-2</v>
      </c>
      <c r="AQ151" s="37">
        <v>44039</v>
      </c>
      <c r="AR151" s="44">
        <v>209.820007</v>
      </c>
      <c r="AS151" s="36">
        <f>IF(ISBLANK(AR152),"",Short3[[#This Row],[Adj Close]]/AR152-1)</f>
        <v>5.1360423112076115E-2</v>
      </c>
    </row>
    <row r="152" spans="1:45" x14ac:dyDescent="0.25">
      <c r="A152" s="37">
        <v>44032</v>
      </c>
      <c r="B152" s="39">
        <v>3215.6298830000001</v>
      </c>
      <c r="C152" s="36">
        <f>IF(ISBLANK(B153), "", GSPC[[#This Row],[Adj Close]]/B153-1)</f>
        <v>-2.8219717794790711E-3</v>
      </c>
      <c r="D15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43798.135734999996</v>
      </c>
      <c r="E15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37857.132936000002</v>
      </c>
      <c r="F152" s="11">
        <f>IF(ISBLANK(GSPC[[#This Row],[Long Exp.]]), "", (GSPC[[#This Row],[Long Exp.]]/D153-1)+(E153/GSPC[[#This Row],[Short Exp.]]-1))</f>
        <v>-1.4404234108636449E-2</v>
      </c>
      <c r="G152" s="37">
        <v>44032</v>
      </c>
      <c r="H152" s="44">
        <v>14.614284</v>
      </c>
      <c r="I152" s="36">
        <f>IF(ISBLANK(H153), "", Long0[[#This Row],[Adj Close]]/H153-1)</f>
        <v>-5.0565160667317532E-2</v>
      </c>
      <c r="J152" s="29">
        <v>44032</v>
      </c>
      <c r="K152" s="44">
        <v>27.408923999999999</v>
      </c>
      <c r="L152" s="33">
        <f>IF(ISBLANK(K153),"",Long1[[#This Row],[Adj Close]]/K153-1)</f>
        <v>-2.7965201986901556E-2</v>
      </c>
      <c r="M152" s="37">
        <v>44032</v>
      </c>
      <c r="N152" s="44">
        <v>13.235500999999999</v>
      </c>
      <c r="O152" s="36">
        <f>IF(ISBLANK(N153),"",Long2[[#This Row],[Adj Close]]/N153-1)</f>
        <v>1.9388677997280057E-2</v>
      </c>
      <c r="P152" s="29">
        <v>44032</v>
      </c>
      <c r="Q152" s="44">
        <v>22.638012</v>
      </c>
      <c r="R152" s="33">
        <f>IF(ISBLANK(Q153),"",Long3[[#This Row],[Adj Close]]/Q153-1)</f>
        <v>-1.1154060962463963E-2</v>
      </c>
      <c r="S152" s="37">
        <v>44032</v>
      </c>
      <c r="T152" s="44">
        <v>42.661960999999998</v>
      </c>
      <c r="U152" s="36">
        <f>IF(ISBLANK(T153),"",Long4[[#This Row],[Adj Close]]/T153-1)</f>
        <v>-2.1081843915255805E-2</v>
      </c>
      <c r="V152" s="29">
        <v>44032</v>
      </c>
      <c r="W152" s="44">
        <v>125.380928</v>
      </c>
      <c r="X152" s="33">
        <f>IF(ISBLANK(W153),"",Long5[[#This Row],[Adj Close]]/W153-1)</f>
        <v>1.4618394726673145E-4</v>
      </c>
      <c r="Y152" s="37">
        <v>44032</v>
      </c>
      <c r="Z152" s="44">
        <v>153.84617600000001</v>
      </c>
      <c r="AA152" s="36">
        <f>IF(ISBLANK(Z153),"",Long6[[#This Row],[Adj Close]]/Z153-1)</f>
        <v>1.1686336218615034E-2</v>
      </c>
      <c r="AH152" s="29">
        <v>44032</v>
      </c>
      <c r="AI152" s="44">
        <v>44.360000999999997</v>
      </c>
      <c r="AJ152" s="33">
        <f>IF(ISBLANK(AI153),"",Short0[[#This Row],[Adj Close]]/AI153-1)</f>
        <v>-8.8929925835488421E-2</v>
      </c>
      <c r="AK152" s="37">
        <v>44032</v>
      </c>
      <c r="AL152" s="44">
        <v>88.456871000000007</v>
      </c>
      <c r="AM152" s="36">
        <f>IF(ISBLANK(AL153),"",Short1[[#This Row],[Adj Close]]/AL153-1)</f>
        <v>0.10266025385842226</v>
      </c>
      <c r="AN152" s="29">
        <v>44032</v>
      </c>
      <c r="AO152" s="44">
        <v>67.117035000000001</v>
      </c>
      <c r="AP152" s="33">
        <f>IF(ISBLANK(AO153),"",Short2[[#This Row],[Adj Close]]/AO153-1)</f>
        <v>2.7299003645531172E-3</v>
      </c>
      <c r="AQ152" s="37">
        <v>44032</v>
      </c>
      <c r="AR152" s="44">
        <v>199.570007</v>
      </c>
      <c r="AS152" s="36">
        <f>IF(ISBLANK(AR153),"",Short3[[#This Row],[Adj Close]]/AR153-1)</f>
        <v>-2.0002700305031818E-3</v>
      </c>
    </row>
    <row r="153" spans="1:45" x14ac:dyDescent="0.25">
      <c r="A153" s="37">
        <v>44025</v>
      </c>
      <c r="B153" s="39">
        <v>3224.7299800000001</v>
      </c>
      <c r="C153" s="36">
        <f>IF(ISBLANK(B154), "", GSPC[[#This Row],[Adj Close]]/B154-1)</f>
        <v>1.2461363283979843E-2</v>
      </c>
      <c r="D15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44385.604763000003</v>
      </c>
      <c r="E15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37812.890875999998</v>
      </c>
      <c r="F153" s="11">
        <f>IF(ISBLANK(GSPC[[#This Row],[Long Exp.]]), "", (GSPC[[#This Row],[Long Exp.]]/D154-1)+(E154/GSPC[[#This Row],[Short Exp.]]-1))</f>
        <v>1.3137481756270275E-2</v>
      </c>
      <c r="G153" s="37">
        <v>44025</v>
      </c>
      <c r="H153" s="44">
        <v>15.392614</v>
      </c>
      <c r="I153" s="36">
        <f>IF(ISBLANK(H154), "", Long0[[#This Row],[Adj Close]]/H154-1)</f>
        <v>4.4099577024946379E-2</v>
      </c>
      <c r="J153" s="29">
        <v>44025</v>
      </c>
      <c r="K153" s="44">
        <v>28.197472000000001</v>
      </c>
      <c r="L153" s="33">
        <f>IF(ISBLANK(K154),"",Long1[[#This Row],[Adj Close]]/K154-1)</f>
        <v>3.926074662467971E-2</v>
      </c>
      <c r="M153" s="37">
        <v>44025</v>
      </c>
      <c r="N153" s="44">
        <v>12.983763</v>
      </c>
      <c r="O153" s="36">
        <f>IF(ISBLANK(N154),"",Long2[[#This Row],[Adj Close]]/N154-1)</f>
        <v>9.0243752522242371E-2</v>
      </c>
      <c r="P153" s="29">
        <v>44025</v>
      </c>
      <c r="Q153" s="44">
        <v>22.893366</v>
      </c>
      <c r="R153" s="33">
        <f>IF(ISBLANK(Q154),"",Long3[[#This Row],[Adj Close]]/Q154-1)</f>
        <v>2.9703129724822697E-2</v>
      </c>
      <c r="S153" s="37">
        <v>44025</v>
      </c>
      <c r="T153" s="44">
        <v>43.580722999999999</v>
      </c>
      <c r="U153" s="36">
        <f>IF(ISBLANK(T154),"",Long4[[#This Row],[Adj Close]]/T154-1)</f>
        <v>3.1634531515852826E-2</v>
      </c>
      <c r="V153" s="29">
        <v>44025</v>
      </c>
      <c r="W153" s="44">
        <v>125.362602</v>
      </c>
      <c r="X153" s="33">
        <f>IF(ISBLANK(W154),"",Long5[[#This Row],[Adj Close]]/W154-1)</f>
        <v>-5.4529180187961046E-3</v>
      </c>
      <c r="Y153" s="37">
        <v>44025</v>
      </c>
      <c r="Z153" s="44">
        <v>152.06904599999999</v>
      </c>
      <c r="AA153" s="36">
        <f>IF(ISBLANK(Z154),"",Long6[[#This Row],[Adj Close]]/Z154-1)</f>
        <v>-1.0920078003493372E-2</v>
      </c>
      <c r="AH153" s="29">
        <v>44025</v>
      </c>
      <c r="AI153" s="44">
        <v>48.689999</v>
      </c>
      <c r="AJ153" s="33">
        <f>IF(ISBLANK(AI154),"",Short0[[#This Row],[Adj Close]]/AI154-1)</f>
        <v>6.4960584755892725E-2</v>
      </c>
      <c r="AK153" s="37">
        <v>44025</v>
      </c>
      <c r="AL153" s="44">
        <v>80.221328999999997</v>
      </c>
      <c r="AM153" s="36">
        <f>IF(ISBLANK(AL154),"",Short1[[#This Row],[Adj Close]]/AL154-1)</f>
        <v>3.6042657955821511E-2</v>
      </c>
      <c r="AN153" s="29">
        <v>44025</v>
      </c>
      <c r="AO153" s="44">
        <v>66.934310999999994</v>
      </c>
      <c r="AP153" s="33">
        <f>IF(ISBLANK(AO154),"",Short2[[#This Row],[Adj Close]]/AO154-1)</f>
        <v>6.8540775734585058E-2</v>
      </c>
      <c r="AQ153" s="37">
        <v>44025</v>
      </c>
      <c r="AR153" s="44">
        <v>199.970001</v>
      </c>
      <c r="AS153" s="36">
        <f>IF(ISBLANK(AR154),"",Short3[[#This Row],[Adj Close]]/AR154-1)</f>
        <v>-5.3710039863854475E-2</v>
      </c>
    </row>
    <row r="154" spans="1:45" x14ac:dyDescent="0.25">
      <c r="A154" s="37">
        <v>44018</v>
      </c>
      <c r="B154" s="39">
        <v>3185.040039</v>
      </c>
      <c r="C154" s="36">
        <f>IF(ISBLANK(B155), "", GSPC[[#This Row],[Adj Close]]/B155-1)</f>
        <v>1.7581422686887782E-2</v>
      </c>
      <c r="D15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43336.142724000005</v>
      </c>
      <c r="E15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37393.950402000002</v>
      </c>
      <c r="F154" s="11">
        <f>IF(ISBLANK(GSPC[[#This Row],[Long Exp.]]), "", (GSPC[[#This Row],[Long Exp.]]/D155-1)+(E155/GSPC[[#This Row],[Short Exp.]]-1))</f>
        <v>-3.7505692964461712E-2</v>
      </c>
      <c r="G154" s="37">
        <v>44018</v>
      </c>
      <c r="H154" s="44">
        <v>14.742476999999999</v>
      </c>
      <c r="I154" s="36">
        <f>IF(ISBLANK(H155), "", Long0[[#This Row],[Adj Close]]/H155-1)</f>
        <v>1.0671487276111113E-2</v>
      </c>
      <c r="J154" s="29">
        <v>44018</v>
      </c>
      <c r="K154" s="44">
        <v>27.132239999999999</v>
      </c>
      <c r="L154" s="33">
        <f>IF(ISBLANK(K155),"",Long1[[#This Row],[Adj Close]]/K155-1)</f>
        <v>2.616077927318794E-2</v>
      </c>
      <c r="M154" s="37">
        <v>44018</v>
      </c>
      <c r="N154" s="44">
        <v>11.909046</v>
      </c>
      <c r="O154" s="36">
        <f>IF(ISBLANK(N155),"",Long2[[#This Row],[Adj Close]]/N155-1)</f>
        <v>-4.280153202603787E-2</v>
      </c>
      <c r="P154" s="29">
        <v>44018</v>
      </c>
      <c r="Q154" s="44">
        <v>22.232977000000002</v>
      </c>
      <c r="R154" s="33">
        <f>IF(ISBLANK(Q155),"",Long3[[#This Row],[Adj Close]]/Q155-1)</f>
        <v>-3.552346906164916E-2</v>
      </c>
      <c r="S154" s="37">
        <v>44018</v>
      </c>
      <c r="T154" s="44">
        <v>42.244343000000001</v>
      </c>
      <c r="U154" s="36">
        <f>IF(ISBLANK(T155),"",Long4[[#This Row],[Adj Close]]/T155-1)</f>
        <v>-1.3009620998678306E-2</v>
      </c>
      <c r="V154" s="29">
        <v>44018</v>
      </c>
      <c r="W154" s="44">
        <v>126.049942</v>
      </c>
      <c r="X154" s="33">
        <f>IF(ISBLANK(W155),"",Long5[[#This Row],[Adj Close]]/W155-1)</f>
        <v>-2.8260614995290867E-2</v>
      </c>
      <c r="Y154" s="37">
        <v>44018</v>
      </c>
      <c r="Z154" s="44">
        <v>153.747986</v>
      </c>
      <c r="AA154" s="36">
        <f>IF(ISBLANK(Z155),"",Long6[[#This Row],[Adj Close]]/Z155-1)</f>
        <v>4.7144549924668322E-2</v>
      </c>
      <c r="AH154" s="29">
        <v>44018</v>
      </c>
      <c r="AI154" s="44">
        <v>45.720001000000003</v>
      </c>
      <c r="AJ154" s="33">
        <f>IF(ISBLANK(AI155),"",Short0[[#This Row],[Adj Close]]/AI155-1)</f>
        <v>-1.337934829520937E-2</v>
      </c>
      <c r="AK154" s="37">
        <v>44018</v>
      </c>
      <c r="AL154" s="44">
        <v>77.430526999999998</v>
      </c>
      <c r="AM154" s="36">
        <f>IF(ISBLANK(AL155),"",Short1[[#This Row],[Adj Close]]/AL155-1)</f>
        <v>-2.9159716057166607E-2</v>
      </c>
      <c r="AN154" s="29">
        <v>44018</v>
      </c>
      <c r="AO154" s="44">
        <v>62.640858000000001</v>
      </c>
      <c r="AP154" s="33">
        <f>IF(ISBLANK(AO155),"",Short2[[#This Row],[Adj Close]]/AO155-1)</f>
        <v>8.4593742184136511E-2</v>
      </c>
      <c r="AQ154" s="37">
        <v>44018</v>
      </c>
      <c r="AR154" s="44">
        <v>211.320007</v>
      </c>
      <c r="AS154" s="36">
        <f>IF(ISBLANK(AR155),"",Short3[[#This Row],[Adj Close]]/AR155-1)</f>
        <v>5.7075697922551294E-2</v>
      </c>
    </row>
    <row r="155" spans="1:45" x14ac:dyDescent="0.25">
      <c r="A155" s="37">
        <v>44011</v>
      </c>
      <c r="B155" s="39">
        <v>3130.01001</v>
      </c>
      <c r="C155" s="36">
        <f>IF(ISBLANK(B156), "", GSPC[[#This Row],[Adj Close]]/B156-1)</f>
        <v>4.0198720204138505E-2</v>
      </c>
      <c r="D15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43696.123565000002</v>
      </c>
      <c r="E15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36299.526162000002</v>
      </c>
      <c r="F155" s="11">
        <f>IF(ISBLANK(GSPC[[#This Row],[Long Exp.]]), "", (GSPC[[#This Row],[Long Exp.]]/D156-1)+(E156/GSPC[[#This Row],[Short Exp.]]-1))</f>
        <v>4.9867397930764001E-3</v>
      </c>
      <c r="G155" s="37">
        <v>44011</v>
      </c>
      <c r="H155" s="44">
        <v>14.586814</v>
      </c>
      <c r="I155" s="36">
        <f>IF(ISBLANK(H156), "", Long0[[#This Row],[Adj Close]]/H156-1)</f>
        <v>2.5174250361765793E-3</v>
      </c>
      <c r="J155" s="29">
        <v>44011</v>
      </c>
      <c r="K155" s="44">
        <v>26.440535000000001</v>
      </c>
      <c r="L155" s="33">
        <f>IF(ISBLANK(K156),"",Long1[[#This Row],[Adj Close]]/K156-1)</f>
        <v>4.7834500029583671E-2</v>
      </c>
      <c r="M155" s="37">
        <v>44011</v>
      </c>
      <c r="N155" s="44">
        <v>12.441564</v>
      </c>
      <c r="O155" s="36">
        <f>IF(ISBLANK(N156),"",Long2[[#This Row],[Adj Close]]/N156-1)</f>
        <v>6.3741846917891865E-2</v>
      </c>
      <c r="P155" s="29">
        <v>44011</v>
      </c>
      <c r="Q155" s="44">
        <v>23.051859</v>
      </c>
      <c r="R155" s="33">
        <f>IF(ISBLANK(Q156),"",Long3[[#This Row],[Adj Close]]/Q156-1)</f>
        <v>4.427604391096196E-2</v>
      </c>
      <c r="S155" s="37">
        <v>44011</v>
      </c>
      <c r="T155" s="44">
        <v>42.801169999999999</v>
      </c>
      <c r="U155" s="36">
        <f>IF(ISBLANK(T156),"",Long4[[#This Row],[Adj Close]]/T156-1)</f>
        <v>5.4653535209200133E-2</v>
      </c>
      <c r="V155" s="29">
        <v>44011</v>
      </c>
      <c r="W155" s="44">
        <v>129.71579</v>
      </c>
      <c r="X155" s="33">
        <f>IF(ISBLANK(W156),"",Long5[[#This Row],[Adj Close]]/W156-1)</f>
        <v>4.7435620851560722E-2</v>
      </c>
      <c r="Y155" s="37">
        <v>44011</v>
      </c>
      <c r="Z155" s="44">
        <v>146.825943</v>
      </c>
      <c r="AA155" s="36">
        <f>IF(ISBLANK(Z156),"",Long6[[#This Row],[Adj Close]]/Z156-1)</f>
        <v>1.6104001377670984E-2</v>
      </c>
      <c r="AH155" s="29">
        <v>44011</v>
      </c>
      <c r="AI155" s="44">
        <v>46.34</v>
      </c>
      <c r="AJ155" s="33">
        <f>IF(ISBLANK(AI156),"",Short0[[#This Row],[Adj Close]]/AI156-1)</f>
        <v>6.9466832704046633E-2</v>
      </c>
      <c r="AK155" s="37">
        <v>44011</v>
      </c>
      <c r="AL155" s="44">
        <v>79.756195000000005</v>
      </c>
      <c r="AM155" s="36">
        <f>IF(ISBLANK(AL156),"",Short1[[#This Row],[Adj Close]]/AL156-1)</f>
        <v>3.1250208092713505E-2</v>
      </c>
      <c r="AN155" s="29">
        <v>44011</v>
      </c>
      <c r="AO155" s="44">
        <v>57.755135000000003</v>
      </c>
      <c r="AP155" s="33">
        <f>IF(ISBLANK(AO156),"",Short2[[#This Row],[Adj Close]]/AO156-1)</f>
        <v>1.9830505290180822E-2</v>
      </c>
      <c r="AQ155" s="37">
        <v>44011</v>
      </c>
      <c r="AR155" s="44">
        <v>199.91000399999999</v>
      </c>
      <c r="AS155" s="36">
        <f>IF(ISBLANK(AR156),"",Short3[[#This Row],[Adj Close]]/AR156-1)</f>
        <v>1.5802850368858978E-2</v>
      </c>
    </row>
    <row r="156" spans="1:45" x14ac:dyDescent="0.25">
      <c r="A156" s="37">
        <v>44004</v>
      </c>
      <c r="B156" s="39">
        <v>3009.0500489999999</v>
      </c>
      <c r="C156" s="36">
        <f>IF(ISBLANK(B157), "", GSPC[[#This Row],[Adj Close]]/B157-1)</f>
        <v>-2.8630531060161779E-2</v>
      </c>
      <c r="D15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42237.517212999999</v>
      </c>
      <c r="E15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35226.995301000003</v>
      </c>
      <c r="F156" s="11">
        <f>IF(ISBLANK(GSPC[[#This Row],[Long Exp.]]), "", (GSPC[[#This Row],[Long Exp.]]/D157-1)+(E157/GSPC[[#This Row],[Short Exp.]]-1))</f>
        <v>-2.73859071060919E-2</v>
      </c>
      <c r="G156" s="37">
        <v>44004</v>
      </c>
      <c r="H156" s="44">
        <v>14.550185000000001</v>
      </c>
      <c r="I156" s="36">
        <f>IF(ISBLANK(H157), "", Long0[[#This Row],[Adj Close]]/H157-1)</f>
        <v>-1.6707913724683943E-2</v>
      </c>
      <c r="J156" s="29">
        <v>44004</v>
      </c>
      <c r="K156" s="44">
        <v>25.233502999999999</v>
      </c>
      <c r="L156" s="33">
        <f>IF(ISBLANK(K157),"",Long1[[#This Row],[Adj Close]]/K157-1)</f>
        <v>-7.8555174978274356E-2</v>
      </c>
      <c r="M156" s="37">
        <v>44004</v>
      </c>
      <c r="N156" s="44">
        <v>11.696037</v>
      </c>
      <c r="O156" s="36">
        <f>IF(ISBLANK(N157),"",Long2[[#This Row],[Adj Close]]/N157-1)</f>
        <v>-6.3566094922840488E-2</v>
      </c>
      <c r="P156" s="29">
        <v>44004</v>
      </c>
      <c r="Q156" s="44">
        <v>22.074487999999999</v>
      </c>
      <c r="R156" s="33">
        <f>IF(ISBLANK(Q157),"",Long3[[#This Row],[Adj Close]]/Q157-1)</f>
        <v>-3.5769226770759777E-2</v>
      </c>
      <c r="S156" s="37">
        <v>44004</v>
      </c>
      <c r="T156" s="44">
        <v>40.583157</v>
      </c>
      <c r="U156" s="36">
        <f>IF(ISBLANK(T157),"",Long4[[#This Row],[Adj Close]]/T157-1)</f>
        <v>-1.7303317650879002E-2</v>
      </c>
      <c r="V156" s="29">
        <v>44004</v>
      </c>
      <c r="W156" s="44">
        <v>123.841301</v>
      </c>
      <c r="X156" s="33">
        <f>IF(ISBLANK(W157),"",Long5[[#This Row],[Adj Close]]/W157-1)</f>
        <v>2.645055898862525E-2</v>
      </c>
      <c r="Y156" s="37">
        <v>44004</v>
      </c>
      <c r="Z156" s="44">
        <v>144.498932</v>
      </c>
      <c r="AA156" s="36">
        <f>IF(ISBLANK(Z157),"",Long6[[#This Row],[Adj Close]]/Z157-1)</f>
        <v>-3.5267277103750216E-2</v>
      </c>
      <c r="AH156" s="29">
        <v>44004</v>
      </c>
      <c r="AI156" s="44">
        <v>43.330002</v>
      </c>
      <c r="AJ156" s="33">
        <f>IF(ISBLANK(AI157),"",Short0[[#This Row],[Adj Close]]/AI157-1)</f>
        <v>-8.1796929048462141E-2</v>
      </c>
      <c r="AK156" s="37">
        <v>44004</v>
      </c>
      <c r="AL156" s="44">
        <v>77.339325000000002</v>
      </c>
      <c r="AM156" s="36">
        <f>IF(ISBLANK(AL157),"",Short1[[#This Row],[Adj Close]]/AL157-1)</f>
        <v>4.4334845192481875E-2</v>
      </c>
      <c r="AN156" s="29">
        <v>44004</v>
      </c>
      <c r="AO156" s="44">
        <v>56.632092</v>
      </c>
      <c r="AP156" s="33">
        <f>IF(ISBLANK(AO157),"",Short2[[#This Row],[Adj Close]]/AO157-1)</f>
        <v>-1.9607760992006118E-2</v>
      </c>
      <c r="AQ156" s="37">
        <v>44004</v>
      </c>
      <c r="AR156" s="44">
        <v>196.800003</v>
      </c>
      <c r="AS156" s="36">
        <f>IF(ISBLANK(AR157),"",Short3[[#This Row],[Adj Close]]/AR157-1)</f>
        <v>5.1506725763908578E-2</v>
      </c>
    </row>
    <row r="157" spans="1:45" x14ac:dyDescent="0.25">
      <c r="A157" s="37">
        <v>43997</v>
      </c>
      <c r="B157" s="39">
        <v>3097.73999</v>
      </c>
      <c r="C157" s="36">
        <f>IF(ISBLANK(B158), "", GSPC[[#This Row],[Adj Close]]/B158-1)</f>
        <v>1.8554481425861136E-2</v>
      </c>
      <c r="D15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43121.033588999999</v>
      </c>
      <c r="E15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34984.045763000002</v>
      </c>
      <c r="F157" s="11">
        <f>IF(ISBLANK(GSPC[[#This Row],[Long Exp.]]), "", (GSPC[[#This Row],[Long Exp.]]/D158-1)+(E158/GSPC[[#This Row],[Short Exp.]]-1))</f>
        <v>1.0749981452670143E-2</v>
      </c>
      <c r="G157" s="37">
        <v>43997</v>
      </c>
      <c r="H157" s="44">
        <v>14.797419</v>
      </c>
      <c r="I157" s="36">
        <f>IF(ISBLANK(H158), "", Long0[[#This Row],[Adj Close]]/H158-1)</f>
        <v>1.3801755813539929E-2</v>
      </c>
      <c r="J157" s="29">
        <v>43997</v>
      </c>
      <c r="K157" s="44">
        <v>27.384713999999999</v>
      </c>
      <c r="L157" s="33">
        <f>IF(ISBLANK(K158),"",Long1[[#This Row],[Adj Close]]/K158-1)</f>
        <v>5.799033670174536E-2</v>
      </c>
      <c r="M157" s="37">
        <v>43997</v>
      </c>
      <c r="N157" s="44">
        <v>12.489976</v>
      </c>
      <c r="O157" s="36">
        <f>IF(ISBLANK(N158),"",Long2[[#This Row],[Adj Close]]/N158-1)</f>
        <v>-2.861432383649698E-2</v>
      </c>
      <c r="P157" s="29">
        <v>43997</v>
      </c>
      <c r="Q157" s="44">
        <v>22.893366</v>
      </c>
      <c r="R157" s="33">
        <f>IF(ISBLANK(Q158),"",Long3[[#This Row],[Adj Close]]/Q158-1)</f>
        <v>-7.2741062173273807E-3</v>
      </c>
      <c r="S157" s="37">
        <v>43997</v>
      </c>
      <c r="T157" s="44">
        <v>41.297744999999999</v>
      </c>
      <c r="U157" s="36">
        <f>IF(ISBLANK(T158),"",Long4[[#This Row],[Adj Close]]/T158-1)</f>
        <v>3.7054290596922002E-2</v>
      </c>
      <c r="V157" s="29">
        <v>43997</v>
      </c>
      <c r="W157" s="44">
        <v>120.65004</v>
      </c>
      <c r="X157" s="33">
        <f>IF(ISBLANK(W158),"",Long5[[#This Row],[Adj Close]]/W158-1)</f>
        <v>0.12259317243432011</v>
      </c>
      <c r="Y157" s="37">
        <v>43997</v>
      </c>
      <c r="Z157" s="44">
        <v>149.78131099999999</v>
      </c>
      <c r="AA157" s="36">
        <f>IF(ISBLANK(Z158),"",Long6[[#This Row],[Adj Close]]/Z158-1)</f>
        <v>-7.9298352760663882E-3</v>
      </c>
      <c r="AH157" s="29">
        <v>43997</v>
      </c>
      <c r="AI157" s="44">
        <v>47.189999</v>
      </c>
      <c r="AJ157" s="33">
        <f>IF(ISBLANK(AI158),"",Short0[[#This Row],[Adj Close]]/AI158-1)</f>
        <v>-5.3739724358125573E-2</v>
      </c>
      <c r="AK157" s="37">
        <v>43997</v>
      </c>
      <c r="AL157" s="44">
        <v>74.056061</v>
      </c>
      <c r="AM157" s="36">
        <f>IF(ISBLANK(AL158),"",Short1[[#This Row],[Adj Close]]/AL158-1)</f>
        <v>5.1323111390854104E-2</v>
      </c>
      <c r="AN157" s="29">
        <v>43997</v>
      </c>
      <c r="AO157" s="44">
        <v>57.764729000000003</v>
      </c>
      <c r="AP157" s="33">
        <f>IF(ISBLANK(AO158),"",Short2[[#This Row],[Adj Close]]/AO158-1)</f>
        <v>1.5696108347334592E-2</v>
      </c>
      <c r="AQ157" s="37">
        <v>43997</v>
      </c>
      <c r="AR157" s="44">
        <v>187.16000399999999</v>
      </c>
      <c r="AS157" s="36">
        <f>IF(ISBLANK(AR158),"",Short3[[#This Row],[Adj Close]]/AR158-1)</f>
        <v>4.6288007427101707E-2</v>
      </c>
    </row>
    <row r="158" spans="1:45" x14ac:dyDescent="0.25">
      <c r="A158" s="37">
        <v>43990</v>
      </c>
      <c r="B158" s="39">
        <v>3041.3100589999999</v>
      </c>
      <c r="C158" s="36">
        <f>IF(ISBLANK(B159), "", GSPC[[#This Row],[Adj Close]]/B159-1)</f>
        <v>-4.7784352271131869E-2</v>
      </c>
      <c r="D15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41944.126049000006</v>
      </c>
      <c r="E15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34378.508512</v>
      </c>
      <c r="F158" s="11">
        <f>IF(ISBLANK(GSPC[[#This Row],[Long Exp.]]), "", (GSPC[[#This Row],[Long Exp.]]/D159-1)+(E159/GSPC[[#This Row],[Short Exp.]]-1))</f>
        <v>-2.7604503777010514E-2</v>
      </c>
      <c r="G158" s="37">
        <v>43990</v>
      </c>
      <c r="H158" s="44">
        <v>14.595969</v>
      </c>
      <c r="I158" s="36">
        <f>IF(ISBLANK(H159), "", Long0[[#This Row],[Adj Close]]/H159-1)</f>
        <v>-9.7906075852811414E-2</v>
      </c>
      <c r="J158" s="29">
        <v>43990</v>
      </c>
      <c r="K158" s="44">
        <v>25.883709</v>
      </c>
      <c r="L158" s="33">
        <f>IF(ISBLANK(K159),"",Long1[[#This Row],[Adj Close]]/K159-1)</f>
        <v>-0.10435613973986801</v>
      </c>
      <c r="M158" s="37">
        <v>43990</v>
      </c>
      <c r="N158" s="44">
        <v>12.857896</v>
      </c>
      <c r="O158" s="36">
        <f>IF(ISBLANK(N159),"",Long2[[#This Row],[Adj Close]]/N159-1)</f>
        <v>-5.4415524713540719E-2</v>
      </c>
      <c r="P158" s="29">
        <v>43990</v>
      </c>
      <c r="Q158" s="44">
        <v>23.061115000000001</v>
      </c>
      <c r="R158" s="33">
        <f>IF(ISBLANK(Q159),"",Long3[[#This Row],[Adj Close]]/Q159-1)</f>
        <v>-0.11617850537374663</v>
      </c>
      <c r="S158" s="37">
        <v>43990</v>
      </c>
      <c r="T158" s="44">
        <v>39.822163000000003</v>
      </c>
      <c r="U158" s="36">
        <f>IF(ISBLANK(T159),"",Long4[[#This Row],[Adj Close]]/T159-1)</f>
        <v>-7.6608594020718401E-2</v>
      </c>
      <c r="V158" s="29">
        <v>43990</v>
      </c>
      <c r="W158" s="44">
        <v>107.474411</v>
      </c>
      <c r="X158" s="33">
        <f>IF(ISBLANK(W159),"",Long5[[#This Row],[Adj Close]]/W159-1)</f>
        <v>-2.17517010986924E-2</v>
      </c>
      <c r="Y158" s="37">
        <v>43990</v>
      </c>
      <c r="Z158" s="44">
        <v>150.97854599999999</v>
      </c>
      <c r="AA158" s="36">
        <f>IF(ISBLANK(Z159),"",Long6[[#This Row],[Adj Close]]/Z159-1)</f>
        <v>-6.7151502937945029E-2</v>
      </c>
      <c r="AH158" s="29">
        <v>43990</v>
      </c>
      <c r="AI158" s="44">
        <v>49.869999</v>
      </c>
      <c r="AJ158" s="33">
        <f>IF(ISBLANK(AI159),"",Short0[[#This Row],[Adj Close]]/AI159-1)</f>
        <v>-5.8523729308594952E-2</v>
      </c>
      <c r="AK158" s="37">
        <v>43990</v>
      </c>
      <c r="AL158" s="44">
        <v>70.440819000000005</v>
      </c>
      <c r="AM158" s="36">
        <f>IF(ISBLANK(AL159),"",Short1[[#This Row],[Adj Close]]/AL159-1)</f>
        <v>-5.7797158847385788E-2</v>
      </c>
      <c r="AN158" s="29">
        <v>43990</v>
      </c>
      <c r="AO158" s="44">
        <v>56.872059</v>
      </c>
      <c r="AP158" s="33">
        <f>IF(ISBLANK(AO159),"",Short2[[#This Row],[Adj Close]]/AO159-1)</f>
        <v>-7.0004765909934319E-2</v>
      </c>
      <c r="AQ158" s="37">
        <v>43990</v>
      </c>
      <c r="AR158" s="44">
        <v>178.88000500000001</v>
      </c>
      <c r="AS158" s="36">
        <f>IF(ISBLANK(AR159),"",Short3[[#This Row],[Adj Close]]/AR159-1)</f>
        <v>-2.3154161837979359E-2</v>
      </c>
    </row>
    <row r="159" spans="1:45" x14ac:dyDescent="0.25">
      <c r="A159" s="37">
        <v>43983</v>
      </c>
      <c r="B159" s="39">
        <v>3193.929932</v>
      </c>
      <c r="C159" s="36">
        <f>IF(ISBLANK(B160), "", GSPC[[#This Row],[Adj Close]]/B160-1)</f>
        <v>4.9147383183810067E-2</v>
      </c>
      <c r="D15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45471.012353999999</v>
      </c>
      <c r="E15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36096.020839999997</v>
      </c>
      <c r="F159" s="11">
        <f>IF(ISBLANK(GSPC[[#This Row],[Long Exp.]]), "", (GSPC[[#This Row],[Long Exp.]]/D160-1)+(E160/GSPC[[#This Row],[Short Exp.]]-1))</f>
        <v>2.5494125816052704E-2</v>
      </c>
      <c r="G159" s="37">
        <v>43983</v>
      </c>
      <c r="H159" s="44">
        <v>16.180098999999998</v>
      </c>
      <c r="I159" s="36">
        <f>IF(ISBLANK(H160), "", Long0[[#This Row],[Adj Close]]/H160-1)</f>
        <v>3.5149376003234645E-2</v>
      </c>
      <c r="J159" s="29">
        <v>43983</v>
      </c>
      <c r="K159" s="44">
        <v>28.899554999999999</v>
      </c>
      <c r="L159" s="33">
        <f>IF(ISBLANK(K160),"",Long1[[#This Row],[Adj Close]]/K160-1)</f>
        <v>6.0271570181446465E-2</v>
      </c>
      <c r="M159" s="37">
        <v>43983</v>
      </c>
      <c r="N159" s="44">
        <v>13.597829000000001</v>
      </c>
      <c r="O159" s="36">
        <f>IF(ISBLANK(N160),"",Long2[[#This Row],[Adj Close]]/N160-1)</f>
        <v>0.16625300958469968</v>
      </c>
      <c r="P159" s="29">
        <v>43983</v>
      </c>
      <c r="Q159" s="44">
        <v>26.092503000000001</v>
      </c>
      <c r="R159" s="33">
        <f>IF(ISBLANK(Q160),"",Long3[[#This Row],[Adj Close]]/Q160-1)</f>
        <v>7.5161229869753488E-2</v>
      </c>
      <c r="S159" s="37">
        <v>43983</v>
      </c>
      <c r="T159" s="44">
        <v>43.125984000000003</v>
      </c>
      <c r="U159" s="36">
        <f>IF(ISBLANK(T160),"",Long4[[#This Row],[Adj Close]]/T160-1)</f>
        <v>9.7025542572637624E-2</v>
      </c>
      <c r="V159" s="29">
        <v>43983</v>
      </c>
      <c r="W159" s="44">
        <v>109.864143</v>
      </c>
      <c r="X159" s="33">
        <f>IF(ISBLANK(W160),"",Long5[[#This Row],[Adj Close]]/W160-1)</f>
        <v>-1.6072264536863279E-2</v>
      </c>
      <c r="Y159" s="37">
        <v>43983</v>
      </c>
      <c r="Z159" s="44">
        <v>161.846802</v>
      </c>
      <c r="AA159" s="36">
        <f>IF(ISBLANK(Z160),"",Long6[[#This Row],[Adj Close]]/Z160-1)</f>
        <v>0.12551135630365784</v>
      </c>
      <c r="AH159" s="29">
        <v>43983</v>
      </c>
      <c r="AI159" s="44">
        <v>52.970001000000003</v>
      </c>
      <c r="AJ159" s="33">
        <f>IF(ISBLANK(AI160),"",Short0[[#This Row],[Adj Close]]/AI160-1)</f>
        <v>0.1049228640993507</v>
      </c>
      <c r="AK159" s="37">
        <v>43983</v>
      </c>
      <c r="AL159" s="44">
        <v>74.761841000000004</v>
      </c>
      <c r="AM159" s="36">
        <f>IF(ISBLANK(AL160),"",Short1[[#This Row],[Adj Close]]/AL160-1)</f>
        <v>5.6857296211979547E-2</v>
      </c>
      <c r="AN159" s="29">
        <v>43983</v>
      </c>
      <c r="AO159" s="44">
        <v>61.153064999999998</v>
      </c>
      <c r="AP159" s="33">
        <f>IF(ISBLANK(AO160),"",Short2[[#This Row],[Adj Close]]/AO160-1)</f>
        <v>5.3754755293103251E-2</v>
      </c>
      <c r="AQ159" s="37">
        <v>43983</v>
      </c>
      <c r="AR159" s="44">
        <v>183.11999499999999</v>
      </c>
      <c r="AS159" s="36">
        <f>IF(ISBLANK(AR160),"",Short3[[#This Row],[Adj Close]]/AR160-1)</f>
        <v>-1.4636251929321054E-2</v>
      </c>
    </row>
    <row r="160" spans="1:45" x14ac:dyDescent="0.25">
      <c r="A160" s="37">
        <v>43976</v>
      </c>
      <c r="B160" s="39">
        <v>3044.3100589999999</v>
      </c>
      <c r="C160" s="36">
        <f>IF(ISBLANK(B161), "", GSPC[[#This Row],[Adj Close]]/B161-1)</f>
        <v>3.0066524378101311E-2</v>
      </c>
      <c r="D16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42769.810171999998</v>
      </c>
      <c r="E16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34736.549995000001</v>
      </c>
      <c r="F160" s="11">
        <f>IF(ISBLANK(GSPC[[#This Row],[Long Exp.]]), "", (GSPC[[#This Row],[Long Exp.]]/D161-1)+(E161/GSPC[[#This Row],[Short Exp.]]-1))</f>
        <v>3.8279366927523317E-2</v>
      </c>
      <c r="G160" s="37">
        <v>43976</v>
      </c>
      <c r="H160" s="44">
        <v>15.63069</v>
      </c>
      <c r="I160" s="36">
        <f>IF(ISBLANK(H161), "", Long0[[#This Row],[Adj Close]]/H161-1)</f>
        <v>9.1432216357982377E-2</v>
      </c>
      <c r="J160" s="29">
        <v>43976</v>
      </c>
      <c r="K160" s="44">
        <v>27.256748000000002</v>
      </c>
      <c r="L160" s="33">
        <f>IF(ISBLANK(K161),"",Long1[[#This Row],[Adj Close]]/K161-1)</f>
        <v>4.2322381664226194E-2</v>
      </c>
      <c r="M160" s="37">
        <v>43976</v>
      </c>
      <c r="N160" s="44">
        <v>11.659416</v>
      </c>
      <c r="O160" s="36">
        <f>IF(ISBLANK(N161),"",Long2[[#This Row],[Adj Close]]/N161-1)</f>
        <v>4.5847740622509736E-2</v>
      </c>
      <c r="P160" s="29">
        <v>43976</v>
      </c>
      <c r="Q160" s="44">
        <v>24.268456</v>
      </c>
      <c r="R160" s="33">
        <f>IF(ISBLANK(Q161),"",Long3[[#This Row],[Adj Close]]/Q161-1)</f>
        <v>8.927873714265222E-2</v>
      </c>
      <c r="S160" s="37">
        <v>43976</v>
      </c>
      <c r="T160" s="44">
        <v>39.311740999999998</v>
      </c>
      <c r="U160" s="36">
        <f>IF(ISBLANK(T161),"",Long4[[#This Row],[Adj Close]]/T161-1)</f>
        <v>7.0508094667937504E-2</v>
      </c>
      <c r="V160" s="29">
        <v>43976</v>
      </c>
      <c r="W160" s="44">
        <v>111.65875200000001</v>
      </c>
      <c r="X160" s="33">
        <f>IF(ISBLANK(W161),"",Long5[[#This Row],[Adj Close]]/W161-1)</f>
        <v>6.0221722521118792E-3</v>
      </c>
      <c r="Y160" s="37">
        <v>43976</v>
      </c>
      <c r="Z160" s="44">
        <v>143.798462</v>
      </c>
      <c r="AA160" s="36">
        <f>IF(ISBLANK(Z161),"",Long6[[#This Row],[Adj Close]]/Z161-1)</f>
        <v>-8.4544641322734648E-3</v>
      </c>
      <c r="AH160" s="29">
        <v>43976</v>
      </c>
      <c r="AI160" s="44">
        <v>47.939999</v>
      </c>
      <c r="AJ160" s="33">
        <f>IF(ISBLANK(AI161),"",Short0[[#This Row],[Adj Close]]/AI161-1)</f>
        <v>2.2174775173783523E-2</v>
      </c>
      <c r="AK160" s="37">
        <v>43976</v>
      </c>
      <c r="AL160" s="44">
        <v>70.739768999999995</v>
      </c>
      <c r="AM160" s="36">
        <f>IF(ISBLANK(AL161),"",Short1[[#This Row],[Adj Close]]/AL161-1)</f>
        <v>1.5210745321827979E-2</v>
      </c>
      <c r="AN160" s="29">
        <v>43976</v>
      </c>
      <c r="AO160" s="44">
        <v>58.033489000000003</v>
      </c>
      <c r="AP160" s="33">
        <f>IF(ISBLANK(AO161),"",Short2[[#This Row],[Adj Close]]/AO161-1)</f>
        <v>6.1572497506821033E-3</v>
      </c>
      <c r="AQ160" s="37">
        <v>43976</v>
      </c>
      <c r="AR160" s="44">
        <v>185.83999600000001</v>
      </c>
      <c r="AS160" s="36">
        <f>IF(ISBLANK(AR161),"",Short3[[#This Row],[Adj Close]]/AR161-1)</f>
        <v>8.5748455599383711E-3</v>
      </c>
    </row>
    <row r="161" spans="1:45" x14ac:dyDescent="0.25">
      <c r="A161" s="37">
        <v>43969</v>
      </c>
      <c r="B161" s="39">
        <v>2955.4499510000001</v>
      </c>
      <c r="C161" s="36">
        <f>IF(ISBLANK(B162), "", GSPC[[#This Row],[Adj Close]]/B162-1)</f>
        <v>3.2038971110769143E-2</v>
      </c>
      <c r="D16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40714.018635</v>
      </c>
      <c r="E16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34312.274655000001</v>
      </c>
      <c r="F161" s="11">
        <f>IF(ISBLANK(GSPC[[#This Row],[Long Exp.]]), "", (GSPC[[#This Row],[Long Exp.]]/D162-1)+(E162/GSPC[[#This Row],[Short Exp.]]-1))</f>
        <v>-6.2854087503578904E-2</v>
      </c>
      <c r="G161" s="37">
        <v>43969</v>
      </c>
      <c r="H161" s="44">
        <v>14.321265</v>
      </c>
      <c r="I161" s="36">
        <f>IF(ISBLANK(H162), "", Long0[[#This Row],[Adj Close]]/H162-1)</f>
        <v>3.1662320068446936E-2</v>
      </c>
      <c r="J161" s="29">
        <v>43969</v>
      </c>
      <c r="K161" s="44">
        <v>26.150016999999998</v>
      </c>
      <c r="L161" s="33">
        <f>IF(ISBLANK(K162),"",Long1[[#This Row],[Adj Close]]/K162-1)</f>
        <v>0.17552865602098411</v>
      </c>
      <c r="M161" s="37">
        <v>43969</v>
      </c>
      <c r="N161" s="44">
        <v>11.148292</v>
      </c>
      <c r="O161" s="36">
        <f>IF(ISBLANK(N162),"",Long2[[#This Row],[Adj Close]]/N162-1)</f>
        <v>0.14682551724868675</v>
      </c>
      <c r="P161" s="29">
        <v>43969</v>
      </c>
      <c r="Q161" s="44">
        <v>22.279381000000001</v>
      </c>
      <c r="R161" s="33">
        <f>IF(ISBLANK(Q162),"",Long3[[#This Row],[Adj Close]]/Q162-1)</f>
        <v>4.6511543793967158E-2</v>
      </c>
      <c r="S161" s="37">
        <v>43969</v>
      </c>
      <c r="T161" s="44">
        <v>36.722507</v>
      </c>
      <c r="U161" s="36">
        <f>IF(ISBLANK(T162),"",Long4[[#This Row],[Adj Close]]/T162-1)</f>
        <v>5.8304322010567233E-2</v>
      </c>
      <c r="V161" s="29">
        <v>43969</v>
      </c>
      <c r="W161" s="44">
        <v>110.99034899999999</v>
      </c>
      <c r="X161" s="33">
        <f>IF(ISBLANK(W162),"",Long5[[#This Row],[Adj Close]]/W162-1)</f>
        <v>-4.5586937809242167E-2</v>
      </c>
      <c r="Y161" s="37">
        <v>43969</v>
      </c>
      <c r="Z161" s="44">
        <v>145.02456699999999</v>
      </c>
      <c r="AA161" s="36">
        <f>IF(ISBLANK(Z162),"",Long6[[#This Row],[Adj Close]]/Z162-1)</f>
        <v>3.8418290571435199E-2</v>
      </c>
      <c r="AH161" s="29">
        <v>43969</v>
      </c>
      <c r="AI161" s="44">
        <v>46.900002000000001</v>
      </c>
      <c r="AJ161" s="33">
        <f>IF(ISBLANK(AI162),"",Short0[[#This Row],[Adj Close]]/AI162-1)</f>
        <v>4.7810636631395731E-2</v>
      </c>
      <c r="AK161" s="37">
        <v>43969</v>
      </c>
      <c r="AL161" s="44">
        <v>69.679885999999996</v>
      </c>
      <c r="AM161" s="36">
        <f>IF(ISBLANK(AL162),"",Short1[[#This Row],[Adj Close]]/AL162-1)</f>
        <v>-2.1498546253121864E-2</v>
      </c>
      <c r="AN161" s="29">
        <v>43969</v>
      </c>
      <c r="AO161" s="44">
        <v>57.678348999999997</v>
      </c>
      <c r="AP161" s="33">
        <f>IF(ISBLANK(AO162),"",Short2[[#This Row],[Adj Close]]/AO162-1)</f>
        <v>0.18661152413400961</v>
      </c>
      <c r="AQ161" s="37">
        <v>43969</v>
      </c>
      <c r="AR161" s="44">
        <v>184.259995</v>
      </c>
      <c r="AS161" s="36">
        <f>IF(ISBLANK(AR162),"",Short3[[#This Row],[Adj Close]]/AR162-1)</f>
        <v>0.17971696421388117</v>
      </c>
    </row>
    <row r="162" spans="1:45" x14ac:dyDescent="0.25">
      <c r="A162" s="37">
        <v>43962</v>
      </c>
      <c r="B162" s="39">
        <v>2863.6999510000001</v>
      </c>
      <c r="C162" s="36">
        <f>IF(ISBLANK(B163), "", GSPC[[#This Row],[Adj Close]]/B163-1)</f>
        <v>-2.2561300052732713E-2</v>
      </c>
      <c r="D16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39370.656863000004</v>
      </c>
      <c r="E16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30984.842662000003</v>
      </c>
      <c r="F162" s="11">
        <f>IF(ISBLANK(GSPC[[#This Row],[Long Exp.]]), "", (GSPC[[#This Row],[Long Exp.]]/D163-1)+(E163/GSPC[[#This Row],[Short Exp.]]-1))</f>
        <v>-3.6789512561386184E-2</v>
      </c>
      <c r="G162" s="37">
        <v>43962</v>
      </c>
      <c r="H162" s="44">
        <v>13.881736999999999</v>
      </c>
      <c r="I162" s="36">
        <f>IF(ISBLANK(H163), "", Long0[[#This Row],[Adj Close]]/H163-1)</f>
        <v>-0.13716566167538857</v>
      </c>
      <c r="J162" s="29">
        <v>43962</v>
      </c>
      <c r="K162" s="44">
        <v>22.245325000000001</v>
      </c>
      <c r="L162" s="33">
        <f>IF(ISBLANK(K163),"",Long1[[#This Row],[Adj Close]]/K163-1)</f>
        <v>-5.9649081128462011E-2</v>
      </c>
      <c r="M162" s="37">
        <v>43962</v>
      </c>
      <c r="N162" s="44">
        <v>9.7210009999999993</v>
      </c>
      <c r="O162" s="36">
        <f>IF(ISBLANK(N163),"",Long2[[#This Row],[Adj Close]]/N163-1)</f>
        <v>-0.15365242343040897</v>
      </c>
      <c r="P162" s="29">
        <v>43962</v>
      </c>
      <c r="Q162" s="44">
        <v>21.289187999999999</v>
      </c>
      <c r="R162" s="33">
        <f>IF(ISBLANK(Q163),"",Long3[[#This Row],[Adj Close]]/Q163-1)</f>
        <v>-6.1279241671655216E-2</v>
      </c>
      <c r="S162" s="37">
        <v>43962</v>
      </c>
      <c r="T162" s="44">
        <v>34.699382999999997</v>
      </c>
      <c r="U162" s="36">
        <f>IF(ISBLANK(T163),"",Long4[[#This Row],[Adj Close]]/T163-1)</f>
        <v>-7.5877480587356105E-2</v>
      </c>
      <c r="V162" s="29">
        <v>43962</v>
      </c>
      <c r="W162" s="44">
        <v>116.29173299999999</v>
      </c>
      <c r="X162" s="33">
        <f>IF(ISBLANK(W163),"",Long5[[#This Row],[Adj Close]]/W163-1)</f>
        <v>-4.2337715321605351E-3</v>
      </c>
      <c r="Y162" s="37">
        <v>43962</v>
      </c>
      <c r="Z162" s="44">
        <v>139.65910299999999</v>
      </c>
      <c r="AA162" s="36">
        <f>IF(ISBLANK(Z163),"",Long6[[#This Row],[Adj Close]]/Z163-1)</f>
        <v>-5.4267490287641995E-2</v>
      </c>
      <c r="AH162" s="29">
        <v>43962</v>
      </c>
      <c r="AI162" s="44">
        <v>44.759998000000003</v>
      </c>
      <c r="AJ162" s="33">
        <f>IF(ISBLANK(AI163),"",Short0[[#This Row],[Adj Close]]/AI163-1)</f>
        <v>-0.12131922107026338</v>
      </c>
      <c r="AK162" s="37">
        <v>43962</v>
      </c>
      <c r="AL162" s="44">
        <v>71.210814999999997</v>
      </c>
      <c r="AM162" s="36">
        <f>IF(ISBLANK(AL163),"",Short1[[#This Row],[Adj Close]]/AL163-1)</f>
        <v>-2.5439099994983838E-4</v>
      </c>
      <c r="AN162" s="29">
        <v>43962</v>
      </c>
      <c r="AO162" s="44">
        <v>48.607608999999997</v>
      </c>
      <c r="AP162" s="33">
        <f>IF(ISBLANK(AO163),"",Short2[[#This Row],[Adj Close]]/AO163-1)</f>
        <v>-6.2395869416279282E-2</v>
      </c>
      <c r="AQ162" s="37">
        <v>43962</v>
      </c>
      <c r="AR162" s="44">
        <v>156.19000199999999</v>
      </c>
      <c r="AS162" s="36">
        <f>IF(ISBLANK(AR163),"",Short3[[#This Row],[Adj Close]]/AR163-1)</f>
        <v>1.9250828137208575E-2</v>
      </c>
    </row>
    <row r="163" spans="1:45" x14ac:dyDescent="0.25">
      <c r="A163" s="37">
        <v>43955</v>
      </c>
      <c r="B163" s="39">
        <v>2929.8000489999999</v>
      </c>
      <c r="C163" s="36">
        <f>IF(ISBLANK(B164), "", GSPC[[#This Row],[Adj Close]]/B164-1)</f>
        <v>3.5005383584051364E-2</v>
      </c>
      <c r="D16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42550.122326000004</v>
      </c>
      <c r="E16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32160.200466000002</v>
      </c>
      <c r="F163" s="11">
        <f>IF(ISBLANK(GSPC[[#This Row],[Long Exp.]]), "", (GSPC[[#This Row],[Long Exp.]]/D164-1)+(E164/GSPC[[#This Row],[Short Exp.]]-1))</f>
        <v>-2.9943380286045596E-2</v>
      </c>
      <c r="G163" s="37">
        <v>43955</v>
      </c>
      <c r="H163" s="44">
        <v>16.088531</v>
      </c>
      <c r="I163" s="36">
        <f>IF(ISBLANK(H164), "", Long0[[#This Row],[Adj Close]]/H164-1)</f>
        <v>8.9274648138595314E-2</v>
      </c>
      <c r="J163" s="29">
        <v>43955</v>
      </c>
      <c r="K163" s="44">
        <v>23.656407999999999</v>
      </c>
      <c r="L163" s="33">
        <f>IF(ISBLANK(K164),"",Long1[[#This Row],[Adj Close]]/K164-1)</f>
        <v>6.3267505463107776E-2</v>
      </c>
      <c r="M163" s="37">
        <v>43955</v>
      </c>
      <c r="N163" s="44">
        <v>11.485825999999999</v>
      </c>
      <c r="O163" s="36">
        <f>IF(ISBLANK(N164),"",Long2[[#This Row],[Adj Close]]/N164-1)</f>
        <v>6.81614705921465E-2</v>
      </c>
      <c r="P163" s="29">
        <v>43955</v>
      </c>
      <c r="Q163" s="44">
        <v>22.678936</v>
      </c>
      <c r="R163" s="33">
        <f>IF(ISBLANK(Q164),"",Long3[[#This Row],[Adj Close]]/Q164-1)</f>
        <v>4.9859509893515286E-2</v>
      </c>
      <c r="S163" s="37">
        <v>43955</v>
      </c>
      <c r="T163" s="44">
        <v>37.548465999999998</v>
      </c>
      <c r="U163" s="36">
        <f>IF(ISBLANK(T164),"",Long4[[#This Row],[Adj Close]]/T164-1)</f>
        <v>9.1448868182326004E-2</v>
      </c>
      <c r="V163" s="29">
        <v>43955</v>
      </c>
      <c r="W163" s="44">
        <v>116.786179</v>
      </c>
      <c r="X163" s="33">
        <f>IF(ISBLANK(W164),"",Long5[[#This Row],[Adj Close]]/W164-1)</f>
        <v>7.9194480775053977E-2</v>
      </c>
      <c r="Y163" s="37">
        <v>43955</v>
      </c>
      <c r="Z163" s="44">
        <v>147.672943</v>
      </c>
      <c r="AA163" s="36">
        <f>IF(ISBLANK(Z164),"",Long6[[#This Row],[Adj Close]]/Z164-1)</f>
        <v>6.5086547862922561E-2</v>
      </c>
      <c r="AH163" s="29">
        <v>43955</v>
      </c>
      <c r="AI163" s="44">
        <v>50.939999</v>
      </c>
      <c r="AJ163" s="33">
        <f>IF(ISBLANK(AI164),"",Short0[[#This Row],[Adj Close]]/AI164-1)</f>
        <v>0.11686029123305652</v>
      </c>
      <c r="AK163" s="37">
        <v>43955</v>
      </c>
      <c r="AL163" s="44">
        <v>71.228935000000007</v>
      </c>
      <c r="AM163" s="36">
        <f>IF(ISBLANK(AL164),"",Short1[[#This Row],[Adj Close]]/AL164-1)</f>
        <v>8.8153781786600049E-2</v>
      </c>
      <c r="AN163" s="29">
        <v>43955</v>
      </c>
      <c r="AO163" s="44">
        <v>51.842357999999997</v>
      </c>
      <c r="AP163" s="33">
        <f>IF(ISBLANK(AO164),"",Short2[[#This Row],[Adj Close]]/AO164-1)</f>
        <v>9.1993440248895775E-2</v>
      </c>
      <c r="AQ163" s="37">
        <v>43955</v>
      </c>
      <c r="AR163" s="44">
        <v>153.240005</v>
      </c>
      <c r="AS163" s="36">
        <f>IF(ISBLANK(AR164),"",Short3[[#This Row],[Adj Close]]/AR164-1)</f>
        <v>0.14315555069401964</v>
      </c>
    </row>
    <row r="164" spans="1:45" x14ac:dyDescent="0.25">
      <c r="A164" s="37">
        <v>43948</v>
      </c>
      <c r="B164" s="39">
        <v>2830.709961</v>
      </c>
      <c r="C164" s="36">
        <f>IF(ISBLANK(B165), "", GSPC[[#This Row],[Adj Close]]/B165-1)</f>
        <v>-2.1256897076421533E-3</v>
      </c>
      <c r="D16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39649.300291</v>
      </c>
      <c r="E16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28844.310826000001</v>
      </c>
      <c r="F164" s="11">
        <f>IF(ISBLANK(GSPC[[#This Row],[Long Exp.]]), "", (GSPC[[#This Row],[Long Exp.]]/D165-1)+(E165/GSPC[[#This Row],[Short Exp.]]-1))</f>
        <v>-4.0415211601472323E-2</v>
      </c>
      <c r="G164" s="37">
        <v>43948</v>
      </c>
      <c r="H164" s="44">
        <v>14.769949</v>
      </c>
      <c r="I164" s="36">
        <f>IF(ISBLANK(H165), "", Long0[[#This Row],[Adj Close]]/H165-1)</f>
        <v>2.3477135947683303E-2</v>
      </c>
      <c r="J164" s="29">
        <v>43948</v>
      </c>
      <c r="K164" s="44">
        <v>22.248783</v>
      </c>
      <c r="L164" s="33">
        <f>IF(ISBLANK(K165),"",Long1[[#This Row],[Adj Close]]/K165-1)</f>
        <v>-2.5303113360907514E-2</v>
      </c>
      <c r="M164" s="37">
        <v>43948</v>
      </c>
      <c r="N164" s="44">
        <v>10.752893</v>
      </c>
      <c r="O164" s="36">
        <f>IF(ISBLANK(N165),"",Long2[[#This Row],[Adj Close]]/N165-1)</f>
        <v>-1.5887178345751485E-2</v>
      </c>
      <c r="P164" s="29">
        <v>43948</v>
      </c>
      <c r="Q164" s="44">
        <v>21.601877000000002</v>
      </c>
      <c r="R164" s="33">
        <f>IF(ISBLANK(Q165),"",Long3[[#This Row],[Adj Close]]/Q165-1)</f>
        <v>-2.4323357033290027E-2</v>
      </c>
      <c r="S164" s="37">
        <v>43948</v>
      </c>
      <c r="T164" s="44">
        <v>34.402405000000002</v>
      </c>
      <c r="U164" s="36">
        <f>IF(ISBLANK(T165),"",Long4[[#This Row],[Adj Close]]/T165-1)</f>
        <v>2.8293859024968837E-2</v>
      </c>
      <c r="V164" s="29">
        <v>43948</v>
      </c>
      <c r="W164" s="44">
        <v>108.216064</v>
      </c>
      <c r="X164" s="33">
        <f>IF(ISBLANK(W165),"",Long5[[#This Row],[Adj Close]]/W165-1)</f>
        <v>3.6845325420931552E-2</v>
      </c>
      <c r="Y164" s="37">
        <v>43948</v>
      </c>
      <c r="Z164" s="44">
        <v>138.64877300000001</v>
      </c>
      <c r="AA164" s="36">
        <f>IF(ISBLANK(Z165),"",Long6[[#This Row],[Adj Close]]/Z165-1)</f>
        <v>2.0430427030251108E-2</v>
      </c>
      <c r="AH164" s="29">
        <v>43948</v>
      </c>
      <c r="AI164" s="44">
        <v>45.610000999999997</v>
      </c>
      <c r="AJ164" s="33">
        <f>IF(ISBLANK(AI165),"",Short0[[#This Row],[Adj Close]]/AI165-1)</f>
        <v>4.1799955271812683E-2</v>
      </c>
      <c r="AK164" s="37">
        <v>43948</v>
      </c>
      <c r="AL164" s="44">
        <v>65.458518999999995</v>
      </c>
      <c r="AM164" s="36">
        <f>IF(ISBLANK(AL165),"",Short1[[#This Row],[Adj Close]]/AL165-1)</f>
        <v>5.2867978730255505E-3</v>
      </c>
      <c r="AN164" s="29">
        <v>43948</v>
      </c>
      <c r="AO164" s="44">
        <v>47.474972000000001</v>
      </c>
      <c r="AP164" s="33">
        <f>IF(ISBLANK(AO165),"",Short2[[#This Row],[Adj Close]]/AO165-1)</f>
        <v>0.15681980338267221</v>
      </c>
      <c r="AQ164" s="37">
        <v>43948</v>
      </c>
      <c r="AR164" s="44">
        <v>134.050003</v>
      </c>
      <c r="AS164" s="36">
        <f>IF(ISBLANK(AR165),"",Short3[[#This Row],[Adj Close]]/AR165-1)</f>
        <v>4.2136342916258007E-2</v>
      </c>
    </row>
    <row r="165" spans="1:45" x14ac:dyDescent="0.25">
      <c r="A165" s="37">
        <v>43941</v>
      </c>
      <c r="B165" s="39">
        <v>2836.73999</v>
      </c>
      <c r="C165" s="36">
        <f>IF(ISBLANK(B166), "", GSPC[[#This Row],[Adj Close]]/B166-1)</f>
        <v>-1.3156819904175721E-2</v>
      </c>
      <c r="D16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39215.208107999999</v>
      </c>
      <c r="E16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27359.270216000001</v>
      </c>
      <c r="F165" s="11">
        <f>IF(ISBLANK(GSPC[[#This Row],[Long Exp.]]), "", (GSPC[[#This Row],[Long Exp.]]/D166-1)+(E166/GSPC[[#This Row],[Short Exp.]]-1))</f>
        <v>2.8930620734316737E-2</v>
      </c>
      <c r="G165" s="37">
        <v>43941</v>
      </c>
      <c r="H165" s="44">
        <v>14.431146999999999</v>
      </c>
      <c r="I165" s="36">
        <f>IF(ISBLANK(H166), "", Long0[[#This Row],[Adj Close]]/H166-1)</f>
        <v>-2.1725658089719713E-2</v>
      </c>
      <c r="J165" s="29">
        <v>43941</v>
      </c>
      <c r="K165" s="44">
        <v>22.826360999999999</v>
      </c>
      <c r="L165" s="33">
        <f>IF(ISBLANK(K166),"",Long1[[#This Row],[Adj Close]]/K166-1)</f>
        <v>0.1194030487533364</v>
      </c>
      <c r="M165" s="37">
        <v>43941</v>
      </c>
      <c r="N165" s="44">
        <v>10.926484</v>
      </c>
      <c r="O165" s="36">
        <f>IF(ISBLANK(N166),"",Long2[[#This Row],[Adj Close]]/N166-1)</f>
        <v>-1.0480239959232751E-2</v>
      </c>
      <c r="P165" s="29">
        <v>43941</v>
      </c>
      <c r="Q165" s="44">
        <v>22.140405999999999</v>
      </c>
      <c r="R165" s="33">
        <f>IF(ISBLANK(Q166),"",Long3[[#This Row],[Adj Close]]/Q166-1)</f>
        <v>-3.4103715290756509E-2</v>
      </c>
      <c r="S165" s="37">
        <v>43941</v>
      </c>
      <c r="T165" s="44">
        <v>33.455810999999997</v>
      </c>
      <c r="U165" s="36">
        <f>IF(ISBLANK(T166),"",Long4[[#This Row],[Adj Close]]/T166-1)</f>
        <v>-4.9683161991574964E-3</v>
      </c>
      <c r="V165" s="29">
        <v>43941</v>
      </c>
      <c r="W165" s="44">
        <v>104.370499</v>
      </c>
      <c r="X165" s="33">
        <f>IF(ISBLANK(W166),"",Long5[[#This Row],[Adj Close]]/W166-1)</f>
        <v>6.3935196431906371E-2</v>
      </c>
      <c r="Y165" s="37">
        <v>43941</v>
      </c>
      <c r="Z165" s="44">
        <v>135.87283300000001</v>
      </c>
      <c r="AA165" s="36">
        <f>IF(ISBLANK(Z166),"",Long6[[#This Row],[Adj Close]]/Z166-1)</f>
        <v>-4.0055534176408503E-2</v>
      </c>
      <c r="AH165" s="29">
        <v>43941</v>
      </c>
      <c r="AI165" s="44">
        <v>43.779998999999997</v>
      </c>
      <c r="AJ165" s="33">
        <f>IF(ISBLANK(AI166),"",Short0[[#This Row],[Adj Close]]/AI166-1)</f>
        <v>-6.8708767015901784E-2</v>
      </c>
      <c r="AK165" s="37">
        <v>43941</v>
      </c>
      <c r="AL165" s="44">
        <v>65.114272999999997</v>
      </c>
      <c r="AM165" s="36">
        <f>IF(ISBLANK(AL166),"",Short1[[#This Row],[Adj Close]]/AL166-1)</f>
        <v>2.1022670484464934E-2</v>
      </c>
      <c r="AN165" s="29">
        <v>43941</v>
      </c>
      <c r="AO165" s="44">
        <v>41.039211000000002</v>
      </c>
      <c r="AP165" s="33">
        <f>IF(ISBLANK(AO166),"",Short2[[#This Row],[Adj Close]]/AO166-1)</f>
        <v>-1.1646488336243266E-3</v>
      </c>
      <c r="AQ165" s="37">
        <v>43941</v>
      </c>
      <c r="AR165" s="44">
        <v>128.63000500000001</v>
      </c>
      <c r="AS165" s="36">
        <f>IF(ISBLANK(AR166),"",Short3[[#This Row],[Adj Close]]/AR166-1)</f>
        <v>-4.8242614054425981E-2</v>
      </c>
    </row>
    <row r="166" spans="1:45" x14ac:dyDescent="0.25">
      <c r="A166" s="37">
        <v>43934</v>
      </c>
      <c r="B166" s="39">
        <v>2874.5600589999999</v>
      </c>
      <c r="C166" s="36">
        <f>IF(ISBLANK(B167), "", GSPC[[#This Row],[Adj Close]]/B167-1)</f>
        <v>3.0374715549576381E-2</v>
      </c>
      <c r="D16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39349.297475999992</v>
      </c>
      <c r="E16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28244.022213999997</v>
      </c>
      <c r="F166" s="11">
        <f>IF(ISBLANK(GSPC[[#This Row],[Long Exp.]]), "", (GSPC[[#This Row],[Long Exp.]]/D167-1)+(E167/GSPC[[#This Row],[Short Exp.]]-1))</f>
        <v>-2.9640530279871347E-2</v>
      </c>
      <c r="G166" s="37">
        <v>43934</v>
      </c>
      <c r="H166" s="44">
        <v>14.751636</v>
      </c>
      <c r="I166" s="36">
        <f>IF(ISBLANK(H167), "", Long0[[#This Row],[Adj Close]]/H167-1)</f>
        <v>1.8657085138613638E-3</v>
      </c>
      <c r="J166" s="29">
        <v>43934</v>
      </c>
      <c r="K166" s="44">
        <v>20.391548</v>
      </c>
      <c r="L166" s="33">
        <f>IF(ISBLANK(K167),"",Long1[[#This Row],[Adj Close]]/K167-1)</f>
        <v>-4.7496024917368596E-2</v>
      </c>
      <c r="M166" s="37">
        <v>43934</v>
      </c>
      <c r="N166" s="44">
        <v>11.042209</v>
      </c>
      <c r="O166" s="36">
        <f>IF(ISBLANK(N167),"",Long2[[#This Row],[Adj Close]]/N167-1)</f>
        <v>-0.11719364353078776</v>
      </c>
      <c r="P166" s="29">
        <v>43934</v>
      </c>
      <c r="Q166" s="44">
        <v>22.922135999999998</v>
      </c>
      <c r="R166" s="33">
        <f>IF(ISBLANK(Q167),"",Long3[[#This Row],[Adj Close]]/Q167-1)</f>
        <v>-1.1610553411585678E-2</v>
      </c>
      <c r="S166" s="37">
        <v>43934</v>
      </c>
      <c r="T166" s="44">
        <v>33.622860000000003</v>
      </c>
      <c r="U166" s="36">
        <f>IF(ISBLANK(T167),"",Long4[[#This Row],[Adj Close]]/T167-1)</f>
        <v>-3.2059844128829673E-2</v>
      </c>
      <c r="V166" s="29">
        <v>43934</v>
      </c>
      <c r="W166" s="44">
        <v>98.098549000000006</v>
      </c>
      <c r="X166" s="33">
        <f>IF(ISBLANK(W167),"",Long5[[#This Row],[Adj Close]]/W167-1)</f>
        <v>7.3870016697338503E-2</v>
      </c>
      <c r="Y166" s="37">
        <v>43934</v>
      </c>
      <c r="Z166" s="44">
        <v>141.54238900000001</v>
      </c>
      <c r="AA166" s="36">
        <f>IF(ISBLANK(Z167),"",Long6[[#This Row],[Adj Close]]/Z167-1)</f>
        <v>4.2931536605472331E-2</v>
      </c>
      <c r="AH166" s="29">
        <v>43934</v>
      </c>
      <c r="AI166" s="44">
        <v>47.009998000000003</v>
      </c>
      <c r="AJ166" s="33">
        <f>IF(ISBLANK(AI167),"",Short0[[#This Row],[Adj Close]]/AI167-1)</f>
        <v>-1.7760196035098152E-2</v>
      </c>
      <c r="AK166" s="37">
        <v>43934</v>
      </c>
      <c r="AL166" s="44">
        <v>63.773581999999998</v>
      </c>
      <c r="AM166" s="36">
        <f>IF(ISBLANK(AL167),"",Short1[[#This Row],[Adj Close]]/AL167-1)</f>
        <v>6.6828438981417992E-2</v>
      </c>
      <c r="AN166" s="29">
        <v>43934</v>
      </c>
      <c r="AO166" s="44">
        <v>41.087063000000001</v>
      </c>
      <c r="AP166" s="33">
        <f>IF(ISBLANK(AO167),"",Short2[[#This Row],[Adj Close]]/AO167-1)</f>
        <v>-4.1741049381384343E-2</v>
      </c>
      <c r="AQ166" s="37">
        <v>43934</v>
      </c>
      <c r="AR166" s="44">
        <v>135.14999399999999</v>
      </c>
      <c r="AS166" s="36">
        <f>IF(ISBLANK(AR167),"",Short3[[#This Row],[Adj Close]]/AR167-1)</f>
        <v>9.7620379215959785E-2</v>
      </c>
    </row>
    <row r="167" spans="1:45" x14ac:dyDescent="0.25">
      <c r="A167" s="37">
        <v>43927</v>
      </c>
      <c r="B167" s="39">
        <v>2789.820068</v>
      </c>
      <c r="C167" s="36">
        <f>IF(ISBLANK(B168), "", GSPC[[#This Row],[Adj Close]]/B168-1)</f>
        <v>0.12101749055098709</v>
      </c>
      <c r="D16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39268.538045000001</v>
      </c>
      <c r="E16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27348.767938000001</v>
      </c>
      <c r="F167" s="11">
        <f>IF(ISBLANK(GSPC[[#This Row],[Long Exp.]]), "", (GSPC[[#This Row],[Long Exp.]]/D168-1)+(E168/GSPC[[#This Row],[Short Exp.]]-1))</f>
        <v>1.723189144030457E-2</v>
      </c>
      <c r="G167" s="37">
        <v>43927</v>
      </c>
      <c r="H167" s="44">
        <v>14.724164999999999</v>
      </c>
      <c r="I167" s="36">
        <f>IF(ISBLANK(H168), "", Long0[[#This Row],[Adj Close]]/H168-1)</f>
        <v>0.17030561611639983</v>
      </c>
      <c r="J167" s="29">
        <v>43927</v>
      </c>
      <c r="K167" s="44">
        <v>21.408359999999998</v>
      </c>
      <c r="L167" s="33">
        <f>IF(ISBLANK(K168),"",Long1[[#This Row],[Adj Close]]/K168-1)</f>
        <v>0.39760675618693986</v>
      </c>
      <c r="M167" s="37">
        <v>43927</v>
      </c>
      <c r="N167" s="44">
        <v>12.508076000000001</v>
      </c>
      <c r="O167" s="36">
        <f>IF(ISBLANK(N168),"",Long2[[#This Row],[Adj Close]]/N168-1)</f>
        <v>0.30482909012612991</v>
      </c>
      <c r="P167" s="29">
        <v>43927</v>
      </c>
      <c r="Q167" s="44">
        <v>23.191400999999999</v>
      </c>
      <c r="R167" s="33">
        <f>IF(ISBLANK(Q168),"",Long3[[#This Row],[Adj Close]]/Q168-1)</f>
        <v>0.22645826279905612</v>
      </c>
      <c r="S167" s="37">
        <v>43927</v>
      </c>
      <c r="T167" s="44">
        <v>34.736507000000003</v>
      </c>
      <c r="U167" s="36">
        <f>IF(ISBLANK(T168),"",Long4[[#This Row],[Adj Close]]/T168-1)</f>
        <v>0.14012370765601467</v>
      </c>
      <c r="V167" s="29">
        <v>43927</v>
      </c>
      <c r="W167" s="44">
        <v>91.350487000000001</v>
      </c>
      <c r="X167" s="33">
        <f>IF(ISBLANK(W168),"",Long5[[#This Row],[Adj Close]]/W168-1)</f>
        <v>0.2848676118009601</v>
      </c>
      <c r="Y167" s="37">
        <v>43927</v>
      </c>
      <c r="Z167" s="44">
        <v>135.71589700000001</v>
      </c>
      <c r="AA167" s="36">
        <f>IF(ISBLANK(Z168),"",Long6[[#This Row],[Adj Close]]/Z168-1)</f>
        <v>0.16946990321473687</v>
      </c>
      <c r="AH167" s="29">
        <v>43927</v>
      </c>
      <c r="AI167" s="44">
        <v>47.860000999999997</v>
      </c>
      <c r="AJ167" s="33">
        <f>IF(ISBLANK(AI168),"",Short0[[#This Row],[Adj Close]]/AI168-1)</f>
        <v>0.26213089462715677</v>
      </c>
      <c r="AK167" s="37">
        <v>43927</v>
      </c>
      <c r="AL167" s="44">
        <v>59.778666999999999</v>
      </c>
      <c r="AM167" s="36">
        <f>IF(ISBLANK(AL168),"",Short1[[#This Row],[Adj Close]]/AL168-1)</f>
        <v>0.2339190526923256</v>
      </c>
      <c r="AN167" s="29">
        <v>43927</v>
      </c>
      <c r="AO167" s="44">
        <v>42.876784999999998</v>
      </c>
      <c r="AP167" s="33">
        <f>IF(ISBLANK(AO168),"",Short2[[#This Row],[Adj Close]]/AO168-1)</f>
        <v>0.34171907002383617</v>
      </c>
      <c r="AQ167" s="37">
        <v>43927</v>
      </c>
      <c r="AR167" s="44">
        <v>123.129997</v>
      </c>
      <c r="AS167" s="36">
        <f>IF(ISBLANK(AR168),"",Short3[[#This Row],[Adj Close]]/AR168-1)</f>
        <v>0.20550223424223835</v>
      </c>
    </row>
    <row r="168" spans="1:45" x14ac:dyDescent="0.25">
      <c r="A168" s="37">
        <v>43920</v>
      </c>
      <c r="B168" s="39">
        <v>2488.6499020000001</v>
      </c>
      <c r="C168" s="36">
        <f>IF(ISBLANK(B169), "", GSPC[[#This Row],[Adj Close]]/B169-1)</f>
        <v>-2.0783274877419267E-2</v>
      </c>
      <c r="D16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32247.052373999999</v>
      </c>
      <c r="E16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21865.107617000001</v>
      </c>
      <c r="F168" s="11">
        <f>IF(ISBLANK(GSPC[[#This Row],[Long Exp.]]), "", (GSPC[[#This Row],[Long Exp.]]/D169-1)+(E169/GSPC[[#This Row],[Short Exp.]]-1))</f>
        <v>9.6645098069588653E-2</v>
      </c>
      <c r="G168" s="37">
        <v>43920</v>
      </c>
      <c r="H168" s="44">
        <v>12.581469999999999</v>
      </c>
      <c r="I168" s="36">
        <f>IF(ISBLANK(H169), "", Long0[[#This Row],[Adj Close]]/H169-1)</f>
        <v>-7.6612806750008478E-2</v>
      </c>
      <c r="J168" s="29">
        <v>43920</v>
      </c>
      <c r="K168" s="44">
        <v>15.317871</v>
      </c>
      <c r="L168" s="33">
        <f>IF(ISBLANK(K169),"",Long1[[#This Row],[Adj Close]]/K169-1)</f>
        <v>-0.16307627297974081</v>
      </c>
      <c r="M168" s="37">
        <v>43920</v>
      </c>
      <c r="N168" s="44">
        <v>9.5859880000000004</v>
      </c>
      <c r="O168" s="36">
        <f>IF(ISBLANK(N169),"",Long2[[#This Row],[Adj Close]]/N169-1)</f>
        <v>4.0404666730629035E-3</v>
      </c>
      <c r="P168" s="29">
        <v>43920</v>
      </c>
      <c r="Q168" s="44">
        <v>18.909246</v>
      </c>
      <c r="R168" s="33">
        <f>IF(ISBLANK(Q169),"",Long3[[#This Row],[Adj Close]]/Q169-1)</f>
        <v>-0.14358766834823367</v>
      </c>
      <c r="S168" s="37">
        <v>43920</v>
      </c>
      <c r="T168" s="44">
        <v>30.467313999999998</v>
      </c>
      <c r="U168" s="36">
        <f>IF(ISBLANK(T169),"",Long4[[#This Row],[Adj Close]]/T169-1)</f>
        <v>-3.6627995585868489E-2</v>
      </c>
      <c r="V168" s="29">
        <v>43920</v>
      </c>
      <c r="W168" s="44">
        <v>71.097198000000006</v>
      </c>
      <c r="X168" s="33">
        <f>IF(ISBLANK(W169),"",Long5[[#This Row],[Adj Close]]/W169-1)</f>
        <v>1.1608149702619919E-3</v>
      </c>
      <c r="Y168" s="37">
        <v>43920</v>
      </c>
      <c r="Z168" s="44">
        <v>116.049072</v>
      </c>
      <c r="AA168" s="36">
        <f>IF(ISBLANK(Z169),"",Long6[[#This Row],[Adj Close]]/Z169-1)</f>
        <v>-0.11748464580208273</v>
      </c>
      <c r="AH168" s="29">
        <v>43920</v>
      </c>
      <c r="AI168" s="44">
        <v>37.919998</v>
      </c>
      <c r="AJ168" s="33">
        <f>IF(ISBLANK(AI169),"",Short0[[#This Row],[Adj Close]]/AI169-1)</f>
        <v>-9.9287415643107613E-2</v>
      </c>
      <c r="AK168" s="37">
        <v>43920</v>
      </c>
      <c r="AL168" s="44">
        <v>48.446182</v>
      </c>
      <c r="AM168" s="36">
        <f>IF(ISBLANK(AL169),"",Short1[[#This Row],[Adj Close]]/AL169-1)</f>
        <v>-0.14390907537791664</v>
      </c>
      <c r="AN168" s="29">
        <v>43920</v>
      </c>
      <c r="AO168" s="44">
        <v>31.956603999999999</v>
      </c>
      <c r="AP168" s="33">
        <f>IF(ISBLANK(AO169),"",Short2[[#This Row],[Adj Close]]/AO169-1)</f>
        <v>-0.17064088943943156</v>
      </c>
      <c r="AQ168" s="37">
        <v>43920</v>
      </c>
      <c r="AR168" s="44">
        <v>102.139999</v>
      </c>
      <c r="AS168" s="36">
        <f>IF(ISBLANK(AR169),"",Short3[[#This Row],[Adj Close]]/AR169-1)</f>
        <v>-0.18130813271388047</v>
      </c>
    </row>
    <row r="169" spans="1:45" x14ac:dyDescent="0.25">
      <c r="A169" s="37">
        <v>43913</v>
      </c>
      <c r="B169" s="39">
        <v>2541.469971</v>
      </c>
      <c r="C169" s="36">
        <f>IF(ISBLANK(B170), "", GSPC[[#This Row],[Adj Close]]/B170-1)</f>
        <v>0.10262831551854656</v>
      </c>
      <c r="D16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35043.002540000001</v>
      </c>
      <c r="E16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25722.798282000003</v>
      </c>
      <c r="F169" s="11">
        <f>IF(ISBLANK(GSPC[[#This Row],[Long Exp.]]), "", (GSPC[[#This Row],[Long Exp.]]/D170-1)+(E170/GSPC[[#This Row],[Short Exp.]]-1))</f>
        <v>5.4152366245961092E-2</v>
      </c>
      <c r="G169" s="37">
        <v>43913</v>
      </c>
      <c r="H169" s="44">
        <v>13.625346</v>
      </c>
      <c r="I169" s="36">
        <f>IF(ISBLANK(H170), "", Long0[[#This Row],[Adj Close]]/H170-1)</f>
        <v>-2.4262344952062587E-2</v>
      </c>
      <c r="J169" s="29">
        <v>43913</v>
      </c>
      <c r="K169" s="44">
        <v>18.302589000000001</v>
      </c>
      <c r="L169" s="33">
        <f>IF(ISBLANK(K170),"",Long1[[#This Row],[Adj Close]]/K170-1)</f>
        <v>0.30056512575289762</v>
      </c>
      <c r="M169" s="37">
        <v>43913</v>
      </c>
      <c r="N169" s="44">
        <v>9.5474119999999996</v>
      </c>
      <c r="O169" s="36">
        <f>IF(ISBLANK(N170),"",Long2[[#This Row],[Adj Close]]/N170-1)</f>
        <v>3.2325298079581621E-2</v>
      </c>
      <c r="P169" s="29">
        <v>43913</v>
      </c>
      <c r="Q169" s="44">
        <v>22.079605000000001</v>
      </c>
      <c r="R169" s="33">
        <f>IF(ISBLANK(Q170),"",Long3[[#This Row],[Adj Close]]/Q170-1)</f>
        <v>0.29232339730741241</v>
      </c>
      <c r="S169" s="37">
        <v>43913</v>
      </c>
      <c r="T169" s="44">
        <v>31.625699999999998</v>
      </c>
      <c r="U169" s="36">
        <f>IF(ISBLANK(T170),"",Long4[[#This Row],[Adj Close]]/T170-1)</f>
        <v>0.14285716350684341</v>
      </c>
      <c r="V169" s="29">
        <v>43913</v>
      </c>
      <c r="W169" s="44">
        <v>71.014763000000002</v>
      </c>
      <c r="X169" s="33">
        <f>IF(ISBLANK(W170),"",Long5[[#This Row],[Adj Close]]/W170-1)</f>
        <v>0.37322922887415189</v>
      </c>
      <c r="Y169" s="37">
        <v>43913</v>
      </c>
      <c r="Z169" s="44">
        <v>131.49807699999999</v>
      </c>
      <c r="AA169" s="36">
        <f>IF(ISBLANK(Z170),"",Long6[[#This Row],[Adj Close]]/Z170-1)</f>
        <v>0.1779016102401294</v>
      </c>
      <c r="AH169" s="29">
        <v>43913</v>
      </c>
      <c r="AI169" s="44">
        <v>42.099997999999999</v>
      </c>
      <c r="AJ169" s="33">
        <f>IF(ISBLANK(AI170),"",Short0[[#This Row],[Adj Close]]/AI170-1)</f>
        <v>-8.546027499260811E-3</v>
      </c>
      <c r="AK169" s="37">
        <v>43913</v>
      </c>
      <c r="AL169" s="44">
        <v>56.589995999999999</v>
      </c>
      <c r="AM169" s="36">
        <f>IF(ISBLANK(AL170),"",Short1[[#This Row],[Adj Close]]/AL170-1)</f>
        <v>0.22061636061742185</v>
      </c>
      <c r="AN169" s="29">
        <v>43913</v>
      </c>
      <c r="AO169" s="44">
        <v>38.531685000000003</v>
      </c>
      <c r="AP169" s="33">
        <f>IF(ISBLANK(AO170),"",Short2[[#This Row],[Adj Close]]/AO170-1)</f>
        <v>0.18133803599566312</v>
      </c>
      <c r="AQ169" s="37">
        <v>43913</v>
      </c>
      <c r="AR169" s="44">
        <v>124.760002</v>
      </c>
      <c r="AS169" s="36">
        <f>IF(ISBLANK(AR170),"",Short3[[#This Row],[Adj Close]]/AR170-1)</f>
        <v>0.13109699552773346</v>
      </c>
    </row>
    <row r="170" spans="1:45" x14ac:dyDescent="0.25">
      <c r="A170" s="37">
        <v>43906</v>
      </c>
      <c r="B170" s="39">
        <v>2304.919922</v>
      </c>
      <c r="C170" s="36">
        <f>IF(ISBLANK(B171), "", GSPC[[#This Row],[Adj Close]]/B171-1)</f>
        <v>-0.14979605277868802</v>
      </c>
      <c r="D17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30298.172154</v>
      </c>
      <c r="E17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23087.442470000002</v>
      </c>
      <c r="F170" s="11">
        <f>IF(ISBLANK(GSPC[[#This Row],[Long Exp.]]), "", (GSPC[[#This Row],[Long Exp.]]/D171-1)+(E171/GSPC[[#This Row],[Short Exp.]]-1))</f>
        <v>-1.150583747377365E-2</v>
      </c>
      <c r="G170" s="37">
        <v>43906</v>
      </c>
      <c r="H170" s="44">
        <v>13.964149000000001</v>
      </c>
      <c r="I170" s="36">
        <f>IF(ISBLANK(H171), "", Long0[[#This Row],[Adj Close]]/H171-1)</f>
        <v>1.3289082108048467E-2</v>
      </c>
      <c r="J170" s="29">
        <v>43906</v>
      </c>
      <c r="K170" s="44">
        <v>14.072797</v>
      </c>
      <c r="L170" s="33">
        <f>IF(ISBLANK(K171),"",Long1[[#This Row],[Adj Close]]/K171-1)</f>
        <v>-0.3420116452480334</v>
      </c>
      <c r="M170" s="37">
        <v>43906</v>
      </c>
      <c r="N170" s="44">
        <v>9.2484529999999996</v>
      </c>
      <c r="O170" s="36">
        <f>IF(ISBLANK(N171),"",Long2[[#This Row],[Adj Close]]/N171-1)</f>
        <v>-0.12897367459417508</v>
      </c>
      <c r="P170" s="29">
        <v>43906</v>
      </c>
      <c r="Q170" s="44">
        <v>17.085201000000001</v>
      </c>
      <c r="R170" s="33">
        <f>IF(ISBLANK(Q171),"",Long3[[#This Row],[Adj Close]]/Q171-1)</f>
        <v>-0.27306640384755865</v>
      </c>
      <c r="S170" s="37">
        <v>43906</v>
      </c>
      <c r="T170" s="44">
        <v>27.672487</v>
      </c>
      <c r="U170" s="36">
        <f>IF(ISBLANK(T171),"",Long4[[#This Row],[Adj Close]]/T171-1)</f>
        <v>-0.11078260903654802</v>
      </c>
      <c r="V170" s="29">
        <v>43906</v>
      </c>
      <c r="W170" s="44">
        <v>51.713698999999998</v>
      </c>
      <c r="X170" s="33">
        <f>IF(ISBLANK(W171),"",Long5[[#This Row],[Adj Close]]/W171-1)</f>
        <v>-0.17038778588872971</v>
      </c>
      <c r="Y170" s="37">
        <v>43906</v>
      </c>
      <c r="Z170" s="44">
        <v>111.637573</v>
      </c>
      <c r="AA170" s="36">
        <f>IF(ISBLANK(Z171),"",Long6[[#This Row],[Adj Close]]/Z171-1)</f>
        <v>-0.21708361669143039</v>
      </c>
      <c r="AH170" s="29">
        <v>43906</v>
      </c>
      <c r="AI170" s="44">
        <v>42.462887000000002</v>
      </c>
      <c r="AJ170" s="33">
        <f>IF(ISBLANK(AI171),"",Short0[[#This Row],[Adj Close]]/AI171-1)</f>
        <v>-0.11630272128415831</v>
      </c>
      <c r="AK170" s="37">
        <v>43906</v>
      </c>
      <c r="AL170" s="44">
        <v>46.361820000000002</v>
      </c>
      <c r="AM170" s="36">
        <f>IF(ISBLANK(AL171),"",Short1[[#This Row],[Adj Close]]/AL171-1)</f>
        <v>-0.1541106165313576</v>
      </c>
      <c r="AN170" s="29">
        <v>43906</v>
      </c>
      <c r="AO170" s="44">
        <v>32.616985</v>
      </c>
      <c r="AP170" s="33">
        <f>IF(ISBLANK(AO171),"",Short2[[#This Row],[Adj Close]]/AO171-1)</f>
        <v>-0.25394049952591558</v>
      </c>
      <c r="AQ170" s="37">
        <v>43906</v>
      </c>
      <c r="AR170" s="44">
        <v>110.300003</v>
      </c>
      <c r="AS170" s="36">
        <f>IF(ISBLANK(AR171),"",Short3[[#This Row],[Adj Close]]/AR171-1)</f>
        <v>-4.2451592283156647E-2</v>
      </c>
    </row>
    <row r="171" spans="1:45" x14ac:dyDescent="0.25">
      <c r="A171" s="37">
        <v>43899</v>
      </c>
      <c r="B171" s="39">
        <v>2711.0200199999999</v>
      </c>
      <c r="C171" s="36">
        <f>IF(ISBLANK(B172), "", GSPC[[#This Row],[Adj Close]]/B172-1)</f>
        <v>-8.7926498623186133E-2</v>
      </c>
      <c r="D17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35933.379240000002</v>
      </c>
      <c r="E17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26442.461288999999</v>
      </c>
      <c r="F171" s="11">
        <f>IF(ISBLANK(GSPC[[#This Row],[Long Exp.]]), "", (GSPC[[#This Row],[Long Exp.]]/D172-1)+(E172/GSPC[[#This Row],[Short Exp.]]-1))</f>
        <v>0.10477939441786921</v>
      </c>
      <c r="G171" s="37">
        <v>43899</v>
      </c>
      <c r="H171" s="44">
        <v>13.781012</v>
      </c>
      <c r="I171" s="36">
        <f>IF(ISBLANK(H172), "", Long0[[#This Row],[Adj Close]]/H172-1)</f>
        <v>-2.2727296902648852E-2</v>
      </c>
      <c r="J171" s="29">
        <v>43899</v>
      </c>
      <c r="K171" s="44">
        <v>21.387608</v>
      </c>
      <c r="L171" s="33">
        <f>IF(ISBLANK(K172),"",Long1[[#This Row],[Adj Close]]/K172-1)</f>
        <v>-5.9753645488710871E-2</v>
      </c>
      <c r="M171" s="37">
        <v>43899</v>
      </c>
      <c r="N171" s="44">
        <v>10.61788</v>
      </c>
      <c r="O171" s="36">
        <f>IF(ISBLANK(N172),"",Long2[[#This Row],[Adj Close]]/N172-1)</f>
        <v>-0.22780003649409697</v>
      </c>
      <c r="P171" s="29">
        <v>43899</v>
      </c>
      <c r="Q171" s="44">
        <v>23.503111000000001</v>
      </c>
      <c r="R171" s="33">
        <f>IF(ISBLANK(Q172),"",Long3[[#This Row],[Adj Close]]/Q172-1)</f>
        <v>-0.12980002637652788</v>
      </c>
      <c r="S171" s="37">
        <v>43899</v>
      </c>
      <c r="T171" s="44">
        <v>31.120047</v>
      </c>
      <c r="U171" s="36">
        <f>IF(ISBLANK(T172),"",Long4[[#This Row],[Adj Close]]/T172-1)</f>
        <v>-0.16973275466568394</v>
      </c>
      <c r="V171" s="29">
        <v>43899</v>
      </c>
      <c r="W171" s="44">
        <v>62.334784999999997</v>
      </c>
      <c r="X171" s="33">
        <f>IF(ISBLANK(W172),"",Long5[[#This Row],[Adj Close]]/W172-1)</f>
        <v>-0.14025102329238837</v>
      </c>
      <c r="Y171" s="37">
        <v>43899</v>
      </c>
      <c r="Z171" s="44">
        <v>142.591949</v>
      </c>
      <c r="AA171" s="36">
        <f>IF(ISBLANK(Z172),"",Long6[[#This Row],[Adj Close]]/Z172-1)</f>
        <v>-6.6281497606121009E-2</v>
      </c>
      <c r="AH171" s="29">
        <v>43899</v>
      </c>
      <c r="AI171" s="44">
        <v>48.051394999999999</v>
      </c>
      <c r="AJ171" s="33">
        <f>IF(ISBLANK(AI172),"",Short0[[#This Row],[Adj Close]]/AI172-1)</f>
        <v>-0.10663512668940534</v>
      </c>
      <c r="AK171" s="37">
        <v>43899</v>
      </c>
      <c r="AL171" s="44">
        <v>54.808371999999999</v>
      </c>
      <c r="AM171" s="36">
        <f>IF(ISBLANK(AL172),"",Short1[[#This Row],[Adj Close]]/AL172-1)</f>
        <v>-0.17285289262584225</v>
      </c>
      <c r="AN171" s="29">
        <v>43899</v>
      </c>
      <c r="AO171" s="44">
        <v>43.719012999999997</v>
      </c>
      <c r="AP171" s="33">
        <f>IF(ISBLANK(AO172),"",Short2[[#This Row],[Adj Close]]/AO172-1)</f>
        <v>-0.26970417122756896</v>
      </c>
      <c r="AQ171" s="37">
        <v>43899</v>
      </c>
      <c r="AR171" s="44">
        <v>115.19000200000001</v>
      </c>
      <c r="AS171" s="36">
        <f>IF(ISBLANK(AR172),"",Short3[[#This Row],[Adj Close]]/AR172-1)</f>
        <v>-0.17093709268839641</v>
      </c>
    </row>
    <row r="172" spans="1:45" x14ac:dyDescent="0.25">
      <c r="A172" s="37">
        <v>43892</v>
      </c>
      <c r="B172" s="39">
        <v>2972.3701169999999</v>
      </c>
      <c r="C172" s="36">
        <f>IF(ISBLANK(B173), "", GSPC[[#This Row],[Adj Close]]/B173-1)</f>
        <v>6.1438031623135547E-3</v>
      </c>
      <c r="D17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40286.055475000001</v>
      </c>
      <c r="E17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32070.041996</v>
      </c>
      <c r="F172" s="11">
        <f>IF(ISBLANK(GSPC[[#This Row],[Long Exp.]]), "", (GSPC[[#This Row],[Long Exp.]]/D173-1)+(E173/GSPC[[#This Row],[Short Exp.]]-1))</f>
        <v>-6.5848326118341793E-3</v>
      </c>
      <c r="G172" s="37">
        <v>43892</v>
      </c>
      <c r="H172" s="44">
        <v>14.101501000000001</v>
      </c>
      <c r="I172" s="36">
        <f>IF(ISBLANK(H173), "", Long0[[#This Row],[Adj Close]]/H173-1)</f>
        <v>-0.10413044657710702</v>
      </c>
      <c r="J172" s="29">
        <v>43892</v>
      </c>
      <c r="K172" s="44">
        <v>22.746813</v>
      </c>
      <c r="L172" s="33">
        <f>IF(ISBLANK(K173),"",Long1[[#This Row],[Adj Close]]/K173-1)</f>
        <v>-0.11085574437371337</v>
      </c>
      <c r="M172" s="37">
        <v>43892</v>
      </c>
      <c r="N172" s="44">
        <v>13.750169</v>
      </c>
      <c r="O172" s="36">
        <f>IF(ISBLANK(N173),"",Long2[[#This Row],[Adj Close]]/N173-1)</f>
        <v>-0.16030548382786558</v>
      </c>
      <c r="P172" s="29">
        <v>43892</v>
      </c>
      <c r="Q172" s="44">
        <v>27.008862000000001</v>
      </c>
      <c r="R172" s="33">
        <f>IF(ISBLANK(Q173),"",Long3[[#This Row],[Adj Close]]/Q173-1)</f>
        <v>4.9983293249442617E-2</v>
      </c>
      <c r="S172" s="37">
        <v>43892</v>
      </c>
      <c r="T172" s="44">
        <v>37.481963999999998</v>
      </c>
      <c r="U172" s="36">
        <f>IF(ISBLANK(T173),"",Long4[[#This Row],[Adj Close]]/T173-1)</f>
        <v>8.923319472879454E-2</v>
      </c>
      <c r="V172" s="29">
        <v>43892</v>
      </c>
      <c r="W172" s="44">
        <v>72.503471000000005</v>
      </c>
      <c r="X172" s="33">
        <f>IF(ISBLANK(W173),"",Long5[[#This Row],[Adj Close]]/W173-1)</f>
        <v>-6.1101106812972872E-2</v>
      </c>
      <c r="Y172" s="37">
        <v>43892</v>
      </c>
      <c r="Z172" s="44">
        <v>152.714066</v>
      </c>
      <c r="AA172" s="36">
        <f>IF(ISBLANK(Z173),"",Long6[[#This Row],[Adj Close]]/Z173-1)</f>
        <v>-1.8515027258925065E-2</v>
      </c>
      <c r="AH172" s="29">
        <v>43892</v>
      </c>
      <c r="AI172" s="44">
        <v>53.786976000000003</v>
      </c>
      <c r="AJ172" s="33">
        <f>IF(ISBLANK(AI173),"",Short0[[#This Row],[Adj Close]]/AI173-1)</f>
        <v>-5.9166550666580942E-2</v>
      </c>
      <c r="AK172" s="37">
        <v>43892</v>
      </c>
      <c r="AL172" s="44">
        <v>66.261939999999996</v>
      </c>
      <c r="AM172" s="36">
        <f>IF(ISBLANK(AL173),"",Short1[[#This Row],[Adj Close]]/AL173-1)</f>
        <v>-2.4190300470489756E-2</v>
      </c>
      <c r="AN172" s="29">
        <v>43892</v>
      </c>
      <c r="AO172" s="44">
        <v>59.864798999999998</v>
      </c>
      <c r="AP172" s="33">
        <f>IF(ISBLANK(AO173),"",Short2[[#This Row],[Adj Close]]/AO173-1)</f>
        <v>3.6625927382018864E-2</v>
      </c>
      <c r="AQ172" s="37">
        <v>43892</v>
      </c>
      <c r="AR172" s="44">
        <v>138.94000199999999</v>
      </c>
      <c r="AS172" s="36">
        <f>IF(ISBLANK(AR173),"",Short3[[#This Row],[Adj Close]]/AR173-1)</f>
        <v>-5.6946988977845892E-2</v>
      </c>
    </row>
    <row r="173" spans="1:45" x14ac:dyDescent="0.25">
      <c r="A173" s="37">
        <v>43885</v>
      </c>
      <c r="B173" s="39">
        <v>2954.219971</v>
      </c>
      <c r="C173" s="36">
        <f>IF(ISBLANK(B174), "", GSPC[[#This Row],[Adj Close]]/B174-1)</f>
        <v>-0.11490675724664823</v>
      </c>
      <c r="D17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41956.098532000004</v>
      </c>
      <c r="E17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33135.399296000003</v>
      </c>
      <c r="F173" s="11">
        <f>IF(ISBLANK(GSPC[[#This Row],[Long Exp.]]), "", (GSPC[[#This Row],[Long Exp.]]/D174-1)+(E174/GSPC[[#This Row],[Short Exp.]]-1))</f>
        <v>-3.4195092150337558E-3</v>
      </c>
      <c r="G173" s="37">
        <v>43885</v>
      </c>
      <c r="H173" s="44">
        <v>15.740574000000001</v>
      </c>
      <c r="I173" s="36">
        <f>IF(ISBLANK(H174), "", Long0[[#This Row],[Adj Close]]/H174-1)</f>
        <v>-0.18723396630902989</v>
      </c>
      <c r="J173" s="29">
        <v>43885</v>
      </c>
      <c r="K173" s="44">
        <v>25.582815</v>
      </c>
      <c r="L173" s="33">
        <f>IF(ISBLANK(K174),"",Long1[[#This Row],[Adj Close]]/K174-1)</f>
        <v>-0.24911180111389264</v>
      </c>
      <c r="M173" s="37">
        <v>43885</v>
      </c>
      <c r="N173" s="44">
        <v>16.375204</v>
      </c>
      <c r="O173" s="36">
        <f>IF(ISBLANK(N174),"",Long2[[#This Row],[Adj Close]]/N174-1)</f>
        <v>-0.11255838615645186</v>
      </c>
      <c r="P173" s="29">
        <v>43885</v>
      </c>
      <c r="Q173" s="44">
        <v>25.723134999999999</v>
      </c>
      <c r="R173" s="33">
        <f>IF(ISBLANK(Q174),"",Long3[[#This Row],[Adj Close]]/Q174-1)</f>
        <v>-0.15749575106339275</v>
      </c>
      <c r="S173" s="37">
        <v>43885</v>
      </c>
      <c r="T173" s="44">
        <v>34.411330999999997</v>
      </c>
      <c r="U173" s="36">
        <f>IF(ISBLANK(T174),"",Long4[[#This Row],[Adj Close]]/T174-1)</f>
        <v>-0.15507899423472382</v>
      </c>
      <c r="V173" s="29">
        <v>43885</v>
      </c>
      <c r="W173" s="44">
        <v>77.221808999999993</v>
      </c>
      <c r="X173" s="33">
        <f>IF(ISBLANK(W174),"",Long5[[#This Row],[Adj Close]]/W174-1)</f>
        <v>-0.15270391007890827</v>
      </c>
      <c r="Y173" s="37">
        <v>43885</v>
      </c>
      <c r="Z173" s="44">
        <v>155.59491</v>
      </c>
      <c r="AA173" s="36">
        <f>IF(ISBLANK(Z174),"",Long6[[#This Row],[Adj Close]]/Z174-1)</f>
        <v>-8.9350246533126176E-2</v>
      </c>
      <c r="AH173" s="29">
        <v>43885</v>
      </c>
      <c r="AI173" s="44">
        <v>57.169497999999997</v>
      </c>
      <c r="AJ173" s="33">
        <f>IF(ISBLANK(AI174),"",Short0[[#This Row],[Adj Close]]/AI174-1)</f>
        <v>-0.11112803771201063</v>
      </c>
      <c r="AK173" s="37">
        <v>43885</v>
      </c>
      <c r="AL173" s="44">
        <v>67.904572000000002</v>
      </c>
      <c r="AM173" s="36">
        <f>IF(ISBLANK(AL174),"",Short1[[#This Row],[Adj Close]]/AL174-1)</f>
        <v>-0.16186575622698607</v>
      </c>
      <c r="AN173" s="29">
        <v>43885</v>
      </c>
      <c r="AO173" s="44">
        <v>57.749664000000003</v>
      </c>
      <c r="AP173" s="33">
        <f>IF(ISBLANK(AO174),"",Short2[[#This Row],[Adj Close]]/AO174-1)</f>
        <v>-0.14593092207697544</v>
      </c>
      <c r="AQ173" s="37">
        <v>43885</v>
      </c>
      <c r="AR173" s="44">
        <v>147.33000200000001</v>
      </c>
      <c r="AS173" s="36">
        <f>IF(ISBLANK(AR174),"",Short3[[#This Row],[Adj Close]]/AR174-1)</f>
        <v>-0.11815409213456252</v>
      </c>
    </row>
    <row r="174" spans="1:45" x14ac:dyDescent="0.25">
      <c r="A174" s="37">
        <v>43878</v>
      </c>
      <c r="B174" s="39">
        <v>3337.75</v>
      </c>
      <c r="C174" s="36">
        <f>IF(ISBLANK(B175), "", GSPC[[#This Row],[Adj Close]]/B175-1)</f>
        <v>-1.2546717641801375E-2</v>
      </c>
      <c r="D17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49571.149476999999</v>
      </c>
      <c r="E17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38112.306384999996</v>
      </c>
      <c r="F174" s="11">
        <f>IF(ISBLANK(GSPC[[#This Row],[Long Exp.]]), "", (GSPC[[#This Row],[Long Exp.]]/D175-1)+(E175/GSPC[[#This Row],[Short Exp.]]-1))</f>
        <v>1.415566677707536E-2</v>
      </c>
      <c r="G174" s="37">
        <v>43878</v>
      </c>
      <c r="H174" s="44">
        <v>19.366672999999999</v>
      </c>
      <c r="I174" s="36">
        <f>IF(ISBLANK(H175), "", Long0[[#This Row],[Adj Close]]/H175-1)</f>
        <v>-3.4246409006020051E-2</v>
      </c>
      <c r="J174" s="29">
        <v>43878</v>
      </c>
      <c r="K174" s="44">
        <v>34.070072000000003</v>
      </c>
      <c r="L174" s="33">
        <f>IF(ISBLANK(K175),"",Long1[[#This Row],[Adj Close]]/K175-1)</f>
        <v>3.47688587288979E-2</v>
      </c>
      <c r="M174" s="37">
        <v>43878</v>
      </c>
      <c r="N174" s="44">
        <v>18.452148000000001</v>
      </c>
      <c r="O174" s="36">
        <f>IF(ISBLANK(N175),"",Long2[[#This Row],[Adj Close]]/N175-1)</f>
        <v>2.3466548575888702E-2</v>
      </c>
      <c r="P174" s="29">
        <v>43878</v>
      </c>
      <c r="Q174" s="44">
        <v>30.531756999999999</v>
      </c>
      <c r="R174" s="33">
        <f>IF(ISBLANK(Q175),"",Long3[[#This Row],[Adj Close]]/Q175-1)</f>
        <v>7.0681361956699273E-3</v>
      </c>
      <c r="S174" s="37">
        <v>43878</v>
      </c>
      <c r="T174" s="44">
        <v>40.727276000000003</v>
      </c>
      <c r="U174" s="36">
        <f>IF(ISBLANK(T175),"",Long4[[#This Row],[Adj Close]]/T175-1)</f>
        <v>1.1415504986254543E-2</v>
      </c>
      <c r="V174" s="29">
        <v>43878</v>
      </c>
      <c r="W174" s="44">
        <v>91.139106999999996</v>
      </c>
      <c r="X174" s="33">
        <f>IF(ISBLANK(W175),"",Long5[[#This Row],[Adj Close]]/W175-1)</f>
        <v>-4.9914567515420005E-3</v>
      </c>
      <c r="Y174" s="37">
        <v>43878</v>
      </c>
      <c r="Z174" s="44">
        <v>170.86142000000001</v>
      </c>
      <c r="AA174" s="36">
        <f>IF(ISBLANK(Z175),"",Long6[[#This Row],[Adj Close]]/Z175-1)</f>
        <v>-1.8684181750653672E-2</v>
      </c>
      <c r="AH174" s="29">
        <v>43878</v>
      </c>
      <c r="AI174" s="44">
        <v>64.316909999999993</v>
      </c>
      <c r="AJ174" s="33">
        <f>IF(ISBLANK(AI175),"",Short0[[#This Row],[Adj Close]]/AI175-1)</f>
        <v>-3.6286110552464002E-2</v>
      </c>
      <c r="AK174" s="37">
        <v>43878</v>
      </c>
      <c r="AL174" s="44">
        <v>81.018730000000005</v>
      </c>
      <c r="AM174" s="36">
        <f>IF(ISBLANK(AL175),"",Short1[[#This Row],[Adj Close]]/AL175-1)</f>
        <v>5.5438893047932147E-4</v>
      </c>
      <c r="AN174" s="29">
        <v>43878</v>
      </c>
      <c r="AO174" s="44">
        <v>67.617087999999995</v>
      </c>
      <c r="AP174" s="33">
        <f>IF(ISBLANK(AO175),"",Short2[[#This Row],[Adj Close]]/AO175-1)</f>
        <v>4.2645505367626679E-3</v>
      </c>
      <c r="AQ174" s="37">
        <v>43878</v>
      </c>
      <c r="AR174" s="44">
        <v>167.070007</v>
      </c>
      <c r="AS174" s="36">
        <f>IF(ISBLANK(AR175),"",Short3[[#This Row],[Adj Close]]/AR175-1)</f>
        <v>-3.1590522105482854E-2</v>
      </c>
    </row>
    <row r="175" spans="1:45" x14ac:dyDescent="0.25">
      <c r="A175" s="37">
        <v>43871</v>
      </c>
      <c r="B175" s="39">
        <v>3380.1599120000001</v>
      </c>
      <c r="C175" s="36">
        <f>IF(ISBLANK(B176), "", GSPC[[#This Row],[Adj Close]]/B176-1)</f>
        <v>1.5761575261877159E-2</v>
      </c>
      <c r="D17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49852.466778000002</v>
      </c>
      <c r="E17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38866.879109999994</v>
      </c>
      <c r="F175" s="11">
        <f>IF(ISBLANK(GSPC[[#This Row],[Long Exp.]]), "", (GSPC[[#This Row],[Long Exp.]]/D176-1)+(E176/GSPC[[#This Row],[Short Exp.]]-1))</f>
        <v>-4.3545248331010589E-2</v>
      </c>
      <c r="G175" s="37">
        <v>43871</v>
      </c>
      <c r="H175" s="44">
        <v>20.053431</v>
      </c>
      <c r="I175" s="36">
        <f>IF(ISBLANK(H176), "", Long0[[#This Row],[Adj Close]]/H176-1)</f>
        <v>-3.8208300142009044E-2</v>
      </c>
      <c r="J175" s="29">
        <v>43871</v>
      </c>
      <c r="K175" s="44">
        <v>32.925297</v>
      </c>
      <c r="L175" s="33">
        <f>IF(ISBLANK(K176),"",Long1[[#This Row],[Adj Close]]/K176-1)</f>
        <v>2.1349723586637559E-2</v>
      </c>
      <c r="M175" s="37">
        <v>43871</v>
      </c>
      <c r="N175" s="44">
        <v>18.029067999999999</v>
      </c>
      <c r="O175" s="36">
        <f>IF(ISBLANK(N176),"",Long2[[#This Row],[Adj Close]]/N176-1)</f>
        <v>-7.4074005597545511E-2</v>
      </c>
      <c r="P175" s="29">
        <v>43871</v>
      </c>
      <c r="Q175" s="44">
        <v>30.317468999999999</v>
      </c>
      <c r="R175" s="33">
        <f>IF(ISBLANK(Q176),"",Long3[[#This Row],[Adj Close]]/Q176-1)</f>
        <v>-1.8045662227054948E-2</v>
      </c>
      <c r="S175" s="37">
        <v>43871</v>
      </c>
      <c r="T175" s="44">
        <v>40.267600999999999</v>
      </c>
      <c r="U175" s="36">
        <f>IF(ISBLANK(T176),"",Long4[[#This Row],[Adj Close]]/T176-1)</f>
        <v>5.8226724720618739E-2</v>
      </c>
      <c r="V175" s="29">
        <v>43871</v>
      </c>
      <c r="W175" s="44">
        <v>91.596305999999998</v>
      </c>
      <c r="X175" s="33">
        <f>IF(ISBLANK(W176),"",Long5[[#This Row],[Adj Close]]/W176-1)</f>
        <v>5.7537937384186444E-2</v>
      </c>
      <c r="Y175" s="37">
        <v>43871</v>
      </c>
      <c r="Z175" s="44">
        <v>174.114609</v>
      </c>
      <c r="AA175" s="36">
        <f>IF(ISBLANK(Z176),"",Long6[[#This Row],[Adj Close]]/Z176-1)</f>
        <v>2.8218629122875871E-3</v>
      </c>
      <c r="AH175" s="29">
        <v>43871</v>
      </c>
      <c r="AI175" s="44">
        <v>66.738594000000006</v>
      </c>
      <c r="AJ175" s="33">
        <f>IF(ISBLANK(AI176),"",Short0[[#This Row],[Adj Close]]/AI176-1)</f>
        <v>1.9011904383277489E-2</v>
      </c>
      <c r="AK175" s="37">
        <v>43871</v>
      </c>
      <c r="AL175" s="44">
        <v>80.973838999999998</v>
      </c>
      <c r="AM175" s="36">
        <f>IF(ISBLANK(AL176),"",Short1[[#This Row],[Adj Close]]/AL176-1)</f>
        <v>3.6657994077259781E-2</v>
      </c>
      <c r="AN175" s="29">
        <v>43871</v>
      </c>
      <c r="AO175" s="44">
        <v>67.329955999999996</v>
      </c>
      <c r="AP175" s="33">
        <f>IF(ISBLANK(AO176),"",Short2[[#This Row],[Adj Close]]/AO176-1)</f>
        <v>1.9713175229880031E-2</v>
      </c>
      <c r="AQ175" s="37">
        <v>43871</v>
      </c>
      <c r="AR175" s="44">
        <v>172.520004</v>
      </c>
      <c r="AS175" s="36">
        <f>IF(ISBLANK(AR176),"",Short3[[#This Row],[Adj Close]]/AR176-1)</f>
        <v>6.1334978874162172E-2</v>
      </c>
    </row>
    <row r="176" spans="1:45" x14ac:dyDescent="0.25">
      <c r="A176" s="37">
        <v>43864</v>
      </c>
      <c r="B176" s="39">
        <v>3327.709961</v>
      </c>
      <c r="C176" s="36">
        <f>IF(ISBLANK(B177), "", GSPC[[#This Row],[Adj Close]]/B177-1)</f>
        <v>3.1681694848076036E-2</v>
      </c>
      <c r="D17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50298.518779999999</v>
      </c>
      <c r="E17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37519.086352000006</v>
      </c>
      <c r="F176" s="11">
        <f>IF(ISBLANK(GSPC[[#This Row],[Long Exp.]]), "", (GSPC[[#This Row],[Long Exp.]]/D177-1)+(E177/GSPC[[#This Row],[Short Exp.]]-1))</f>
        <v>-7.5199788318410787E-3</v>
      </c>
      <c r="G176" s="37">
        <v>43864</v>
      </c>
      <c r="H176" s="44">
        <v>20.850076999999999</v>
      </c>
      <c r="I176" s="36">
        <f>IF(ISBLANK(H177), "", Long0[[#This Row],[Adj Close]]/H177-1)</f>
        <v>6.3025287417268538E-2</v>
      </c>
      <c r="J176" s="29">
        <v>43864</v>
      </c>
      <c r="K176" s="44">
        <v>32.237045000000002</v>
      </c>
      <c r="L176" s="33">
        <f>IF(ISBLANK(K177),"",Long1[[#This Row],[Adj Close]]/K177-1)</f>
        <v>4.8245601484743217E-2</v>
      </c>
      <c r="M176" s="37">
        <v>43864</v>
      </c>
      <c r="N176" s="44">
        <v>19.471392000000002</v>
      </c>
      <c r="O176" s="36">
        <f>IF(ISBLANK(N177),"",Long2[[#This Row],[Adj Close]]/N177-1)</f>
        <v>2.0665237453084018E-2</v>
      </c>
      <c r="P176" s="29">
        <v>43864</v>
      </c>
      <c r="Q176" s="44">
        <v>30.874621999999999</v>
      </c>
      <c r="R176" s="33">
        <f>IF(ISBLANK(Q177),"",Long3[[#This Row],[Adj Close]]/Q177-1)</f>
        <v>-4.6972417961226309E-3</v>
      </c>
      <c r="S176" s="37">
        <v>43864</v>
      </c>
      <c r="T176" s="44">
        <v>38.051960000000001</v>
      </c>
      <c r="U176" s="36">
        <f>IF(ISBLANK(T177),"",Long4[[#This Row],[Adj Close]]/T177-1)</f>
        <v>4.2044279863177048E-2</v>
      </c>
      <c r="V176" s="29">
        <v>43864</v>
      </c>
      <c r="W176" s="44">
        <v>86.612785000000002</v>
      </c>
      <c r="X176" s="33">
        <f>IF(ISBLANK(W177),"",Long5[[#This Row],[Adj Close]]/W177-1)</f>
        <v>2.1019812629025525E-2</v>
      </c>
      <c r="Y176" s="37">
        <v>43864</v>
      </c>
      <c r="Z176" s="44">
        <v>173.624664</v>
      </c>
      <c r="AA176" s="36">
        <f>IF(ISBLANK(Z177),"",Long6[[#This Row],[Adj Close]]/Z177-1)</f>
        <v>5.789535625507769E-3</v>
      </c>
      <c r="AH176" s="29">
        <v>43864</v>
      </c>
      <c r="AI176" s="44">
        <v>65.493438999999995</v>
      </c>
      <c r="AJ176" s="33">
        <f>IF(ISBLANK(AI177),"",Short0[[#This Row],[Adj Close]]/AI177-1)</f>
        <v>2.2814339913036052E-2</v>
      </c>
      <c r="AK176" s="37">
        <v>43864</v>
      </c>
      <c r="AL176" s="44">
        <v>78.110466000000002</v>
      </c>
      <c r="AM176" s="36">
        <f>IF(ISBLANK(AL177),"",Short1[[#This Row],[Adj Close]]/AL177-1)</f>
        <v>2.7512249172614744E-2</v>
      </c>
      <c r="AN176" s="29">
        <v>43864</v>
      </c>
      <c r="AO176" s="44">
        <v>66.028328000000002</v>
      </c>
      <c r="AP176" s="33">
        <f>IF(ISBLANK(AO177),"",Short2[[#This Row],[Adj Close]]/AO177-1)</f>
        <v>3.9632198635460414E-2</v>
      </c>
      <c r="AQ176" s="37">
        <v>43864</v>
      </c>
      <c r="AR176" s="44">
        <v>162.550003</v>
      </c>
      <c r="AS176" s="36">
        <f>IF(ISBLANK(AR177),"",Short3[[#This Row],[Adj Close]]/AR177-1)</f>
        <v>4.6953550397834221E-2</v>
      </c>
    </row>
    <row r="177" spans="1:45" x14ac:dyDescent="0.25">
      <c r="A177" s="37">
        <v>43857</v>
      </c>
      <c r="B177" s="39">
        <v>3225.5200199999999</v>
      </c>
      <c r="C177" s="36">
        <f>IF(ISBLANK(B178), "", GSPC[[#This Row],[Adj Close]]/B178-1)</f>
        <v>-2.1226092671320584E-2</v>
      </c>
      <c r="D17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49021.245679999993</v>
      </c>
      <c r="E17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36259.365036999996</v>
      </c>
      <c r="F177" s="11">
        <f>IF(ISBLANK(GSPC[[#This Row],[Long Exp.]]), "", (GSPC[[#This Row],[Long Exp.]]/D178-1)+(E178/GSPC[[#This Row],[Short Exp.]]-1))</f>
        <v>-4.3584954412130283E-3</v>
      </c>
      <c r="G177" s="37">
        <v>43857</v>
      </c>
      <c r="H177" s="44">
        <v>19.613904999999999</v>
      </c>
      <c r="I177" s="36">
        <f>IF(ISBLANK(H178), "", Long0[[#This Row],[Adj Close]]/H178-1)</f>
        <v>-1.9679722506141584E-2</v>
      </c>
      <c r="J177" s="29">
        <v>43857</v>
      </c>
      <c r="K177" s="44">
        <v>30.753332</v>
      </c>
      <c r="L177" s="33">
        <f>IF(ISBLANK(K178),"",Long1[[#This Row],[Adj Close]]/K178-1)</f>
        <v>-3.1794440526916268E-2</v>
      </c>
      <c r="M177" s="37">
        <v>43857</v>
      </c>
      <c r="N177" s="44">
        <v>19.077158000000001</v>
      </c>
      <c r="O177" s="36">
        <f>IF(ISBLANK(N178),"",Long2[[#This Row],[Adj Close]]/N178-1)</f>
        <v>3.657255453330599E-2</v>
      </c>
      <c r="P177" s="29">
        <v>43857</v>
      </c>
      <c r="Q177" s="44">
        <v>31.020332</v>
      </c>
      <c r="R177" s="33">
        <f>IF(ISBLANK(Q178),"",Long3[[#This Row],[Adj Close]]/Q178-1)</f>
        <v>-9.3074283518488343E-3</v>
      </c>
      <c r="S177" s="37">
        <v>43857</v>
      </c>
      <c r="T177" s="44">
        <v>36.516643999999999</v>
      </c>
      <c r="U177" s="36">
        <f>IF(ISBLANK(T178),"",Long4[[#This Row],[Adj Close]]/T178-1)</f>
        <v>-1.7318262654925753E-2</v>
      </c>
      <c r="V177" s="29">
        <v>43857</v>
      </c>
      <c r="W177" s="44">
        <v>84.829680999999994</v>
      </c>
      <c r="X177" s="33">
        <f>IF(ISBLANK(W178),"",Long5[[#This Row],[Adj Close]]/W178-1)</f>
        <v>-5.3870730323724025E-4</v>
      </c>
      <c r="Y177" s="37">
        <v>43857</v>
      </c>
      <c r="Z177" s="44">
        <v>172.62524400000001</v>
      </c>
      <c r="AA177" s="36">
        <f>IF(ISBLANK(Z178),"",Long6[[#This Row],[Adj Close]]/Z178-1)</f>
        <v>-0.14509624008831179</v>
      </c>
      <c r="AH177" s="29">
        <v>43857</v>
      </c>
      <c r="AI177" s="44">
        <v>64.032578000000001</v>
      </c>
      <c r="AJ177" s="33">
        <f>IF(ISBLANK(AI178),"",Short0[[#This Row],[Adj Close]]/AI178-1)</f>
        <v>-3.7435501905990431E-2</v>
      </c>
      <c r="AK177" s="37">
        <v>43857</v>
      </c>
      <c r="AL177" s="44">
        <v>76.019012000000004</v>
      </c>
      <c r="AM177" s="36">
        <f>IF(ISBLANK(AL178),"",Short1[[#This Row],[Adj Close]]/AL178-1)</f>
        <v>-5.3108428092229154E-2</v>
      </c>
      <c r="AN177" s="29">
        <v>43857</v>
      </c>
      <c r="AO177" s="44">
        <v>63.511237999999999</v>
      </c>
      <c r="AP177" s="33">
        <f>IF(ISBLANK(AO178),"",Short2[[#This Row],[Adj Close]]/AO178-1)</f>
        <v>-2.305366429004474E-3</v>
      </c>
      <c r="AQ177" s="37">
        <v>43857</v>
      </c>
      <c r="AR177" s="44">
        <v>155.259995</v>
      </c>
      <c r="AS177" s="36">
        <f>IF(ISBLANK(AR178),"",Short3[[#This Row],[Adj Close]]/AR178-1)</f>
        <v>-1.1082834394904428E-2</v>
      </c>
    </row>
    <row r="178" spans="1:45" x14ac:dyDescent="0.25">
      <c r="A178" s="37">
        <v>43850</v>
      </c>
      <c r="B178" s="39">
        <v>3295.469971</v>
      </c>
      <c r="C178" s="36">
        <f>IF(ISBLANK(B179), "", GSPC[[#This Row],[Adj Close]]/B179-1)</f>
        <v>-1.0256469146627256E-2</v>
      </c>
      <c r="D17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50555.727934000002</v>
      </c>
      <c r="E17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37201.883622000001</v>
      </c>
      <c r="F178" s="11">
        <f>IF(ISBLANK(GSPC[[#This Row],[Long Exp.]]), "", (GSPC[[#This Row],[Long Exp.]]/D179-1)+(E179/GSPC[[#This Row],[Short Exp.]]-1))</f>
        <v>-1.2178372534865645E-3</v>
      </c>
      <c r="G178" s="37">
        <v>43850</v>
      </c>
      <c r="H178" s="44">
        <v>20.007650000000002</v>
      </c>
      <c r="I178" s="36">
        <f>IF(ISBLANK(H179), "", Long0[[#This Row],[Adj Close]]/H179-1)</f>
        <v>8.7719519382949418E-3</v>
      </c>
      <c r="J178" s="29">
        <v>43850</v>
      </c>
      <c r="K178" s="44">
        <v>31.763226</v>
      </c>
      <c r="L178" s="33">
        <f>IF(ISBLANK(K179),"",Long1[[#This Row],[Adj Close]]/K179-1)</f>
        <v>-2.9585797731899399E-2</v>
      </c>
      <c r="M178" s="37">
        <v>43850</v>
      </c>
      <c r="N178" s="44">
        <v>18.404074000000001</v>
      </c>
      <c r="O178" s="36">
        <f>IF(ISBLANK(N179),"",Long2[[#This Row],[Adj Close]]/N179-1)</f>
        <v>-0.12482859472689001</v>
      </c>
      <c r="P178" s="29">
        <v>43850</v>
      </c>
      <c r="Q178" s="44">
        <v>31.311764</v>
      </c>
      <c r="R178" s="33">
        <f>IF(ISBLANK(Q179),"",Long3[[#This Row],[Adj Close]]/Q179-1)</f>
        <v>1.2191778944338649E-2</v>
      </c>
      <c r="S178" s="37">
        <v>43850</v>
      </c>
      <c r="T178" s="44">
        <v>37.160193999999997</v>
      </c>
      <c r="U178" s="36">
        <f>IF(ISBLANK(T179),"",Long4[[#This Row],[Adj Close]]/T179-1)</f>
        <v>-4.0816305459487223E-2</v>
      </c>
      <c r="V178" s="29">
        <v>43850</v>
      </c>
      <c r="W178" s="44">
        <v>84.875404000000003</v>
      </c>
      <c r="X178" s="33">
        <f>IF(ISBLANK(W179),"",Long5[[#This Row],[Adj Close]]/W179-1)</f>
        <v>-5.3580331338475284E-3</v>
      </c>
      <c r="Y178" s="37">
        <v>43850</v>
      </c>
      <c r="Z178" s="44">
        <v>201.923599</v>
      </c>
      <c r="AA178" s="36">
        <f>IF(ISBLANK(Z179),"",Long6[[#This Row],[Adj Close]]/Z179-1)</f>
        <v>-3.1853383405707647E-2</v>
      </c>
      <c r="AH178" s="29">
        <v>43850</v>
      </c>
      <c r="AI178" s="44">
        <v>66.522896000000003</v>
      </c>
      <c r="AJ178" s="33">
        <f>IF(ISBLANK(AI179),"",Short0[[#This Row],[Adj Close]]/AI179-1)</f>
        <v>-8.3850966449017239E-2</v>
      </c>
      <c r="AK178" s="37">
        <v>43850</v>
      </c>
      <c r="AL178" s="44">
        <v>80.282700000000006</v>
      </c>
      <c r="AM178" s="36">
        <f>IF(ISBLANK(AL179),"",Short1[[#This Row],[Adj Close]]/AL179-1)</f>
        <v>-5.5590574934383241E-3</v>
      </c>
      <c r="AN178" s="29">
        <v>43850</v>
      </c>
      <c r="AO178" s="44">
        <v>63.657992999999998</v>
      </c>
      <c r="AP178" s="33">
        <f>IF(ISBLANK(AO179),"",Short2[[#This Row],[Adj Close]]/AO179-1)</f>
        <v>5.626860174449777E-2</v>
      </c>
      <c r="AQ178" s="37">
        <v>43850</v>
      </c>
      <c r="AR178" s="44">
        <v>157</v>
      </c>
      <c r="AS178" s="36">
        <f>IF(ISBLANK(AR179),"",Short3[[#This Row],[Adj Close]]/AR179-1)</f>
        <v>-6.0775320173288572E-3</v>
      </c>
    </row>
    <row r="179" spans="1:45" x14ac:dyDescent="0.25">
      <c r="A179" s="37">
        <v>43843</v>
      </c>
      <c r="B179" s="39">
        <v>3329.6201169999999</v>
      </c>
      <c r="C179" s="36">
        <f>IF(ISBLANK(B180), "", GSPC[[#This Row],[Adj Close]]/B180-1)</f>
        <v>1.9682428245401562E-2</v>
      </c>
      <c r="D17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51594.434131000002</v>
      </c>
      <c r="E17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37905.531186</v>
      </c>
      <c r="F179" s="11">
        <f>IF(ISBLANK(GSPC[[#This Row],[Long Exp.]]), "", (GSPC[[#This Row],[Long Exp.]]/D180-1)+(E180/GSPC[[#This Row],[Short Exp.]]-1))</f>
        <v>6.896318901947307E-3</v>
      </c>
      <c r="G179" s="37">
        <v>43843</v>
      </c>
      <c r="H179" s="44">
        <v>19.833670000000001</v>
      </c>
      <c r="I179" s="36">
        <f>IF(ISBLANK(H180), "", Long0[[#This Row],[Adj Close]]/H180-1)</f>
        <v>3.8848956736621254E-2</v>
      </c>
      <c r="J179" s="29">
        <v>43843</v>
      </c>
      <c r="K179" s="44">
        <v>32.731617</v>
      </c>
      <c r="L179" s="33">
        <f>IF(ISBLANK(K180),"",Long1[[#This Row],[Adj Close]]/K180-1)</f>
        <v>0.21240074676936915</v>
      </c>
      <c r="M179" s="37">
        <v>43843</v>
      </c>
      <c r="N179" s="44">
        <v>21.029108000000001</v>
      </c>
      <c r="O179" s="36">
        <f>IF(ISBLANK(N180),"",Long2[[#This Row],[Adj Close]]/N180-1)</f>
        <v>6.0620968221076099E-2</v>
      </c>
      <c r="P179" s="29">
        <v>43843</v>
      </c>
      <c r="Q179" s="44">
        <v>30.934615999999998</v>
      </c>
      <c r="R179" s="33">
        <f>IF(ISBLANK(Q180),"",Long3[[#This Row],[Adj Close]]/Q180-1)</f>
        <v>1.8340897822089586E-2</v>
      </c>
      <c r="S179" s="37">
        <v>43843</v>
      </c>
      <c r="T179" s="44">
        <v>38.741478000000001</v>
      </c>
      <c r="U179" s="36">
        <f>IF(ISBLANK(T180),"",Long4[[#This Row],[Adj Close]]/T180-1)</f>
        <v>5.1397194944562852E-2</v>
      </c>
      <c r="V179" s="29">
        <v>43843</v>
      </c>
      <c r="W179" s="44">
        <v>85.332618999999994</v>
      </c>
      <c r="X179" s="33">
        <f>IF(ISBLANK(W180),"",Long5[[#This Row],[Adj Close]]/W180-1)</f>
        <v>2.6509772637289153E-2</v>
      </c>
      <c r="Y179" s="37">
        <v>43843</v>
      </c>
      <c r="Z179" s="44">
        <v>208.56716900000001</v>
      </c>
      <c r="AA179" s="36">
        <f>IF(ISBLANK(Z180),"",Long6[[#This Row],[Adj Close]]/Z180-1)</f>
        <v>-1.4811355282477345E-2</v>
      </c>
      <c r="AH179" s="29">
        <v>43843</v>
      </c>
      <c r="AI179" s="44">
        <v>72.611435</v>
      </c>
      <c r="AJ179" s="33">
        <f>IF(ISBLANK(AI180),"",Short0[[#This Row],[Adj Close]]/AI180-1)</f>
        <v>4.4422491372932971E-2</v>
      </c>
      <c r="AK179" s="37">
        <v>43843</v>
      </c>
      <c r="AL179" s="44">
        <v>80.731491000000005</v>
      </c>
      <c r="AM179" s="36">
        <f>IF(ISBLANK(AL180),"",Short1[[#This Row],[Adj Close]]/AL180-1)</f>
        <v>-7.8322290401515726E-3</v>
      </c>
      <c r="AN179" s="29">
        <v>43843</v>
      </c>
      <c r="AO179" s="44">
        <v>60.266860999999999</v>
      </c>
      <c r="AP179" s="33">
        <f>IF(ISBLANK(AO180),"",Short2[[#This Row],[Adj Close]]/AO180-1)</f>
        <v>5.6430082658784686E-2</v>
      </c>
      <c r="AQ179" s="37">
        <v>43843</v>
      </c>
      <c r="AR179" s="44">
        <v>157.96000699999999</v>
      </c>
      <c r="AS179" s="36">
        <f>IF(ISBLANK(AR180),"",Short3[[#This Row],[Adj Close]]/AR180-1)</f>
        <v>1.39941456797672E-2</v>
      </c>
    </row>
    <row r="180" spans="1:45" x14ac:dyDescent="0.25">
      <c r="A180" s="37">
        <v>43836</v>
      </c>
      <c r="B180" s="39">
        <v>3265.3500979999999</v>
      </c>
      <c r="C180" s="36">
        <f>IF(ISBLANK(B181), "", GSPC[[#This Row],[Adj Close]]/B181-1)</f>
        <v>9.4285667267417494E-3</v>
      </c>
      <c r="D18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49953.470326000002</v>
      </c>
      <c r="E18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36921.748957000003</v>
      </c>
      <c r="F180" s="11">
        <f>IF(ISBLANK(GSPC[[#This Row],[Long Exp.]]), "", (GSPC[[#This Row],[Long Exp.]]/D181-1)+(E181/GSPC[[#This Row],[Short Exp.]]-1))</f>
        <v>-1.2577397867202023E-2</v>
      </c>
      <c r="G180" s="37">
        <v>43836</v>
      </c>
      <c r="H180" s="44">
        <v>19.091967</v>
      </c>
      <c r="I180" s="36">
        <f>IF(ISBLANK(H181), "", Long0[[#This Row],[Adj Close]]/H181-1)</f>
        <v>3.2178149974792847E-2</v>
      </c>
      <c r="J180" s="29">
        <v>43836</v>
      </c>
      <c r="K180" s="44">
        <v>26.997357999999998</v>
      </c>
      <c r="L180" s="33">
        <f>IF(ISBLANK(K181),"",Long1[[#This Row],[Adj Close]]/K181-1)</f>
        <v>-2.3006242661574028E-3</v>
      </c>
      <c r="M180" s="37">
        <v>43836</v>
      </c>
      <c r="N180" s="44">
        <v>19.827165999999998</v>
      </c>
      <c r="O180" s="36">
        <f>IF(ISBLANK(N181),"",Long2[[#This Row],[Adj Close]]/N181-1)</f>
        <v>-6.7437860263392935E-3</v>
      </c>
      <c r="P180" s="29">
        <v>43836</v>
      </c>
      <c r="Q180" s="44">
        <v>30.377465999999998</v>
      </c>
      <c r="R180" s="33">
        <f>IF(ISBLANK(Q181),"",Long3[[#This Row],[Adj Close]]/Q181-1)</f>
        <v>1.6957043058898336E-3</v>
      </c>
      <c r="S180" s="37">
        <v>43836</v>
      </c>
      <c r="T180" s="44">
        <v>36.847614</v>
      </c>
      <c r="U180" s="36">
        <f>IF(ISBLANK(T181),"",Long4[[#This Row],[Adj Close]]/T181-1)</f>
        <v>5.5193625494962539E-3</v>
      </c>
      <c r="V180" s="29">
        <v>43836</v>
      </c>
      <c r="W180" s="44">
        <v>83.128890999999996</v>
      </c>
      <c r="X180" s="33">
        <f>IF(ISBLANK(W181),"",Long5[[#This Row],[Adj Close]]/W181-1)</f>
        <v>2.8161156918742991E-2</v>
      </c>
      <c r="Y180" s="37">
        <v>43836</v>
      </c>
      <c r="Z180" s="44">
        <v>211.70277400000001</v>
      </c>
      <c r="AA180" s="36">
        <f>IF(ISBLANK(Z181),"",Long6[[#This Row],[Adj Close]]/Z181-1)</f>
        <v>3.6757868984611974E-2</v>
      </c>
      <c r="AH180" s="29">
        <v>43836</v>
      </c>
      <c r="AI180" s="44">
        <v>69.523048000000003</v>
      </c>
      <c r="AJ180" s="33">
        <f>IF(ISBLANK(AI181),"",Short0[[#This Row],[Adj Close]]/AI181-1)</f>
        <v>1.7068282037347116E-2</v>
      </c>
      <c r="AK180" s="37">
        <v>43836</v>
      </c>
      <c r="AL180" s="44">
        <v>81.368790000000004</v>
      </c>
      <c r="AM180" s="36">
        <f>IF(ISBLANK(AL181),"",Short1[[#This Row],[Adj Close]]/AL181-1)</f>
        <v>3.9802711337708852E-2</v>
      </c>
      <c r="AN180" s="29">
        <v>43836</v>
      </c>
      <c r="AO180" s="44">
        <v>57.047657000000001</v>
      </c>
      <c r="AP180" s="33">
        <f>IF(ISBLANK(AO181),"",Short2[[#This Row],[Adj Close]]/AO181-1)</f>
        <v>5.7552733589485872E-2</v>
      </c>
      <c r="AQ180" s="37">
        <v>43836</v>
      </c>
      <c r="AR180" s="44">
        <v>155.779999</v>
      </c>
      <c r="AS180" s="36">
        <f>IF(ISBLANK(AR181),"",Short3[[#This Row],[Adj Close]]/AR181-1)</f>
        <v>2.4464034255741618E-2</v>
      </c>
    </row>
    <row r="181" spans="1:45" x14ac:dyDescent="0.25">
      <c r="A181" s="37">
        <v>43829</v>
      </c>
      <c r="B181" s="39">
        <v>3234.8500979999999</v>
      </c>
      <c r="C181" s="36">
        <f>IF(ISBLANK(B182), "", GSPC[[#This Row],[Adj Close]]/B182-1)</f>
        <v>-1.5956450787609766E-3</v>
      </c>
      <c r="D18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49088.935952</v>
      </c>
      <c r="E18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35807.118605000003</v>
      </c>
      <c r="F181" s="11">
        <f>IF(ISBLANK(GSPC[[#This Row],[Long Exp.]]), "", (GSPC[[#This Row],[Long Exp.]]/D182-1)+(E182/GSPC[[#This Row],[Short Exp.]]-1))</f>
        <v>1.0018770299715651E-3</v>
      </c>
      <c r="G181" s="37">
        <v>43829</v>
      </c>
      <c r="H181" s="44">
        <v>18.496775</v>
      </c>
      <c r="I181" s="36">
        <f>IF(ISBLANK(H182), "", Long0[[#This Row],[Adj Close]]/H182-1)</f>
        <v>2.4340808983783546E-2</v>
      </c>
      <c r="J181" s="29">
        <v>43829</v>
      </c>
      <c r="K181" s="44">
        <v>27.059612000000001</v>
      </c>
      <c r="L181" s="33">
        <f>IF(ISBLANK(K182),"",Long1[[#This Row],[Adj Close]]/K182-1)</f>
        <v>-2.5653829501810277E-2</v>
      </c>
      <c r="M181" s="37">
        <v>43829</v>
      </c>
      <c r="N181" s="44">
        <v>19.961784000000002</v>
      </c>
      <c r="O181" s="36">
        <f>IF(ISBLANK(N182),"",Long2[[#This Row],[Adj Close]]/N182-1)</f>
        <v>-2.1677752102653325E-2</v>
      </c>
      <c r="P181" s="29">
        <v>43829</v>
      </c>
      <c r="Q181" s="44">
        <v>30.326042000000001</v>
      </c>
      <c r="R181" s="33">
        <f>IF(ISBLANK(Q182),"",Long3[[#This Row],[Adj Close]]/Q182-1)</f>
        <v>-3.9414971632604212E-3</v>
      </c>
      <c r="S181" s="37">
        <v>43829</v>
      </c>
      <c r="T181" s="44">
        <v>36.645355000000002</v>
      </c>
      <c r="U181" s="36">
        <f>IF(ISBLANK(T182),"",Long4[[#This Row],[Adj Close]]/T182-1)</f>
        <v>4.2909333963768725E-2</v>
      </c>
      <c r="V181" s="29">
        <v>43829</v>
      </c>
      <c r="W181" s="44">
        <v>80.852005000000005</v>
      </c>
      <c r="X181" s="33">
        <f>IF(ISBLANK(W182),"",Long5[[#This Row],[Adj Close]]/W182-1)</f>
        <v>2.5635091179235792E-2</v>
      </c>
      <c r="Y181" s="37">
        <v>43829</v>
      </c>
      <c r="Z181" s="44">
        <v>204.19693000000001</v>
      </c>
      <c r="AA181" s="36">
        <f>IF(ISBLANK(Z182),"",Long6[[#This Row],[Adj Close]]/Z182-1)</f>
        <v>-2.0263157721756353E-2</v>
      </c>
      <c r="AH181" s="29">
        <v>43829</v>
      </c>
      <c r="AI181" s="44">
        <v>68.356323000000003</v>
      </c>
      <c r="AJ181" s="33">
        <f>IF(ISBLANK(AI182),"",Short0[[#This Row],[Adj Close]]/AI182-1)</f>
        <v>-2.8676757615175852E-4</v>
      </c>
      <c r="AK181" s="37">
        <v>43829</v>
      </c>
      <c r="AL181" s="44">
        <v>78.254065999999995</v>
      </c>
      <c r="AM181" s="36">
        <f>IF(ISBLANK(AL182),"",Short1[[#This Row],[Adj Close]]/AL182-1)</f>
        <v>1.9537017986559491E-3</v>
      </c>
      <c r="AN181" s="29">
        <v>43829</v>
      </c>
      <c r="AO181" s="44">
        <v>53.943085000000004</v>
      </c>
      <c r="AP181" s="33">
        <f>IF(ISBLANK(AO182),"",Short2[[#This Row],[Adj Close]]/AO182-1)</f>
        <v>8.3927538805106394E-3</v>
      </c>
      <c r="AQ181" s="37">
        <v>43829</v>
      </c>
      <c r="AR181" s="44">
        <v>152.05999800000001</v>
      </c>
      <c r="AS181" s="36">
        <f>IF(ISBLANK(AR182),"",Short3[[#This Row],[Adj Close]]/AR182-1)</f>
        <v>3.6301433446683795E-3</v>
      </c>
    </row>
    <row r="182" spans="1:45" x14ac:dyDescent="0.25">
      <c r="A182" s="37">
        <v>43822</v>
      </c>
      <c r="B182" s="39">
        <v>3240.0200199999999</v>
      </c>
      <c r="C182" s="36">
        <f>IF(ISBLANK(B183), "", GSPC[[#This Row],[Adj Close]]/B183-1)</f>
        <v>5.8363133127365963E-3</v>
      </c>
      <c r="D18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48897.965792000003</v>
      </c>
      <c r="E18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35703.148851999998</v>
      </c>
      <c r="F182" s="11">
        <f>IF(ISBLANK(GSPC[[#This Row],[Long Exp.]]), "", (GSPC[[#This Row],[Long Exp.]]/D183-1)+(E183/GSPC[[#This Row],[Short Exp.]]-1))</f>
        <v>-2.105738673280233E-3</v>
      </c>
      <c r="G182" s="37">
        <v>43822</v>
      </c>
      <c r="H182" s="44">
        <v>18.057247</v>
      </c>
      <c r="I182" s="36">
        <f>IF(ISBLANK(H183), "", Long0[[#This Row],[Adj Close]]/H183-1)</f>
        <v>-3.5372646415302578E-3</v>
      </c>
      <c r="J182" s="29">
        <v>43822</v>
      </c>
      <c r="K182" s="44">
        <v>27.772072000000001</v>
      </c>
      <c r="L182" s="33">
        <f>IF(ISBLANK(K183),"",Long1[[#This Row],[Adj Close]]/K183-1)</f>
        <v>2.1368659877468499E-2</v>
      </c>
      <c r="M182" s="37">
        <v>43822</v>
      </c>
      <c r="N182" s="44">
        <v>20.404098999999999</v>
      </c>
      <c r="O182" s="36">
        <f>IF(ISBLANK(N183),"",Long2[[#This Row],[Adj Close]]/N183-1)</f>
        <v>-2.2570118421541774E-2</v>
      </c>
      <c r="P182" s="29">
        <v>43822</v>
      </c>
      <c r="Q182" s="44">
        <v>30.446045000000002</v>
      </c>
      <c r="R182" s="33">
        <f>IF(ISBLANK(Q183),"",Long3[[#This Row],[Adj Close]]/Q183-1)</f>
        <v>-8.65199435148023E-3</v>
      </c>
      <c r="S182" s="37">
        <v>43822</v>
      </c>
      <c r="T182" s="44">
        <v>35.137622999999998</v>
      </c>
      <c r="U182" s="36">
        <f>IF(ISBLANK(T183),"",Long4[[#This Row],[Adj Close]]/T183-1)</f>
        <v>4.9962331543054184E-3</v>
      </c>
      <c r="V182" s="29">
        <v>43822</v>
      </c>
      <c r="W182" s="44">
        <v>78.831160999999994</v>
      </c>
      <c r="X182" s="33">
        <f>IF(ISBLANK(W183),"",Long5[[#This Row],[Adj Close]]/W183-1)</f>
        <v>-2.6609822595827781E-3</v>
      </c>
      <c r="Y182" s="37">
        <v>43822</v>
      </c>
      <c r="Z182" s="44">
        <v>208.42018100000001</v>
      </c>
      <c r="AA182" s="36">
        <f>IF(ISBLANK(Z183),"",Long6[[#This Row],[Adj Close]]/Z183-1)</f>
        <v>5.9790741291301019E-2</v>
      </c>
      <c r="AH182" s="29">
        <v>43822</v>
      </c>
      <c r="AI182" s="44">
        <v>68.375930999999994</v>
      </c>
      <c r="AJ182" s="33">
        <f>IF(ISBLANK(AI183),"",Short0[[#This Row],[Adj Close]]/AI183-1)</f>
        <v>2.913445620018984E-2</v>
      </c>
      <c r="AK182" s="37">
        <v>43822</v>
      </c>
      <c r="AL182" s="44">
        <v>78.101478999999998</v>
      </c>
      <c r="AM182" s="36">
        <f>IF(ISBLANK(AL183),"",Short1[[#This Row],[Adj Close]]/AL183-1)</f>
        <v>-2.3236986708775609E-3</v>
      </c>
      <c r="AN182" s="29">
        <v>43822</v>
      </c>
      <c r="AO182" s="44">
        <v>53.494121999999997</v>
      </c>
      <c r="AP182" s="33">
        <f>IF(ISBLANK(AO183),"",Short2[[#This Row],[Adj Close]]/AO183-1)</f>
        <v>-1.1299373002512936E-2</v>
      </c>
      <c r="AQ182" s="37">
        <v>43822</v>
      </c>
      <c r="AR182" s="44">
        <v>151.509995</v>
      </c>
      <c r="AS182" s="36">
        <f>IF(ISBLANK(AR183),"",Short3[[#This Row],[Adj Close]]/AR183-1)</f>
        <v>3.643269571390606E-3</v>
      </c>
    </row>
    <row r="183" spans="1:45" x14ac:dyDescent="0.25">
      <c r="A183" s="37">
        <v>43815</v>
      </c>
      <c r="B183" s="39">
        <v>3221.219971</v>
      </c>
      <c r="C183" s="36">
        <f>IF(ISBLANK(B184), "", GSPC[[#This Row],[Adj Close]]/B184-1)</f>
        <v>1.6542514891888738E-2</v>
      </c>
      <c r="D18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48636.941903000006</v>
      </c>
      <c r="E18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35436.356315999998</v>
      </c>
      <c r="F183" s="11">
        <f>IF(ISBLANK(GSPC[[#This Row],[Long Exp.]]), "", (GSPC[[#This Row],[Long Exp.]]/D184-1)+(E184/GSPC[[#This Row],[Short Exp.]]-1))</f>
        <v>2.047185920666772E-2</v>
      </c>
      <c r="G183" s="37">
        <v>43815</v>
      </c>
      <c r="H183" s="44">
        <v>18.121347</v>
      </c>
      <c r="I183" s="36">
        <f>IF(ISBLANK(H184), "", Long0[[#This Row],[Adj Close]]/H184-1)</f>
        <v>3.3960392446670484E-2</v>
      </c>
      <c r="J183" s="29">
        <v>43815</v>
      </c>
      <c r="K183" s="44">
        <v>27.191036</v>
      </c>
      <c r="L183" s="33">
        <f>IF(ISBLANK(K184),"",Long1[[#This Row],[Adj Close]]/K184-1)</f>
        <v>-5.6295765004872211E-2</v>
      </c>
      <c r="M183" s="37">
        <v>43815</v>
      </c>
      <c r="N183" s="44">
        <v>20.875256</v>
      </c>
      <c r="O183" s="36">
        <f>IF(ISBLANK(N184),"",Long2[[#This Row],[Adj Close]]/N184-1)</f>
        <v>0.16532475932780089</v>
      </c>
      <c r="P183" s="29">
        <v>43815</v>
      </c>
      <c r="Q183" s="44">
        <v>30.711763000000001</v>
      </c>
      <c r="R183" s="33">
        <f>IF(ISBLANK(Q184),"",Long3[[#This Row],[Adj Close]]/Q184-1)</f>
        <v>1.7558418780472484E-2</v>
      </c>
      <c r="S183" s="37">
        <v>43815</v>
      </c>
      <c r="T183" s="44">
        <v>34.962940000000003</v>
      </c>
      <c r="U183" s="36">
        <f>IF(ISBLANK(T184),"",Long4[[#This Row],[Adj Close]]/T184-1)</f>
        <v>4.7369817501869527E-2</v>
      </c>
      <c r="V183" s="29">
        <v>43815</v>
      </c>
      <c r="W183" s="44">
        <v>79.041488999999999</v>
      </c>
      <c r="X183" s="33">
        <f>IF(ISBLANK(W184),"",Long5[[#This Row],[Adj Close]]/W184-1)</f>
        <v>-1.6945150925801622E-2</v>
      </c>
      <c r="Y183" s="37">
        <v>43815</v>
      </c>
      <c r="Z183" s="44">
        <v>196.66163599999999</v>
      </c>
      <c r="AA183" s="36">
        <f>IF(ISBLANK(Z184),"",Long6[[#This Row],[Adj Close]]/Z184-1)</f>
        <v>3.5554493061168424E-2</v>
      </c>
      <c r="AH183" s="29">
        <v>43815</v>
      </c>
      <c r="AI183" s="44">
        <v>66.440230999999997</v>
      </c>
      <c r="AJ183" s="33">
        <f>IF(ISBLANK(AI184),"",Short0[[#This Row],[Adj Close]]/AI184-1)</f>
        <v>-7.387111779191935E-3</v>
      </c>
      <c r="AK183" s="37">
        <v>43815</v>
      </c>
      <c r="AL183" s="44">
        <v>78.283385999999993</v>
      </c>
      <c r="AM183" s="36">
        <f>IF(ISBLANK(AL184),"",Short1[[#This Row],[Adj Close]]/AL184-1)</f>
        <v>3.467381944105008E-2</v>
      </c>
      <c r="AN183" s="29">
        <v>43815</v>
      </c>
      <c r="AO183" s="44">
        <v>54.10548</v>
      </c>
      <c r="AP183" s="33">
        <f>IF(ISBLANK(AO184),"",Short2[[#This Row],[Adj Close]]/AO184-1)</f>
        <v>-2.847343925072543E-2</v>
      </c>
      <c r="AQ183" s="37">
        <v>43815</v>
      </c>
      <c r="AR183" s="44">
        <v>150.96000699999999</v>
      </c>
      <c r="AS183" s="36">
        <f>IF(ISBLANK(AR184),"",Short3[[#This Row],[Adj Close]]/AR184-1)</f>
        <v>5.1912844119324175E-2</v>
      </c>
    </row>
    <row r="184" spans="1:45" x14ac:dyDescent="0.25">
      <c r="A184" s="37">
        <v>43808</v>
      </c>
      <c r="B184" s="39">
        <v>3168.8000489999999</v>
      </c>
      <c r="C184" s="36">
        <f>IF(ISBLANK(B185), "", GSPC[[#This Row],[Adj Close]]/B185-1)</f>
        <v>7.276157817706741E-3</v>
      </c>
      <c r="D18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46988.793459</v>
      </c>
      <c r="E18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34918.861762</v>
      </c>
      <c r="F184" s="11">
        <f>IF(ISBLANK(GSPC[[#This Row],[Long Exp.]]), "", (GSPC[[#This Row],[Long Exp.]]/D185-1)+(E185/GSPC[[#This Row],[Short Exp.]]-1))</f>
        <v>-6.9268711612143763E-3</v>
      </c>
      <c r="G184" s="37">
        <v>43808</v>
      </c>
      <c r="H184" s="44">
        <v>17.526152</v>
      </c>
      <c r="I184" s="36">
        <f>IF(ISBLANK(H185), "", Long0[[#This Row],[Adj Close]]/H185-1)</f>
        <v>-7.7759212187934468E-3</v>
      </c>
      <c r="J184" s="29">
        <v>43808</v>
      </c>
      <c r="K184" s="44">
        <v>28.813091</v>
      </c>
      <c r="L184" s="33">
        <f>IF(ISBLANK(K185),"",Long1[[#This Row],[Adj Close]]/K185-1)</f>
        <v>1.3626947552983326E-2</v>
      </c>
      <c r="M184" s="37">
        <v>43808</v>
      </c>
      <c r="N184" s="44">
        <v>17.913681</v>
      </c>
      <c r="O184" s="36">
        <f>IF(ISBLANK(N185),"",Long2[[#This Row],[Adj Close]]/N185-1)</f>
        <v>-2.0928423860170797E-2</v>
      </c>
      <c r="P184" s="29">
        <v>43808</v>
      </c>
      <c r="Q184" s="44">
        <v>30.181818</v>
      </c>
      <c r="R184" s="33">
        <f>IF(ISBLANK(Q185),"",Long3[[#This Row],[Adj Close]]/Q185-1)</f>
        <v>3.6950740385643943E-2</v>
      </c>
      <c r="S184" s="37">
        <v>43808</v>
      </c>
      <c r="T184" s="44">
        <v>33.381656999999997</v>
      </c>
      <c r="U184" s="36">
        <f>IF(ISBLANK(T185),"",Long4[[#This Row],[Adj Close]]/T185-1)</f>
        <v>-7.2067659755164826E-2</v>
      </c>
      <c r="V184" s="29">
        <v>43808</v>
      </c>
      <c r="W184" s="44">
        <v>80.403946000000005</v>
      </c>
      <c r="X184" s="33">
        <f>IF(ISBLANK(W185),"",Long5[[#This Row],[Adj Close]]/W185-1)</f>
        <v>9.5427965290370897E-2</v>
      </c>
      <c r="Y184" s="37">
        <v>43808</v>
      </c>
      <c r="Z184" s="44">
        <v>189.90950000000001</v>
      </c>
      <c r="AA184" s="36">
        <f>IF(ISBLANK(Z185),"",Long6[[#This Row],[Adj Close]]/Z185-1)</f>
        <v>8.2561084013943464E-4</v>
      </c>
      <c r="AH184" s="29">
        <v>43808</v>
      </c>
      <c r="AI184" s="44">
        <v>66.934685000000002</v>
      </c>
      <c r="AJ184" s="33">
        <f>IF(ISBLANK(AI185),"",Short0[[#This Row],[Adj Close]]/AI185-1)</f>
        <v>7.6227579719278182E-2</v>
      </c>
      <c r="AK184" s="37">
        <v>43808</v>
      </c>
      <c r="AL184" s="44">
        <v>75.659965999999997</v>
      </c>
      <c r="AM184" s="36">
        <f>IF(ISBLANK(AL185),"",Short1[[#This Row],[Adj Close]]/AL185-1)</f>
        <v>3.3394388220686411E-2</v>
      </c>
      <c r="AN184" s="29">
        <v>43808</v>
      </c>
      <c r="AO184" s="44">
        <v>55.691200000000002</v>
      </c>
      <c r="AP184" s="33">
        <f>IF(ISBLANK(AO185),"",Short2[[#This Row],[Adj Close]]/AO185-1)</f>
        <v>-7.6594955202110571E-3</v>
      </c>
      <c r="AQ184" s="37">
        <v>43808</v>
      </c>
      <c r="AR184" s="44">
        <v>143.509995</v>
      </c>
      <c r="AS184" s="36">
        <f>IF(ISBLANK(AR185),"",Short3[[#This Row],[Adj Close]]/AR185-1)</f>
        <v>-2.9616634184979507E-2</v>
      </c>
    </row>
    <row r="185" spans="1:45" x14ac:dyDescent="0.25">
      <c r="A185" s="37">
        <v>43801</v>
      </c>
      <c r="B185" s="39">
        <v>3145.9099120000001</v>
      </c>
      <c r="C185" s="36">
        <f>IF(ISBLANK(B186), "", GSPC[[#This Row],[Adj Close]]/B186-1)</f>
        <v>1.5695521879766083E-3</v>
      </c>
      <c r="D18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46475.892826000003</v>
      </c>
      <c r="E18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34291.624247</v>
      </c>
      <c r="F185" s="11">
        <f>IF(ISBLANK(GSPC[[#This Row],[Long Exp.]]), "", (GSPC[[#This Row],[Long Exp.]]/D186-1)+(E186/GSPC[[#This Row],[Short Exp.]]-1))</f>
        <v>-8.9760762183409559E-3</v>
      </c>
      <c r="G185" s="37">
        <v>43801</v>
      </c>
      <c r="H185" s="44">
        <v>17.663502000000001</v>
      </c>
      <c r="I185" s="36">
        <f>IF(ISBLANK(H186), "", Long0[[#This Row],[Adj Close]]/H186-1)</f>
        <v>2.7156327319476592E-2</v>
      </c>
      <c r="J185" s="29">
        <v>43801</v>
      </c>
      <c r="K185" s="44">
        <v>28.425735</v>
      </c>
      <c r="L185" s="33">
        <f>IF(ISBLANK(K186),"",Long1[[#This Row],[Adj Close]]/K186-1)</f>
        <v>-6.0466467293696091E-3</v>
      </c>
      <c r="M185" s="37">
        <v>43801</v>
      </c>
      <c r="N185" s="44">
        <v>18.296600000000002</v>
      </c>
      <c r="O185" s="36">
        <f>IF(ISBLANK(N186),"",Long2[[#This Row],[Adj Close]]/N186-1)</f>
        <v>1.5746803917751073E-3</v>
      </c>
      <c r="P185" s="29">
        <v>43801</v>
      </c>
      <c r="Q185" s="44">
        <v>29.106318000000002</v>
      </c>
      <c r="R185" s="33">
        <f>IF(ISBLANK(Q186),"",Long3[[#This Row],[Adj Close]]/Q186-1)</f>
        <v>9.9914707211161691E-3</v>
      </c>
      <c r="S185" s="37">
        <v>43801</v>
      </c>
      <c r="T185" s="44">
        <v>35.974235999999998</v>
      </c>
      <c r="U185" s="36">
        <f>IF(ISBLANK(T186),"",Long4[[#This Row],[Adj Close]]/T186-1)</f>
        <v>-0.14805125640893391</v>
      </c>
      <c r="V185" s="29">
        <v>43801</v>
      </c>
      <c r="W185" s="44">
        <v>73.399574000000001</v>
      </c>
      <c r="X185" s="33">
        <f>IF(ISBLANK(W186),"",Long5[[#This Row],[Adj Close]]/W186-1)</f>
        <v>4.7795890244195505E-3</v>
      </c>
      <c r="Y185" s="37">
        <v>43801</v>
      </c>
      <c r="Z185" s="44">
        <v>189.752838</v>
      </c>
      <c r="AA185" s="36">
        <f>IF(ISBLANK(Z186),"",Long6[[#This Row],[Adj Close]]/Z186-1)</f>
        <v>-2.419901233424282E-3</v>
      </c>
      <c r="AH185" s="29">
        <v>43801</v>
      </c>
      <c r="AI185" s="44">
        <v>62.193801999999998</v>
      </c>
      <c r="AJ185" s="33">
        <f>IF(ISBLANK(AI186),"",Short0[[#This Row],[Adj Close]]/AI186-1)</f>
        <v>2.2310803560317005E-2</v>
      </c>
      <c r="AK185" s="37">
        <v>43801</v>
      </c>
      <c r="AL185" s="44">
        <v>73.214995999999999</v>
      </c>
      <c r="AM185" s="36">
        <f>IF(ISBLANK(AL186),"",Short1[[#This Row],[Adj Close]]/AL186-1)</f>
        <v>1.7484855956920065E-2</v>
      </c>
      <c r="AN185" s="29">
        <v>43801</v>
      </c>
      <c r="AO185" s="44">
        <v>56.121059000000002</v>
      </c>
      <c r="AP185" s="33">
        <f>IF(ISBLANK(AO186),"",Short2[[#This Row],[Adj Close]]/AO186-1)</f>
        <v>-1.5088067664349114E-2</v>
      </c>
      <c r="AQ185" s="37">
        <v>43801</v>
      </c>
      <c r="AR185" s="44">
        <v>147.88999899999999</v>
      </c>
      <c r="AS185" s="36">
        <f>IF(ISBLANK(AR186),"",Short3[[#This Row],[Adj Close]]/AR186-1)</f>
        <v>-8.9130276845394985E-3</v>
      </c>
    </row>
    <row r="186" spans="1:45" x14ac:dyDescent="0.25">
      <c r="A186" s="37">
        <v>43794</v>
      </c>
      <c r="B186" s="39">
        <v>3140.9799800000001</v>
      </c>
      <c r="C186" s="36">
        <f>IF(ISBLANK(B187), "", GSPC[[#This Row],[Adj Close]]/B187-1)</f>
        <v>9.8672280125577938E-3</v>
      </c>
      <c r="D18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46706.555027000002</v>
      </c>
      <c r="E18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34153.170579999998</v>
      </c>
      <c r="F186" s="11">
        <f>IF(ISBLANK(GSPC[[#This Row],[Long Exp.]]), "", (GSPC[[#This Row],[Long Exp.]]/D187-1)+(E187/GSPC[[#This Row],[Short Exp.]]-1))</f>
        <v>-1.0619962568205299E-2</v>
      </c>
      <c r="G186" s="37">
        <v>43794</v>
      </c>
      <c r="H186" s="44">
        <v>17.196508000000001</v>
      </c>
      <c r="I186" s="36">
        <f>IF(ISBLANK(H187), "", Long0[[#This Row],[Adj Close]]/H187-1)</f>
        <v>8.3045113454378594E-2</v>
      </c>
      <c r="J186" s="29">
        <v>43794</v>
      </c>
      <c r="K186" s="44">
        <v>28.598661</v>
      </c>
      <c r="L186" s="33">
        <f>IF(ISBLANK(K187),"",Long1[[#This Row],[Adj Close]]/K187-1)</f>
        <v>-7.3229672866711448E-3</v>
      </c>
      <c r="M186" s="37">
        <v>43794</v>
      </c>
      <c r="N186" s="44">
        <v>18.267834000000001</v>
      </c>
      <c r="O186" s="36">
        <f>IF(ISBLANK(N187),"",Long2[[#This Row],[Adj Close]]/N187-1)</f>
        <v>4.9008758682552944E-2</v>
      </c>
      <c r="P186" s="29">
        <v>43794</v>
      </c>
      <c r="Q186" s="44">
        <v>28.818380000000001</v>
      </c>
      <c r="R186" s="33">
        <f>IF(ISBLANK(Q187),"",Long3[[#This Row],[Adj Close]]/Q187-1)</f>
        <v>6.2090639393819202E-3</v>
      </c>
      <c r="S186" s="37">
        <v>43794</v>
      </c>
      <c r="T186" s="44">
        <v>42.225822000000001</v>
      </c>
      <c r="U186" s="36">
        <f>IF(ISBLANK(T187),"",Long4[[#This Row],[Adj Close]]/T187-1)</f>
        <v>2.021318887572976E-2</v>
      </c>
      <c r="V186" s="29">
        <v>43794</v>
      </c>
      <c r="W186" s="44">
        <v>73.050422999999995</v>
      </c>
      <c r="X186" s="33">
        <f>IF(ISBLANK(W187),"",Long5[[#This Row],[Adj Close]]/W187-1)</f>
        <v>7.4402193138538131E-2</v>
      </c>
      <c r="Y186" s="37">
        <v>43794</v>
      </c>
      <c r="Z186" s="44">
        <v>190.21313499999999</v>
      </c>
      <c r="AA186" s="36">
        <f>IF(ISBLANK(Z187),"",Long6[[#This Row],[Adj Close]]/Z187-1)</f>
        <v>6.8430214470966977E-3</v>
      </c>
      <c r="AH186" s="29">
        <v>43794</v>
      </c>
      <c r="AI186" s="44">
        <v>60.836491000000002</v>
      </c>
      <c r="AJ186" s="33">
        <f>IF(ISBLANK(AI187),"",Short0[[#This Row],[Adj Close]]/AI187-1)</f>
        <v>2.3654186440255298E-2</v>
      </c>
      <c r="AK186" s="37">
        <v>43794</v>
      </c>
      <c r="AL186" s="44">
        <v>71.956840999999997</v>
      </c>
      <c r="AM186" s="36">
        <f>IF(ISBLANK(AL187),"",Short1[[#This Row],[Adj Close]]/AL187-1)</f>
        <v>0.11013237274383192</v>
      </c>
      <c r="AN186" s="29">
        <v>43794</v>
      </c>
      <c r="AO186" s="44">
        <v>56.980789000000001</v>
      </c>
      <c r="AP186" s="33">
        <f>IF(ISBLANK(AO187),"",Short2[[#This Row],[Adj Close]]/AO187-1)</f>
        <v>1.4800892250171893E-2</v>
      </c>
      <c r="AQ186" s="37">
        <v>43794</v>
      </c>
      <c r="AR186" s="44">
        <v>149.220001</v>
      </c>
      <c r="AS186" s="36">
        <f>IF(ISBLANK(AR187),"",Short3[[#This Row],[Adj Close]]/AR187-1)</f>
        <v>6.2064064056939428E-2</v>
      </c>
    </row>
    <row r="187" spans="1:45" x14ac:dyDescent="0.25">
      <c r="A187" s="37">
        <v>43787</v>
      </c>
      <c r="B187" s="39">
        <v>3110.290039</v>
      </c>
      <c r="C187" s="36">
        <f>IF(ISBLANK(B188), "", GSPC[[#This Row],[Adj Close]]/B188-1)</f>
        <v>-3.2591099155589998E-3</v>
      </c>
      <c r="D18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45047.517928000001</v>
      </c>
      <c r="E18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32532.651667999999</v>
      </c>
      <c r="F187" s="11">
        <f>IF(ISBLANK(GSPC[[#This Row],[Long Exp.]]), "", (GSPC[[#This Row],[Long Exp.]]/D188-1)+(E188/GSPC[[#This Row],[Short Exp.]]-1))</f>
        <v>-5.2621642550209957E-2</v>
      </c>
      <c r="G187" s="37">
        <v>43787</v>
      </c>
      <c r="H187" s="44">
        <v>15.877924</v>
      </c>
      <c r="I187" s="36">
        <f>IF(ISBLANK(H188), "", Long0[[#This Row],[Adj Close]]/H188-1)</f>
        <v>-2.0338833089506902E-2</v>
      </c>
      <c r="J187" s="29">
        <v>43787</v>
      </c>
      <c r="K187" s="44">
        <v>28.809633000000002</v>
      </c>
      <c r="L187" s="33">
        <f>IF(ISBLANK(K188),"",Long1[[#This Row],[Adj Close]]/K188-1)</f>
        <v>-4.0650289867091294E-3</v>
      </c>
      <c r="M187" s="37">
        <v>43787</v>
      </c>
      <c r="N187" s="44">
        <v>17.414377000000002</v>
      </c>
      <c r="O187" s="36">
        <f>IF(ISBLANK(N188),"",Long2[[#This Row],[Adj Close]]/N188-1)</f>
        <v>-8.050652676278458E-2</v>
      </c>
      <c r="P187" s="29">
        <v>43787</v>
      </c>
      <c r="Q187" s="44">
        <v>28.640549</v>
      </c>
      <c r="R187" s="33">
        <f>IF(ISBLANK(Q188),"",Long3[[#This Row],[Adj Close]]/Q188-1)</f>
        <v>-2.653989936121981E-3</v>
      </c>
      <c r="S187" s="37">
        <v>43787</v>
      </c>
      <c r="T187" s="44">
        <v>41.389214000000003</v>
      </c>
      <c r="U187" s="36">
        <f>IF(ISBLANK(T188),"",Long4[[#This Row],[Adj Close]]/T188-1)</f>
        <v>1.557270853428161E-3</v>
      </c>
      <c r="V187" s="29">
        <v>43787</v>
      </c>
      <c r="W187" s="44">
        <v>67.991692</v>
      </c>
      <c r="X187" s="33">
        <f>IF(ISBLANK(W188),"",Long5[[#This Row],[Adj Close]]/W188-1)</f>
        <v>-1.5209656921718939E-2</v>
      </c>
      <c r="Y187" s="37">
        <v>43787</v>
      </c>
      <c r="Z187" s="44">
        <v>188.92034899999999</v>
      </c>
      <c r="AA187" s="36">
        <f>IF(ISBLANK(Z188),"",Long6[[#This Row],[Adj Close]]/Z188-1)</f>
        <v>-4.6418415360715337E-2</v>
      </c>
      <c r="AH187" s="29">
        <v>43787</v>
      </c>
      <c r="AI187" s="44">
        <v>59.430706000000001</v>
      </c>
      <c r="AJ187" s="33">
        <f>IF(ISBLANK(AI188),"",Short0[[#This Row],[Adj Close]]/AI188-1)</f>
        <v>-2.1860491740752663E-2</v>
      </c>
      <c r="AK187" s="37">
        <v>43787</v>
      </c>
      <c r="AL187" s="44">
        <v>64.818252999999999</v>
      </c>
      <c r="AM187" s="36">
        <f>IF(ISBLANK(AL188),"",Short1[[#This Row],[Adj Close]]/AL188-1)</f>
        <v>-5.7724643438308743E-2</v>
      </c>
      <c r="AN187" s="29">
        <v>43787</v>
      </c>
      <c r="AO187" s="44">
        <v>56.149723000000002</v>
      </c>
      <c r="AP187" s="33">
        <f>IF(ISBLANK(AO188),"",Short2[[#This Row],[Adj Close]]/AO188-1)</f>
        <v>-9.6040657973269772E-3</v>
      </c>
      <c r="AQ187" s="37">
        <v>43787</v>
      </c>
      <c r="AR187" s="44">
        <v>140.5</v>
      </c>
      <c r="AS187" s="36">
        <f>IF(ISBLANK(AR188),"",Short3[[#This Row],[Adj Close]]/AR188-1)</f>
        <v>0.17869130483283491</v>
      </c>
    </row>
    <row r="188" spans="1:45" x14ac:dyDescent="0.25">
      <c r="A188" s="37">
        <v>43780</v>
      </c>
      <c r="B188" s="39">
        <v>3120.459961</v>
      </c>
      <c r="C188" s="36">
        <f>IF(ISBLANK(B189), "", GSPC[[#This Row],[Adj Close]]/B189-1)</f>
        <v>8.8519800036033214E-3</v>
      </c>
      <c r="D18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46187.687997999994</v>
      </c>
      <c r="E18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31623.817619000001</v>
      </c>
      <c r="F188" s="11">
        <f>IF(ISBLANK(GSPC[[#This Row],[Long Exp.]]), "", (GSPC[[#This Row],[Long Exp.]]/D189-1)+(E189/GSPC[[#This Row],[Short Exp.]]-1))</f>
        <v>9.840758434305763E-3</v>
      </c>
      <c r="G188" s="37">
        <v>43780</v>
      </c>
      <c r="H188" s="44">
        <v>16.207567000000001</v>
      </c>
      <c r="I188" s="36">
        <f>IF(ISBLANK(H189), "", Long0[[#This Row],[Adj Close]]/H189-1)</f>
        <v>5.1105855830995139E-3</v>
      </c>
      <c r="J188" s="29">
        <v>43780</v>
      </c>
      <c r="K188" s="44">
        <v>28.927223000000001</v>
      </c>
      <c r="L188" s="33">
        <f>IF(ISBLANK(K189),"",Long1[[#This Row],[Adj Close]]/K189-1)</f>
        <v>-1.1814747045553076E-2</v>
      </c>
      <c r="M188" s="37">
        <v>43780</v>
      </c>
      <c r="N188" s="44">
        <v>18.939098000000001</v>
      </c>
      <c r="O188" s="36">
        <f>IF(ISBLANK(N189),"",Long2[[#This Row],[Adj Close]]/N189-1)</f>
        <v>-5.0936946238679837E-2</v>
      </c>
      <c r="P188" s="29">
        <v>43780</v>
      </c>
      <c r="Q188" s="44">
        <v>28.716763</v>
      </c>
      <c r="R188" s="33">
        <f>IF(ISBLANK(Q189),"",Long3[[#This Row],[Adj Close]]/Q189-1)</f>
        <v>5.6344640362158138E-3</v>
      </c>
      <c r="S188" s="37">
        <v>43780</v>
      </c>
      <c r="T188" s="44">
        <v>41.324860000000001</v>
      </c>
      <c r="U188" s="36">
        <f>IF(ISBLANK(T189),"",Long4[[#This Row],[Adj Close]]/T189-1)</f>
        <v>-1.8987132177385679E-2</v>
      </c>
      <c r="V188" s="29">
        <v>43780</v>
      </c>
      <c r="W188" s="44">
        <v>69.041793999999996</v>
      </c>
      <c r="X188" s="33">
        <f>IF(ISBLANK(W189),"",Long5[[#This Row],[Adj Close]]/W189-1)</f>
        <v>-4.8697273699290777E-3</v>
      </c>
      <c r="Y188" s="37">
        <v>43780</v>
      </c>
      <c r="Z188" s="44">
        <v>198.11660800000001</v>
      </c>
      <c r="AA188" s="36">
        <f>IF(ISBLANK(Z189),"",Long6[[#This Row],[Adj Close]]/Z189-1)</f>
        <v>1.2057053798042006E-2</v>
      </c>
      <c r="AH188" s="29">
        <v>43780</v>
      </c>
      <c r="AI188" s="44">
        <v>60.758926000000002</v>
      </c>
      <c r="AJ188" s="33">
        <f>IF(ISBLANK(AI189),"",Short0[[#This Row],[Adj Close]]/AI189-1)</f>
        <v>-2.2003885076149587E-2</v>
      </c>
      <c r="AK188" s="37">
        <v>43780</v>
      </c>
      <c r="AL188" s="44">
        <v>68.789078000000003</v>
      </c>
      <c r="AM188" s="36">
        <f>IF(ISBLANK(AL189),"",Short1[[#This Row],[Adj Close]]/AL189-1)</f>
        <v>3.122627413301382E-3</v>
      </c>
      <c r="AN188" s="29">
        <v>43780</v>
      </c>
      <c r="AO188" s="44">
        <v>56.694217999999999</v>
      </c>
      <c r="AP188" s="33">
        <f>IF(ISBLANK(AO189),"",Short2[[#This Row],[Adj Close]]/AO189-1)</f>
        <v>2.6816740884532564E-2</v>
      </c>
      <c r="AQ188" s="37">
        <v>43780</v>
      </c>
      <c r="AR188" s="44">
        <v>119.199997</v>
      </c>
      <c r="AS188" s="36">
        <f>IF(ISBLANK(AR189),"",Short3[[#This Row],[Adj Close]]/AR189-1)</f>
        <v>-4.662882545492153E-2</v>
      </c>
    </row>
    <row r="189" spans="1:45" x14ac:dyDescent="0.25">
      <c r="A189" s="37">
        <v>43773</v>
      </c>
      <c r="B189" s="39">
        <v>3093.080078</v>
      </c>
      <c r="C189" s="36">
        <f>IF(ISBLANK(B190), "", GSPC[[#This Row],[Adj Close]]/B190-1)</f>
        <v>8.5330729466825961E-3</v>
      </c>
      <c r="D18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46397.189536000005</v>
      </c>
      <c r="E18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32077.813928999996</v>
      </c>
      <c r="F189" s="11">
        <f>IF(ISBLANK(GSPC[[#This Row],[Long Exp.]]), "", (GSPC[[#This Row],[Long Exp.]]/D190-1)+(E190/GSPC[[#This Row],[Short Exp.]]-1))</f>
        <v>-4.0523665706654999E-2</v>
      </c>
      <c r="G189" s="37">
        <v>43773</v>
      </c>
      <c r="H189" s="44">
        <v>16.125157999999999</v>
      </c>
      <c r="I189" s="36">
        <f>IF(ISBLANK(H190), "", Long0[[#This Row],[Adj Close]]/H190-1)</f>
        <v>-0.1051829515299697</v>
      </c>
      <c r="J189" s="29">
        <v>43773</v>
      </c>
      <c r="K189" s="44">
        <v>29.273077000000001</v>
      </c>
      <c r="L189" s="33">
        <f>IF(ISBLANK(K190),"",Long1[[#This Row],[Adj Close]]/K190-1)</f>
        <v>6.6397913096139183E-2</v>
      </c>
      <c r="M189" s="37">
        <v>43773</v>
      </c>
      <c r="N189" s="44">
        <v>19.955573999999999</v>
      </c>
      <c r="O189" s="36">
        <f>IF(ISBLANK(N190),"",Long2[[#This Row],[Adj Close]]/N190-1)</f>
        <v>7.2603946358451577E-3</v>
      </c>
      <c r="P189" s="29">
        <v>43773</v>
      </c>
      <c r="Q189" s="44">
        <v>28.555866000000002</v>
      </c>
      <c r="R189" s="33">
        <f>IF(ISBLANK(Q190),"",Long3[[#This Row],[Adj Close]]/Q190-1)</f>
        <v>3.870382134145256E-3</v>
      </c>
      <c r="S189" s="37">
        <v>43773</v>
      </c>
      <c r="T189" s="44">
        <v>42.124687000000002</v>
      </c>
      <c r="U189" s="36">
        <f>IF(ISBLANK(T190),"",Long4[[#This Row],[Adj Close]]/T190-1)</f>
        <v>-4.4819813584175749E-2</v>
      </c>
      <c r="V189" s="29">
        <v>43773</v>
      </c>
      <c r="W189" s="44">
        <v>69.379654000000002</v>
      </c>
      <c r="X189" s="33">
        <f>IF(ISBLANK(W190),"",Long5[[#This Row],[Adj Close]]/W190-1)</f>
        <v>-6.5206509617433128E-2</v>
      </c>
      <c r="Y189" s="37">
        <v>43773</v>
      </c>
      <c r="Z189" s="44">
        <v>195.75636299999999</v>
      </c>
      <c r="AA189" s="36">
        <f>IF(ISBLANK(Z190),"",Long6[[#This Row],[Adj Close]]/Z190-1)</f>
        <v>5.1291085268012626E-3</v>
      </c>
      <c r="AH189" s="29">
        <v>43773</v>
      </c>
      <c r="AI189" s="44">
        <v>62.125937999999998</v>
      </c>
      <c r="AJ189" s="33">
        <f>IF(ISBLANK(AI190),"",Short0[[#This Row],[Adj Close]]/AI190-1)</f>
        <v>1.6336322950211146E-2</v>
      </c>
      <c r="AK189" s="37">
        <v>43773</v>
      </c>
      <c r="AL189" s="44">
        <v>68.574944000000002</v>
      </c>
      <c r="AM189" s="36">
        <f>IF(ISBLANK(AL190),"",Short1[[#This Row],[Adj Close]]/AL190-1)</f>
        <v>5.3894980797041914E-2</v>
      </c>
      <c r="AN189" s="29">
        <v>43773</v>
      </c>
      <c r="AO189" s="44">
        <v>55.213569999999997</v>
      </c>
      <c r="AP189" s="33">
        <f>IF(ISBLANK(AO190),"",Short2[[#This Row],[Adj Close]]/AO190-1)</f>
        <v>-5.0591516664609593E-2</v>
      </c>
      <c r="AQ189" s="37">
        <v>43773</v>
      </c>
      <c r="AR189" s="44">
        <v>125.029999</v>
      </c>
      <c r="AS189" s="36">
        <f>IF(ISBLANK(AR190),"",Short3[[#This Row],[Adj Close]]/AR190-1)</f>
        <v>1.5595792254115892E-2</v>
      </c>
    </row>
    <row r="190" spans="1:45" x14ac:dyDescent="0.25">
      <c r="A190" s="37">
        <v>43766</v>
      </c>
      <c r="B190" s="39">
        <v>3066.9099120000001</v>
      </c>
      <c r="C190" s="36">
        <f>IF(ISBLANK(B191), "", GSPC[[#This Row],[Adj Close]]/B191-1)</f>
        <v>1.4676303876151264E-2</v>
      </c>
      <c r="D19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47923.322929999995</v>
      </c>
      <c r="E19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31799.431463000001</v>
      </c>
      <c r="F190" s="11">
        <f>IF(ISBLANK(GSPC[[#This Row],[Long Exp.]]), "", (GSPC[[#This Row],[Long Exp.]]/D191-1)+(E191/GSPC[[#This Row],[Short Exp.]]-1))</f>
        <v>1.4515234058686155E-2</v>
      </c>
      <c r="G190" s="37">
        <v>43766</v>
      </c>
      <c r="H190" s="44">
        <v>18.020620000000001</v>
      </c>
      <c r="I190" s="36">
        <f>IF(ISBLANK(H191), "", Long0[[#This Row],[Adj Close]]/H191-1)</f>
        <v>5.2406338912355244E-2</v>
      </c>
      <c r="J190" s="29">
        <v>43766</v>
      </c>
      <c r="K190" s="44">
        <v>27.450426</v>
      </c>
      <c r="L190" s="33">
        <f>IF(ISBLANK(K191),"",Long1[[#This Row],[Adj Close]]/K191-1)</f>
        <v>-4.3904069553621916E-3</v>
      </c>
      <c r="M190" s="37">
        <v>43766</v>
      </c>
      <c r="N190" s="44">
        <v>19.811733</v>
      </c>
      <c r="O190" s="36">
        <f>IF(ISBLANK(N191),"",Long2[[#This Row],[Adj Close]]/N191-1)</f>
        <v>5.8423106172473815E-3</v>
      </c>
      <c r="P190" s="29">
        <v>43766</v>
      </c>
      <c r="Q190" s="44">
        <v>28.44577</v>
      </c>
      <c r="R190" s="33">
        <f>IF(ISBLANK(Q191),"",Long3[[#This Row],[Adj Close]]/Q191-1)</f>
        <v>1.1137783761854703E-2</v>
      </c>
      <c r="S190" s="37">
        <v>43766</v>
      </c>
      <c r="T190" s="44">
        <v>44.101298999999997</v>
      </c>
      <c r="U190" s="36">
        <f>IF(ISBLANK(T191),"",Long4[[#This Row],[Adj Close]]/T191-1)</f>
        <v>8.8327915077170971E-3</v>
      </c>
      <c r="V190" s="29">
        <v>43766</v>
      </c>
      <c r="W190" s="44">
        <v>74.219230999999994</v>
      </c>
      <c r="X190" s="33">
        <f>IF(ISBLANK(W191),"",Long5[[#This Row],[Adj Close]]/W191-1)</f>
        <v>-7.1616474812926767E-2</v>
      </c>
      <c r="Y190" s="37">
        <v>43766</v>
      </c>
      <c r="Z190" s="44">
        <v>194.757431</v>
      </c>
      <c r="AA190" s="36">
        <f>IF(ISBLANK(Z191),"",Long6[[#This Row],[Adj Close]]/Z191-1)</f>
        <v>0.13757810818522209</v>
      </c>
      <c r="AH190" s="29">
        <v>43766</v>
      </c>
      <c r="AI190" s="44">
        <v>61.127341999999999</v>
      </c>
      <c r="AJ190" s="33">
        <f>IF(ISBLANK(AI191),"",Short0[[#This Row],[Adj Close]]/AI191-1)</f>
        <v>2.9892146076360593E-2</v>
      </c>
      <c r="AK190" s="37">
        <v>43766</v>
      </c>
      <c r="AL190" s="44">
        <v>65.068100000000001</v>
      </c>
      <c r="AM190" s="36">
        <f>IF(ISBLANK(AL191),"",Short1[[#This Row],[Adj Close]]/AL191-1)</f>
        <v>-3.1442853435807994E-3</v>
      </c>
      <c r="AN190" s="29">
        <v>43766</v>
      </c>
      <c r="AO190" s="44">
        <v>58.155757999999999</v>
      </c>
      <c r="AP190" s="33">
        <f>IF(ISBLANK(AO191),"",Short2[[#This Row],[Adj Close]]/AO191-1)</f>
        <v>-1.5046065536732378E-2</v>
      </c>
      <c r="AQ190" s="37">
        <v>43766</v>
      </c>
      <c r="AR190" s="44">
        <v>123.110001</v>
      </c>
      <c r="AS190" s="36">
        <f>IF(ISBLANK(AR191),"",Short3[[#This Row],[Adj Close]]/AR191-1)</f>
        <v>2.9519977763506011E-2</v>
      </c>
    </row>
    <row r="191" spans="1:45" x14ac:dyDescent="0.25">
      <c r="A191" s="37">
        <v>43759</v>
      </c>
      <c r="B191" s="39">
        <v>3022.5500489999999</v>
      </c>
      <c r="C191" s="36">
        <f>IF(ISBLANK(B192), "", GSPC[[#This Row],[Adj Close]]/B192-1)</f>
        <v>1.217269392420528E-2</v>
      </c>
      <c r="D19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46626.056392999999</v>
      </c>
      <c r="E19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31376.259049</v>
      </c>
      <c r="F191" s="11">
        <f>IF(ISBLANK(GSPC[[#This Row],[Long Exp.]]), "", (GSPC[[#This Row],[Long Exp.]]/D192-1)+(E192/GSPC[[#This Row],[Short Exp.]]-1))</f>
        <v>-2.7222681863120601E-2</v>
      </c>
      <c r="G191" s="37">
        <v>43759</v>
      </c>
      <c r="H191" s="44">
        <v>17.123252999999998</v>
      </c>
      <c r="I191" s="36">
        <f>IF(ISBLANK(H192), "", Long0[[#This Row],[Adj Close]]/H192-1)</f>
        <v>2.0185589649085234E-2</v>
      </c>
      <c r="J191" s="29">
        <v>43759</v>
      </c>
      <c r="K191" s="44">
        <v>27.571476000000001</v>
      </c>
      <c r="L191" s="33">
        <f>IF(ISBLANK(K192),"",Long1[[#This Row],[Adj Close]]/K192-1)</f>
        <v>3.8832431433665437E-2</v>
      </c>
      <c r="M191" s="37">
        <v>43759</v>
      </c>
      <c r="N191" s="44">
        <v>19.696659</v>
      </c>
      <c r="O191" s="36">
        <f>IF(ISBLANK(N192),"",Long2[[#This Row],[Adj Close]]/N192-1)</f>
        <v>5.0639379831993958E-2</v>
      </c>
      <c r="P191" s="29">
        <v>43759</v>
      </c>
      <c r="Q191" s="44">
        <v>28.132436999999999</v>
      </c>
      <c r="R191" s="33">
        <f>IF(ISBLANK(Q192),"",Long3[[#This Row],[Adj Close]]/Q192-1)</f>
        <v>3.7152770097195642E-2</v>
      </c>
      <c r="S191" s="37">
        <v>43759</v>
      </c>
      <c r="T191" s="44">
        <v>43.715172000000003</v>
      </c>
      <c r="U191" s="36">
        <f>IF(ISBLANK(T192),"",Long4[[#This Row],[Adj Close]]/T192-1)</f>
        <v>1.7112480797031537E-2</v>
      </c>
      <c r="V191" s="29">
        <v>43759</v>
      </c>
      <c r="W191" s="44">
        <v>79.944580000000002</v>
      </c>
      <c r="X191" s="33">
        <f>IF(ISBLANK(W192),"",Long5[[#This Row],[Adj Close]]/W192-1)</f>
        <v>-3.8651395367341967E-2</v>
      </c>
      <c r="Y191" s="37">
        <v>43759</v>
      </c>
      <c r="Z191" s="44">
        <v>171.20356799999999</v>
      </c>
      <c r="AA191" s="36">
        <f>IF(ISBLANK(Z192),"",Long6[[#This Row],[Adj Close]]/Z192-1)</f>
        <v>1.6810092204757598E-2</v>
      </c>
      <c r="AH191" s="29">
        <v>43759</v>
      </c>
      <c r="AI191" s="44">
        <v>59.353149000000002</v>
      </c>
      <c r="AJ191" s="33">
        <f>IF(ISBLANK(AI192),"",Short0[[#This Row],[Adj Close]]/AI192-1)</f>
        <v>6.5436843806054856E-2</v>
      </c>
      <c r="AK191" s="37">
        <v>43759</v>
      </c>
      <c r="AL191" s="44">
        <v>65.273337999999995</v>
      </c>
      <c r="AM191" s="36">
        <f>IF(ISBLANK(AL192),"",Short1[[#This Row],[Adj Close]]/AL192-1)</f>
        <v>3.7294297634716367E-2</v>
      </c>
      <c r="AN191" s="29">
        <v>43759</v>
      </c>
      <c r="AO191" s="44">
        <v>59.044139999999999</v>
      </c>
      <c r="AP191" s="33">
        <f>IF(ISBLANK(AO192),"",Short2[[#This Row],[Adj Close]]/AO192-1)</f>
        <v>2.2758077769791107E-3</v>
      </c>
      <c r="AQ191" s="37">
        <v>43759</v>
      </c>
      <c r="AR191" s="44">
        <v>119.58000199999999</v>
      </c>
      <c r="AS191" s="36">
        <f>IF(ISBLANK(AR192),"",Short3[[#This Row],[Adj Close]]/AR192-1)</f>
        <v>7.778283220683635E-2</v>
      </c>
    </row>
    <row r="192" spans="1:45" x14ac:dyDescent="0.25">
      <c r="A192" s="37">
        <v>43752</v>
      </c>
      <c r="B192" s="39">
        <v>2986.1999510000001</v>
      </c>
      <c r="C192" s="36">
        <f>IF(ISBLANK(B193), "", GSPC[[#This Row],[Adj Close]]/B193-1)</f>
        <v>5.3631255383306264E-3</v>
      </c>
      <c r="D19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45748.649174999999</v>
      </c>
      <c r="E19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29920.352059000001</v>
      </c>
      <c r="F192" s="11">
        <f>IF(ISBLANK(GSPC[[#This Row],[Long Exp.]]), "", (GSPC[[#This Row],[Long Exp.]]/D193-1)+(E193/GSPC[[#This Row],[Short Exp.]]-1))</f>
        <v>9.8758964806473504E-3</v>
      </c>
      <c r="G192" s="37">
        <v>43752</v>
      </c>
      <c r="H192" s="44">
        <v>16.784448999999999</v>
      </c>
      <c r="I192" s="36">
        <f>IF(ISBLANK(H193), "", Long0[[#This Row],[Adj Close]]/H193-1)</f>
        <v>-3.0158580200313367E-2</v>
      </c>
      <c r="J192" s="29">
        <v>43752</v>
      </c>
      <c r="K192" s="44">
        <v>26.540831000000001</v>
      </c>
      <c r="L192" s="33">
        <f>IF(ISBLANK(K193),"",Long1[[#This Row],[Adj Close]]/K193-1)</f>
        <v>3.6466789875044148E-2</v>
      </c>
      <c r="M192" s="37">
        <v>43752</v>
      </c>
      <c r="N192" s="44">
        <v>18.747306999999999</v>
      </c>
      <c r="O192" s="36">
        <f>IF(ISBLANK(N193),"",Long2[[#This Row],[Adj Close]]/N193-1)</f>
        <v>-5.6467153193565212E-2</v>
      </c>
      <c r="P192" s="29">
        <v>43752</v>
      </c>
      <c r="Q192" s="44">
        <v>27.124680000000001</v>
      </c>
      <c r="R192" s="33">
        <f>IF(ISBLANK(Q193),"",Long3[[#This Row],[Adj Close]]/Q193-1)</f>
        <v>1.9089987928572416E-2</v>
      </c>
      <c r="S192" s="37">
        <v>43752</v>
      </c>
      <c r="T192" s="44">
        <v>42.979683000000001</v>
      </c>
      <c r="U192" s="36">
        <f>IF(ISBLANK(T193),"",Long4[[#This Row],[Adj Close]]/T193-1)</f>
        <v>2.7472247824882778E-2</v>
      </c>
      <c r="V192" s="29">
        <v>43752</v>
      </c>
      <c r="W192" s="44">
        <v>83.158783</v>
      </c>
      <c r="X192" s="33">
        <f>IF(ISBLANK(W193),"",Long5[[#This Row],[Adj Close]]/W193-1)</f>
        <v>2.7298497595961591E-2</v>
      </c>
      <c r="Y192" s="37">
        <v>43752</v>
      </c>
      <c r="Z192" s="44">
        <v>168.373199</v>
      </c>
      <c r="AA192" s="36">
        <f>IF(ISBLANK(Z193),"",Long6[[#This Row],[Adj Close]]/Z193-1)</f>
        <v>1.517587652714969E-2</v>
      </c>
      <c r="AH192" s="29">
        <v>43752</v>
      </c>
      <c r="AI192" s="44">
        <v>55.707805999999998</v>
      </c>
      <c r="AJ192" s="33">
        <f>IF(ISBLANK(AI193),"",Short0[[#This Row],[Adj Close]]/AI193-1)</f>
        <v>-2.084115924738783E-3</v>
      </c>
      <c r="AK192" s="37">
        <v>43752</v>
      </c>
      <c r="AL192" s="44">
        <v>62.926537000000003</v>
      </c>
      <c r="AM192" s="36">
        <f>IF(ISBLANK(AL193),"",Short1[[#This Row],[Adj Close]]/AL193-1)</f>
        <v>1.4238431517166861E-2</v>
      </c>
      <c r="AN192" s="29">
        <v>43752</v>
      </c>
      <c r="AO192" s="44">
        <v>58.910072</v>
      </c>
      <c r="AP192" s="33">
        <f>IF(ISBLANK(AO193),"",Short2[[#This Row],[Adj Close]]/AO193-1)</f>
        <v>5.4511406761785119E-2</v>
      </c>
      <c r="AQ192" s="37">
        <v>43752</v>
      </c>
      <c r="AR192" s="44">
        <v>110.949997</v>
      </c>
      <c r="AS192" s="36">
        <f>IF(ISBLANK(AR193),"",Short3[[#This Row],[Adj Close]]/AR193-1)</f>
        <v>-8.1615769913347735E-2</v>
      </c>
    </row>
    <row r="193" spans="1:45" x14ac:dyDescent="0.25">
      <c r="A193" s="37">
        <v>43745</v>
      </c>
      <c r="B193" s="39">
        <v>2970.2700199999999</v>
      </c>
      <c r="C193" s="36">
        <f>IF(ISBLANK(B194), "", GSPC[[#This Row],[Adj Close]]/B194-1)</f>
        <v>6.1856192689535572E-3</v>
      </c>
      <c r="D19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45752.685486000002</v>
      </c>
      <c r="E19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30218.481938000001</v>
      </c>
      <c r="F193" s="11">
        <f>IF(ISBLANK(GSPC[[#This Row],[Long Exp.]]), "", (GSPC[[#This Row],[Long Exp.]]/D194-1)+(E194/GSPC[[#This Row],[Short Exp.]]-1))</f>
        <v>1.8760843393850202E-3</v>
      </c>
      <c r="G193" s="37">
        <v>43745</v>
      </c>
      <c r="H193" s="44">
        <v>17.306384999999999</v>
      </c>
      <c r="I193" s="36">
        <f>IF(ISBLANK(H194), "", Long0[[#This Row],[Adj Close]]/H194-1)</f>
        <v>-5.2906215027825887E-4</v>
      </c>
      <c r="J193" s="29">
        <v>43745</v>
      </c>
      <c r="K193" s="44">
        <v>25.607025</v>
      </c>
      <c r="L193" s="33">
        <f>IF(ISBLANK(K194),"",Long1[[#This Row],[Adj Close]]/K194-1)</f>
        <v>5.6506824729538385E-2</v>
      </c>
      <c r="M193" s="37">
        <v>43745</v>
      </c>
      <c r="N193" s="44">
        <v>19.869268000000002</v>
      </c>
      <c r="O193" s="36">
        <f>IF(ISBLANK(N194),"",Long2[[#This Row],[Adj Close]]/N194-1)</f>
        <v>6.8592161052613454E-2</v>
      </c>
      <c r="P193" s="29">
        <v>43745</v>
      </c>
      <c r="Q193" s="44">
        <v>26.616569999999999</v>
      </c>
      <c r="R193" s="33">
        <f>IF(ISBLANK(Q194),"",Long3[[#This Row],[Adj Close]]/Q194-1)</f>
        <v>1.6165527895391163E-2</v>
      </c>
      <c r="S193" s="37">
        <v>43745</v>
      </c>
      <c r="T193" s="44">
        <v>41.830505000000002</v>
      </c>
      <c r="U193" s="36">
        <f>IF(ISBLANK(T194),"",Long4[[#This Row],[Adj Close]]/T194-1)</f>
        <v>-6.1468599705394866E-2</v>
      </c>
      <c r="V193" s="29">
        <v>43745</v>
      </c>
      <c r="W193" s="44">
        <v>80.948997000000006</v>
      </c>
      <c r="X193" s="33">
        <f>IF(ISBLANK(W194),"",Long5[[#This Row],[Adj Close]]/W194-1)</f>
        <v>-1.5769482709682148E-3</v>
      </c>
      <c r="Y193" s="37">
        <v>43745</v>
      </c>
      <c r="Z193" s="44">
        <v>165.85618600000001</v>
      </c>
      <c r="AA193" s="36">
        <f>IF(ISBLANK(Z194),"",Long6[[#This Row],[Adj Close]]/Z194-1)</f>
        <v>1.1346716194323037E-2</v>
      </c>
      <c r="AH193" s="29">
        <v>43745</v>
      </c>
      <c r="AI193" s="44">
        <v>55.824150000000003</v>
      </c>
      <c r="AJ193" s="33">
        <f>IF(ISBLANK(AI194),"",Short0[[#This Row],[Adj Close]]/AI194-1)</f>
        <v>2.8214336287071928E-2</v>
      </c>
      <c r="AK193" s="37">
        <v>43745</v>
      </c>
      <c r="AL193" s="44">
        <v>62.043140000000001</v>
      </c>
      <c r="AM193" s="36">
        <f>IF(ISBLANK(AL194),"",Short1[[#This Row],[Adj Close]]/AL194-1)</f>
        <v>3.9467874336302611E-2</v>
      </c>
      <c r="AN193" s="29">
        <v>43745</v>
      </c>
      <c r="AO193" s="44">
        <v>55.864803000000002</v>
      </c>
      <c r="AP193" s="33">
        <f>IF(ISBLANK(AO194),"",Short2[[#This Row],[Adj Close]]/AO194-1)</f>
        <v>-1.6305179922933566E-2</v>
      </c>
      <c r="AQ193" s="37">
        <v>43745</v>
      </c>
      <c r="AR193" s="44">
        <v>120.80999799999999</v>
      </c>
      <c r="AS193" s="36">
        <f>IF(ISBLANK(AR194),"",Short3[[#This Row],[Adj Close]]/AR194-1)</f>
        <v>-1.6605616875956408E-2</v>
      </c>
    </row>
    <row r="194" spans="1:45" x14ac:dyDescent="0.25">
      <c r="A194" s="37">
        <v>43738</v>
      </c>
      <c r="B194" s="39">
        <v>2952.01001</v>
      </c>
      <c r="C194" s="36">
        <f>IF(ISBLANK(B195), "", GSPC[[#This Row],[Adj Close]]/B195-1)</f>
        <v>-3.3020669497902944E-3</v>
      </c>
      <c r="D19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45355.064415000001</v>
      </c>
      <c r="E19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30010.253444000002</v>
      </c>
      <c r="F194" s="11">
        <f>IF(ISBLANK(GSPC[[#This Row],[Long Exp.]]), "", (GSPC[[#This Row],[Long Exp.]]/D195-1)+(E195/GSPC[[#This Row],[Short Exp.]]-1))</f>
        <v>-3.1419768024356975E-2</v>
      </c>
      <c r="G194" s="37">
        <v>43738</v>
      </c>
      <c r="H194" s="44">
        <v>17.315546000000001</v>
      </c>
      <c r="I194" s="36">
        <f>IF(ISBLANK(H195), "", Long0[[#This Row],[Adj Close]]/H195-1)</f>
        <v>-1.9699151391383229E-2</v>
      </c>
      <c r="J194" s="29">
        <v>43738</v>
      </c>
      <c r="K194" s="44">
        <v>24.237444</v>
      </c>
      <c r="L194" s="33">
        <f>IF(ISBLANK(K195),"",Long1[[#This Row],[Adj Close]]/K195-1)</f>
        <v>-6.5211711596129263E-3</v>
      </c>
      <c r="M194" s="37">
        <v>43738</v>
      </c>
      <c r="N194" s="44">
        <v>18.593874</v>
      </c>
      <c r="O194" s="36">
        <f>IF(ISBLANK(N195),"",Long2[[#This Row],[Adj Close]]/N195-1)</f>
        <v>-4.2941903493054157E-2</v>
      </c>
      <c r="P194" s="29">
        <v>43738</v>
      </c>
      <c r="Q194" s="44">
        <v>26.193144</v>
      </c>
      <c r="R194" s="33">
        <f>IF(ISBLANK(Q195),"",Long3[[#This Row],[Adj Close]]/Q195-1)</f>
        <v>-2.1202418546836133E-2</v>
      </c>
      <c r="S194" s="37">
        <v>43738</v>
      </c>
      <c r="T194" s="44">
        <v>44.570171000000002</v>
      </c>
      <c r="U194" s="36">
        <f>IF(ISBLANK(T195),"",Long4[[#This Row],[Adj Close]]/T195-1)</f>
        <v>2.1642766842806305E-2</v>
      </c>
      <c r="V194" s="29">
        <v>43738</v>
      </c>
      <c r="W194" s="44">
        <v>81.076851000000005</v>
      </c>
      <c r="X194" s="33">
        <f>IF(ISBLANK(W195),"",Long5[[#This Row],[Adj Close]]/W195-1)</f>
        <v>2.045744221973389E-2</v>
      </c>
      <c r="Y194" s="37">
        <v>43738</v>
      </c>
      <c r="Z194" s="44">
        <v>163.99537699999999</v>
      </c>
      <c r="AA194" s="36">
        <f>IF(ISBLANK(Z195),"",Long6[[#This Row],[Adj Close]]/Z195-1)</f>
        <v>-9.7577657921008587E-3</v>
      </c>
      <c r="AH194" s="29">
        <v>43738</v>
      </c>
      <c r="AI194" s="44">
        <v>54.292327999999998</v>
      </c>
      <c r="AJ194" s="33">
        <f>IF(ISBLANK(AI195),"",Short0[[#This Row],[Adj Close]]/AI195-1)</f>
        <v>-1.9436202340461617E-2</v>
      </c>
      <c r="AK194" s="37">
        <v>43738</v>
      </c>
      <c r="AL194" s="44">
        <v>59.687404999999998</v>
      </c>
      <c r="AM194" s="36">
        <f>IF(ISBLANK(AL195),"",Short1[[#This Row],[Adj Close]]/AL195-1)</f>
        <v>-2.0213903711713943E-2</v>
      </c>
      <c r="AN194" s="29">
        <v>43738</v>
      </c>
      <c r="AO194" s="44">
        <v>56.790787000000002</v>
      </c>
      <c r="AP194" s="33">
        <f>IF(ISBLANK(AO195),"",Short2[[#This Row],[Adj Close]]/AO195-1)</f>
        <v>8.7170908268646263E-2</v>
      </c>
      <c r="AQ194" s="37">
        <v>43738</v>
      </c>
      <c r="AR194" s="44">
        <v>122.849998</v>
      </c>
      <c r="AS194" s="36">
        <f>IF(ISBLANK(AR195),"",Short3[[#This Row],[Adj Close]]/AR195-1)</f>
        <v>4.0572590895690208E-2</v>
      </c>
    </row>
    <row r="195" spans="1:45" x14ac:dyDescent="0.25">
      <c r="A195" s="37">
        <v>43731</v>
      </c>
      <c r="B195" s="39">
        <v>2961.790039</v>
      </c>
      <c r="C195" s="36">
        <f>IF(ISBLANK(B196), "", GSPC[[#This Row],[Adj Close]]/B196-1)</f>
        <v>-1.0120093551231668E-2</v>
      </c>
      <c r="D19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45881.956051000001</v>
      </c>
      <c r="E19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29411.965038999999</v>
      </c>
      <c r="F195" s="11">
        <f>IF(ISBLANK(GSPC[[#This Row],[Long Exp.]]), "", (GSPC[[#This Row],[Long Exp.]]/D196-1)+(E196/GSPC[[#This Row],[Short Exp.]]-1))</f>
        <v>-4.6815482425028754E-2</v>
      </c>
      <c r="G195" s="37">
        <v>43731</v>
      </c>
      <c r="H195" s="44">
        <v>17.663502000000001</v>
      </c>
      <c r="I195" s="36">
        <f>IF(ISBLANK(H196), "", Long0[[#This Row],[Adj Close]]/H196-1)</f>
        <v>-8.1428624695445539E-2</v>
      </c>
      <c r="J195" s="29">
        <v>43731</v>
      </c>
      <c r="K195" s="44">
        <v>24.396538</v>
      </c>
      <c r="L195" s="33">
        <f>IF(ISBLANK(K196),"",Long1[[#This Row],[Adj Close]]/K196-1)</f>
        <v>-1.850556566200201E-2</v>
      </c>
      <c r="M195" s="37">
        <v>43731</v>
      </c>
      <c r="N195" s="44">
        <v>19.428156000000001</v>
      </c>
      <c r="O195" s="36">
        <f>IF(ISBLANK(N196),"",Long2[[#This Row],[Adj Close]]/N196-1)</f>
        <v>-2.0783042687125497E-2</v>
      </c>
      <c r="P195" s="29">
        <v>43731</v>
      </c>
      <c r="Q195" s="44">
        <v>26.760532000000001</v>
      </c>
      <c r="R195" s="33">
        <f>IF(ISBLANK(Q196),"",Long3[[#This Row],[Adj Close]]/Q196-1)</f>
        <v>-2.5254316479790262E-3</v>
      </c>
      <c r="S195" s="37">
        <v>43731</v>
      </c>
      <c r="T195" s="44">
        <v>43.625984000000003</v>
      </c>
      <c r="U195" s="36">
        <f>IF(ISBLANK(T196),"",Long4[[#This Row],[Adj Close]]/T196-1)</f>
        <v>-3.670087970355651E-2</v>
      </c>
      <c r="V195" s="29">
        <v>43731</v>
      </c>
      <c r="W195" s="44">
        <v>79.451476999999997</v>
      </c>
      <c r="X195" s="33">
        <f>IF(ISBLANK(W196),"",Long5[[#This Row],[Adj Close]]/W196-1)</f>
        <v>-5.9409469834810213E-3</v>
      </c>
      <c r="Y195" s="37">
        <v>43731</v>
      </c>
      <c r="Z195" s="44">
        <v>165.61137400000001</v>
      </c>
      <c r="AA195" s="36">
        <f>IF(ISBLANK(Z196),"",Long6[[#This Row],[Adj Close]]/Z196-1)</f>
        <v>-6.9498596278275704E-2</v>
      </c>
      <c r="AH195" s="29">
        <v>43731</v>
      </c>
      <c r="AI195" s="44">
        <v>55.368481000000003</v>
      </c>
      <c r="AJ195" s="33">
        <f>IF(ISBLANK(AI196),"",Short0[[#This Row],[Adj Close]]/AI196-1)</f>
        <v>2.7107705743321997E-2</v>
      </c>
      <c r="AK195" s="37">
        <v>43731</v>
      </c>
      <c r="AL195" s="44">
        <v>60.918812000000003</v>
      </c>
      <c r="AM195" s="36">
        <f>IF(ISBLANK(AL196),"",Short1[[#This Row],[Adj Close]]/AL196-1)</f>
        <v>2.9992349131202634E-2</v>
      </c>
      <c r="AN195" s="29">
        <v>43731</v>
      </c>
      <c r="AO195" s="44">
        <v>52.237220999999998</v>
      </c>
      <c r="AP195" s="33">
        <f>IF(ISBLANK(AO196),"",Short2[[#This Row],[Adj Close]]/AO196-1)</f>
        <v>1.1460335207732486E-2</v>
      </c>
      <c r="AQ195" s="37">
        <v>43731</v>
      </c>
      <c r="AR195" s="44">
        <v>118.05999799999999</v>
      </c>
      <c r="AS195" s="36">
        <f>IF(ISBLANK(AR196),"",Short3[[#This Row],[Adj Close]]/AR196-1)</f>
        <v>-2.9111842584076397E-2</v>
      </c>
    </row>
    <row r="196" spans="1:45" x14ac:dyDescent="0.25">
      <c r="A196" s="37">
        <v>43724</v>
      </c>
      <c r="B196" s="39">
        <v>2992.070068</v>
      </c>
      <c r="C196" s="36">
        <f>IF(ISBLANK(B197), "", GSPC[[#This Row],[Adj Close]]/B197-1)</f>
        <v>-5.0940601468597579E-3</v>
      </c>
      <c r="D19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47772.801084999999</v>
      </c>
      <c r="E19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29199.153784999999</v>
      </c>
      <c r="F196" s="11">
        <f>IF(ISBLANK(GSPC[[#This Row],[Long Exp.]]), "", (GSPC[[#This Row],[Long Exp.]]/D197-1)+(E197/GSPC[[#This Row],[Short Exp.]]-1))</f>
        <v>-1.0076808035490714E-2</v>
      </c>
      <c r="G196" s="37">
        <v>43724</v>
      </c>
      <c r="H196" s="44">
        <v>19.229319</v>
      </c>
      <c r="I196" s="36">
        <f>IF(ISBLANK(H197), "", Long0[[#This Row],[Adj Close]]/H197-1)</f>
        <v>-3.1811871413819803E-2</v>
      </c>
      <c r="J196" s="29">
        <v>43724</v>
      </c>
      <c r="K196" s="44">
        <v>24.856521999999998</v>
      </c>
      <c r="L196" s="33">
        <f>IF(ISBLANK(K197),"",Long1[[#This Row],[Adj Close]]/K197-1)</f>
        <v>-3.8399794066514392E-2</v>
      </c>
      <c r="M196" s="37">
        <v>43724</v>
      </c>
      <c r="N196" s="44">
        <v>19.840502000000001</v>
      </c>
      <c r="O196" s="36">
        <f>IF(ISBLANK(N197),"",Long2[[#This Row],[Adj Close]]/N197-1)</f>
        <v>-8.6534150557646683E-2</v>
      </c>
      <c r="P196" s="29">
        <v>43724</v>
      </c>
      <c r="Q196" s="44">
        <v>26.828285000000001</v>
      </c>
      <c r="R196" s="33">
        <f>IF(ISBLANK(Q197),"",Long3[[#This Row],[Adj Close]]/Q197-1)</f>
        <v>4.0329720680564174E-2</v>
      </c>
      <c r="S196" s="37">
        <v>43724</v>
      </c>
      <c r="T196" s="44">
        <v>45.288097</v>
      </c>
      <c r="U196" s="36">
        <f>IF(ISBLANK(T197),"",Long4[[#This Row],[Adj Close]]/T197-1)</f>
        <v>4.8635847811051569E-2</v>
      </c>
      <c r="V196" s="29">
        <v>43724</v>
      </c>
      <c r="W196" s="44">
        <v>79.926315000000002</v>
      </c>
      <c r="X196" s="33">
        <f>IF(ISBLANK(W197),"",Long5[[#This Row],[Adj Close]]/W197-1)</f>
        <v>6.439178175877025E-3</v>
      </c>
      <c r="Y196" s="37">
        <v>43724</v>
      </c>
      <c r="Z196" s="44">
        <v>177.98078899999999</v>
      </c>
      <c r="AA196" s="36">
        <f>IF(ISBLANK(Z197),"",Long6[[#This Row],[Adj Close]]/Z197-1)</f>
        <v>6.0814351534859146E-3</v>
      </c>
      <c r="AH196" s="29">
        <v>43724</v>
      </c>
      <c r="AI196" s="44">
        <v>53.907181000000001</v>
      </c>
      <c r="AJ196" s="33">
        <f>IF(ISBLANK(AI197),"",Short0[[#This Row],[Adj Close]]/AI197-1)</f>
        <v>-5.0724547592267855E-2</v>
      </c>
      <c r="AK196" s="37">
        <v>43724</v>
      </c>
      <c r="AL196" s="44">
        <v>59.144917</v>
      </c>
      <c r="AM196" s="36">
        <f>IF(ISBLANK(AL197),"",Short1[[#This Row],[Adj Close]]/AL197-1)</f>
        <v>-1.140092266033732E-2</v>
      </c>
      <c r="AN196" s="29">
        <v>43724</v>
      </c>
      <c r="AO196" s="44">
        <v>51.645347999999998</v>
      </c>
      <c r="AP196" s="33">
        <f>IF(ISBLANK(AO197),"",Short2[[#This Row],[Adj Close]]/AO197-1)</f>
        <v>8.9520373279847743E-3</v>
      </c>
      <c r="AQ196" s="37">
        <v>43724</v>
      </c>
      <c r="AR196" s="44">
        <v>121.599998</v>
      </c>
      <c r="AS196" s="36">
        <f>IF(ISBLANK(AR197),"",Short3[[#This Row],[Adj Close]]/AR197-1)</f>
        <v>6.9951569380526601E-2</v>
      </c>
    </row>
    <row r="197" spans="1:45" x14ac:dyDescent="0.25">
      <c r="A197" s="37">
        <v>43717</v>
      </c>
      <c r="B197" s="39">
        <v>3007.389893</v>
      </c>
      <c r="C197" s="36">
        <f>IF(ISBLANK(B198), "", GSPC[[#This Row],[Adj Close]]/B198-1)</f>
        <v>9.6283063391549017E-3</v>
      </c>
      <c r="D19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48089.164039000003</v>
      </c>
      <c r="E19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29097.011244000001</v>
      </c>
      <c r="F197" s="11">
        <f>IF(ISBLANK(GSPC[[#This Row],[Long Exp.]]), "", (GSPC[[#This Row],[Long Exp.]]/D198-1)+(E198/GSPC[[#This Row],[Short Exp.]]-1))</f>
        <v>-4.6635562437147726E-2</v>
      </c>
      <c r="G197" s="37">
        <v>43717</v>
      </c>
      <c r="H197" s="44">
        <v>19.861139000000001</v>
      </c>
      <c r="I197" s="36">
        <f>IF(ISBLANK(H198), "", Long0[[#This Row],[Adj Close]]/H198-1)</f>
        <v>5.701755809843756E-2</v>
      </c>
      <c r="J197" s="29">
        <v>43717</v>
      </c>
      <c r="K197" s="44">
        <v>25.849122999999999</v>
      </c>
      <c r="L197" s="33">
        <f>IF(ISBLANK(K198),"",Long1[[#This Row],[Adj Close]]/K198-1)</f>
        <v>3.5323429991898081E-2</v>
      </c>
      <c r="M197" s="37">
        <v>43717</v>
      </c>
      <c r="N197" s="44">
        <v>21.720026000000001</v>
      </c>
      <c r="O197" s="36">
        <f>IF(ISBLANK(N198),"",Long2[[#This Row],[Adj Close]]/N198-1)</f>
        <v>0.16240365092781861</v>
      </c>
      <c r="P197" s="29">
        <v>43717</v>
      </c>
      <c r="Q197" s="44">
        <v>25.788252</v>
      </c>
      <c r="R197" s="33">
        <f>IF(ISBLANK(Q198),"",Long3[[#This Row],[Adj Close]]/Q198-1)</f>
        <v>3.6589424198048892E-2</v>
      </c>
      <c r="S197" s="37">
        <v>43717</v>
      </c>
      <c r="T197" s="44">
        <v>43.187629999999999</v>
      </c>
      <c r="U197" s="36">
        <f>IF(ISBLANK(T198),"",Long4[[#This Row],[Adj Close]]/T198-1)</f>
        <v>-3.1616673831186271E-3</v>
      </c>
      <c r="V197" s="29">
        <v>43717</v>
      </c>
      <c r="W197" s="44">
        <v>79.414947999999995</v>
      </c>
      <c r="X197" s="33">
        <f>IF(ISBLANK(W198),"",Long5[[#This Row],[Adj Close]]/W198-1)</f>
        <v>-0.10238419527828579</v>
      </c>
      <c r="Y197" s="37">
        <v>43717</v>
      </c>
      <c r="Z197" s="44">
        <v>176.90495300000001</v>
      </c>
      <c r="AA197" s="36">
        <f>IF(ISBLANK(Z198),"",Long6[[#This Row],[Adj Close]]/Z198-1)</f>
        <v>-0.19586209127340648</v>
      </c>
      <c r="AH197" s="29">
        <v>43717</v>
      </c>
      <c r="AI197" s="44">
        <v>56.787711999999999</v>
      </c>
      <c r="AJ197" s="33">
        <f>IF(ISBLANK(AI198),"",Short0[[#This Row],[Adj Close]]/AI198-1)</f>
        <v>5.6059806152124469E-2</v>
      </c>
      <c r="AK197" s="37">
        <v>43717</v>
      </c>
      <c r="AL197" s="44">
        <v>59.826999999999998</v>
      </c>
      <c r="AM197" s="36">
        <f>IF(ISBLANK(AL198),"",Short1[[#This Row],[Adj Close]]/AL198-1)</f>
        <v>1.7935465848611276E-2</v>
      </c>
      <c r="AN197" s="29">
        <v>43717</v>
      </c>
      <c r="AO197" s="44">
        <v>51.187119000000003</v>
      </c>
      <c r="AP197" s="33">
        <f>IF(ISBLANK(AO198),"",Short2[[#This Row],[Adj Close]]/AO198-1)</f>
        <v>3.1153631743575882E-2</v>
      </c>
      <c r="AQ197" s="37">
        <v>43717</v>
      </c>
      <c r="AR197" s="44">
        <v>113.650002</v>
      </c>
      <c r="AS197" s="36">
        <f>IF(ISBLANK(AR198),"",Short3[[#This Row],[Adj Close]]/AR198-1)</f>
        <v>2.9811534706310816E-2</v>
      </c>
    </row>
    <row r="198" spans="1:45" x14ac:dyDescent="0.25">
      <c r="A198" s="37">
        <v>43710</v>
      </c>
      <c r="B198" s="39">
        <v>2978.709961</v>
      </c>
      <c r="C198" s="36">
        <f>IF(ISBLANK(B199), "", GSPC[[#This Row],[Adj Close]]/B199-1)</f>
        <v>1.7854336193325437E-2</v>
      </c>
      <c r="D19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48667.810433999999</v>
      </c>
      <c r="E19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28086.010929999997</v>
      </c>
      <c r="F198" s="11">
        <f>IF(ISBLANK(GSPC[[#This Row],[Long Exp.]]), "", (GSPC[[#This Row],[Long Exp.]]/D199-1)+(E199/GSPC[[#This Row],[Short Exp.]]-1))</f>
        <v>2.2976606204578309E-2</v>
      </c>
      <c r="G198" s="37">
        <v>43710</v>
      </c>
      <c r="H198" s="44">
        <v>18.789791000000001</v>
      </c>
      <c r="I198" s="36">
        <f>IF(ISBLANK(H199), "", Long0[[#This Row],[Adj Close]]/H199-1)</f>
        <v>5.3929126824870055E-2</v>
      </c>
      <c r="J198" s="29">
        <v>43710</v>
      </c>
      <c r="K198" s="44">
        <v>24.967196000000001</v>
      </c>
      <c r="L198" s="33">
        <f>IF(ISBLANK(K199),"",Long1[[#This Row],[Adj Close]]/K199-1)</f>
        <v>1.8769415204749951E-2</v>
      </c>
      <c r="M198" s="37">
        <v>43710</v>
      </c>
      <c r="N198" s="44">
        <v>18.685441999999998</v>
      </c>
      <c r="O198" s="36">
        <f>IF(ISBLANK(N199),"",Long2[[#This Row],[Adj Close]]/N199-1)</f>
        <v>6.2534218080884996E-2</v>
      </c>
      <c r="P198" s="29">
        <v>43710</v>
      </c>
      <c r="Q198" s="44">
        <v>24.877980999999998</v>
      </c>
      <c r="R198" s="33">
        <f>IF(ISBLANK(Q199),"",Long3[[#This Row],[Adj Close]]/Q199-1)</f>
        <v>8.1217115616427638E-3</v>
      </c>
      <c r="S198" s="37">
        <v>43710</v>
      </c>
      <c r="T198" s="44">
        <v>43.324607999999998</v>
      </c>
      <c r="U198" s="36">
        <f>IF(ISBLANK(T199),"",Long4[[#This Row],[Adj Close]]/T199-1)</f>
        <v>1.1298258679200091E-2</v>
      </c>
      <c r="V198" s="29">
        <v>43710</v>
      </c>
      <c r="W198" s="44">
        <v>88.473206000000005</v>
      </c>
      <c r="X198" s="33">
        <f>IF(ISBLANK(W199),"",Long5[[#This Row],[Adj Close]]/W199-1)</f>
        <v>-3.1712833003144092E-2</v>
      </c>
      <c r="Y198" s="37">
        <v>43710</v>
      </c>
      <c r="Z198" s="44">
        <v>219.993301</v>
      </c>
      <c r="AA198" s="36">
        <f>IF(ISBLANK(Z199),"",Long6[[#This Row],[Adj Close]]/Z199-1)</f>
        <v>9.3833636849091739E-2</v>
      </c>
      <c r="AH198" s="29">
        <v>43710</v>
      </c>
      <c r="AI198" s="44">
        <v>53.773197000000003</v>
      </c>
      <c r="AJ198" s="33">
        <f>IF(ISBLANK(AI199),"",Short0[[#This Row],[Adj Close]]/AI199-1)</f>
        <v>1.2979953137439271E-2</v>
      </c>
      <c r="AK198" s="37">
        <v>43710</v>
      </c>
      <c r="AL198" s="44">
        <v>58.772880999999998</v>
      </c>
      <c r="AM198" s="36">
        <f>IF(ISBLANK(AL199),"",Short1[[#This Row],[Adj Close]]/AL199-1)</f>
        <v>4.2419295258711021E-2</v>
      </c>
      <c r="AN198" s="29">
        <v>43710</v>
      </c>
      <c r="AO198" s="44">
        <v>49.640633000000001</v>
      </c>
      <c r="AP198" s="33">
        <f>IF(ISBLANK(AO199),"",Short2[[#This Row],[Adj Close]]/AO199-1)</f>
        <v>1.9607852400294501E-2</v>
      </c>
      <c r="AQ198" s="37">
        <v>43710</v>
      </c>
      <c r="AR198" s="44">
        <v>110.360001</v>
      </c>
      <c r="AS198" s="36">
        <f>IF(ISBLANK(AR199),"",Short3[[#This Row],[Adj Close]]/AR199-1)</f>
        <v>-1.3056689322124782E-2</v>
      </c>
    </row>
    <row r="199" spans="1:45" x14ac:dyDescent="0.25">
      <c r="A199" s="37">
        <v>43703</v>
      </c>
      <c r="B199" s="39">
        <v>2926.459961</v>
      </c>
      <c r="C199" s="36">
        <f>IF(ISBLANK(B200), "", GSPC[[#This Row],[Adj Close]]/B200-1)</f>
        <v>2.7870314465502366E-2</v>
      </c>
      <c r="D19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47020.872997999999</v>
      </c>
      <c r="E19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27747.600878999998</v>
      </c>
      <c r="F199" s="11">
        <f>IF(ISBLANK(GSPC[[#This Row],[Long Exp.]]), "", (GSPC[[#This Row],[Long Exp.]]/D200-1)+(E200/GSPC[[#This Row],[Short Exp.]]-1))</f>
        <v>2.981082420535941E-2</v>
      </c>
      <c r="G199" s="37">
        <v>43703</v>
      </c>
      <c r="H199" s="44">
        <v>17.828325</v>
      </c>
      <c r="I199" s="36">
        <f>IF(ISBLANK(H200), "", Long0[[#This Row],[Adj Close]]/H200-1)</f>
        <v>6.1613866610899404E-2</v>
      </c>
      <c r="J199" s="29">
        <v>43703</v>
      </c>
      <c r="K199" s="44">
        <v>24.507210000000001</v>
      </c>
      <c r="L199" s="33">
        <f>IF(ISBLANK(K200),"",Long1[[#This Row],[Adj Close]]/K200-1)</f>
        <v>6.1891214343463563E-2</v>
      </c>
      <c r="M199" s="37">
        <v>43703</v>
      </c>
      <c r="N199" s="44">
        <v>17.585732</v>
      </c>
      <c r="O199" s="36">
        <f>IF(ISBLANK(N200),"",Long2[[#This Row],[Adj Close]]/N200-1)</f>
        <v>2.1099384166540336E-2</v>
      </c>
      <c r="P199" s="29">
        <v>43703</v>
      </c>
      <c r="Q199" s="44">
        <v>24.677557</v>
      </c>
      <c r="R199" s="33">
        <f>IF(ISBLANK(Q200),"",Long3[[#This Row],[Adj Close]]/Q200-1)</f>
        <v>3.3955779378473938E-3</v>
      </c>
      <c r="S199" s="37">
        <v>43703</v>
      </c>
      <c r="T199" s="44">
        <v>42.840584</v>
      </c>
      <c r="U199" s="36">
        <f>IF(ISBLANK(T200),"",Long4[[#This Row],[Adj Close]]/T200-1)</f>
        <v>2.9857082594085371E-2</v>
      </c>
      <c r="V199" s="29">
        <v>43703</v>
      </c>
      <c r="W199" s="44">
        <v>91.370834000000002</v>
      </c>
      <c r="X199" s="33">
        <f>IF(ISBLANK(W200),"",Long5[[#This Row],[Adj Close]]/W200-1)</f>
        <v>-3.9413219193494609E-2</v>
      </c>
      <c r="Y199" s="37">
        <v>43703</v>
      </c>
      <c r="Z199" s="44">
        <v>201.121353</v>
      </c>
      <c r="AA199" s="36">
        <f>IF(ISBLANK(Z200),"",Long6[[#This Row],[Adj Close]]/Z200-1)</f>
        <v>7.1565523238019679E-3</v>
      </c>
      <c r="AH199" s="29">
        <v>43703</v>
      </c>
      <c r="AI199" s="44">
        <v>53.084167000000001</v>
      </c>
      <c r="AJ199" s="33">
        <f>IF(ISBLANK(AI200),"",Short0[[#This Row],[Adj Close]]/AI200-1)</f>
        <v>4.4436107013007264E-2</v>
      </c>
      <c r="AK199" s="37">
        <v>43703</v>
      </c>
      <c r="AL199" s="44">
        <v>56.381228999999998</v>
      </c>
      <c r="AM199" s="36">
        <f>IF(ISBLANK(AL200),"",Short1[[#This Row],[Adj Close]]/AL200-1)</f>
        <v>-3.8664733398453111E-2</v>
      </c>
      <c r="AN199" s="29">
        <v>43703</v>
      </c>
      <c r="AO199" s="44">
        <v>48.686005000000002</v>
      </c>
      <c r="AP199" s="33">
        <f>IF(ISBLANK(AO200),"",Short2[[#This Row],[Adj Close]]/AO200-1)</f>
        <v>-4.1006437138814134E-3</v>
      </c>
      <c r="AQ199" s="37">
        <v>43703</v>
      </c>
      <c r="AR199" s="44">
        <v>111.82</v>
      </c>
      <c r="AS199" s="36">
        <f>IF(ISBLANK(AR200),"",Short3[[#This Row],[Adj Close]]/AR200-1)</f>
        <v>-5.6848836991377105E-2</v>
      </c>
    </row>
    <row r="200" spans="1:45" x14ac:dyDescent="0.25">
      <c r="A200" s="37">
        <v>43696</v>
      </c>
      <c r="B200" s="39">
        <v>2847.110107</v>
      </c>
      <c r="C200" s="36">
        <f>IF(ISBLANK(B201), "", GSPC[[#This Row],[Adj Close]]/B201-1)</f>
        <v>-1.4390595697190589E-2</v>
      </c>
      <c r="D20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46236.016592999993</v>
      </c>
      <c r="E20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28103.764191999999</v>
      </c>
      <c r="F200" s="11">
        <f>IF(ISBLANK(GSPC[[#This Row],[Long Exp.]]), "", (GSPC[[#This Row],[Long Exp.]]/D201-1)+(E201/GSPC[[#This Row],[Short Exp.]]-1))</f>
        <v>-1.2170999031791419E-2</v>
      </c>
      <c r="G200" s="37">
        <v>43696</v>
      </c>
      <c r="H200" s="44">
        <v>16.793606</v>
      </c>
      <c r="I200" s="36">
        <f>IF(ISBLANK(H201), "", Long0[[#This Row],[Adj Close]]/H201-1)</f>
        <v>-1.0253726708458921E-2</v>
      </c>
      <c r="J200" s="29">
        <v>43696</v>
      </c>
      <c r="K200" s="44">
        <v>23.078832999999999</v>
      </c>
      <c r="L200" s="33">
        <f>IF(ISBLANK(K201),"",Long1[[#This Row],[Adj Close]]/K201-1)</f>
        <v>-1.4963601879930399E-3</v>
      </c>
      <c r="M200" s="37">
        <v>43696</v>
      </c>
      <c r="N200" s="44">
        <v>17.222351</v>
      </c>
      <c r="O200" s="36">
        <f>IF(ISBLANK(N201),"",Long2[[#This Row],[Adj Close]]/N201-1)</f>
        <v>-8.7639155767155863E-2</v>
      </c>
      <c r="P200" s="29">
        <v>43696</v>
      </c>
      <c r="Q200" s="44">
        <v>24.594045999999999</v>
      </c>
      <c r="R200" s="33">
        <f>IF(ISBLANK(Q201),"",Long3[[#This Row],[Adj Close]]/Q201-1)</f>
        <v>1.3601437096102398E-3</v>
      </c>
      <c r="S200" s="37">
        <v>43696</v>
      </c>
      <c r="T200" s="44">
        <v>41.598571999999997</v>
      </c>
      <c r="U200" s="36">
        <f>IF(ISBLANK(T201),"",Long4[[#This Row],[Adj Close]]/T201-1)</f>
        <v>-3.4138995095324143E-2</v>
      </c>
      <c r="V200" s="29">
        <v>43696</v>
      </c>
      <c r="W200" s="44">
        <v>95.119811999999996</v>
      </c>
      <c r="X200" s="33">
        <f>IF(ISBLANK(W201),"",Long5[[#This Row],[Adj Close]]/W201-1)</f>
        <v>4.6042489137802622E-2</v>
      </c>
      <c r="Y200" s="37">
        <v>43696</v>
      </c>
      <c r="Z200" s="44">
        <v>199.69224500000001</v>
      </c>
      <c r="AA200" s="36">
        <f>IF(ISBLANK(Z201),"",Long6[[#This Row],[Adj Close]]/Z201-1)</f>
        <v>-3.2118835219078434E-2</v>
      </c>
      <c r="AH200" s="29">
        <v>43696</v>
      </c>
      <c r="AI200" s="44">
        <v>50.825671999999997</v>
      </c>
      <c r="AJ200" s="33">
        <f>IF(ISBLANK(AI201),"",Short0[[#This Row],[Adj Close]]/AI201-1)</f>
        <v>1.3549618206440517E-2</v>
      </c>
      <c r="AK200" s="37">
        <v>43696</v>
      </c>
      <c r="AL200" s="44">
        <v>58.648871999999997</v>
      </c>
      <c r="AM200" s="36">
        <f>IF(ISBLANK(AL201),"",Short1[[#This Row],[Adj Close]]/AL201-1)</f>
        <v>1.1148344728668436E-2</v>
      </c>
      <c r="AN200" s="29">
        <v>43696</v>
      </c>
      <c r="AO200" s="44">
        <v>48.886471</v>
      </c>
      <c r="AP200" s="33">
        <f>IF(ISBLANK(AO201),"",Short2[[#This Row],[Adj Close]]/AO201-1)</f>
        <v>3.979689295023392E-2</v>
      </c>
      <c r="AQ200" s="37">
        <v>43696</v>
      </c>
      <c r="AR200" s="44">
        <v>118.55999799999999</v>
      </c>
      <c r="AS200" s="36">
        <f>IF(ISBLANK(AR201),"",Short3[[#This Row],[Adj Close]]/AR201-1)</f>
        <v>-4.99238957454613E-2</v>
      </c>
    </row>
    <row r="201" spans="1:45" x14ac:dyDescent="0.25">
      <c r="A201" s="37">
        <v>43689</v>
      </c>
      <c r="B201" s="39">
        <v>2888.679932</v>
      </c>
      <c r="C201" s="36">
        <f>IF(ISBLANK(B202), "", GSPC[[#This Row],[Adj Close]]/B202-1)</f>
        <v>-1.0268436094189703E-2</v>
      </c>
      <c r="D20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46913.437738000008</v>
      </c>
      <c r="E20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28167.526331000001</v>
      </c>
      <c r="F201" s="11">
        <f>IF(ISBLANK(GSPC[[#This Row],[Long Exp.]]), "", (GSPC[[#This Row],[Long Exp.]]/D202-1)+(E202/GSPC[[#This Row],[Short Exp.]]-1))</f>
        <v>3.9166196364350814E-3</v>
      </c>
      <c r="G201" s="37">
        <v>43689</v>
      </c>
      <c r="H201" s="44">
        <v>16.967587000000002</v>
      </c>
      <c r="I201" s="36">
        <f>IF(ISBLANK(H202), "", Long0[[#This Row],[Adj Close]]/H202-1)</f>
        <v>-4.8767813753084588E-2</v>
      </c>
      <c r="J201" s="29">
        <v>43689</v>
      </c>
      <c r="K201" s="44">
        <v>23.113419</v>
      </c>
      <c r="L201" s="33">
        <f>IF(ISBLANK(K202),"",Long1[[#This Row],[Adj Close]]/K202-1)</f>
        <v>-1.2267143625625421E-2</v>
      </c>
      <c r="M201" s="37">
        <v>43689</v>
      </c>
      <c r="N201" s="44">
        <v>18.876688000000001</v>
      </c>
      <c r="O201" s="36">
        <f>IF(ISBLANK(N202),"",Long2[[#This Row],[Adj Close]]/N202-1)</f>
        <v>-0.12654898180682095</v>
      </c>
      <c r="P201" s="29">
        <v>43689</v>
      </c>
      <c r="Q201" s="44">
        <v>24.560639999999999</v>
      </c>
      <c r="R201" s="33">
        <f>IF(ISBLANK(Q202),"",Long3[[#This Row],[Adj Close]]/Q202-1)</f>
        <v>1.0211698640973932E-3</v>
      </c>
      <c r="S201" s="37">
        <v>43689</v>
      </c>
      <c r="T201" s="44">
        <v>43.068900999999997</v>
      </c>
      <c r="U201" s="36">
        <f>IF(ISBLANK(T202),"",Long4[[#This Row],[Adj Close]]/T202-1)</f>
        <v>3.1270539287321819E-2</v>
      </c>
      <c r="V201" s="29">
        <v>43689</v>
      </c>
      <c r="W201" s="44">
        <v>90.933029000000005</v>
      </c>
      <c r="X201" s="33">
        <f>IF(ISBLANK(W202),"",Long5[[#This Row],[Adj Close]]/W202-1)</f>
        <v>-3.8967339647312249E-3</v>
      </c>
      <c r="Y201" s="37">
        <v>43689</v>
      </c>
      <c r="Z201" s="44">
        <v>206.31897000000001</v>
      </c>
      <c r="AA201" s="36">
        <f>IF(ISBLANK(Z202),"",Long6[[#This Row],[Adj Close]]/Z202-1)</f>
        <v>-8.9803105807423345E-3</v>
      </c>
      <c r="AH201" s="29">
        <v>43689</v>
      </c>
      <c r="AI201" s="44">
        <v>50.146210000000004</v>
      </c>
      <c r="AJ201" s="33">
        <f>IF(ISBLANK(AI202),"",Short0[[#This Row],[Adj Close]]/AI202-1)</f>
        <v>-2.9090229253091016E-2</v>
      </c>
      <c r="AK201" s="37">
        <v>43689</v>
      </c>
      <c r="AL201" s="44">
        <v>58.002243</v>
      </c>
      <c r="AM201" s="36">
        <f>IF(ISBLANK(AL202),"",Short1[[#This Row],[Adj Close]]/AL202-1)</f>
        <v>-2.7909808870492769E-2</v>
      </c>
      <c r="AN201" s="29">
        <v>43689</v>
      </c>
      <c r="AO201" s="44">
        <v>47.015403999999997</v>
      </c>
      <c r="AP201" s="33">
        <f>IF(ISBLANK(AO202),"",Short2[[#This Row],[Adj Close]]/AO202-1)</f>
        <v>-1.5196880277771108E-2</v>
      </c>
      <c r="AQ201" s="37">
        <v>43689</v>
      </c>
      <c r="AR201" s="44">
        <v>124.790001</v>
      </c>
      <c r="AS201" s="36">
        <f>IF(ISBLANK(AR202),"",Short3[[#This Row],[Adj Close]]/AR202-1)</f>
        <v>-4.140415032899869E-2</v>
      </c>
    </row>
    <row r="202" spans="1:45" x14ac:dyDescent="0.25">
      <c r="A202" s="37">
        <v>43682</v>
      </c>
      <c r="B202" s="39">
        <v>2918.6499020000001</v>
      </c>
      <c r="C202" s="36">
        <f>IF(ISBLANK(B203), "", GSPC[[#This Row],[Adj Close]]/B203-1)</f>
        <v>-4.5702313316821064E-3</v>
      </c>
      <c r="D20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48226.417386000008</v>
      </c>
      <c r="E20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29044.717736999999</v>
      </c>
      <c r="F202" s="11">
        <f>IF(ISBLANK(GSPC[[#This Row],[Long Exp.]]), "", (GSPC[[#This Row],[Long Exp.]]/D203-1)+(E203/GSPC[[#This Row],[Short Exp.]]-1))</f>
        <v>-3.5621091957038775E-4</v>
      </c>
      <c r="G202" s="37">
        <v>43682</v>
      </c>
      <c r="H202" s="44">
        <v>17.837482000000001</v>
      </c>
      <c r="I202" s="36">
        <f>IF(ISBLANK(H203), "", Long0[[#This Row],[Adj Close]]/H203-1)</f>
        <v>-1.8145190588187643E-2</v>
      </c>
      <c r="J202" s="29">
        <v>43682</v>
      </c>
      <c r="K202" s="44">
        <v>23.400476000000001</v>
      </c>
      <c r="L202" s="33">
        <f>IF(ISBLANK(K203),"",Long1[[#This Row],[Adj Close]]/K203-1)</f>
        <v>-5.9886124796051599E-2</v>
      </c>
      <c r="M202" s="37">
        <v>43682</v>
      </c>
      <c r="N202" s="44">
        <v>21.611616000000001</v>
      </c>
      <c r="O202" s="36">
        <f>IF(ISBLANK(N203),"",Long2[[#This Row],[Adj Close]]/N203-1)</f>
        <v>-7.3390476126775406E-2</v>
      </c>
      <c r="P202" s="29">
        <v>43682</v>
      </c>
      <c r="Q202" s="44">
        <v>24.535585000000001</v>
      </c>
      <c r="R202" s="33">
        <f>IF(ISBLANK(Q203),"",Long3[[#This Row],[Adj Close]]/Q203-1)</f>
        <v>-9.4403513817058471E-3</v>
      </c>
      <c r="S202" s="37">
        <v>43682</v>
      </c>
      <c r="T202" s="44">
        <v>41.762951000000001</v>
      </c>
      <c r="U202" s="36">
        <f>IF(ISBLANK(T203),"",Long4[[#This Row],[Adj Close]]/T203-1)</f>
        <v>-9.1007287316637875E-3</v>
      </c>
      <c r="V202" s="29">
        <v>43682</v>
      </c>
      <c r="W202" s="44">
        <v>91.288757000000004</v>
      </c>
      <c r="X202" s="33">
        <f>IF(ISBLANK(W203),"",Long5[[#This Row],[Adj Close]]/W203-1)</f>
        <v>8.1244508647509539E-2</v>
      </c>
      <c r="Y202" s="37">
        <v>43682</v>
      </c>
      <c r="Z202" s="44">
        <v>208.188568</v>
      </c>
      <c r="AA202" s="36">
        <f>IF(ISBLANK(Z203),"",Long6[[#This Row],[Adj Close]]/Z203-1)</f>
        <v>3.5038231524665564E-2</v>
      </c>
      <c r="AH202" s="29">
        <v>43682</v>
      </c>
      <c r="AI202" s="44">
        <v>51.648682000000001</v>
      </c>
      <c r="AJ202" s="33">
        <f>IF(ISBLANK(AI203),"",Short0[[#This Row],[Adj Close]]/AI203-1)</f>
        <v>-5.1160368626530617E-2</v>
      </c>
      <c r="AK202" s="37">
        <v>43682</v>
      </c>
      <c r="AL202" s="44">
        <v>59.667552999999998</v>
      </c>
      <c r="AM202" s="36">
        <f>IF(ISBLANK(AL203),"",Short1[[#This Row],[Adj Close]]/AL203-1)</f>
        <v>-1.7072586046576355E-2</v>
      </c>
      <c r="AN202" s="29">
        <v>43682</v>
      </c>
      <c r="AO202" s="44">
        <v>47.740917000000003</v>
      </c>
      <c r="AP202" s="33">
        <f>IF(ISBLANK(AO203),"",Short2[[#This Row],[Adj Close]]/AO203-1)</f>
        <v>4.2309098664035982E-2</v>
      </c>
      <c r="AQ202" s="37">
        <v>43682</v>
      </c>
      <c r="AR202" s="44">
        <v>130.179993</v>
      </c>
      <c r="AS202" s="36">
        <f>IF(ISBLANK(AR203),"",Short3[[#This Row],[Adj Close]]/AR203-1)</f>
        <v>2.9334956674824442E-2</v>
      </c>
    </row>
    <row r="203" spans="1:45" x14ac:dyDescent="0.25">
      <c r="A203" s="37">
        <v>43675</v>
      </c>
      <c r="B203" s="39">
        <v>2932.0500489999999</v>
      </c>
      <c r="C203" s="36">
        <f>IF(ISBLANK(B204), "", GSPC[[#This Row],[Adj Close]]/B204-1)</f>
        <v>-3.10027743129897E-2</v>
      </c>
      <c r="D20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48326.450987999997</v>
      </c>
      <c r="E20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29094.492964000001</v>
      </c>
      <c r="F203" s="11">
        <f>IF(ISBLANK(GSPC[[#This Row],[Long Exp.]]), "", (GSPC[[#This Row],[Long Exp.]]/D204-1)+(E204/GSPC[[#This Row],[Short Exp.]]-1))</f>
        <v>9.2008656071945416E-2</v>
      </c>
      <c r="G203" s="37">
        <v>43675</v>
      </c>
      <c r="H203" s="44">
        <v>18.167128000000002</v>
      </c>
      <c r="I203" s="36">
        <f>IF(ISBLANK(H204), "", Long0[[#This Row],[Adj Close]]/H204-1)</f>
        <v>7.4756295831522657E-2</v>
      </c>
      <c r="J203" s="29">
        <v>43675</v>
      </c>
      <c r="K203" s="44">
        <v>24.891107999999999</v>
      </c>
      <c r="L203" s="33">
        <f>IF(ISBLANK(K204),"",Long1[[#This Row],[Adj Close]]/K204-1)</f>
        <v>7.2098909535720734E-2</v>
      </c>
      <c r="M203" s="37">
        <v>43675</v>
      </c>
      <c r="N203" s="44">
        <v>23.323326000000002</v>
      </c>
      <c r="O203" s="36">
        <f>IF(ISBLANK(N204),"",Long2[[#This Row],[Adj Close]]/N204-1)</f>
        <v>3.2906855077174946E-3</v>
      </c>
      <c r="P203" s="29">
        <v>43675</v>
      </c>
      <c r="Q203" s="44">
        <v>24.769417000000001</v>
      </c>
      <c r="R203" s="33">
        <f>IF(ISBLANK(Q204),"",Long3[[#This Row],[Adj Close]]/Q204-1)</f>
        <v>-2.1767740079032039E-2</v>
      </c>
      <c r="S203" s="37">
        <v>43675</v>
      </c>
      <c r="T203" s="44">
        <v>42.146515000000001</v>
      </c>
      <c r="U203" s="36">
        <f>IF(ISBLANK(T204),"",Long4[[#This Row],[Adj Close]]/T204-1)</f>
        <v>-3.7739814381442693E-2</v>
      </c>
      <c r="V203" s="29">
        <v>43675</v>
      </c>
      <c r="W203" s="44">
        <v>84.429337000000004</v>
      </c>
      <c r="X203" s="33">
        <f>IF(ISBLANK(W204),"",Long5[[#This Row],[Adj Close]]/W204-1)</f>
        <v>-4.5477945935618047E-2</v>
      </c>
      <c r="Y203" s="37">
        <v>43675</v>
      </c>
      <c r="Z203" s="44">
        <v>201.14094499999999</v>
      </c>
      <c r="AA203" s="36">
        <f>IF(ISBLANK(Z204),"",Long6[[#This Row],[Adj Close]]/Z204-1)</f>
        <v>-3.9137690845566731E-2</v>
      </c>
      <c r="AH203" s="29">
        <v>43675</v>
      </c>
      <c r="AI203" s="44">
        <v>54.433520999999999</v>
      </c>
      <c r="AJ203" s="33">
        <f>IF(ISBLANK(AI204),"",Short0[[#This Row],[Adj Close]]/AI204-1)</f>
        <v>-9.9430057002241057E-2</v>
      </c>
      <c r="AK203" s="37">
        <v>43675</v>
      </c>
      <c r="AL203" s="44">
        <v>60.703926000000003</v>
      </c>
      <c r="AM203" s="36">
        <f>IF(ISBLANK(AL204),"",Short1[[#This Row],[Adj Close]]/AL204-1)</f>
        <v>-0.11858531143804651</v>
      </c>
      <c r="AN203" s="29">
        <v>43675</v>
      </c>
      <c r="AO203" s="44">
        <v>45.803032000000002</v>
      </c>
      <c r="AP203" s="33">
        <f>IF(ISBLANK(AO204),"",Short2[[#This Row],[Adj Close]]/AO204-1)</f>
        <v>7.3483617707132964E-3</v>
      </c>
      <c r="AQ203" s="37">
        <v>43675</v>
      </c>
      <c r="AR203" s="44">
        <v>126.470001</v>
      </c>
      <c r="AS203" s="36">
        <f>IF(ISBLANK(AR204),"",Short3[[#This Row],[Adj Close]]/AR204-1)</f>
        <v>-0.10132875296891219</v>
      </c>
    </row>
    <row r="204" spans="1:45" x14ac:dyDescent="0.25">
      <c r="A204" s="37">
        <v>43668</v>
      </c>
      <c r="B204" s="39">
        <v>3025.860107</v>
      </c>
      <c r="C204" s="36">
        <f>IF(ISBLANK(B205), "", GSPC[[#This Row],[Adj Close]]/B205-1)</f>
        <v>1.6545667127911834E-2</v>
      </c>
      <c r="D20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48418.968376999997</v>
      </c>
      <c r="E20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31827.030971</v>
      </c>
      <c r="F204" s="11">
        <f>IF(ISBLANK(GSPC[[#This Row],[Long Exp.]]), "", (GSPC[[#This Row],[Long Exp.]]/D205-1)+(E205/GSPC[[#This Row],[Short Exp.]]-1))</f>
        <v>3.9583796411566397E-3</v>
      </c>
      <c r="G204" s="37">
        <v>43668</v>
      </c>
      <c r="H204" s="44">
        <v>16.903486000000001</v>
      </c>
      <c r="I204" s="36">
        <f>IF(ISBLANK(H205), "", Long0[[#This Row],[Adj Close]]/H205-1)</f>
        <v>1.9889352155682882E-2</v>
      </c>
      <c r="J204" s="29">
        <v>43668</v>
      </c>
      <c r="K204" s="44">
        <v>23.217175000000001</v>
      </c>
      <c r="L204" s="33">
        <f>IF(ISBLANK(K205),"",Long1[[#This Row],[Adj Close]]/K205-1)</f>
        <v>8.2567268619951451E-2</v>
      </c>
      <c r="M204" s="37">
        <v>43668</v>
      </c>
      <c r="N204" s="44">
        <v>23.246828000000001</v>
      </c>
      <c r="O204" s="36">
        <f>IF(ISBLANK(N205),"",Long2[[#This Row],[Adj Close]]/N205-1)</f>
        <v>3.7158962581762545E-3</v>
      </c>
      <c r="P204" s="29">
        <v>43668</v>
      </c>
      <c r="Q204" s="44">
        <v>25.320588999999998</v>
      </c>
      <c r="R204" s="33">
        <f>IF(ISBLANK(Q205),"",Long3[[#This Row],[Adj Close]]/Q205-1)</f>
        <v>4.9718356447279177E-3</v>
      </c>
      <c r="S204" s="37">
        <v>43668</v>
      </c>
      <c r="T204" s="44">
        <v>43.799500000000002</v>
      </c>
      <c r="U204" s="36">
        <f>IF(ISBLANK(T205),"",Long4[[#This Row],[Adj Close]]/T205-1)</f>
        <v>1.5241310315989409E-2</v>
      </c>
      <c r="V204" s="29">
        <v>43668</v>
      </c>
      <c r="W204" s="44">
        <v>88.451949999999997</v>
      </c>
      <c r="X204" s="33">
        <f>IF(ISBLANK(W205),"",Long5[[#This Row],[Adj Close]]/W205-1)</f>
        <v>1.4648971257526844E-2</v>
      </c>
      <c r="Y204" s="37">
        <v>43668</v>
      </c>
      <c r="Z204" s="44">
        <v>209.333786</v>
      </c>
      <c r="AA204" s="36">
        <f>IF(ISBLANK(Z205),"",Long6[[#This Row],[Adj Close]]/Z205-1)</f>
        <v>3.8558597429779295E-2</v>
      </c>
      <c r="AH204" s="29">
        <v>43668</v>
      </c>
      <c r="AI204" s="44">
        <v>60.443413</v>
      </c>
      <c r="AJ204" s="33">
        <f>IF(ISBLANK(AI205),"",Short0[[#This Row],[Adj Close]]/AI205-1)</f>
        <v>-1.1889773602301479E-2</v>
      </c>
      <c r="AK204" s="37">
        <v>43668</v>
      </c>
      <c r="AL204" s="44">
        <v>68.871016999999995</v>
      </c>
      <c r="AM204" s="36">
        <f>IF(ISBLANK(AL205),"",Short1[[#This Row],[Adj Close]]/AL205-1)</f>
        <v>4.0690629396983313E-2</v>
      </c>
      <c r="AN204" s="29">
        <v>43668</v>
      </c>
      <c r="AO204" s="44">
        <v>45.468910000000001</v>
      </c>
      <c r="AP204" s="33">
        <f>IF(ISBLANK(AO205),"",Short2[[#This Row],[Adj Close]]/AO205-1)</f>
        <v>2.9392707586418876E-2</v>
      </c>
      <c r="AQ204" s="37">
        <v>43668</v>
      </c>
      <c r="AR204" s="44">
        <v>140.729996</v>
      </c>
      <c r="AS204" s="36">
        <f>IF(ISBLANK(AR205),"",Short3[[#This Row],[Adj Close]]/AR205-1)</f>
        <v>1.8749073539518601E-2</v>
      </c>
    </row>
    <row r="205" spans="1:45" x14ac:dyDescent="0.25">
      <c r="A205" s="37">
        <v>43661</v>
      </c>
      <c r="B205" s="39">
        <v>2976.610107</v>
      </c>
      <c r="C205" s="36">
        <f>IF(ISBLANK(B206), "", GSPC[[#This Row],[Adj Close]]/B206-1)</f>
        <v>-1.2330042688525999E-2</v>
      </c>
      <c r="D20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47526.817969000003</v>
      </c>
      <c r="E20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31355.572831999998</v>
      </c>
      <c r="F205" s="11">
        <f>IF(ISBLANK(GSPC[[#This Row],[Long Exp.]]), "", (GSPC[[#This Row],[Long Exp.]]/D206-1)+(E206/GSPC[[#This Row],[Short Exp.]]-1))</f>
        <v>-1.5724809096400172E-3</v>
      </c>
      <c r="G205" s="37">
        <v>43661</v>
      </c>
      <c r="H205" s="44">
        <v>16.573843</v>
      </c>
      <c r="I205" s="36">
        <f>IF(ISBLANK(H206), "", Long0[[#This Row],[Adj Close]]/H206-1)</f>
        <v>-5.8272431172807337E-2</v>
      </c>
      <c r="J205" s="29">
        <v>43661</v>
      </c>
      <c r="K205" s="44">
        <v>21.446404000000001</v>
      </c>
      <c r="L205" s="33">
        <f>IF(ISBLANK(K206),"",Long1[[#This Row],[Adj Close]]/K206-1)</f>
        <v>6.1633373805920044E-2</v>
      </c>
      <c r="M205" s="37">
        <v>43661</v>
      </c>
      <c r="N205" s="44">
        <v>23.160765000000001</v>
      </c>
      <c r="O205" s="36">
        <f>IF(ISBLANK(N206),"",Long2[[#This Row],[Adj Close]]/N206-1)</f>
        <v>5.3043495261460905E-2</v>
      </c>
      <c r="P205" s="29">
        <v>43661</v>
      </c>
      <c r="Q205" s="44">
        <v>25.195322000000001</v>
      </c>
      <c r="R205" s="33">
        <f>IF(ISBLANK(Q206),"",Long3[[#This Row],[Adj Close]]/Q206-1)</f>
        <v>-2.9744972485494792E-3</v>
      </c>
      <c r="S205" s="37">
        <v>43661</v>
      </c>
      <c r="T205" s="44">
        <v>43.141959999999997</v>
      </c>
      <c r="U205" s="36">
        <f>IF(ISBLANK(T206),"",Long4[[#This Row],[Adj Close]]/T206-1)</f>
        <v>2.1626282214161741E-2</v>
      </c>
      <c r="V205" s="29">
        <v>43661</v>
      </c>
      <c r="W205" s="44">
        <v>87.174926999999997</v>
      </c>
      <c r="X205" s="33">
        <f>IF(ISBLANK(W206),"",Long5[[#This Row],[Adj Close]]/W206-1)</f>
        <v>-1.7477187897549484E-2</v>
      </c>
      <c r="Y205" s="37">
        <v>43661</v>
      </c>
      <c r="Z205" s="44">
        <v>201.56184400000001</v>
      </c>
      <c r="AA205" s="36">
        <f>IF(ISBLANK(Z206),"",Long6[[#This Row],[Adj Close]]/Z206-1)</f>
        <v>3.1559922711914101E-2</v>
      </c>
      <c r="AH205" s="29">
        <v>43661</v>
      </c>
      <c r="AI205" s="44">
        <v>61.170718999999998</v>
      </c>
      <c r="AJ205" s="33">
        <f>IF(ISBLANK(AI206),"",Short0[[#This Row],[Adj Close]]/AI206-1)</f>
        <v>1.0912504477122997E-2</v>
      </c>
      <c r="AK205" s="37">
        <v>43661</v>
      </c>
      <c r="AL205" s="44">
        <v>66.178184999999999</v>
      </c>
      <c r="AM205" s="36">
        <f>IF(ISBLANK(AL206),"",Short1[[#This Row],[Adj Close]]/AL206-1)</f>
        <v>-8.0265619243191644E-4</v>
      </c>
      <c r="AN205" s="29">
        <v>43661</v>
      </c>
      <c r="AO205" s="44">
        <v>44.170616000000003</v>
      </c>
      <c r="AP205" s="33">
        <f>IF(ISBLANK(AO206),"",Short2[[#This Row],[Adj Close]]/AO206-1)</f>
        <v>-3.1190174716504093E-2</v>
      </c>
      <c r="AQ205" s="37">
        <v>43661</v>
      </c>
      <c r="AR205" s="44">
        <v>138.13999899999999</v>
      </c>
      <c r="AS205" s="36">
        <f>IF(ISBLANK(AR206),"",Short3[[#This Row],[Adj Close]]/AR206-1)</f>
        <v>9.6476533581817403E-3</v>
      </c>
    </row>
    <row r="206" spans="1:45" x14ac:dyDescent="0.25">
      <c r="A206" s="37">
        <v>43654</v>
      </c>
      <c r="B206" s="39">
        <v>3013.7700199999999</v>
      </c>
      <c r="C206" s="36">
        <f>IF(ISBLANK(B207), "", GSPC[[#This Row],[Adj Close]]/B207-1)</f>
        <v>7.8116742143810036E-3</v>
      </c>
      <c r="D20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47554.126550999994</v>
      </c>
      <c r="E20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31324.273141999998</v>
      </c>
      <c r="F206" s="11">
        <f>IF(ISBLANK(GSPC[[#This Row],[Long Exp.]]), "", (GSPC[[#This Row],[Long Exp.]]/D207-1)+(E207/GSPC[[#This Row],[Short Exp.]]-1))</f>
        <v>-3.2507315107249801E-2</v>
      </c>
      <c r="G206" s="37">
        <v>43654</v>
      </c>
      <c r="H206" s="44">
        <v>17.599402999999999</v>
      </c>
      <c r="I206" s="36">
        <f>IF(ISBLANK(H207), "", Long0[[#This Row],[Adj Close]]/H207-1)</f>
        <v>-1.3853420027523544E-2</v>
      </c>
      <c r="J206" s="29">
        <v>43654</v>
      </c>
      <c r="K206" s="44">
        <v>20.201328</v>
      </c>
      <c r="L206" s="33">
        <f>IF(ISBLANK(K207),"",Long1[[#This Row],[Adj Close]]/K207-1)</f>
        <v>2.9977040669742827E-2</v>
      </c>
      <c r="M206" s="37">
        <v>43654</v>
      </c>
      <c r="N206" s="44">
        <v>21.994119999999999</v>
      </c>
      <c r="O206" s="36">
        <f>IF(ISBLANK(N207),"",Long2[[#This Row],[Adj Close]]/N207-1)</f>
        <v>-7.2580646861560405E-2</v>
      </c>
      <c r="P206" s="29">
        <v>43654</v>
      </c>
      <c r="Q206" s="44">
        <v>25.270489000000001</v>
      </c>
      <c r="R206" s="33">
        <f>IF(ISBLANK(Q207),"",Long3[[#This Row],[Adj Close]]/Q207-1)</f>
        <v>-2.4185558241170746E-2</v>
      </c>
      <c r="S206" s="37">
        <v>43654</v>
      </c>
      <c r="T206" s="44">
        <v>42.22871</v>
      </c>
      <c r="U206" s="36">
        <f>IF(ISBLANK(T207),"",Long4[[#This Row],[Adj Close]]/T207-1)</f>
        <v>2.0750536828936683E-2</v>
      </c>
      <c r="V206" s="29">
        <v>43654</v>
      </c>
      <c r="W206" s="44">
        <v>88.725600999999997</v>
      </c>
      <c r="X206" s="33">
        <f>IF(ISBLANK(W207),"",Long5[[#This Row],[Adj Close]]/W207-1)</f>
        <v>2.2602891854134777E-2</v>
      </c>
      <c r="Y206" s="37">
        <v>43654</v>
      </c>
      <c r="Z206" s="44">
        <v>195.39518699999999</v>
      </c>
      <c r="AA206" s="36">
        <f>IF(ISBLANK(Z207),"",Long6[[#This Row],[Adj Close]]/Z207-1)</f>
        <v>4.842440144813609E-2</v>
      </c>
      <c r="AH206" s="29">
        <v>43654</v>
      </c>
      <c r="AI206" s="44">
        <v>60.510399</v>
      </c>
      <c r="AJ206" s="33">
        <f>IF(ISBLANK(AI207),"",Short0[[#This Row],[Adj Close]]/AI207-1)</f>
        <v>2.2477319985487743E-2</v>
      </c>
      <c r="AK206" s="37">
        <v>43654</v>
      </c>
      <c r="AL206" s="44">
        <v>66.231346000000002</v>
      </c>
      <c r="AM206" s="36">
        <f>IF(ISBLANK(AL207),"",Short1[[#This Row],[Adj Close]]/AL207-1)</f>
        <v>4.0061235953000596E-2</v>
      </c>
      <c r="AN206" s="29">
        <v>43654</v>
      </c>
      <c r="AO206" s="44">
        <v>45.592658999999998</v>
      </c>
      <c r="AP206" s="33">
        <f>IF(ISBLANK(AO207),"",Short2[[#This Row],[Adj Close]]/AO207-1)</f>
        <v>-9.942042968267728E-3</v>
      </c>
      <c r="AQ206" s="37">
        <v>43654</v>
      </c>
      <c r="AR206" s="44">
        <v>136.820007</v>
      </c>
      <c r="AS206" s="36">
        <f>IF(ISBLANK(AR207),"",Short3[[#This Row],[Adj Close]]/AR207-1)</f>
        <v>4.9877222612487948E-2</v>
      </c>
    </row>
    <row r="207" spans="1:45" x14ac:dyDescent="0.25">
      <c r="A207" s="37">
        <v>43647</v>
      </c>
      <c r="B207" s="39">
        <v>2990.4099120000001</v>
      </c>
      <c r="C207" s="36">
        <f>IF(ISBLANK(B208), "", GSPC[[#This Row],[Adj Close]]/B208-1)</f>
        <v>1.6537685546959446E-2</v>
      </c>
      <c r="D20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47777.218287999996</v>
      </c>
      <c r="E20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30452.271205999998</v>
      </c>
      <c r="F207" s="11">
        <f>IF(ISBLANK(GSPC[[#This Row],[Long Exp.]]), "", (GSPC[[#This Row],[Long Exp.]]/D208-1)+(E208/GSPC[[#This Row],[Short Exp.]]-1))</f>
        <v>-2.6495395725353976E-2</v>
      </c>
      <c r="G207" s="37">
        <v>43647</v>
      </c>
      <c r="H207" s="44">
        <v>17.846640000000001</v>
      </c>
      <c r="I207" s="36">
        <f>IF(ISBLANK(H208), "", Long0[[#This Row],[Adj Close]]/H208-1)</f>
        <v>2.3634521320901269E-2</v>
      </c>
      <c r="J207" s="29">
        <v>43647</v>
      </c>
      <c r="K207" s="44">
        <v>19.613377</v>
      </c>
      <c r="L207" s="33">
        <f>IF(ISBLANK(K208),"",Long1[[#This Row],[Adj Close]]/K208-1)</f>
        <v>-1.9027833406089156E-2</v>
      </c>
      <c r="M207" s="37">
        <v>43647</v>
      </c>
      <c r="N207" s="44">
        <v>23.715399000000001</v>
      </c>
      <c r="O207" s="36">
        <f>IF(ISBLANK(N208),"",Long2[[#This Row],[Adj Close]]/N208-1)</f>
        <v>-9.1890063316832915E-3</v>
      </c>
      <c r="P207" s="29">
        <v>43647</v>
      </c>
      <c r="Q207" s="44">
        <v>25.896818</v>
      </c>
      <c r="R207" s="33">
        <f>IF(ISBLANK(Q208),"",Long3[[#This Row],[Adj Close]]/Q208-1)</f>
        <v>0</v>
      </c>
      <c r="S207" s="37">
        <v>43647</v>
      </c>
      <c r="T207" s="44">
        <v>41.370255</v>
      </c>
      <c r="U207" s="36">
        <f>IF(ISBLANK(T208),"",Long4[[#This Row],[Adj Close]]/T208-1)</f>
        <v>-2.7688314189973084E-2</v>
      </c>
      <c r="V207" s="29">
        <v>43647</v>
      </c>
      <c r="W207" s="44">
        <v>86.764472999999995</v>
      </c>
      <c r="X207" s="33">
        <f>IF(ISBLANK(W208),"",Long5[[#This Row],[Adj Close]]/W208-1)</f>
        <v>3.9051354389816328E-3</v>
      </c>
      <c r="Y207" s="37">
        <v>43647</v>
      </c>
      <c r="Z207" s="44">
        <v>186.370316</v>
      </c>
      <c r="AA207" s="36">
        <f>IF(ISBLANK(Z208),"",Long6[[#This Row],[Adj Close]]/Z208-1)</f>
        <v>1.2443043520640851E-2</v>
      </c>
      <c r="AH207" s="29">
        <v>43647</v>
      </c>
      <c r="AI207" s="44">
        <v>59.180186999999997</v>
      </c>
      <c r="AJ207" s="33">
        <f>IF(ISBLANK(AI208),"",Short0[[#This Row],[Adj Close]]/AI208-1)</f>
        <v>4.6539285188693436E-2</v>
      </c>
      <c r="AK207" s="37">
        <v>43647</v>
      </c>
      <c r="AL207" s="44">
        <v>63.680236999999998</v>
      </c>
      <c r="AM207" s="36">
        <f>IF(ISBLANK(AL208),"",Short1[[#This Row],[Adj Close]]/AL208-1)</f>
        <v>3.0976753422573333E-2</v>
      </c>
      <c r="AN207" s="29">
        <v>43647</v>
      </c>
      <c r="AO207" s="44">
        <v>46.050494999999998</v>
      </c>
      <c r="AP207" s="33">
        <f>IF(ISBLANK(AO208),"",Short2[[#This Row],[Adj Close]]/AO208-1)</f>
        <v>-3.7144069980425964E-3</v>
      </c>
      <c r="AQ207" s="37">
        <v>43647</v>
      </c>
      <c r="AR207" s="44">
        <v>130.320007</v>
      </c>
      <c r="AS207" s="36">
        <f>IF(ISBLANK(AR208),"",Short3[[#This Row],[Adj Close]]/AR208-1)</f>
        <v>3.6342003976143067E-2</v>
      </c>
    </row>
    <row r="208" spans="1:45" x14ac:dyDescent="0.25">
      <c r="A208" s="37">
        <v>43640</v>
      </c>
      <c r="B208" s="39">
        <v>2941.76001</v>
      </c>
      <c r="C208" s="36">
        <f>IF(ISBLANK(B209), "", GSPC[[#This Row],[Adj Close]]/B209-1)</f>
        <v>-2.9486761776124082E-3</v>
      </c>
      <c r="D20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47602.914540999998</v>
      </c>
      <c r="E20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29533.921607999997</v>
      </c>
      <c r="F208" s="11">
        <f>IF(ISBLANK(GSPC[[#This Row],[Long Exp.]]), "", (GSPC[[#This Row],[Long Exp.]]/D209-1)+(E209/GSPC[[#This Row],[Short Exp.]]-1))</f>
        <v>2.2300021845926277E-2</v>
      </c>
      <c r="G208" s="37">
        <v>43640</v>
      </c>
      <c r="H208" s="44">
        <v>17.434581999999999</v>
      </c>
      <c r="I208" s="36">
        <f>IF(ISBLANK(H209), "", Long0[[#This Row],[Adj Close]]/H209-1)</f>
        <v>3.9301191341337471E-2</v>
      </c>
      <c r="J208" s="29">
        <v>43640</v>
      </c>
      <c r="K208" s="44">
        <v>19.993815999999999</v>
      </c>
      <c r="L208" s="33">
        <f>IF(ISBLANK(K209),"",Long1[[#This Row],[Adj Close]]/K209-1)</f>
        <v>5.0327012769255219E-2</v>
      </c>
      <c r="M208" s="37">
        <v>43640</v>
      </c>
      <c r="N208" s="44">
        <v>23.935341000000001</v>
      </c>
      <c r="O208" s="36">
        <f>IF(ISBLANK(N209),"",Long2[[#This Row],[Adj Close]]/N209-1)</f>
        <v>6.8744688724897474E-2</v>
      </c>
      <c r="P208" s="29">
        <v>43640</v>
      </c>
      <c r="Q208" s="44">
        <v>25.896818</v>
      </c>
      <c r="R208" s="33">
        <f>IF(ISBLANK(Q209),"",Long3[[#This Row],[Adj Close]]/Q209-1)</f>
        <v>-2.3307242878082612E-2</v>
      </c>
      <c r="S208" s="37">
        <v>43640</v>
      </c>
      <c r="T208" s="44">
        <v>42.548347</v>
      </c>
      <c r="U208" s="36">
        <f>IF(ISBLANK(T209),"",Long4[[#This Row],[Adj Close]]/T209-1)</f>
        <v>2.3731179065816121E-2</v>
      </c>
      <c r="V208" s="29">
        <v>43640</v>
      </c>
      <c r="W208" s="44">
        <v>86.426963999999998</v>
      </c>
      <c r="X208" s="33">
        <f>IF(ISBLANK(W209),"",Long5[[#This Row],[Adj Close]]/W209-1)</f>
        <v>2.6877670133159004E-2</v>
      </c>
      <c r="Y208" s="37">
        <v>43640</v>
      </c>
      <c r="Z208" s="44">
        <v>184.079803</v>
      </c>
      <c r="AA208" s="36">
        <f>IF(ISBLANK(Z209),"",Long6[[#This Row],[Adj Close]]/Z209-1)</f>
        <v>2.1620783349774575E-2</v>
      </c>
      <c r="AH208" s="29">
        <v>43640</v>
      </c>
      <c r="AI208" s="44">
        <v>56.548462000000001</v>
      </c>
      <c r="AJ208" s="33">
        <f>IF(ISBLANK(AI209),"",Short0[[#This Row],[Adj Close]]/AI209-1)</f>
        <v>1.1283042448468228E-2</v>
      </c>
      <c r="AK208" s="37">
        <v>43640</v>
      </c>
      <c r="AL208" s="44">
        <v>61.766899000000002</v>
      </c>
      <c r="AM208" s="36">
        <f>IF(ISBLANK(AL209),"",Short1[[#This Row],[Adj Close]]/AL209-1)</f>
        <v>3.2425142494191705E-2</v>
      </c>
      <c r="AN208" s="29">
        <v>43640</v>
      </c>
      <c r="AO208" s="44">
        <v>46.222183000000001</v>
      </c>
      <c r="AP208" s="33">
        <f>IF(ISBLANK(AO209),"",Short2[[#This Row],[Adj Close]]/AO209-1)</f>
        <v>-5.6280260336744603E-2</v>
      </c>
      <c r="AQ208" s="37">
        <v>43640</v>
      </c>
      <c r="AR208" s="44">
        <v>125.75</v>
      </c>
      <c r="AS208" s="36">
        <f>IF(ISBLANK(AR209),"",Short3[[#This Row],[Adj Close]]/AR209-1)</f>
        <v>1.1339907072218436E-2</v>
      </c>
    </row>
    <row r="209" spans="1:45" x14ac:dyDescent="0.25">
      <c r="A209" s="37">
        <v>43633</v>
      </c>
      <c r="B209" s="39">
        <v>2950.459961</v>
      </c>
      <c r="C209" s="36">
        <f>IF(ISBLANK(B210), "", GSPC[[#This Row],[Adj Close]]/B210-1)</f>
        <v>2.1988368966798344E-2</v>
      </c>
      <c r="D20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46473.755497999991</v>
      </c>
      <c r="E20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29474.951777999999</v>
      </c>
      <c r="F209" s="11">
        <f>IF(ISBLANK(GSPC[[#This Row],[Long Exp.]]), "", (GSPC[[#This Row],[Long Exp.]]/D210-1)+(E210/GSPC[[#This Row],[Short Exp.]]-1))</f>
        <v>1.6468440108473703E-2</v>
      </c>
      <c r="G209" s="37">
        <v>43633</v>
      </c>
      <c r="H209" s="44">
        <v>16.775293000000001</v>
      </c>
      <c r="I209" s="36">
        <f>IF(ISBLANK(H210), "", Long0[[#This Row],[Adj Close]]/H210-1)</f>
        <v>7.638083132364315E-2</v>
      </c>
      <c r="J209" s="29">
        <v>43633</v>
      </c>
      <c r="K209" s="44">
        <v>19.035800999999999</v>
      </c>
      <c r="L209" s="33">
        <f>IF(ISBLANK(K210),"",Long1[[#This Row],[Adj Close]]/K210-1)</f>
        <v>-2.9961241358877788E-2</v>
      </c>
      <c r="M209" s="37">
        <v>43633</v>
      </c>
      <c r="N209" s="44">
        <v>22.395752000000002</v>
      </c>
      <c r="O209" s="36">
        <f>IF(ISBLANK(N210),"",Long2[[#This Row],[Adj Close]]/N210-1)</f>
        <v>4.7405932238782977E-2</v>
      </c>
      <c r="P209" s="29">
        <v>43633</v>
      </c>
      <c r="Q209" s="44">
        <v>26.514804999999999</v>
      </c>
      <c r="R209" s="33">
        <f>IF(ISBLANK(Q210),"",Long3[[#This Row],[Adj Close]]/Q210-1)</f>
        <v>9.539043329170882E-3</v>
      </c>
      <c r="S209" s="37">
        <v>43633</v>
      </c>
      <c r="T209" s="44">
        <v>41.562030999999998</v>
      </c>
      <c r="U209" s="36">
        <f>IF(ISBLANK(T210),"",Long4[[#This Row],[Adj Close]]/T210-1)</f>
        <v>2.9637902518022896E-2</v>
      </c>
      <c r="V209" s="29">
        <v>43633</v>
      </c>
      <c r="W209" s="44">
        <v>84.164810000000003</v>
      </c>
      <c r="X209" s="33">
        <f>IF(ISBLANK(W210),"",Long5[[#This Row],[Adj Close]]/W210-1)</f>
        <v>5.6677298103517959E-3</v>
      </c>
      <c r="Y209" s="37">
        <v>43633</v>
      </c>
      <c r="Z209" s="44">
        <v>180.18408199999999</v>
      </c>
      <c r="AA209" s="36">
        <f>IF(ISBLANK(Z210),"",Long6[[#This Row],[Adj Close]]/Z210-1)</f>
        <v>6.874101169164204E-2</v>
      </c>
      <c r="AH209" s="29">
        <v>43633</v>
      </c>
      <c r="AI209" s="44">
        <v>55.917541999999997</v>
      </c>
      <c r="AJ209" s="33">
        <f>IF(ISBLANK(AI210),"",Short0[[#This Row],[Adj Close]]/AI210-1)</f>
        <v>3.4043399666225271E-2</v>
      </c>
      <c r="AK209" s="37">
        <v>43633</v>
      </c>
      <c r="AL209" s="44">
        <v>59.826999999999998</v>
      </c>
      <c r="AM209" s="36">
        <f>IF(ISBLANK(AL210),"",Short1[[#This Row],[Adj Close]]/AL210-1)</f>
        <v>3.0734359854730497E-2</v>
      </c>
      <c r="AN209" s="29">
        <v>43633</v>
      </c>
      <c r="AO209" s="44">
        <v>48.978718000000001</v>
      </c>
      <c r="AP209" s="33">
        <f>IF(ISBLANK(AO210),"",Short2[[#This Row],[Adj Close]]/AO210-1)</f>
        <v>-4.1083482641796065E-2</v>
      </c>
      <c r="AQ209" s="37">
        <v>43633</v>
      </c>
      <c r="AR209" s="44">
        <v>124.339996</v>
      </c>
      <c r="AS209" s="36">
        <f>IF(ISBLANK(AR210),"",Short3[[#This Row],[Adj Close]]/AR210-1)</f>
        <v>5.1589970426082044E-2</v>
      </c>
    </row>
    <row r="210" spans="1:45" x14ac:dyDescent="0.25">
      <c r="A210" s="37">
        <v>43626</v>
      </c>
      <c r="B210" s="39">
        <v>2886.9799800000001</v>
      </c>
      <c r="C210" s="36">
        <f>IF(ISBLANK(B211), "", GSPC[[#This Row],[Adj Close]]/B211-1)</f>
        <v>4.7470510215497086E-3</v>
      </c>
      <c r="D21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44732.578101999999</v>
      </c>
      <c r="E21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28813.070933000003</v>
      </c>
      <c r="F210" s="11">
        <f>IF(ISBLANK(GSPC[[#This Row],[Long Exp.]]), "", (GSPC[[#This Row],[Long Exp.]]/D211-1)+(E211/GSPC[[#This Row],[Short Exp.]]-1))</f>
        <v>-5.6386558240770768E-3</v>
      </c>
      <c r="G210" s="37">
        <v>43626</v>
      </c>
      <c r="H210" s="44">
        <v>15.584904999999999</v>
      </c>
      <c r="I210" s="36">
        <f>IF(ISBLANK(H211), "", Long0[[#This Row],[Adj Close]]/H211-1)</f>
        <v>-2.1838951470238066E-2</v>
      </c>
      <c r="J210" s="29">
        <v>43626</v>
      </c>
      <c r="K210" s="44">
        <v>19.623753000000001</v>
      </c>
      <c r="L210" s="33">
        <f>IF(ISBLANK(K211),"",Long1[[#This Row],[Adj Close]]/K211-1)</f>
        <v>5.5039065807707344E-2</v>
      </c>
      <c r="M210" s="37">
        <v>43626</v>
      </c>
      <c r="N210" s="44">
        <v>21.382113</v>
      </c>
      <c r="O210" s="36">
        <f>IF(ISBLANK(N211),"",Long2[[#This Row],[Adj Close]]/N211-1)</f>
        <v>1.1707535832814697E-2</v>
      </c>
      <c r="P210" s="29">
        <v>43626</v>
      </c>
      <c r="Q210" s="44">
        <v>26.264268999999999</v>
      </c>
      <c r="R210" s="33">
        <f>IF(ISBLANK(Q211),"",Long3[[#This Row],[Adj Close]]/Q211-1)</f>
        <v>2.7322814543102814E-2</v>
      </c>
      <c r="S210" s="37">
        <v>43626</v>
      </c>
      <c r="T210" s="44">
        <v>40.365676999999998</v>
      </c>
      <c r="U210" s="36">
        <f>IF(ISBLANK(T211),"",Long4[[#This Row],[Adj Close]]/T211-1)</f>
        <v>0.10693707599488489</v>
      </c>
      <c r="V210" s="29">
        <v>43626</v>
      </c>
      <c r="W210" s="44">
        <v>83.690475000000006</v>
      </c>
      <c r="X210" s="33">
        <f>IF(ISBLANK(W211),"",Long5[[#This Row],[Adj Close]]/W211-1)</f>
        <v>1.5520139328232707E-2</v>
      </c>
      <c r="Y210" s="37">
        <v>43626</v>
      </c>
      <c r="Z210" s="44">
        <v>168.59471099999999</v>
      </c>
      <c r="AA210" s="36">
        <f>IF(ISBLANK(Z211),"",Long6[[#This Row],[Adj Close]]/Z211-1)</f>
        <v>6.5405170941280844E-2</v>
      </c>
      <c r="AH210" s="29">
        <v>43626</v>
      </c>
      <c r="AI210" s="44">
        <v>54.076591000000001</v>
      </c>
      <c r="AJ210" s="33">
        <f>IF(ISBLANK(AI211),"",Short0[[#This Row],[Adj Close]]/AI211-1)</f>
        <v>2.1397897204288974E-2</v>
      </c>
      <c r="AK210" s="37">
        <v>43626</v>
      </c>
      <c r="AL210" s="44">
        <v>58.043083000000003</v>
      </c>
      <c r="AM210" s="36">
        <f>IF(ISBLANK(AL211),"",Short1[[#This Row],[Adj Close]]/AL211-1)</f>
        <v>3.625230017849046E-2</v>
      </c>
      <c r="AN210" s="29">
        <v>43626</v>
      </c>
      <c r="AO210" s="44">
        <v>51.077145000000002</v>
      </c>
      <c r="AP210" s="33">
        <f>IF(ISBLANK(AO211),"",Short2[[#This Row],[Adj Close]]/AO211-1)</f>
        <v>3.5608557323818513E-3</v>
      </c>
      <c r="AQ210" s="37">
        <v>43626</v>
      </c>
      <c r="AR210" s="44">
        <v>118.239998</v>
      </c>
      <c r="AS210" s="36">
        <f>IF(ISBLANK(AR211),"",Short3[[#This Row],[Adj Close]]/AR211-1)</f>
        <v>6.197235717522398E-2</v>
      </c>
    </row>
    <row r="211" spans="1:45" x14ac:dyDescent="0.25">
      <c r="A211" s="37">
        <v>43619</v>
      </c>
      <c r="B211" s="39">
        <v>2873.3400879999999</v>
      </c>
      <c r="C211" s="36">
        <f>IF(ISBLANK(B212), "", GSPC[[#This Row],[Adj Close]]/B212-1)</f>
        <v>4.4068816232182284E-2</v>
      </c>
      <c r="D21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43621.207773000002</v>
      </c>
      <c r="E21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27916.511656999999</v>
      </c>
      <c r="F211" s="11">
        <f>IF(ISBLANK(GSPC[[#This Row],[Long Exp.]]), "", (GSPC[[#This Row],[Long Exp.]]/D212-1)+(E212/GSPC[[#This Row],[Short Exp.]]-1))</f>
        <v>3.989016192008854E-2</v>
      </c>
      <c r="G211" s="37">
        <v>43619</v>
      </c>
      <c r="H211" s="44">
        <v>15.932862</v>
      </c>
      <c r="I211" s="36">
        <f>IF(ISBLANK(H212), "", Long0[[#This Row],[Adj Close]]/H212-1)</f>
        <v>3.5714216066170756E-2</v>
      </c>
      <c r="J211" s="29">
        <v>43619</v>
      </c>
      <c r="K211" s="44">
        <v>18.600024999999999</v>
      </c>
      <c r="L211" s="33">
        <f>IF(ISBLANK(K212),"",Long1[[#This Row],[Adj Close]]/K212-1)</f>
        <v>3.2443837906091177E-2</v>
      </c>
      <c r="M211" s="37">
        <v>43619</v>
      </c>
      <c r="N211" s="44">
        <v>21.134678000000001</v>
      </c>
      <c r="O211" s="36">
        <f>IF(ISBLANK(N212),"",Long2[[#This Row],[Adj Close]]/N212-1)</f>
        <v>3.1672058111918977E-2</v>
      </c>
      <c r="P211" s="29">
        <v>43619</v>
      </c>
      <c r="Q211" s="44">
        <v>25.565740999999999</v>
      </c>
      <c r="R211" s="33">
        <f>IF(ISBLANK(Q212),"",Long3[[#This Row],[Adj Close]]/Q212-1)</f>
        <v>4.233872258272986E-2</v>
      </c>
      <c r="S211" s="37">
        <v>43619</v>
      </c>
      <c r="T211" s="44">
        <v>36.466099</v>
      </c>
      <c r="U211" s="36">
        <f>IF(ISBLANK(T212),"",Long4[[#This Row],[Adj Close]]/T212-1)</f>
        <v>6.3005235806097293E-3</v>
      </c>
      <c r="V211" s="29">
        <v>43619</v>
      </c>
      <c r="W211" s="44">
        <v>82.411438000000004</v>
      </c>
      <c r="X211" s="33">
        <f>IF(ISBLANK(W212),"",Long5[[#This Row],[Adj Close]]/W212-1)</f>
        <v>0.13504015087988952</v>
      </c>
      <c r="Y211" s="37">
        <v>43619</v>
      </c>
      <c r="Z211" s="44">
        <v>158.24468999999999</v>
      </c>
      <c r="AA211" s="36">
        <f>IF(ISBLANK(Z212),"",Long6[[#This Row],[Adj Close]]/Z212-1)</f>
        <v>0.100932663530094</v>
      </c>
      <c r="AH211" s="29">
        <v>43619</v>
      </c>
      <c r="AI211" s="44">
        <v>52.943707000000003</v>
      </c>
      <c r="AJ211" s="33">
        <f>IF(ISBLANK(AI212),"",Short0[[#This Row],[Adj Close]]/AI212-1)</f>
        <v>1.9636351184624257E-2</v>
      </c>
      <c r="AK211" s="37">
        <v>43619</v>
      </c>
      <c r="AL211" s="44">
        <v>56.012501</v>
      </c>
      <c r="AM211" s="36">
        <f>IF(ISBLANK(AL212),"",Short1[[#This Row],[Adj Close]]/AL212-1)</f>
        <v>1.6754498279744956E-2</v>
      </c>
      <c r="AN211" s="29">
        <v>43619</v>
      </c>
      <c r="AO211" s="44">
        <v>50.895912000000003</v>
      </c>
      <c r="AP211" s="33">
        <f>IF(ISBLANK(AO212),"",Short2[[#This Row],[Adj Close]]/AO212-1)</f>
        <v>7.4506841970458426E-2</v>
      </c>
      <c r="AQ211" s="37">
        <v>43619</v>
      </c>
      <c r="AR211" s="44">
        <v>111.339996</v>
      </c>
      <c r="AS211" s="36">
        <f>IF(ISBLANK(AR212),"",Short3[[#This Row],[Adj Close]]/AR212-1)</f>
        <v>-2.3247671256209745E-2</v>
      </c>
    </row>
    <row r="212" spans="1:45" x14ac:dyDescent="0.25">
      <c r="A212" s="37">
        <v>43612</v>
      </c>
      <c r="B212" s="39">
        <v>2752.0600589999999</v>
      </c>
      <c r="C212" s="36">
        <f>IF(ISBLANK(B213), "", GSPC[[#This Row],[Adj Close]]/B213-1)</f>
        <v>-2.6184864601279889E-2</v>
      </c>
      <c r="D21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41273.843090000009</v>
      </c>
      <c r="E21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27442.411814999999</v>
      </c>
      <c r="F212" s="11">
        <f>IF(ISBLANK(GSPC[[#This Row],[Long Exp.]]), "", (GSPC[[#This Row],[Long Exp.]]/D213-1)+(E213/GSPC[[#This Row],[Short Exp.]]-1))</f>
        <v>1.1037035186318933E-2</v>
      </c>
      <c r="G212" s="37">
        <v>43612</v>
      </c>
      <c r="H212" s="44">
        <v>15.383454</v>
      </c>
      <c r="I212" s="36">
        <f>IF(ISBLANK(H213), "", Long0[[#This Row],[Adj Close]]/H213-1)</f>
        <v>-0.11485783193923094</v>
      </c>
      <c r="J212" s="29">
        <v>43612</v>
      </c>
      <c r="K212" s="44">
        <v>18.015532</v>
      </c>
      <c r="L212" s="33">
        <f>IF(ISBLANK(K213),"",Long1[[#This Row],[Adj Close]]/K213-1)</f>
        <v>-1.3260045978587987E-2</v>
      </c>
      <c r="M212" s="37">
        <v>43612</v>
      </c>
      <c r="N212" s="44">
        <v>20.485849000000002</v>
      </c>
      <c r="O212" s="36">
        <f>IF(ISBLANK(N213),"",Long2[[#This Row],[Adj Close]]/N213-1)</f>
        <v>-6.0185182938869985E-3</v>
      </c>
      <c r="P212" s="29">
        <v>43612</v>
      </c>
      <c r="Q212" s="44">
        <v>24.527287000000001</v>
      </c>
      <c r="R212" s="33">
        <f>IF(ISBLANK(Q213),"",Long3[[#This Row],[Adj Close]]/Q213-1)</f>
        <v>-3.3766105351235032E-2</v>
      </c>
      <c r="S212" s="37">
        <v>43612</v>
      </c>
      <c r="T212" s="44">
        <v>36.237782000000003</v>
      </c>
      <c r="U212" s="36">
        <f>IF(ISBLANK(T213),"",Long4[[#This Row],[Adj Close]]/T213-1)</f>
        <v>8.2673904533747677E-2</v>
      </c>
      <c r="V212" s="29">
        <v>43612</v>
      </c>
      <c r="W212" s="44">
        <v>72.606628000000001</v>
      </c>
      <c r="X212" s="33">
        <f>IF(ISBLANK(W213),"",Long5[[#This Row],[Adj Close]]/W213-1)</f>
        <v>-5.8642085183361337E-3</v>
      </c>
      <c r="Y212" s="37">
        <v>43612</v>
      </c>
      <c r="Z212" s="44">
        <v>143.73693800000001</v>
      </c>
      <c r="AA212" s="36">
        <f>IF(ISBLANK(Z213),"",Long6[[#This Row],[Adj Close]]/Z213-1)</f>
        <v>-2.2161467438864824E-2</v>
      </c>
      <c r="AH212" s="29">
        <v>43612</v>
      </c>
      <c r="AI212" s="44">
        <v>51.924106999999999</v>
      </c>
      <c r="AJ212" s="33">
        <f>IF(ISBLANK(AI213),"",Short0[[#This Row],[Adj Close]]/AI213-1)</f>
        <v>-4.2312248611863779E-2</v>
      </c>
      <c r="AK212" s="37">
        <v>43612</v>
      </c>
      <c r="AL212" s="44">
        <v>55.089503999999998</v>
      </c>
      <c r="AM212" s="36">
        <f>IF(ISBLANK(AL213),"",Short1[[#This Row],[Adj Close]]/AL213-1)</f>
        <v>-4.9590564621436517E-2</v>
      </c>
      <c r="AN212" s="29">
        <v>43612</v>
      </c>
      <c r="AO212" s="44">
        <v>47.366764000000003</v>
      </c>
      <c r="AP212" s="33">
        <f>IF(ISBLANK(AO213),"",Short2[[#This Row],[Adj Close]]/AO213-1)</f>
        <v>-4.3344426543150627E-2</v>
      </c>
      <c r="AQ212" s="37">
        <v>43612</v>
      </c>
      <c r="AR212" s="44">
        <v>113.989998</v>
      </c>
      <c r="AS212" s="36">
        <f>IF(ISBLANK(AR213),"",Short3[[#This Row],[Adj Close]]/AR213-1)</f>
        <v>-4.4509680356001335E-2</v>
      </c>
    </row>
    <row r="213" spans="1:45" x14ac:dyDescent="0.25">
      <c r="A213" s="37">
        <v>43605</v>
      </c>
      <c r="B213" s="39">
        <v>2826.0600589999999</v>
      </c>
      <c r="C213" s="36">
        <f>IF(ISBLANK(B214), "", GSPC[[#This Row],[Adj Close]]/B214-1)</f>
        <v>-1.1704710095912119E-2</v>
      </c>
      <c r="D21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42796.504201999996</v>
      </c>
      <c r="E21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28721.671000000002</v>
      </c>
      <c r="F213" s="11">
        <f>IF(ISBLANK(GSPC[[#This Row],[Long Exp.]]), "", (GSPC[[#This Row],[Long Exp.]]/D214-1)+(E214/GSPC[[#This Row],[Short Exp.]]-1))</f>
        <v>4.6913643118687953E-2</v>
      </c>
      <c r="G213" s="37">
        <v>43605</v>
      </c>
      <c r="H213" s="44">
        <v>17.379642</v>
      </c>
      <c r="I213" s="36">
        <f>IF(ISBLANK(H214), "", Long0[[#This Row],[Adj Close]]/H214-1)</f>
        <v>-3.3604778472407837E-2</v>
      </c>
      <c r="J213" s="29">
        <v>43605</v>
      </c>
      <c r="K213" s="44">
        <v>18.257629000000001</v>
      </c>
      <c r="L213" s="33">
        <f>IF(ISBLANK(K214),"",Long1[[#This Row],[Adj Close]]/K214-1)</f>
        <v>-9.4355824301261215E-2</v>
      </c>
      <c r="M213" s="37">
        <v>43605</v>
      </c>
      <c r="N213" s="44">
        <v>20.60989</v>
      </c>
      <c r="O213" s="36">
        <f>IF(ISBLANK(N214),"",Long2[[#This Row],[Adj Close]]/N214-1)</f>
        <v>-5.2631453143779594E-2</v>
      </c>
      <c r="P213" s="29">
        <v>43605</v>
      </c>
      <c r="Q213" s="44">
        <v>25.384419999999999</v>
      </c>
      <c r="R213" s="33">
        <f>IF(ISBLANK(Q214),"",Long3[[#This Row],[Adj Close]]/Q214-1)</f>
        <v>3.3903903024481208E-2</v>
      </c>
      <c r="S213" s="37">
        <v>43605</v>
      </c>
      <c r="T213" s="44">
        <v>33.470633999999997</v>
      </c>
      <c r="U213" s="36">
        <f>IF(ISBLANK(T214),"",Long4[[#This Row],[Adj Close]]/T214-1)</f>
        <v>-4.3330696421195802E-2</v>
      </c>
      <c r="V213" s="29">
        <v>43605</v>
      </c>
      <c r="W213" s="44">
        <v>73.03492</v>
      </c>
      <c r="X213" s="33">
        <f>IF(ISBLANK(W214),"",Long5[[#This Row],[Adj Close]]/W214-1)</f>
        <v>9.3188416354130776E-3</v>
      </c>
      <c r="Y213" s="37">
        <v>43605</v>
      </c>
      <c r="Z213" s="44">
        <v>146.994553</v>
      </c>
      <c r="AA213" s="36">
        <f>IF(ISBLANK(Z214),"",Long6[[#This Row],[Adj Close]]/Z214-1)</f>
        <v>-7.2869921075222277E-2</v>
      </c>
      <c r="AH213" s="29">
        <v>43605</v>
      </c>
      <c r="AI213" s="44">
        <v>54.218201000000001</v>
      </c>
      <c r="AJ213" s="33">
        <f>IF(ISBLANK(AI214),"",Short0[[#This Row],[Adj Close]]/AI214-1)</f>
        <v>-4.775336366116445E-2</v>
      </c>
      <c r="AK213" s="37">
        <v>43605</v>
      </c>
      <c r="AL213" s="44">
        <v>57.963970000000003</v>
      </c>
      <c r="AM213" s="36">
        <f>IF(ISBLANK(AL214),"",Short1[[#This Row],[Adj Close]]/AL214-1)</f>
        <v>-4.3377293814560569E-2</v>
      </c>
      <c r="AN213" s="29">
        <v>43605</v>
      </c>
      <c r="AO213" s="44">
        <v>49.512870999999997</v>
      </c>
      <c r="AP213" s="33">
        <f>IF(ISBLANK(AO214),"",Short2[[#This Row],[Adj Close]]/AO214-1)</f>
        <v>-2.2962541656115332E-2</v>
      </c>
      <c r="AQ213" s="37">
        <v>43605</v>
      </c>
      <c r="AR213" s="44">
        <v>119.300003</v>
      </c>
      <c r="AS213" s="36">
        <f>IF(ISBLANK(AR214),"",Short3[[#This Row],[Adj Close]]/AR214-1)</f>
        <v>-0.12594330258834696</v>
      </c>
    </row>
    <row r="214" spans="1:45" x14ac:dyDescent="0.25">
      <c r="A214" s="37">
        <v>43598</v>
      </c>
      <c r="B214" s="39">
        <v>2859.530029</v>
      </c>
      <c r="C214" s="36">
        <f>IF(ISBLANK(B215), "", GSPC[[#This Row],[Adj Close]]/B215-1)</f>
        <v>-7.5900165696611843E-3</v>
      </c>
      <c r="D21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43912.190590999999</v>
      </c>
      <c r="E21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30798.846841999999</v>
      </c>
      <c r="F214" s="11">
        <f>IF(ISBLANK(GSPC[[#This Row],[Long Exp.]]), "", (GSPC[[#This Row],[Long Exp.]]/D215-1)+(E215/GSPC[[#This Row],[Short Exp.]]-1))</f>
        <v>-2.7730689868069702E-2</v>
      </c>
      <c r="G214" s="37">
        <v>43598</v>
      </c>
      <c r="H214" s="44">
        <v>17.983989999999999</v>
      </c>
      <c r="I214" s="36">
        <f>IF(ISBLANK(H215), "", Long0[[#This Row],[Adj Close]]/H215-1)</f>
        <v>-0.11411835738024201</v>
      </c>
      <c r="J214" s="29">
        <v>43598</v>
      </c>
      <c r="K214" s="44">
        <v>20.159825999999999</v>
      </c>
      <c r="L214" s="33">
        <f>IF(ISBLANK(K215),"",Long1[[#This Row],[Adj Close]]/K215-1)</f>
        <v>-5.1423902178375003E-2</v>
      </c>
      <c r="M214" s="37">
        <v>43598</v>
      </c>
      <c r="N214" s="44">
        <v>21.754881000000001</v>
      </c>
      <c r="O214" s="36">
        <f>IF(ISBLANK(N215),"",Long2[[#This Row],[Adj Close]]/N215-1)</f>
        <v>-4.6025205331535757E-2</v>
      </c>
      <c r="P214" s="29">
        <v>43598</v>
      </c>
      <c r="Q214" s="44">
        <v>24.552011</v>
      </c>
      <c r="R214" s="33">
        <f>IF(ISBLANK(Q215),"",Long3[[#This Row],[Adj Close]]/Q215-1)</f>
        <v>-4.0270658250822877E-2</v>
      </c>
      <c r="S214" s="37">
        <v>43598</v>
      </c>
      <c r="T214" s="44">
        <v>34.986629000000001</v>
      </c>
      <c r="U214" s="36">
        <f>IF(ISBLANK(T215),"",Long4[[#This Row],[Adj Close]]/T215-1)</f>
        <v>2.873236111943811E-2</v>
      </c>
      <c r="V214" s="29">
        <v>43598</v>
      </c>
      <c r="W214" s="44">
        <v>72.360602999999998</v>
      </c>
      <c r="X214" s="33">
        <f>IF(ISBLANK(W215),"",Long5[[#This Row],[Adj Close]]/W215-1)</f>
        <v>5.9538738403388525E-3</v>
      </c>
      <c r="Y214" s="37">
        <v>43598</v>
      </c>
      <c r="Z214" s="44">
        <v>158.54792800000001</v>
      </c>
      <c r="AA214" s="36">
        <f>IF(ISBLANK(Z215),"",Long6[[#This Row],[Adj Close]]/Z215-1)</f>
        <v>-1.5490122557464514E-2</v>
      </c>
      <c r="AH214" s="29">
        <v>43598</v>
      </c>
      <c r="AI214" s="44">
        <v>56.937140999999997</v>
      </c>
      <c r="AJ214" s="33">
        <f>IF(ISBLANK(AI215),"",Short0[[#This Row],[Adj Close]]/AI215-1)</f>
        <v>-7.8814737769280385E-2</v>
      </c>
      <c r="AK214" s="37">
        <v>43598</v>
      </c>
      <c r="AL214" s="44">
        <v>60.592300000000002</v>
      </c>
      <c r="AM214" s="36">
        <f>IF(ISBLANK(AL215),"",Short1[[#This Row],[Adj Close]]/AL215-1)</f>
        <v>-3.3510919293058272E-2</v>
      </c>
      <c r="AN214" s="29">
        <v>43598</v>
      </c>
      <c r="AO214" s="44">
        <v>50.676532999999999</v>
      </c>
      <c r="AP214" s="33">
        <f>IF(ISBLANK(AO215),"",Short2[[#This Row],[Adj Close]]/AO215-1)</f>
        <v>2.4489024895674616E-2</v>
      </c>
      <c r="AQ214" s="37">
        <v>43598</v>
      </c>
      <c r="AR214" s="44">
        <v>136.490005</v>
      </c>
      <c r="AS214" s="36">
        <f>IF(ISBLANK(AR215),"",Short3[[#This Row],[Adj Close]]/AR215-1)</f>
        <v>2.3777361487837156E-2</v>
      </c>
    </row>
    <row r="215" spans="1:45" x14ac:dyDescent="0.25">
      <c r="A215" s="37">
        <v>43591</v>
      </c>
      <c r="B215" s="39">
        <v>2881.3999020000001</v>
      </c>
      <c r="C215" s="36">
        <f>IF(ISBLANK(B216), "", GSPC[[#This Row],[Adj Close]]/B216-1)</f>
        <v>-2.1808501152044912E-2</v>
      </c>
      <c r="D21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46108.488270999995</v>
      </c>
      <c r="E21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31411.823098000001</v>
      </c>
      <c r="F215" s="11">
        <f>IF(ISBLANK(GSPC[[#This Row],[Long Exp.]]), "", (GSPC[[#This Row],[Long Exp.]]/D216-1)+(E216/GSPC[[#This Row],[Short Exp.]]-1))</f>
        <v>-4.8440268324856262E-2</v>
      </c>
      <c r="G215" s="37">
        <v>43591</v>
      </c>
      <c r="H215" s="44">
        <v>20.300668999999999</v>
      </c>
      <c r="I215" s="36">
        <f>IF(ISBLANK(H216), "", Long0[[#This Row],[Adj Close]]/H216-1)</f>
        <v>-0.2084968841342737</v>
      </c>
      <c r="J215" s="29">
        <v>43591</v>
      </c>
      <c r="K215" s="44">
        <v>21.252724000000001</v>
      </c>
      <c r="L215" s="33">
        <f>IF(ISBLANK(K216),"",Long1[[#This Row],[Adj Close]]/K216-1)</f>
        <v>-4.654767760932621E-2</v>
      </c>
      <c r="M215" s="37">
        <v>43591</v>
      </c>
      <c r="N215" s="44">
        <v>22.804461</v>
      </c>
      <c r="O215" s="36">
        <f>IF(ISBLANK(N216),"",Long2[[#This Row],[Adj Close]]/N216-1)</f>
        <v>-6.7135017817917308E-2</v>
      </c>
      <c r="P215" s="29">
        <v>43591</v>
      </c>
      <c r="Q215" s="44">
        <v>25.582224</v>
      </c>
      <c r="R215" s="33">
        <f>IF(ISBLANK(Q216),"",Long3[[#This Row],[Adj Close]]/Q216-1)</f>
        <v>-5.7654373171338591E-3</v>
      </c>
      <c r="S215" s="37">
        <v>43591</v>
      </c>
      <c r="T215" s="44">
        <v>34.009456999999998</v>
      </c>
      <c r="U215" s="36">
        <f>IF(ISBLANK(T216),"",Long4[[#This Row],[Adj Close]]/T216-1)</f>
        <v>2.2234358046711922E-2</v>
      </c>
      <c r="V215" s="29">
        <v>43591</v>
      </c>
      <c r="W215" s="44">
        <v>71.932327000000001</v>
      </c>
      <c r="X215" s="33">
        <f>IF(ISBLANK(W216),"",Long5[[#This Row],[Adj Close]]/W216-1)</f>
        <v>4.169962632533819E-2</v>
      </c>
      <c r="Y215" s="37">
        <v>43591</v>
      </c>
      <c r="Z215" s="44">
        <v>161.042496</v>
      </c>
      <c r="AA215" s="36">
        <f>IF(ISBLANK(Z216),"",Long6[[#This Row],[Adj Close]]/Z216-1)</f>
        <v>-3.3523138309139222E-2</v>
      </c>
      <c r="AH215" s="29">
        <v>43591</v>
      </c>
      <c r="AI215" s="44">
        <v>61.808566999999996</v>
      </c>
      <c r="AJ215" s="33">
        <f>IF(ISBLANK(AI216),"",Short0[[#This Row],[Adj Close]]/AI216-1)</f>
        <v>-4.3395620334249818E-2</v>
      </c>
      <c r="AK215" s="37">
        <v>43591</v>
      </c>
      <c r="AL215" s="44">
        <v>62.693207000000001</v>
      </c>
      <c r="AM215" s="36">
        <f>IF(ISBLANK(AL216),"",Short1[[#This Row],[Adj Close]]/AL216-1)</f>
        <v>-4.9447042701888488E-2</v>
      </c>
      <c r="AN215" s="29">
        <v>43591</v>
      </c>
      <c r="AO215" s="44">
        <v>49.465178999999999</v>
      </c>
      <c r="AP215" s="33">
        <f>IF(ISBLANK(AO216),"",Short2[[#This Row],[Adj Close]]/AO216-1)</f>
        <v>-7.0840328449351953E-3</v>
      </c>
      <c r="AQ215" s="37">
        <v>43591</v>
      </c>
      <c r="AR215" s="44">
        <v>133.320007</v>
      </c>
      <c r="AS215" s="36">
        <f>IF(ISBLANK(AR216),"",Short3[[#This Row],[Adj Close]]/AR216-1)</f>
        <v>-1.4051131385511506E-2</v>
      </c>
    </row>
    <row r="216" spans="1:45" x14ac:dyDescent="0.25">
      <c r="A216" s="37">
        <v>43584</v>
      </c>
      <c r="B216" s="39">
        <v>2945.639893</v>
      </c>
      <c r="C216" s="36">
        <f>IF(ISBLANK(B217), "", GSPC[[#This Row],[Adj Close]]/B217-1)</f>
        <v>1.9592671228874092E-3</v>
      </c>
      <c r="D21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50024.559834</v>
      </c>
      <c r="E21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32349.237044000001</v>
      </c>
      <c r="F216" s="11">
        <f>IF(ISBLANK(GSPC[[#This Row],[Long Exp.]]), "", (GSPC[[#This Row],[Long Exp.]]/D217-1)+(E217/GSPC[[#This Row],[Short Exp.]]-1))</f>
        <v>7.3837147964871397E-3</v>
      </c>
      <c r="G216" s="37">
        <v>43584</v>
      </c>
      <c r="H216" s="44">
        <v>25.648249</v>
      </c>
      <c r="I216" s="36">
        <f>IF(ISBLANK(H217), "", Long0[[#This Row],[Adj Close]]/H217-1)</f>
        <v>3.5872764007874203E-2</v>
      </c>
      <c r="J216" s="29">
        <v>43584</v>
      </c>
      <c r="K216" s="44">
        <v>22.290285000000001</v>
      </c>
      <c r="L216" s="33">
        <f>IF(ISBLANK(K217),"",Long1[[#This Row],[Adj Close]]/K217-1)</f>
        <v>-4.9830489198471217E-2</v>
      </c>
      <c r="M216" s="37">
        <v>43584</v>
      </c>
      <c r="N216" s="44">
        <v>24.445618</v>
      </c>
      <c r="O216" s="36">
        <f>IF(ISBLANK(N217),"",Long2[[#This Row],[Adj Close]]/N217-1)</f>
        <v>-2.1390435128973428E-2</v>
      </c>
      <c r="P216" s="29">
        <v>43584</v>
      </c>
      <c r="Q216" s="44">
        <v>25.730571999999999</v>
      </c>
      <c r="R216" s="33">
        <f>IF(ISBLANK(Q217),"",Long3[[#This Row],[Adj Close]]/Q217-1)</f>
        <v>1.4294933459119363E-2</v>
      </c>
      <c r="S216" s="37">
        <v>43584</v>
      </c>
      <c r="T216" s="44">
        <v>33.269725999999999</v>
      </c>
      <c r="U216" s="36">
        <f>IF(ISBLANK(T217),"",Long4[[#This Row],[Adj Close]]/T217-1)</f>
        <v>3.2889304214328563E-2</v>
      </c>
      <c r="V216" s="29">
        <v>43584</v>
      </c>
      <c r="W216" s="44">
        <v>69.052848999999995</v>
      </c>
      <c r="X216" s="33">
        <f>IF(ISBLANK(W217),"",Long5[[#This Row],[Adj Close]]/W217-1)</f>
        <v>-2.2067215610114599E-2</v>
      </c>
      <c r="Y216" s="37">
        <v>43584</v>
      </c>
      <c r="Z216" s="44">
        <v>166.62840299999999</v>
      </c>
      <c r="AA216" s="36">
        <f>IF(ISBLANK(Z217),"",Long6[[#This Row],[Adj Close]]/Z217-1)</f>
        <v>1.2783802665642385E-2</v>
      </c>
      <c r="AH216" s="29">
        <v>43584</v>
      </c>
      <c r="AI216" s="44">
        <v>64.612465</v>
      </c>
      <c r="AJ216" s="33">
        <f>IF(ISBLANK(AI217),"",Short0[[#This Row],[Adj Close]]/AI217-1)</f>
        <v>8.5469886686631025E-3</v>
      </c>
      <c r="AK216" s="37">
        <v>43584</v>
      </c>
      <c r="AL216" s="44">
        <v>65.954459999999997</v>
      </c>
      <c r="AM216" s="36">
        <f>IF(ISBLANK(AL217),"",Short1[[#This Row],[Adj Close]]/AL217-1)</f>
        <v>3.0631999561210099E-2</v>
      </c>
      <c r="AN216" s="29">
        <v>43584</v>
      </c>
      <c r="AO216" s="44">
        <v>49.818092</v>
      </c>
      <c r="AP216" s="33">
        <f>IF(ISBLANK(AO217),"",Short2[[#This Row],[Adj Close]]/AO217-1)</f>
        <v>4.6154794871320348E-3</v>
      </c>
      <c r="AQ216" s="37">
        <v>43584</v>
      </c>
      <c r="AR216" s="44">
        <v>135.220001</v>
      </c>
      <c r="AS216" s="36">
        <f>IF(ISBLANK(AR217),"",Short3[[#This Row],[Adj Close]]/AR217-1)</f>
        <v>-1.8010138373496076E-2</v>
      </c>
    </row>
    <row r="217" spans="1:45" x14ac:dyDescent="0.25">
      <c r="A217" s="37">
        <v>43577</v>
      </c>
      <c r="B217" s="39">
        <v>2939.8798830000001</v>
      </c>
      <c r="C217" s="36">
        <f>IF(ISBLANK(B218), "", GSPC[[#This Row],[Adj Close]]/B218-1)</f>
        <v>1.1996383394355714E-2</v>
      </c>
      <c r="D21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49482.423304999997</v>
      </c>
      <c r="E21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32233.671702</v>
      </c>
      <c r="F217" s="11">
        <f>IF(ISBLANK(GSPC[[#This Row],[Long Exp.]]), "", (GSPC[[#This Row],[Long Exp.]]/D218-1)+(E218/GSPC[[#This Row],[Short Exp.]]-1))</f>
        <v>-1.941641793702642E-2</v>
      </c>
      <c r="G217" s="37">
        <v>43577</v>
      </c>
      <c r="H217" s="44">
        <v>24.760038000000002</v>
      </c>
      <c r="I217" s="36">
        <f>IF(ISBLANK(H218), "", Long0[[#This Row],[Adj Close]]/H218-1)</f>
        <v>7.0762863183446711E-3</v>
      </c>
      <c r="J217" s="29">
        <v>43577</v>
      </c>
      <c r="K217" s="44">
        <v>23.459271999999999</v>
      </c>
      <c r="L217" s="33">
        <f>IF(ISBLANK(K218),"",Long1[[#This Row],[Adj Close]]/K218-1)</f>
        <v>2.7260332967913303E-2</v>
      </c>
      <c r="M217" s="37">
        <v>43577</v>
      </c>
      <c r="N217" s="44">
        <v>24.979949999999999</v>
      </c>
      <c r="O217" s="36">
        <f>IF(ISBLANK(N218),"",Long2[[#This Row],[Adj Close]]/N218-1)</f>
        <v>-3.287784421303408E-2</v>
      </c>
      <c r="P217" s="29">
        <v>43577</v>
      </c>
      <c r="Q217" s="44">
        <v>25.367939</v>
      </c>
      <c r="R217" s="33">
        <f>IF(ISBLANK(Q218),"",Long3[[#This Row],[Adj Close]]/Q218-1)</f>
        <v>-6.1349219750569395E-3</v>
      </c>
      <c r="S217" s="37">
        <v>43577</v>
      </c>
      <c r="T217" s="44">
        <v>32.210349999999998</v>
      </c>
      <c r="U217" s="36">
        <f>IF(ISBLANK(T218),"",Long4[[#This Row],[Adj Close]]/T218-1)</f>
        <v>-3.3907551620069309E-3</v>
      </c>
      <c r="V217" s="29">
        <v>43577</v>
      </c>
      <c r="W217" s="44">
        <v>70.611037999999994</v>
      </c>
      <c r="X217" s="33">
        <f>IF(ISBLANK(W218),"",Long5[[#This Row],[Adj Close]]/W218-1)</f>
        <v>-6.028508248652753E-3</v>
      </c>
      <c r="Y217" s="37">
        <v>43577</v>
      </c>
      <c r="Z217" s="44">
        <v>164.52514600000001</v>
      </c>
      <c r="AA217" s="36">
        <f>IF(ISBLANK(Z218),"",Long6[[#This Row],[Adj Close]]/Z218-1)</f>
        <v>-4.7343449131277415E-3</v>
      </c>
      <c r="AH217" s="29">
        <v>43577</v>
      </c>
      <c r="AI217" s="44">
        <v>64.064903000000001</v>
      </c>
      <c r="AJ217" s="33">
        <f>IF(ISBLANK(AI218),"",Short0[[#This Row],[Adj Close]]/AI218-1)</f>
        <v>-5.2770470261751523E-3</v>
      </c>
      <c r="AK217" s="37">
        <v>43577</v>
      </c>
      <c r="AL217" s="44">
        <v>63.994190000000003</v>
      </c>
      <c r="AM217" s="36">
        <f>IF(ISBLANK(AL218),"",Short1[[#This Row],[Adj Close]]/AL218-1)</f>
        <v>-1.1406805926573282E-2</v>
      </c>
      <c r="AN217" s="29">
        <v>43577</v>
      </c>
      <c r="AO217" s="44">
        <v>49.589213999999998</v>
      </c>
      <c r="AP217" s="33">
        <f>IF(ISBLANK(AO218),"",Short2[[#This Row],[Adj Close]]/AO218-1)</f>
        <v>-1.6632168595425489E-2</v>
      </c>
      <c r="AQ217" s="37">
        <v>43577</v>
      </c>
      <c r="AR217" s="44">
        <v>137.699997</v>
      </c>
      <c r="AS217" s="36">
        <f>IF(ISBLANK(AR218),"",Short3[[#This Row],[Adj Close]]/AR218-1)</f>
        <v>7.5109266472372482E-2</v>
      </c>
    </row>
    <row r="218" spans="1:45" x14ac:dyDescent="0.25">
      <c r="A218" s="37">
        <v>43570</v>
      </c>
      <c r="B218" s="39">
        <v>2905.030029</v>
      </c>
      <c r="C218" s="36">
        <f>IF(ISBLANK(B219), "", GSPC[[#This Row],[Adj Close]]/B219-1)</f>
        <v>-8.1855777892803072E-4</v>
      </c>
      <c r="D21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49707.419536000001</v>
      </c>
      <c r="E21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31753.712120000004</v>
      </c>
      <c r="F218" s="11">
        <f>IF(ISBLANK(GSPC[[#This Row],[Long Exp.]]), "", (GSPC[[#This Row],[Long Exp.]]/D219-1)+(E219/GSPC[[#This Row],[Short Exp.]]-1))</f>
        <v>-2.7603314904449672E-3</v>
      </c>
      <c r="G218" s="37">
        <v>43570</v>
      </c>
      <c r="H218" s="44">
        <v>24.58606</v>
      </c>
      <c r="I218" s="36">
        <f>IF(ISBLANK(H219), "", Long0[[#This Row],[Adj Close]]/H219-1)</f>
        <v>-4.4492337160872975E-3</v>
      </c>
      <c r="J218" s="29">
        <v>43570</v>
      </c>
      <c r="K218" s="44">
        <v>22.836735000000001</v>
      </c>
      <c r="L218" s="33">
        <f>IF(ISBLANK(K219),"",Long1[[#This Row],[Adj Close]]/K219-1)</f>
        <v>4.4943860326489116E-2</v>
      </c>
      <c r="M218" s="37">
        <v>43570</v>
      </c>
      <c r="N218" s="44">
        <v>25.829156999999999</v>
      </c>
      <c r="O218" s="36">
        <f>IF(ISBLANK(N219),"",Long2[[#This Row],[Adj Close]]/N219-1)</f>
        <v>1.0074995921244279E-2</v>
      </c>
      <c r="P218" s="29">
        <v>43570</v>
      </c>
      <c r="Q218" s="44">
        <v>25.524529999999999</v>
      </c>
      <c r="R218" s="33">
        <f>IF(ISBLANK(Q219),"",Long3[[#This Row],[Adj Close]]/Q219-1)</f>
        <v>-2.7934867199747804E-2</v>
      </c>
      <c r="S218" s="37">
        <v>43570</v>
      </c>
      <c r="T218" s="44">
        <v>32.319938999999998</v>
      </c>
      <c r="U218" s="36">
        <f>IF(ISBLANK(T219),"",Long4[[#This Row],[Adj Close]]/T219-1)</f>
        <v>-2.8234653353909067E-4</v>
      </c>
      <c r="V218" s="29">
        <v>43570</v>
      </c>
      <c r="W218" s="44">
        <v>71.039299</v>
      </c>
      <c r="X218" s="33">
        <f>IF(ISBLANK(W219),"",Long5[[#This Row],[Adj Close]]/W219-1)</f>
        <v>4.1210785214882417E-3</v>
      </c>
      <c r="Y218" s="37">
        <v>43570</v>
      </c>
      <c r="Z218" s="44">
        <v>165.30777</v>
      </c>
      <c r="AA218" s="36">
        <f>IF(ISBLANK(Z219),"",Long6[[#This Row],[Adj Close]]/Z219-1)</f>
        <v>-9.3217067248253516E-3</v>
      </c>
      <c r="AH218" s="29">
        <v>43570</v>
      </c>
      <c r="AI218" s="44">
        <v>64.404769999999999</v>
      </c>
      <c r="AJ218" s="33">
        <f>IF(ISBLANK(AI219),"",Short0[[#This Row],[Adj Close]]/AI219-1)</f>
        <v>2.0188381257093324E-2</v>
      </c>
      <c r="AK218" s="37">
        <v>43570</v>
      </c>
      <c r="AL218" s="44">
        <v>64.732581999999994</v>
      </c>
      <c r="AM218" s="36">
        <f>IF(ISBLANK(AL219),"",Short1[[#This Row],[Adj Close]]/AL219-1)</f>
        <v>9.5132198159908476E-4</v>
      </c>
      <c r="AN218" s="29">
        <v>43570</v>
      </c>
      <c r="AO218" s="44">
        <v>50.42794</v>
      </c>
      <c r="AP218" s="33">
        <f>IF(ISBLANK(AO219),"",Short2[[#This Row],[Adj Close]]/AO219-1)</f>
        <v>3.8061568602482554E-2</v>
      </c>
      <c r="AQ218" s="37">
        <v>43570</v>
      </c>
      <c r="AR218" s="44">
        <v>128.08000200000001</v>
      </c>
      <c r="AS218" s="36">
        <f>IF(ISBLANK(AR219),"",Short3[[#This Row],[Adj Close]]/AR219-1)</f>
        <v>-5.0837408465430278E-2</v>
      </c>
    </row>
    <row r="219" spans="1:45" x14ac:dyDescent="0.25">
      <c r="A219" s="37">
        <v>43563</v>
      </c>
      <c r="B219" s="39">
        <v>2907.4099120000001</v>
      </c>
      <c r="C219" s="36">
        <f>IF(ISBLANK(B220), "", GSPC[[#This Row],[Adj Close]]/B220-1)</f>
        <v>5.0712895215998532E-3</v>
      </c>
      <c r="D21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49954.166699000001</v>
      </c>
      <c r="E21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31822.907892000003</v>
      </c>
      <c r="F219" s="11">
        <f>IF(ISBLANK(GSPC[[#This Row],[Long Exp.]]), "", (GSPC[[#This Row],[Long Exp.]]/D220-1)+(E220/GSPC[[#This Row],[Short Exp.]]-1))</f>
        <v>-1.8203292354927569E-2</v>
      </c>
      <c r="G219" s="37">
        <v>43563</v>
      </c>
      <c r="H219" s="44">
        <v>24.695938000000002</v>
      </c>
      <c r="I219" s="36">
        <f>IF(ISBLANK(H220), "", Long0[[#This Row],[Adj Close]]/H220-1)</f>
        <v>-2.3887118443587596E-2</v>
      </c>
      <c r="J219" s="29">
        <v>43563</v>
      </c>
      <c r="K219" s="44">
        <v>21.854509</v>
      </c>
      <c r="L219" s="33">
        <f>IF(ISBLANK(K220),"",Long1[[#This Row],[Adj Close]]/K220-1)</f>
        <v>6.1481588624120009E-2</v>
      </c>
      <c r="M219" s="37">
        <v>43563</v>
      </c>
      <c r="N219" s="44">
        <v>25.571524</v>
      </c>
      <c r="O219" s="36">
        <f>IF(ISBLANK(N220),"",Long2[[#This Row],[Adj Close]]/N220-1)</f>
        <v>-4.0114948111864335E-2</v>
      </c>
      <c r="P219" s="29">
        <v>43563</v>
      </c>
      <c r="Q219" s="44">
        <v>26.258044999999999</v>
      </c>
      <c r="R219" s="33">
        <f>IF(ISBLANK(Q220),"",Long3[[#This Row],[Adj Close]]/Q220-1)</f>
        <v>-9.0201729226265792E-3</v>
      </c>
      <c r="S219" s="37">
        <v>43563</v>
      </c>
      <c r="T219" s="44">
        <v>32.329067000000002</v>
      </c>
      <c r="U219" s="36">
        <f>IF(ISBLANK(T220),"",Long4[[#This Row],[Adj Close]]/T220-1)</f>
        <v>-2.0476124151220243E-2</v>
      </c>
      <c r="V219" s="29">
        <v>43563</v>
      </c>
      <c r="W219" s="44">
        <v>70.747742000000002</v>
      </c>
      <c r="X219" s="33">
        <f>IF(ISBLANK(W220),"",Long5[[#This Row],[Adj Close]]/W220-1)</f>
        <v>4.6784705926671277E-2</v>
      </c>
      <c r="Y219" s="37">
        <v>43563</v>
      </c>
      <c r="Z219" s="44">
        <v>166.86322000000001</v>
      </c>
      <c r="AA219" s="36">
        <f>IF(ISBLANK(Z220),"",Long6[[#This Row],[Adj Close]]/Z220-1)</f>
        <v>4.0378358717156893E-2</v>
      </c>
      <c r="AH219" s="29">
        <v>43563</v>
      </c>
      <c r="AI219" s="44">
        <v>63.130271999999998</v>
      </c>
      <c r="AJ219" s="33">
        <f>IF(ISBLANK(AI220),"",Short0[[#This Row],[Adj Close]]/AI220-1)</f>
        <v>1.441150687665349E-2</v>
      </c>
      <c r="AK219" s="37">
        <v>43563</v>
      </c>
      <c r="AL219" s="44">
        <v>64.671059</v>
      </c>
      <c r="AM219" s="36">
        <f>IF(ISBLANK(AL220),"",Short1[[#This Row],[Adj Close]]/AL220-1)</f>
        <v>-1.6049421109680218E-2</v>
      </c>
      <c r="AN219" s="29">
        <v>43563</v>
      </c>
      <c r="AO219" s="44">
        <v>48.578949000000001</v>
      </c>
      <c r="AP219" s="33">
        <f>IF(ISBLANK(AO220),"",Short2[[#This Row],[Adj Close]]/AO220-1)</f>
        <v>-1.3738545730286766E-2</v>
      </c>
      <c r="AQ219" s="37">
        <v>43563</v>
      </c>
      <c r="AR219" s="44">
        <v>134.94000199999999</v>
      </c>
      <c r="AS219" s="36">
        <f>IF(ISBLANK(AR220),"",Short3[[#This Row],[Adj Close]]/AR220-1)</f>
        <v>4.8484888465071263E-2</v>
      </c>
    </row>
    <row r="220" spans="1:45" x14ac:dyDescent="0.25">
      <c r="A220" s="37">
        <v>43556</v>
      </c>
      <c r="B220" s="39">
        <v>2892.73999</v>
      </c>
      <c r="C220" s="36">
        <f>IF(ISBLANK(B221), "", GSPC[[#This Row],[Adj Close]]/B221-1)</f>
        <v>2.058287116042945E-2</v>
      </c>
      <c r="D22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50197.827107999998</v>
      </c>
      <c r="E22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31398.094689999998</v>
      </c>
      <c r="F220" s="11">
        <f>IF(ISBLANK(GSPC[[#This Row],[Long Exp.]]), "", (GSPC[[#This Row],[Long Exp.]]/D221-1)+(E221/GSPC[[#This Row],[Short Exp.]]-1))</f>
        <v>-4.541428835607153E-2</v>
      </c>
      <c r="G220" s="37">
        <v>43556</v>
      </c>
      <c r="H220" s="44">
        <v>25.300288999999999</v>
      </c>
      <c r="I220" s="36">
        <f>IF(ISBLANK(H221), "", Long0[[#This Row],[Adj Close]]/H221-1)</f>
        <v>-2.5052887386571188E-2</v>
      </c>
      <c r="J220" s="29">
        <v>43556</v>
      </c>
      <c r="K220" s="44">
        <v>20.588684000000001</v>
      </c>
      <c r="L220" s="33">
        <f>IF(ISBLANK(K221),"",Long1[[#This Row],[Adj Close]]/K221-1)</f>
        <v>0.10774090291012306</v>
      </c>
      <c r="M220" s="37">
        <v>43556</v>
      </c>
      <c r="N220" s="44">
        <v>26.640194000000001</v>
      </c>
      <c r="O220" s="36">
        <f>IF(ISBLANK(N221),"",Long2[[#This Row],[Adj Close]]/N221-1)</f>
        <v>2.2336390815786755E-2</v>
      </c>
      <c r="P220" s="29">
        <v>43556</v>
      </c>
      <c r="Q220" s="44">
        <v>26.497053000000001</v>
      </c>
      <c r="R220" s="33">
        <f>IF(ISBLANK(Q221),"",Long3[[#This Row],[Adj Close]]/Q221-1)</f>
        <v>1.2917510826616629E-2</v>
      </c>
      <c r="S220" s="37">
        <v>43556</v>
      </c>
      <c r="T220" s="44">
        <v>33.004879000000003</v>
      </c>
      <c r="U220" s="36">
        <f>IF(ISBLANK(T221),"",Long4[[#This Row],[Adj Close]]/T221-1)</f>
        <v>5.8891589894636276E-3</v>
      </c>
      <c r="V220" s="29">
        <v>43556</v>
      </c>
      <c r="W220" s="44">
        <v>67.585762000000003</v>
      </c>
      <c r="X220" s="33">
        <f>IF(ISBLANK(W221),"",Long5[[#This Row],[Adj Close]]/W221-1)</f>
        <v>-2.4464046936513162E-2</v>
      </c>
      <c r="Y220" s="37">
        <v>43556</v>
      </c>
      <c r="Z220" s="44">
        <v>160.38705400000001</v>
      </c>
      <c r="AA220" s="36">
        <f>IF(ISBLANK(Z221),"",Long6[[#This Row],[Adj Close]]/Z221-1)</f>
        <v>7.2620130946458472E-2</v>
      </c>
      <c r="AH220" s="29">
        <v>43556</v>
      </c>
      <c r="AI220" s="44">
        <v>62.233395000000002</v>
      </c>
      <c r="AJ220" s="33">
        <f>IF(ISBLANK(AI221),"",Short0[[#This Row],[Adj Close]]/AI221-1)</f>
        <v>8.1364757657796938E-2</v>
      </c>
      <c r="AK220" s="37">
        <v>43556</v>
      </c>
      <c r="AL220" s="44">
        <v>65.725921999999997</v>
      </c>
      <c r="AM220" s="36">
        <f>IF(ISBLANK(AL221),"",Short1[[#This Row],[Adj Close]]/AL221-1)</f>
        <v>5.2209763995021863E-2</v>
      </c>
      <c r="AN220" s="29">
        <v>43556</v>
      </c>
      <c r="AO220" s="44">
        <v>49.255650000000003</v>
      </c>
      <c r="AP220" s="33">
        <f>IF(ISBLANK(AO221),"",Short2[[#This Row],[Adj Close]]/AO221-1)</f>
        <v>5.2760528022061548E-2</v>
      </c>
      <c r="AQ220" s="37">
        <v>43556</v>
      </c>
      <c r="AR220" s="44">
        <v>128.699997</v>
      </c>
      <c r="AS220" s="36">
        <f>IF(ISBLANK(AR221),"",Short3[[#This Row],[Adj Close]]/AR221-1)</f>
        <v>3.29052894527333E-2</v>
      </c>
    </row>
    <row r="221" spans="1:45" x14ac:dyDescent="0.25">
      <c r="A221" s="37">
        <v>43549</v>
      </c>
      <c r="B221" s="39">
        <v>2834.3999020000001</v>
      </c>
      <c r="C221" s="36">
        <f>IF(ISBLANK(B222), "", GSPC[[#This Row],[Adj Close]]/B222-1)</f>
        <v>1.2029071724360518E-2</v>
      </c>
      <c r="D22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49835.996436000001</v>
      </c>
      <c r="E22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29744.208953000001</v>
      </c>
      <c r="F221" s="11">
        <f>IF(ISBLANK(GSPC[[#This Row],[Long Exp.]]), "", (GSPC[[#This Row],[Long Exp.]]/D222-1)+(E222/GSPC[[#This Row],[Short Exp.]]-1))</f>
        <v>-1.2335967780651269E-2</v>
      </c>
      <c r="G221" s="37">
        <v>43549</v>
      </c>
      <c r="H221" s="44">
        <v>25.950422</v>
      </c>
      <c r="I221" s="36">
        <f>IF(ISBLANK(H222), "", Long0[[#This Row],[Adj Close]]/H222-1)</f>
        <v>-1.2199499415970094E-2</v>
      </c>
      <c r="J221" s="29">
        <v>43549</v>
      </c>
      <c r="K221" s="44">
        <v>18.586190999999999</v>
      </c>
      <c r="L221" s="33">
        <f>IF(ISBLANK(K222),"",Long1[[#This Row],[Adj Close]]/K222-1)</f>
        <v>8.6534580744368483E-2</v>
      </c>
      <c r="M221" s="37">
        <v>43549</v>
      </c>
      <c r="N221" s="44">
        <v>26.058149</v>
      </c>
      <c r="O221" s="36">
        <f>IF(ISBLANK(N222),"",Long2[[#This Row],[Adj Close]]/N222-1)</f>
        <v>1.7132086442227523E-2</v>
      </c>
      <c r="P221" s="29">
        <v>43549</v>
      </c>
      <c r="Q221" s="44">
        <v>26.159141999999999</v>
      </c>
      <c r="R221" s="33">
        <f>IF(ISBLANK(Q222),"",Long3[[#This Row],[Adj Close]]/Q222-1)</f>
        <v>-1.3979485426658944E-2</v>
      </c>
      <c r="S221" s="37">
        <v>43549</v>
      </c>
      <c r="T221" s="44">
        <v>32.811646000000003</v>
      </c>
      <c r="U221" s="36">
        <f>IF(ISBLANK(T222),"",Long4[[#This Row],[Adj Close]]/T222-1)</f>
        <v>4.9232367217127537E-2</v>
      </c>
      <c r="V221" s="29">
        <v>43549</v>
      </c>
      <c r="W221" s="44">
        <v>69.280647000000002</v>
      </c>
      <c r="X221" s="33">
        <f>IF(ISBLANK(W222),"",Long5[[#This Row],[Adj Close]]/W222-1)</f>
        <v>5.0718646623930441E-2</v>
      </c>
      <c r="Y221" s="37">
        <v>43549</v>
      </c>
      <c r="Z221" s="44">
        <v>149.52829</v>
      </c>
      <c r="AA221" s="36">
        <f>IF(ISBLANK(Z222),"",Long6[[#This Row],[Adj Close]]/Z222-1)</f>
        <v>-9.4614504922667653E-3</v>
      </c>
      <c r="AH221" s="29">
        <v>43549</v>
      </c>
      <c r="AI221" s="44">
        <v>57.550789000000002</v>
      </c>
      <c r="AJ221" s="33">
        <f>IF(ISBLANK(AI222),"",Short0[[#This Row],[Adj Close]]/AI222-1)</f>
        <v>3.6619490949535205E-2</v>
      </c>
      <c r="AK221" s="37">
        <v>43549</v>
      </c>
      <c r="AL221" s="44">
        <v>62.464657000000003</v>
      </c>
      <c r="AM221" s="36">
        <f>IF(ISBLANK(AL222),"",Short1[[#This Row],[Adj Close]]/AL222-1)</f>
        <v>2.0816701970138851E-2</v>
      </c>
      <c r="AN221" s="29">
        <v>43549</v>
      </c>
      <c r="AO221" s="44">
        <v>46.787135999999997</v>
      </c>
      <c r="AP221" s="33">
        <f>IF(ISBLANK(AO222),"",Short2[[#This Row],[Adj Close]]/AO222-1)</f>
        <v>2.6128668620838624E-2</v>
      </c>
      <c r="AQ221" s="37">
        <v>43549</v>
      </c>
      <c r="AR221" s="44">
        <v>124.599998</v>
      </c>
      <c r="AS221" s="36">
        <f>IF(ISBLANK(AR222),"",Short3[[#This Row],[Adj Close]]/AR222-1)</f>
        <v>-8.5932686187142338E-3</v>
      </c>
    </row>
    <row r="222" spans="1:45" x14ac:dyDescent="0.25">
      <c r="A222" s="37">
        <v>43542</v>
      </c>
      <c r="B222" s="39">
        <v>2800.709961</v>
      </c>
      <c r="C222" s="36">
        <f>IF(ISBLANK(B223), "", GSPC[[#This Row],[Adj Close]]/B223-1)</f>
        <v>-7.713081812541378E-3</v>
      </c>
      <c r="D22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49596.902068000003</v>
      </c>
      <c r="E22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29233.895893000001</v>
      </c>
      <c r="F222" s="11">
        <f>IF(ISBLANK(GSPC[[#This Row],[Long Exp.]]), "", (GSPC[[#This Row],[Long Exp.]]/D223-1)+(E223/GSPC[[#This Row],[Short Exp.]]-1))</f>
        <v>-1.6295243491138978E-3</v>
      </c>
      <c r="G222" s="37">
        <v>43542</v>
      </c>
      <c r="H222" s="44">
        <v>26.270914000000001</v>
      </c>
      <c r="I222" s="36">
        <f>IF(ISBLANK(H223), "", Long0[[#This Row],[Adj Close]]/H223-1)</f>
        <v>2.1360027886396349E-2</v>
      </c>
      <c r="J222" s="29">
        <v>43542</v>
      </c>
      <c r="K222" s="44">
        <v>17.105936</v>
      </c>
      <c r="L222" s="33">
        <f>IF(ISBLANK(K223),"",Long1[[#This Row],[Adj Close]]/K223-1)</f>
        <v>-3.8267730622012497E-3</v>
      </c>
      <c r="M222" s="37">
        <v>43542</v>
      </c>
      <c r="N222" s="44">
        <v>25.619237999999999</v>
      </c>
      <c r="O222" s="36">
        <f>IF(ISBLANK(N223),"",Long2[[#This Row],[Adj Close]]/N223-1)</f>
        <v>-6.4785703250962889E-2</v>
      </c>
      <c r="P222" s="29">
        <v>43542</v>
      </c>
      <c r="Q222" s="44">
        <v>26.530017999999998</v>
      </c>
      <c r="R222" s="33">
        <f>IF(ISBLANK(Q223),"",Long3[[#This Row],[Adj Close]]/Q223-1)</f>
        <v>-1.6799159035870925E-2</v>
      </c>
      <c r="S222" s="37">
        <v>43542</v>
      </c>
      <c r="T222" s="44">
        <v>31.272048999999999</v>
      </c>
      <c r="U222" s="36">
        <f>IF(ISBLANK(T223),"",Long4[[#This Row],[Adj Close]]/T223-1)</f>
        <v>-1.651937910115131E-2</v>
      </c>
      <c r="V222" s="29">
        <v>43542</v>
      </c>
      <c r="W222" s="44">
        <v>65.936440000000005</v>
      </c>
      <c r="X222" s="33">
        <f>IF(ISBLANK(W223),"",Long5[[#This Row],[Adj Close]]/W223-1)</f>
        <v>4.2555297112758073E-2</v>
      </c>
      <c r="Y222" s="37">
        <v>43542</v>
      </c>
      <c r="Z222" s="44">
        <v>150.956558</v>
      </c>
      <c r="AA222" s="36">
        <f>IF(ISBLANK(Z223),"",Long6[[#This Row],[Adj Close]]/Z223-1)</f>
        <v>-1.0895448655729667E-2</v>
      </c>
      <c r="AH222" s="29">
        <v>43542</v>
      </c>
      <c r="AI222" s="44">
        <v>55.517757000000003</v>
      </c>
      <c r="AJ222" s="33">
        <f>IF(ISBLANK(AI223),"",Short0[[#This Row],[Adj Close]]/AI223-1)</f>
        <v>-3.1793077806074876E-3</v>
      </c>
      <c r="AK222" s="37">
        <v>43542</v>
      </c>
      <c r="AL222" s="44">
        <v>61.190865000000002</v>
      </c>
      <c r="AM222" s="36">
        <f>IF(ISBLANK(AL223),"",Short1[[#This Row],[Adj Close]]/AL223-1)</f>
        <v>6.8936768711433949E-3</v>
      </c>
      <c r="AN222" s="29">
        <v>43542</v>
      </c>
      <c r="AO222" s="44">
        <v>45.595779</v>
      </c>
      <c r="AP222" s="33">
        <f>IF(ISBLANK(AO223),"",Short2[[#This Row],[Adj Close]]/AO223-1)</f>
        <v>2.3047890071805632E-3</v>
      </c>
      <c r="AQ222" s="37">
        <v>43542</v>
      </c>
      <c r="AR222" s="44">
        <v>125.68</v>
      </c>
      <c r="AS222" s="36">
        <f>IF(ISBLANK(AR223),"",Short3[[#This Row],[Adj Close]]/AR223-1)</f>
        <v>-1.2880929940307762E-2</v>
      </c>
    </row>
    <row r="223" spans="1:45" x14ac:dyDescent="0.25">
      <c r="A223" s="37">
        <v>43535</v>
      </c>
      <c r="B223" s="39">
        <v>2822.4799800000001</v>
      </c>
      <c r="C223" s="36">
        <f>IF(ISBLANK(B224), "", GSPC[[#This Row],[Adj Close]]/B224-1)</f>
        <v>2.8949283113974156E-2</v>
      </c>
      <c r="D22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49844.651889999994</v>
      </c>
      <c r="E22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29331.563856000001</v>
      </c>
      <c r="F223" s="11">
        <f>IF(ISBLANK(GSPC[[#This Row],[Long Exp.]]), "", (GSPC[[#This Row],[Long Exp.]]/D224-1)+(E224/GSPC[[#This Row],[Short Exp.]]-1))</f>
        <v>2.894724397415549E-2</v>
      </c>
      <c r="G223" s="37">
        <v>43535</v>
      </c>
      <c r="H223" s="44">
        <v>25.721502000000001</v>
      </c>
      <c r="I223" s="36">
        <f>IF(ISBLANK(H224), "", Long0[[#This Row],[Adj Close]]/H224-1)</f>
        <v>5.5618012043438636E-2</v>
      </c>
      <c r="J223" s="29">
        <v>43535</v>
      </c>
      <c r="K223" s="44">
        <v>17.171648000000001</v>
      </c>
      <c r="L223" s="33">
        <f>IF(ISBLANK(K224),"",Long1[[#This Row],[Adj Close]]/K224-1)</f>
        <v>7.467531898584423E-2</v>
      </c>
      <c r="M223" s="37">
        <v>43535</v>
      </c>
      <c r="N223" s="44">
        <v>27.393975999999999</v>
      </c>
      <c r="O223" s="36">
        <f>IF(ISBLANK(N224),"",Long2[[#This Row],[Adj Close]]/N224-1)</f>
        <v>2.5482901833902893E-2</v>
      </c>
      <c r="P223" s="29">
        <v>43535</v>
      </c>
      <c r="Q223" s="44">
        <v>26.983315000000001</v>
      </c>
      <c r="R223" s="33">
        <f>IF(ISBLANK(Q224),"",Long3[[#This Row],[Adj Close]]/Q224-1)</f>
        <v>3.70000192924409E-2</v>
      </c>
      <c r="S223" s="37">
        <v>43535</v>
      </c>
      <c r="T223" s="44">
        <v>31.797321</v>
      </c>
      <c r="U223" s="36">
        <f>IF(ISBLANK(T224),"",Long4[[#This Row],[Adj Close]]/T224-1)</f>
        <v>2.9316797185105825E-2</v>
      </c>
      <c r="V223" s="29">
        <v>43535</v>
      </c>
      <c r="W223" s="44">
        <v>63.245029000000002</v>
      </c>
      <c r="X223" s="33">
        <f>IF(ISBLANK(W224),"",Long5[[#This Row],[Adj Close]]/W224-1)</f>
        <v>4.2760824460788438E-2</v>
      </c>
      <c r="Y223" s="37">
        <v>43535</v>
      </c>
      <c r="Z223" s="44">
        <v>152.619415</v>
      </c>
      <c r="AA223" s="36">
        <f>IF(ISBLANK(Z224),"",Long6[[#This Row],[Adj Close]]/Z224-1)</f>
        <v>5.8444657120525489E-2</v>
      </c>
      <c r="AH223" s="29">
        <v>43535</v>
      </c>
      <c r="AI223" s="44">
        <v>55.694828000000001</v>
      </c>
      <c r="AJ223" s="33">
        <f>IF(ISBLANK(AI224),"",Short0[[#This Row],[Adj Close]]/AI224-1)</f>
        <v>-7.9681625461698324E-3</v>
      </c>
      <c r="AK223" s="37">
        <v>43535</v>
      </c>
      <c r="AL223" s="44">
        <v>60.771923000000001</v>
      </c>
      <c r="AM223" s="36">
        <f>IF(ISBLANK(AL224),"",Short1[[#This Row],[Adj Close]]/AL224-1)</f>
        <v>3.3545913581969122E-2</v>
      </c>
      <c r="AN223" s="29">
        <v>43535</v>
      </c>
      <c r="AO223" s="44">
        <v>45.490932000000001</v>
      </c>
      <c r="AP223" s="33">
        <f>IF(ISBLANK(AO224),"",Short2[[#This Row],[Adj Close]]/AO224-1)</f>
        <v>0</v>
      </c>
      <c r="AQ223" s="37">
        <v>43535</v>
      </c>
      <c r="AR223" s="44">
        <v>127.32</v>
      </c>
      <c r="AS223" s="36">
        <f>IF(ISBLANK(AR224),"",Short3[[#This Row],[Adj Close]]/AR224-1)</f>
        <v>3.994119088458703E-2</v>
      </c>
    </row>
    <row r="224" spans="1:45" x14ac:dyDescent="0.25">
      <c r="A224" s="37">
        <v>43528</v>
      </c>
      <c r="B224" s="39">
        <v>2743.070068</v>
      </c>
      <c r="C224" s="36">
        <f>IF(ISBLANK(B225), "", GSPC[[#This Row],[Adj Close]]/B225-1)</f>
        <v>-2.162146110150065E-2</v>
      </c>
      <c r="D22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47706.530663999998</v>
      </c>
      <c r="E22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28866.043654000001</v>
      </c>
      <c r="F224" s="11">
        <f>IF(ISBLANK(GSPC[[#This Row],[Long Exp.]]), "", (GSPC[[#This Row],[Long Exp.]]/D225-1)+(E225/GSPC[[#This Row],[Short Exp.]]-1))</f>
        <v>-2.1252000761463608E-3</v>
      </c>
      <c r="G224" s="37">
        <v>43528</v>
      </c>
      <c r="H224" s="44">
        <v>24.366296999999999</v>
      </c>
      <c r="I224" s="36">
        <f>IF(ISBLANK(H225), "", Long0[[#This Row],[Adj Close]]/H225-1)</f>
        <v>-3.0601137332974537E-2</v>
      </c>
      <c r="J224" s="29">
        <v>43528</v>
      </c>
      <c r="K224" s="44">
        <v>15.978452000000001</v>
      </c>
      <c r="L224" s="33">
        <f>IF(ISBLANK(K225),"",Long1[[#This Row],[Adj Close]]/K225-1)</f>
        <v>-7.0609463554764162E-2</v>
      </c>
      <c r="M224" s="37">
        <v>43528</v>
      </c>
      <c r="N224" s="44">
        <v>26.713245000000001</v>
      </c>
      <c r="O224" s="36">
        <f>IF(ISBLANK(N225),"",Long2[[#This Row],[Adj Close]]/N225-1)</f>
        <v>-9.6129026102084514E-2</v>
      </c>
      <c r="P224" s="29">
        <v>43528</v>
      </c>
      <c r="Q224" s="44">
        <v>26.020554000000001</v>
      </c>
      <c r="R224" s="33">
        <f>IF(ISBLANK(Q225),"",Long3[[#This Row],[Adj Close]]/Q225-1)</f>
        <v>-8.6795836040007845E-3</v>
      </c>
      <c r="S224" s="37">
        <v>43528</v>
      </c>
      <c r="T224" s="44">
        <v>30.891676</v>
      </c>
      <c r="U224" s="36">
        <f>IF(ISBLANK(T225),"",Long4[[#This Row],[Adj Close]]/T225-1)</f>
        <v>-1.8417479952685833E-2</v>
      </c>
      <c r="V224" s="29">
        <v>43528</v>
      </c>
      <c r="W224" s="44">
        <v>60.651519999999998</v>
      </c>
      <c r="X224" s="33">
        <f>IF(ISBLANK(W225),"",Long5[[#This Row],[Adj Close]]/W225-1)</f>
        <v>2.8232000147966785E-2</v>
      </c>
      <c r="Y224" s="37">
        <v>43528</v>
      </c>
      <c r="Z224" s="44">
        <v>144.19215399999999</v>
      </c>
      <c r="AA224" s="36">
        <f>IF(ISBLANK(Z225),"",Long6[[#This Row],[Adj Close]]/Z225-1)</f>
        <v>-3.2090490259618742E-2</v>
      </c>
      <c r="AH224" s="29">
        <v>43528</v>
      </c>
      <c r="AI224" s="44">
        <v>56.142178000000001</v>
      </c>
      <c r="AJ224" s="33">
        <f>IF(ISBLANK(AI225),"",Short0[[#This Row],[Adj Close]]/AI225-1)</f>
        <v>-2.6490773049858696E-3</v>
      </c>
      <c r="AK224" s="37">
        <v>43528</v>
      </c>
      <c r="AL224" s="44">
        <v>58.799441999999999</v>
      </c>
      <c r="AM224" s="36">
        <f>IF(ISBLANK(AL225),"",Short1[[#This Row],[Adj Close]]/AL225-1)</f>
        <v>-6.4886034037211493E-3</v>
      </c>
      <c r="AN224" s="29">
        <v>43528</v>
      </c>
      <c r="AO224" s="44">
        <v>45.490932000000001</v>
      </c>
      <c r="AP224" s="33">
        <f>IF(ISBLANK(AO225),"",Short2[[#This Row],[Adj Close]]/AO225-1)</f>
        <v>1.4884066427965914E-2</v>
      </c>
      <c r="AQ224" s="37">
        <v>43528</v>
      </c>
      <c r="AR224" s="44">
        <v>122.43</v>
      </c>
      <c r="AS224" s="36">
        <f>IF(ISBLANK(AR225),"",Short3[[#This Row],[Adj Close]]/AR225-1)</f>
        <v>-9.0753765648143969E-2</v>
      </c>
    </row>
    <row r="225" spans="1:45" x14ac:dyDescent="0.25">
      <c r="A225" s="37">
        <v>43521</v>
      </c>
      <c r="B225" s="39">
        <v>2803.6899410000001</v>
      </c>
      <c r="C225" s="36">
        <f>IF(ISBLANK(B226), "", GSPC[[#This Row],[Adj Close]]/B226-1)</f>
        <v>3.9460513801459207E-3</v>
      </c>
      <c r="D22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49302.315412999997</v>
      </c>
      <c r="E22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29739.014552000001</v>
      </c>
      <c r="F225" s="11">
        <f>IF(ISBLANK(GSPC[[#This Row],[Long Exp.]]), "", (GSPC[[#This Row],[Long Exp.]]/D226-1)+(E226/GSPC[[#This Row],[Short Exp.]]-1))</f>
        <v>-4.9947190390307927E-2</v>
      </c>
      <c r="G225" s="37">
        <v>43521</v>
      </c>
      <c r="H225" s="44">
        <v>25.135470999999999</v>
      </c>
      <c r="I225" s="36">
        <f>IF(ISBLANK(H226), "", Long0[[#This Row],[Adj Close]]/H226-1)</f>
        <v>-0.12188089273781333</v>
      </c>
      <c r="J225" s="29">
        <v>43521</v>
      </c>
      <c r="K225" s="44">
        <v>17.192398000000001</v>
      </c>
      <c r="L225" s="33">
        <f>IF(ISBLANK(K226),"",Long1[[#This Row],[Adj Close]]/K226-1)</f>
        <v>-4.7153609115899497E-2</v>
      </c>
      <c r="M225" s="37">
        <v>43521</v>
      </c>
      <c r="N225" s="44">
        <v>29.554268</v>
      </c>
      <c r="O225" s="36">
        <f>IF(ISBLANK(N226),"",Long2[[#This Row],[Adj Close]]/N226-1)</f>
        <v>-4.024766153010817E-2</v>
      </c>
      <c r="P225" s="29">
        <v>43521</v>
      </c>
      <c r="Q225" s="44">
        <v>26.248379</v>
      </c>
      <c r="R225" s="33">
        <f>IF(ISBLANK(Q226),"",Long3[[#This Row],[Adj Close]]/Q226-1)</f>
        <v>1.9595505174543337E-2</v>
      </c>
      <c r="S225" s="37">
        <v>43521</v>
      </c>
      <c r="T225" s="44">
        <v>31.471298000000001</v>
      </c>
      <c r="U225" s="36">
        <f>IF(ISBLANK(T226),"",Long4[[#This Row],[Adj Close]]/T226-1)</f>
        <v>-2.6883018105289702E-2</v>
      </c>
      <c r="V225" s="29">
        <v>43521</v>
      </c>
      <c r="W225" s="44">
        <v>58.986221</v>
      </c>
      <c r="X225" s="33">
        <f>IF(ISBLANK(W226),"",Long5[[#This Row],[Adj Close]]/W226-1)</f>
        <v>-5.1645800599766756E-2</v>
      </c>
      <c r="Y225" s="37">
        <v>43521</v>
      </c>
      <c r="Z225" s="44">
        <v>148.97276299999999</v>
      </c>
      <c r="AA225" s="36">
        <f>IF(ISBLANK(Z226),"",Long6[[#This Row],[Adj Close]]/Z226-1)</f>
        <v>4.5345102562718065E-2</v>
      </c>
      <c r="AH225" s="29">
        <v>43521</v>
      </c>
      <c r="AI225" s="44">
        <v>56.291297999999998</v>
      </c>
      <c r="AJ225" s="33">
        <f>IF(ISBLANK(AI226),"",Short0[[#This Row],[Adj Close]]/AI226-1)</f>
        <v>-1.9639721638438412E-2</v>
      </c>
      <c r="AK225" s="37">
        <v>43521</v>
      </c>
      <c r="AL225" s="44">
        <v>59.183459999999997</v>
      </c>
      <c r="AM225" s="36">
        <f>IF(ISBLANK(AL226),"",Short1[[#This Row],[Adj Close]]/AL226-1)</f>
        <v>0.12193910092207649</v>
      </c>
      <c r="AN225" s="29">
        <v>43521</v>
      </c>
      <c r="AO225" s="44">
        <v>44.823771999999998</v>
      </c>
      <c r="AP225" s="33">
        <f>IF(ISBLANK(AO226),"",Short2[[#This Row],[Adj Close]]/AO226-1)</f>
        <v>-6.4079478313944782E-2</v>
      </c>
      <c r="AQ225" s="37">
        <v>43521</v>
      </c>
      <c r="AR225" s="44">
        <v>134.64999399999999</v>
      </c>
      <c r="AS225" s="36">
        <f>IF(ISBLANK(AR226),"",Short3[[#This Row],[Adj Close]]/AR226-1)</f>
        <v>6.6881689460185356E-4</v>
      </c>
    </row>
    <row r="226" spans="1:45" x14ac:dyDescent="0.25">
      <c r="A226" s="37">
        <v>43514</v>
      </c>
      <c r="B226" s="39">
        <v>2792.669922</v>
      </c>
      <c r="C226" s="36">
        <f>IF(ISBLANK(B227), "", GSPC[[#This Row],[Adj Close]]/B227-1)</f>
        <v>6.1499579900938794E-3</v>
      </c>
      <c r="D22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51798.217388999998</v>
      </c>
      <c r="E22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29686.611542999999</v>
      </c>
      <c r="F226" s="11">
        <f>IF(ISBLANK(GSPC[[#This Row],[Long Exp.]]), "", (GSPC[[#This Row],[Long Exp.]]/D227-1)+(E227/GSPC[[#This Row],[Short Exp.]]-1))</f>
        <v>1.6741038290879584E-2</v>
      </c>
      <c r="G226" s="37">
        <v>43514</v>
      </c>
      <c r="H226" s="44">
        <v>28.624216000000001</v>
      </c>
      <c r="I226" s="36">
        <f>IF(ISBLANK(H227), "", Long0[[#This Row],[Adj Close]]/H227-1)</f>
        <v>-1.8216097293007771E-2</v>
      </c>
      <c r="J226" s="29">
        <v>43514</v>
      </c>
      <c r="K226" s="44">
        <v>18.043199999999999</v>
      </c>
      <c r="L226" s="33">
        <f>IF(ISBLANK(K227),"",Long1[[#This Row],[Adj Close]]/K227-1)</f>
        <v>3.8483300628739947E-3</v>
      </c>
      <c r="M226" s="37">
        <v>43514</v>
      </c>
      <c r="N226" s="44">
        <v>30.79364</v>
      </c>
      <c r="O226" s="36">
        <f>IF(ISBLANK(N227),"",Long2[[#This Row],[Adj Close]]/N227-1)</f>
        <v>5.9170263916656918E-3</v>
      </c>
      <c r="P226" s="29">
        <v>43514</v>
      </c>
      <c r="Q226" s="44">
        <v>25.743914</v>
      </c>
      <c r="R226" s="33">
        <f>IF(ISBLANK(Q227),"",Long3[[#This Row],[Adj Close]]/Q227-1)</f>
        <v>3.8739160766645631E-2</v>
      </c>
      <c r="S226" s="37">
        <v>43514</v>
      </c>
      <c r="T226" s="44">
        <v>32.340713999999998</v>
      </c>
      <c r="U226" s="36">
        <f>IF(ISBLANK(T227),"",Long4[[#This Row],[Adj Close]]/T227-1)</f>
        <v>2.0285857342515534E-2</v>
      </c>
      <c r="V226" s="29">
        <v>43514</v>
      </c>
      <c r="W226" s="44">
        <v>62.198512999999998</v>
      </c>
      <c r="X226" s="33">
        <f>IF(ISBLANK(W227),"",Long5[[#This Row],[Adj Close]]/W227-1)</f>
        <v>4.3907779508578493E-4</v>
      </c>
      <c r="Y226" s="37">
        <v>43514</v>
      </c>
      <c r="Z226" s="44">
        <v>142.510605</v>
      </c>
      <c r="AA226" s="36">
        <f>IF(ISBLANK(Z227),"",Long6[[#This Row],[Adj Close]]/Z227-1)</f>
        <v>0.23023053348434419</v>
      </c>
      <c r="AH226" s="29">
        <v>43514</v>
      </c>
      <c r="AI226" s="44">
        <v>57.418990999999998</v>
      </c>
      <c r="AJ226" s="33">
        <f>IF(ISBLANK(AI227),"",Short0[[#This Row],[Adj Close]]/AI227-1)</f>
        <v>2.1555284227222193E-2</v>
      </c>
      <c r="AK226" s="37">
        <v>43514</v>
      </c>
      <c r="AL226" s="44">
        <v>52.751044999999998</v>
      </c>
      <c r="AM226" s="36">
        <f>IF(ISBLANK(AL227),"",Short1[[#This Row],[Adj Close]]/AL227-1)</f>
        <v>4.3206063714473775E-3</v>
      </c>
      <c r="AN226" s="29">
        <v>43514</v>
      </c>
      <c r="AO226" s="44">
        <v>47.892712000000003</v>
      </c>
      <c r="AP226" s="33">
        <f>IF(ISBLANK(AO227),"",Short2[[#This Row],[Adj Close]]/AO227-1)</f>
        <v>2.7607210385930836E-2</v>
      </c>
      <c r="AQ226" s="37">
        <v>43514</v>
      </c>
      <c r="AR226" s="44">
        <v>134.55999800000001</v>
      </c>
      <c r="AS226" s="36">
        <f>IF(ISBLANK(AR227),"",Short3[[#This Row],[Adj Close]]/AR227-1)</f>
        <v>-1.2403684403669679E-2</v>
      </c>
    </row>
    <row r="227" spans="1:45" x14ac:dyDescent="0.25">
      <c r="A227" s="37">
        <v>43507</v>
      </c>
      <c r="B227" s="39">
        <v>2775.6000979999999</v>
      </c>
      <c r="C227" s="36">
        <f>IF(ISBLANK(B228), "", GSPC[[#This Row],[Adj Close]]/B228-1)</f>
        <v>2.5008574207868506E-2</v>
      </c>
      <c r="D22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50532.124341999996</v>
      </c>
      <c r="E22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29439.791922000004</v>
      </c>
      <c r="F227" s="11">
        <f>IF(ISBLANK(GSPC[[#This Row],[Long Exp.]]), "", (GSPC[[#This Row],[Long Exp.]]/D228-1)+(E228/GSPC[[#This Row],[Short Exp.]]-1))</f>
        <v>-9.7714183921265851E-3</v>
      </c>
      <c r="G227" s="37">
        <v>43507</v>
      </c>
      <c r="H227" s="44">
        <v>29.155311999999999</v>
      </c>
      <c r="I227" s="36">
        <f>IF(ISBLANK(H228), "", Long0[[#This Row],[Adj Close]]/H228-1)</f>
        <v>4.4962287318580207E-2</v>
      </c>
      <c r="J227" s="29">
        <v>43507</v>
      </c>
      <c r="K227" s="44">
        <v>17.974029999999999</v>
      </c>
      <c r="L227" s="33">
        <f>IF(ISBLANK(K228),"",Long1[[#This Row],[Adj Close]]/K228-1)</f>
        <v>-9.6959117648034221E-2</v>
      </c>
      <c r="M227" s="37">
        <v>43507</v>
      </c>
      <c r="N227" s="44">
        <v>30.612504999999999</v>
      </c>
      <c r="O227" s="36">
        <f>IF(ISBLANK(N228),"",Long2[[#This Row],[Adj Close]]/N228-1)</f>
        <v>2.9496754492043697E-2</v>
      </c>
      <c r="P227" s="29">
        <v>43507</v>
      </c>
      <c r="Q227" s="44">
        <v>24.783809999999999</v>
      </c>
      <c r="R227" s="33">
        <f>IF(ISBLANK(Q228),"",Long3[[#This Row],[Adj Close]]/Q228-1)</f>
        <v>-2.652599524280852E-2</v>
      </c>
      <c r="S227" s="37">
        <v>43507</v>
      </c>
      <c r="T227" s="44">
        <v>31.697699</v>
      </c>
      <c r="U227" s="36">
        <f>IF(ISBLANK(T228),"",Long4[[#This Row],[Adj Close]]/T228-1)</f>
        <v>6.1570999338362187E-2</v>
      </c>
      <c r="V227" s="29">
        <v>43507</v>
      </c>
      <c r="W227" s="44">
        <v>62.171214999999997</v>
      </c>
      <c r="X227" s="33">
        <f>IF(ISBLANK(W228),"",Long5[[#This Row],[Adj Close]]/W228-1)</f>
        <v>9.0090559430298089E-3</v>
      </c>
      <c r="Y227" s="37">
        <v>43507</v>
      </c>
      <c r="Z227" s="44">
        <v>115.840569</v>
      </c>
      <c r="AA227" s="36">
        <f>IF(ISBLANK(Z228),"",Long6[[#This Row],[Adj Close]]/Z228-1)</f>
        <v>7.0273484760642546E-2</v>
      </c>
      <c r="AH227" s="29">
        <v>43507</v>
      </c>
      <c r="AI227" s="44">
        <v>56.207424000000003</v>
      </c>
      <c r="AJ227" s="33">
        <f>IF(ISBLANK(AI228),"",Short0[[#This Row],[Adj Close]]/AI228-1)</f>
        <v>2.2030224715307245E-2</v>
      </c>
      <c r="AK227" s="37">
        <v>43507</v>
      </c>
      <c r="AL227" s="44">
        <v>52.524109000000003</v>
      </c>
      <c r="AM227" s="36">
        <f>IF(ISBLANK(AL228),"",Short1[[#This Row],[Adj Close]]/AL228-1)</f>
        <v>2.0864928367399393E-2</v>
      </c>
      <c r="AN227" s="29">
        <v>43507</v>
      </c>
      <c r="AO227" s="44">
        <v>46.606048999999999</v>
      </c>
      <c r="AP227" s="33">
        <f>IF(ISBLANK(AO228),"",Short2[[#This Row],[Adj Close]]/AO228-1)</f>
        <v>6.2350586448545631E-2</v>
      </c>
      <c r="AQ227" s="37">
        <v>43507</v>
      </c>
      <c r="AR227" s="44">
        <v>136.25</v>
      </c>
      <c r="AS227" s="36">
        <f>IF(ISBLANK(AR228),"",Short3[[#This Row],[Adj Close]]/AR228-1)</f>
        <v>4.0950424333030977E-2</v>
      </c>
    </row>
    <row r="228" spans="1:45" x14ac:dyDescent="0.25">
      <c r="A228" s="37">
        <v>43500</v>
      </c>
      <c r="B228" s="39">
        <v>2707.8798830000001</v>
      </c>
      <c r="C228" s="36">
        <f>IF(ISBLANK(B229), "", GSPC[[#This Row],[Adj Close]]/B229-1)</f>
        <v>4.9873970934610767E-4</v>
      </c>
      <c r="D22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49321.471921000011</v>
      </c>
      <c r="E22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28429.489745999996</v>
      </c>
      <c r="F228" s="11">
        <f>IF(ISBLANK(GSPC[[#This Row],[Long Exp.]]), "", (GSPC[[#This Row],[Long Exp.]]/D229-1)+(E229/GSPC[[#This Row],[Short Exp.]]-1))</f>
        <v>-6.1119657494167479E-3</v>
      </c>
      <c r="G228" s="37">
        <v>43500</v>
      </c>
      <c r="H228" s="44">
        <v>27.900827</v>
      </c>
      <c r="I228" s="36">
        <f>IF(ISBLANK(H229), "", Long0[[#This Row],[Adj Close]]/H229-1)</f>
        <v>-9.4278021018964209E-3</v>
      </c>
      <c r="J228" s="29">
        <v>43500</v>
      </c>
      <c r="K228" s="44">
        <v>19.903894000000001</v>
      </c>
      <c r="L228" s="33">
        <f>IF(ISBLANK(K229),"",Long1[[#This Row],[Adj Close]]/K229-1)</f>
        <v>-4.8760371023664262E-2</v>
      </c>
      <c r="M228" s="37">
        <v>43500</v>
      </c>
      <c r="N228" s="44">
        <v>29.735406999999999</v>
      </c>
      <c r="O228" s="36">
        <f>IF(ISBLANK(N229),"",Long2[[#This Row],[Adj Close]]/N229-1)</f>
        <v>-4.325145649176787E-2</v>
      </c>
      <c r="P228" s="29">
        <v>43500</v>
      </c>
      <c r="Q228" s="44">
        <v>25.459139</v>
      </c>
      <c r="R228" s="33">
        <f>IF(ISBLANK(Q229),"",Long3[[#This Row],[Adj Close]]/Q229-1)</f>
        <v>4.4943766140119745E-3</v>
      </c>
      <c r="S228" s="37">
        <v>43500</v>
      </c>
      <c r="T228" s="44">
        <v>29.859235999999999</v>
      </c>
      <c r="U228" s="36">
        <f>IF(ISBLANK(T229),"",Long4[[#This Row],[Adj Close]]/T229-1)</f>
        <v>-1.9333645451140247E-2</v>
      </c>
      <c r="V228" s="29">
        <v>43500</v>
      </c>
      <c r="W228" s="44">
        <v>61.616112000000001</v>
      </c>
      <c r="X228" s="33">
        <f>IF(ISBLANK(W229),"",Long5[[#This Row],[Adj Close]]/W229-1)</f>
        <v>3.3582513672935299E-2</v>
      </c>
      <c r="Y228" s="37">
        <v>43500</v>
      </c>
      <c r="Z228" s="44">
        <v>108.23455</v>
      </c>
      <c r="AA228" s="36">
        <f>IF(ISBLANK(Z229),"",Long6[[#This Row],[Adj Close]]/Z229-1)</f>
        <v>5.8817992446130951E-2</v>
      </c>
      <c r="AH228" s="29">
        <v>43500</v>
      </c>
      <c r="AI228" s="44">
        <v>54.995852999999997</v>
      </c>
      <c r="AJ228" s="33">
        <f>IF(ISBLANK(AI229),"",Short0[[#This Row],[Adj Close]]/AI229-1)</f>
        <v>-1.4693532159522738E-2</v>
      </c>
      <c r="AK228" s="37">
        <v>43500</v>
      </c>
      <c r="AL228" s="44">
        <v>51.450595999999997</v>
      </c>
      <c r="AM228" s="36">
        <f>IF(ISBLANK(AL229),"",Short1[[#This Row],[Adj Close]]/AL229-1)</f>
        <v>8.2093746591576089E-3</v>
      </c>
      <c r="AN228" s="29">
        <v>43500</v>
      </c>
      <c r="AO228" s="44">
        <v>43.870685999999999</v>
      </c>
      <c r="AP228" s="33">
        <f>IF(ISBLANK(AO229),"",Short2[[#This Row],[Adj Close]]/AO229-1)</f>
        <v>-2.3754027424539137E-2</v>
      </c>
      <c r="AQ228" s="37">
        <v>43500</v>
      </c>
      <c r="AR228" s="44">
        <v>130.88999899999999</v>
      </c>
      <c r="AS228" s="36">
        <f>IF(ISBLANK(AR229),"",Short3[[#This Row],[Adj Close]]/AR229-1)</f>
        <v>2.8201067677900982E-2</v>
      </c>
    </row>
    <row r="229" spans="1:45" x14ac:dyDescent="0.25">
      <c r="A229" s="37">
        <v>43493</v>
      </c>
      <c r="B229" s="39">
        <v>2706.530029</v>
      </c>
      <c r="C229" s="36">
        <f>IF(ISBLANK(B230), "", GSPC[[#This Row],[Adj Close]]/B230-1)</f>
        <v>1.5674964665955082E-2</v>
      </c>
      <c r="D22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49552.927150999996</v>
      </c>
      <c r="E22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28388.520100000002</v>
      </c>
      <c r="F229" s="11">
        <f>IF(ISBLANK(GSPC[[#This Row],[Long Exp.]]), "", (GSPC[[#This Row],[Long Exp.]]/D230-1)+(E230/GSPC[[#This Row],[Short Exp.]]-1))</f>
        <v>-9.3408118235227544E-3</v>
      </c>
      <c r="G229" s="37">
        <v>43493</v>
      </c>
      <c r="H229" s="44">
        <v>28.166374000000001</v>
      </c>
      <c r="I229" s="36">
        <f>IF(ISBLANK(H230), "", Long0[[#This Row],[Adj Close]]/H230-1)</f>
        <v>5.9228698000105329E-2</v>
      </c>
      <c r="J229" s="29">
        <v>43493</v>
      </c>
      <c r="K229" s="44">
        <v>20.924164000000001</v>
      </c>
      <c r="L229" s="33">
        <f>IF(ISBLANK(K230),"",Long1[[#This Row],[Adj Close]]/K230-1)</f>
        <v>-2.623531580973959E-2</v>
      </c>
      <c r="M229" s="37">
        <v>43493</v>
      </c>
      <c r="N229" s="44">
        <v>31.079647000000001</v>
      </c>
      <c r="O229" s="36">
        <f>IF(ISBLANK(N230),"",Long2[[#This Row],[Adj Close]]/N230-1)</f>
        <v>2.2264065648254672E-2</v>
      </c>
      <c r="P229" s="29">
        <v>43493</v>
      </c>
      <c r="Q229" s="44">
        <v>25.345227999999999</v>
      </c>
      <c r="R229" s="33">
        <f>IF(ISBLANK(Q230),"",Long3[[#This Row],[Adj Close]]/Q230-1)</f>
        <v>1.5650372246838851E-2</v>
      </c>
      <c r="S229" s="37">
        <v>43493</v>
      </c>
      <c r="T229" s="44">
        <v>30.447904999999999</v>
      </c>
      <c r="U229" s="36">
        <f>IF(ISBLANK(T230),"",Long4[[#This Row],[Adj Close]]/T230-1)</f>
        <v>3.0024454023259706E-2</v>
      </c>
      <c r="V229" s="29">
        <v>43493</v>
      </c>
      <c r="W229" s="44">
        <v>59.61412</v>
      </c>
      <c r="X229" s="33">
        <f>IF(ISBLANK(W230),"",Long5[[#This Row],[Adj Close]]/W230-1)</f>
        <v>-2.8618053172259406E-2</v>
      </c>
      <c r="Y229" s="37">
        <v>43493</v>
      </c>
      <c r="Z229" s="44">
        <v>102.222054</v>
      </c>
      <c r="AA229" s="36">
        <f>IF(ISBLANK(Z230),"",Long6[[#This Row],[Adj Close]]/Z230-1)</f>
        <v>2.119336244445158E-2</v>
      </c>
      <c r="AH229" s="29">
        <v>43493</v>
      </c>
      <c r="AI229" s="44">
        <v>55.815987</v>
      </c>
      <c r="AJ229" s="33">
        <f>IF(ISBLANK(AI230),"",Short0[[#This Row],[Adj Close]]/AI230-1)</f>
        <v>5.1624138487491145E-2</v>
      </c>
      <c r="AK229" s="37">
        <v>43493</v>
      </c>
      <c r="AL229" s="44">
        <v>51.031658</v>
      </c>
      <c r="AM229" s="36">
        <f>IF(ISBLANK(AL230),"",Short1[[#This Row],[Adj Close]]/AL230-1)</f>
        <v>-1.4661297881189084E-2</v>
      </c>
      <c r="AN229" s="29">
        <v>43493</v>
      </c>
      <c r="AO229" s="44">
        <v>44.938147999999998</v>
      </c>
      <c r="AP229" s="33">
        <f>IF(ISBLANK(AO230),"",Short2[[#This Row],[Adj Close]]/AO230-1)</f>
        <v>5.9094212763733056E-2</v>
      </c>
      <c r="AQ229" s="37">
        <v>43493</v>
      </c>
      <c r="AR229" s="44">
        <v>127.300003</v>
      </c>
      <c r="AS229" s="36">
        <f>IF(ISBLANK(AR230),"",Short3[[#This Row],[Adj Close]]/AR230-1)</f>
        <v>4.2929748368503162E-2</v>
      </c>
    </row>
    <row r="230" spans="1:45" x14ac:dyDescent="0.25">
      <c r="A230" s="37">
        <v>43486</v>
      </c>
      <c r="B230" s="39">
        <v>2664.76001</v>
      </c>
      <c r="C230" s="36">
        <f>IF(ISBLANK(B231), "", GSPC[[#This Row],[Adj Close]]/B231-1)</f>
        <v>-2.2278536744484434E-3</v>
      </c>
      <c r="D23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48211.319679999993</v>
      </c>
      <c r="E23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27333.362626999999</v>
      </c>
      <c r="F230" s="11">
        <f>IF(ISBLANK(GSPC[[#This Row],[Long Exp.]]), "", (GSPC[[#This Row],[Long Exp.]]/D231-1)+(E231/GSPC[[#This Row],[Short Exp.]]-1))</f>
        <v>-8.410158579418181E-3</v>
      </c>
      <c r="G230" s="37">
        <v>43486</v>
      </c>
      <c r="H230" s="44">
        <v>26.5914</v>
      </c>
      <c r="I230" s="36">
        <f>IF(ISBLANK(H231), "", Long0[[#This Row],[Adj Close]]/H231-1)</f>
        <v>-1.8587469258197431E-2</v>
      </c>
      <c r="J230" s="29">
        <v>43486</v>
      </c>
      <c r="K230" s="44">
        <v>21.487905999999999</v>
      </c>
      <c r="L230" s="33">
        <f>IF(ISBLANK(K231),"",Long1[[#This Row],[Adj Close]]/K231-1)</f>
        <v>-2.7547260988983524E-2</v>
      </c>
      <c r="M230" s="37">
        <v>43486</v>
      </c>
      <c r="N230" s="44">
        <v>30.402757999999999</v>
      </c>
      <c r="O230" s="36">
        <f>IF(ISBLANK(N231),"",Long2[[#This Row],[Adj Close]]/N231-1)</f>
        <v>-9.6274696599699672E-3</v>
      </c>
      <c r="P230" s="29">
        <v>43486</v>
      </c>
      <c r="Q230" s="44">
        <v>24.954678000000001</v>
      </c>
      <c r="R230" s="33">
        <f>IF(ISBLANK(Q231),"",Long3[[#This Row],[Adj Close]]/Q231-1)</f>
        <v>1.9953665590337177E-2</v>
      </c>
      <c r="S230" s="37">
        <v>43486</v>
      </c>
      <c r="T230" s="44">
        <v>29.560371</v>
      </c>
      <c r="U230" s="36">
        <f>IF(ISBLANK(T231),"",Long4[[#This Row],[Adj Close]]/T231-1)</f>
        <v>-1.7754920301581323E-2</v>
      </c>
      <c r="V230" s="29">
        <v>43486</v>
      </c>
      <c r="W230" s="44">
        <v>61.370421999999998</v>
      </c>
      <c r="X230" s="33">
        <f>IF(ISBLANK(W231),"",Long5[[#This Row],[Adj Close]]/W231-1)</f>
        <v>-7.5053395344227836E-3</v>
      </c>
      <c r="Y230" s="37">
        <v>43486</v>
      </c>
      <c r="Z230" s="44">
        <v>100.10058600000001</v>
      </c>
      <c r="AA230" s="36">
        <f>IF(ISBLANK(Z231),"",Long6[[#This Row],[Adj Close]]/Z231-1)</f>
        <v>2.3797685015727543E-2</v>
      </c>
      <c r="AH230" s="29">
        <v>43486</v>
      </c>
      <c r="AI230" s="44">
        <v>53.075985000000003</v>
      </c>
      <c r="AJ230" s="33">
        <f>IF(ISBLANK(AI231),"",Short0[[#This Row],[Adj Close]]/AI231-1)</f>
        <v>-1.2998205131261487E-2</v>
      </c>
      <c r="AK230" s="37">
        <v>43486</v>
      </c>
      <c r="AL230" s="44">
        <v>51.790981000000002</v>
      </c>
      <c r="AM230" s="36">
        <f>IF(ISBLANK(AL231),"",Short1[[#This Row],[Adj Close]]/AL231-1)</f>
        <v>1.0730716363830162E-2</v>
      </c>
      <c r="AN230" s="29">
        <v>43486</v>
      </c>
      <c r="AO230" s="44">
        <v>42.430737000000001</v>
      </c>
      <c r="AP230" s="33">
        <f>IF(ISBLANK(AO231),"",Short2[[#This Row],[Adj Close]]/AO231-1)</f>
        <v>1.0431024813592593E-2</v>
      </c>
      <c r="AQ230" s="37">
        <v>43486</v>
      </c>
      <c r="AR230" s="44">
        <v>122.05999799999999</v>
      </c>
      <c r="AS230" s="36">
        <f>IF(ISBLANK(AR231),"",Short3[[#This Row],[Adj Close]]/AR231-1)</f>
        <v>1.1100041326209009E-2</v>
      </c>
    </row>
    <row r="231" spans="1:45" x14ac:dyDescent="0.25">
      <c r="A231" s="37">
        <v>43479</v>
      </c>
      <c r="B231" s="39">
        <v>2670.709961</v>
      </c>
      <c r="C231" s="36">
        <f>IF(ISBLANK(B232), "", GSPC[[#This Row],[Adj Close]]/B232-1)</f>
        <v>2.867584552904634E-2</v>
      </c>
      <c r="D23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48466.152889999998</v>
      </c>
      <c r="E23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27247.202506000001</v>
      </c>
      <c r="F231" s="11">
        <f>IF(ISBLANK(GSPC[[#This Row],[Long Exp.]]), "", (GSPC[[#This Row],[Long Exp.]]/D232-1)+(E232/GSPC[[#This Row],[Short Exp.]]-1))</f>
        <v>-1.350581365890724E-3</v>
      </c>
      <c r="G231" s="37">
        <v>43479</v>
      </c>
      <c r="H231" s="44">
        <v>27.095027999999999</v>
      </c>
      <c r="I231" s="36">
        <f>IF(ISBLANK(H232), "", Long0[[#This Row],[Adj Close]]/H232-1)</f>
        <v>1.3537756874510976E-3</v>
      </c>
      <c r="J231" s="29">
        <v>43479</v>
      </c>
      <c r="K231" s="44">
        <v>22.096606999999999</v>
      </c>
      <c r="L231" s="33">
        <f>IF(ISBLANK(K232),"",Long1[[#This Row],[Adj Close]]/K232-1)</f>
        <v>1.444898170180986E-2</v>
      </c>
      <c r="M231" s="37">
        <v>43479</v>
      </c>
      <c r="N231" s="44">
        <v>30.698305000000001</v>
      </c>
      <c r="O231" s="36">
        <f>IF(ISBLANK(N232),"",Long2[[#This Row],[Adj Close]]/N232-1)</f>
        <v>1.7698994759555386E-2</v>
      </c>
      <c r="P231" s="29">
        <v>43479</v>
      </c>
      <c r="Q231" s="44">
        <v>24.466481999999999</v>
      </c>
      <c r="R231" s="33">
        <f>IF(ISBLANK(Q232),"",Long3[[#This Row],[Adj Close]]/Q232-1)</f>
        <v>1.9321948865508976E-2</v>
      </c>
      <c r="S231" s="37">
        <v>43479</v>
      </c>
      <c r="T231" s="44">
        <v>30.0947</v>
      </c>
      <c r="U231" s="36">
        <f>IF(ISBLANK(T232),"",Long4[[#This Row],[Adj Close]]/T232-1)</f>
        <v>1.187555988680189E-2</v>
      </c>
      <c r="V231" s="29">
        <v>43479</v>
      </c>
      <c r="W231" s="44">
        <v>61.834510999999999</v>
      </c>
      <c r="X231" s="33">
        <f>IF(ISBLANK(W232),"",Long5[[#This Row],[Adj Close]]/W232-1)</f>
        <v>-2.9147183644162022E-2</v>
      </c>
      <c r="Y231" s="37">
        <v>43479</v>
      </c>
      <c r="Z231" s="44">
        <v>97.773796000000004</v>
      </c>
      <c r="AA231" s="36">
        <f>IF(ISBLANK(Z232),"",Long6[[#This Row],[Adj Close]]/Z232-1)</f>
        <v>4.6129625803571717E-2</v>
      </c>
      <c r="AH231" s="29">
        <v>43479</v>
      </c>
      <c r="AI231" s="44">
        <v>53.774963</v>
      </c>
      <c r="AJ231" s="33">
        <f>IF(ISBLANK(AI232),"",Short0[[#This Row],[Adj Close]]/AI232-1)</f>
        <v>1.2991523981853881E-2</v>
      </c>
      <c r="AK231" s="37">
        <v>43479</v>
      </c>
      <c r="AL231" s="44">
        <v>51.241126999999999</v>
      </c>
      <c r="AM231" s="36">
        <f>IF(ISBLANK(AL232),"",Short1[[#This Row],[Adj Close]]/AL232-1)</f>
        <v>3.8931078596996072E-2</v>
      </c>
      <c r="AN231" s="29">
        <v>43479</v>
      </c>
      <c r="AO231" s="44">
        <v>41.992710000000002</v>
      </c>
      <c r="AP231" s="33">
        <f>IF(ISBLANK(AO232),"",Short2[[#This Row],[Adj Close]]/AO232-1)</f>
        <v>-4.9773946102918187E-2</v>
      </c>
      <c r="AQ231" s="37">
        <v>43479</v>
      </c>
      <c r="AR231" s="44">
        <v>120.720001</v>
      </c>
      <c r="AS231" s="36">
        <f>IF(ISBLANK(AR232),"",Short3[[#This Row],[Adj Close]]/AR232-1)</f>
        <v>3.0297883934417902E-2</v>
      </c>
    </row>
    <row r="232" spans="1:45" x14ac:dyDescent="0.25">
      <c r="A232" s="37">
        <v>43472</v>
      </c>
      <c r="B232" s="39">
        <v>2596.26001</v>
      </c>
      <c r="C232" s="36">
        <f>IF(ISBLANK(B233), "", GSPC[[#This Row],[Adj Close]]/B233-1)</f>
        <v>2.5403473423068812E-2</v>
      </c>
      <c r="D23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48022.258073000005</v>
      </c>
      <c r="E23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26958.542816000001</v>
      </c>
      <c r="F232" s="11">
        <f>IF(ISBLANK(GSPC[[#This Row],[Long Exp.]]), "", (GSPC[[#This Row],[Long Exp.]]/D233-1)+(E233/GSPC[[#This Row],[Short Exp.]]-1))</f>
        <v>-1.9077912065217029E-2</v>
      </c>
      <c r="G232" s="37">
        <v>43472</v>
      </c>
      <c r="H232" s="44">
        <v>27.058396999999999</v>
      </c>
      <c r="I232" s="36">
        <f>IF(ISBLANK(H233), "", Long0[[#This Row],[Adj Close]]/H233-1)</f>
        <v>2.461854364982119E-2</v>
      </c>
      <c r="J232" s="29">
        <v>43472</v>
      </c>
      <c r="K232" s="44">
        <v>21.781880999999998</v>
      </c>
      <c r="L232" s="33">
        <f>IF(ISBLANK(K233),"",Long1[[#This Row],[Adj Close]]/K233-1)</f>
        <v>0.10646516584089394</v>
      </c>
      <c r="M232" s="37">
        <v>43472</v>
      </c>
      <c r="N232" s="44">
        <v>30.164425000000001</v>
      </c>
      <c r="O232" s="36">
        <f>IF(ISBLANK(N233),"",Long2[[#This Row],[Adj Close]]/N233-1)</f>
        <v>4.1132004214033291E-2</v>
      </c>
      <c r="P232" s="29">
        <v>43472</v>
      </c>
      <c r="Q232" s="44">
        <v>24.002703</v>
      </c>
      <c r="R232" s="33">
        <f>IF(ISBLANK(Q233),"",Long3[[#This Row],[Adj Close]]/Q233-1)</f>
        <v>2.1821869250903791E-2</v>
      </c>
      <c r="S232" s="37">
        <v>43472</v>
      </c>
      <c r="T232" s="44">
        <v>29.741503000000002</v>
      </c>
      <c r="U232" s="36">
        <f>IF(ISBLANK(T233),"",Long4[[#This Row],[Adj Close]]/T233-1)</f>
        <v>3.9898802750257145E-2</v>
      </c>
      <c r="V232" s="29">
        <v>43472</v>
      </c>
      <c r="W232" s="44">
        <v>63.690922</v>
      </c>
      <c r="X232" s="33">
        <f>IF(ISBLANK(W233),"",Long5[[#This Row],[Adj Close]]/W233-1)</f>
        <v>0.11609006907479391</v>
      </c>
      <c r="Y232" s="37">
        <v>43472</v>
      </c>
      <c r="Z232" s="44">
        <v>93.462410000000006</v>
      </c>
      <c r="AA232" s="36">
        <f>IF(ISBLANK(Z233),"",Long6[[#This Row],[Adj Close]]/Z233-1)</f>
        <v>0.15083674854766937</v>
      </c>
      <c r="AH232" s="29">
        <v>43472</v>
      </c>
      <c r="AI232" s="44">
        <v>53.085304000000001</v>
      </c>
      <c r="AJ232" s="33">
        <f>IF(ISBLANK(AI233),"",Short0[[#This Row],[Adj Close]]/AI233-1)</f>
        <v>3.2445179487869735E-2</v>
      </c>
      <c r="AK232" s="37">
        <v>43472</v>
      </c>
      <c r="AL232" s="44">
        <v>49.321007000000002</v>
      </c>
      <c r="AM232" s="36">
        <f>IF(ISBLANK(AL233),"",Short1[[#This Row],[Adj Close]]/AL233-1)</f>
        <v>7.1279604110753958E-2</v>
      </c>
      <c r="AN232" s="29">
        <v>43472</v>
      </c>
      <c r="AO232" s="44">
        <v>44.192337000000002</v>
      </c>
      <c r="AP232" s="33">
        <f>IF(ISBLANK(AO233),"",Short2[[#This Row],[Adj Close]]/AO233-1)</f>
        <v>0.12618309866692345</v>
      </c>
      <c r="AQ232" s="37">
        <v>43472</v>
      </c>
      <c r="AR232" s="44">
        <v>117.16999800000001</v>
      </c>
      <c r="AS232" s="36">
        <f>IF(ISBLANK(AR233),"",Short3[[#This Row],[Adj Close]]/AR233-1)</f>
        <v>8.4505710065663653E-2</v>
      </c>
    </row>
    <row r="233" spans="1:45" x14ac:dyDescent="0.25">
      <c r="A233" s="37">
        <v>43465</v>
      </c>
      <c r="B233" s="39">
        <v>2531.9399410000001</v>
      </c>
      <c r="C233" s="36">
        <f>IF(ISBLANK(B234), "", GSPC[[#This Row],[Adj Close]]/B234-1)</f>
        <v>1.8585994989765542E-2</v>
      </c>
      <c r="D23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45796.371272999997</v>
      </c>
      <c r="E23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25133.937109000002</v>
      </c>
      <c r="F233" s="11">
        <f>IF(ISBLANK(GSPC[[#This Row],[Long Exp.]]), "", (GSPC[[#This Row],[Long Exp.]]/D234-1)+(E234/GSPC[[#This Row],[Short Exp.]]-1))</f>
        <v>-2.2675649045410862E-2</v>
      </c>
      <c r="G233" s="37">
        <v>43465</v>
      </c>
      <c r="H233" s="44">
        <v>26.408263999999999</v>
      </c>
      <c r="I233" s="36">
        <f>IF(ISBLANK(H234), "", Long0[[#This Row],[Adj Close]]/H234-1)</f>
        <v>5.7572403819460938E-2</v>
      </c>
      <c r="J233" s="29">
        <v>43465</v>
      </c>
      <c r="K233" s="44">
        <v>19.686007</v>
      </c>
      <c r="L233" s="33">
        <f>IF(ISBLANK(K234),"",Long1[[#This Row],[Adj Close]]/K234-1)</f>
        <v>1.5884346722246701E-2</v>
      </c>
      <c r="M233" s="37">
        <v>43465</v>
      </c>
      <c r="N233" s="44">
        <v>28.972719000000001</v>
      </c>
      <c r="O233" s="36">
        <f>IF(ISBLANK(N234),"",Long2[[#This Row],[Adj Close]]/N234-1)</f>
        <v>5.447610394506297E-2</v>
      </c>
      <c r="P233" s="29">
        <v>43465</v>
      </c>
      <c r="Q233" s="44">
        <v>23.490105</v>
      </c>
      <c r="R233" s="33">
        <f>IF(ISBLANK(Q234),"",Long3[[#This Row],[Adj Close]]/Q234-1)</f>
        <v>1.8342216512286624E-2</v>
      </c>
      <c r="S233" s="37">
        <v>43465</v>
      </c>
      <c r="T233" s="44">
        <v>28.600382</v>
      </c>
      <c r="U233" s="36">
        <f>IF(ISBLANK(T234),"",Long4[[#This Row],[Adj Close]]/T234-1)</f>
        <v>0.14627945703471323</v>
      </c>
      <c r="V233" s="29">
        <v>43465</v>
      </c>
      <c r="W233" s="44">
        <v>57.066113000000001</v>
      </c>
      <c r="X233" s="33">
        <f>IF(ISBLANK(W234),"",Long5[[#This Row],[Adj Close]]/W234-1)</f>
        <v>-2.9857749132312095E-2</v>
      </c>
      <c r="Y233" s="37">
        <v>43465</v>
      </c>
      <c r="Z233" s="44">
        <v>81.212569999999999</v>
      </c>
      <c r="AA233" s="36">
        <f>IF(ISBLANK(Z234),"",Long6[[#This Row],[Adj Close]]/Z234-1)</f>
        <v>-9.95121463995009E-2</v>
      </c>
      <c r="AH233" s="29">
        <v>43465</v>
      </c>
      <c r="AI233" s="44">
        <v>51.417068</v>
      </c>
      <c r="AJ233" s="33">
        <f>IF(ISBLANK(AI234),"",Short0[[#This Row],[Adj Close]]/AI234-1)</f>
        <v>8.4316007694485329E-2</v>
      </c>
      <c r="AK233" s="37">
        <v>43465</v>
      </c>
      <c r="AL233" s="44">
        <v>46.039341</v>
      </c>
      <c r="AM233" s="36">
        <f>IF(ISBLANK(AL234),"",Short1[[#This Row],[Adj Close]]/AL234-1)</f>
        <v>2.7463964823272402E-2</v>
      </c>
      <c r="AN233" s="29">
        <v>43465</v>
      </c>
      <c r="AO233" s="44">
        <v>39.240810000000003</v>
      </c>
      <c r="AP233" s="33">
        <f>IF(ISBLANK(AO234),"",Short2[[#This Row],[Adj Close]]/AO234-1)</f>
        <v>4.5143347879809115E-2</v>
      </c>
      <c r="AQ233" s="37">
        <v>43465</v>
      </c>
      <c r="AR233" s="44">
        <v>108.040001</v>
      </c>
      <c r="AS233" s="36">
        <f>IF(ISBLANK(AR234),"",Short3[[#This Row],[Adj Close]]/AR234-1)</f>
        <v>5.1075006799542688E-2</v>
      </c>
    </row>
    <row r="234" spans="1:45" x14ac:dyDescent="0.25">
      <c r="A234" s="37">
        <v>43458</v>
      </c>
      <c r="B234" s="39">
        <v>2485.73999</v>
      </c>
      <c r="C234" s="36">
        <f>IF(ISBLANK(B235), "", GSPC[[#This Row],[Adj Close]]/B235-1)</f>
        <v>2.8601877686016186E-2</v>
      </c>
      <c r="D23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44420.925966000003</v>
      </c>
      <c r="E23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23785.763944999999</v>
      </c>
      <c r="F234" s="11">
        <f>IF(ISBLANK(GSPC[[#This Row],[Long Exp.]]), "", (GSPC[[#This Row],[Long Exp.]]/D235-1)+(E235/GSPC[[#This Row],[Short Exp.]]-1))</f>
        <v>-3.0399827625220199E-2</v>
      </c>
      <c r="G234" s="37">
        <v>43458</v>
      </c>
      <c r="H234" s="44">
        <v>24.970644</v>
      </c>
      <c r="I234" s="36">
        <f>IF(ISBLANK(H235), "", Long0[[#This Row],[Adj Close]]/H235-1)</f>
        <v>3.0612274799794337E-2</v>
      </c>
      <c r="J234" s="29">
        <v>43458</v>
      </c>
      <c r="K234" s="44">
        <v>19.378197</v>
      </c>
      <c r="L234" s="33">
        <f>IF(ISBLANK(K235),"",Long1[[#This Row],[Adj Close]]/K235-1)</f>
        <v>7.6258211814438148E-2</v>
      </c>
      <c r="M234" s="37">
        <v>43458</v>
      </c>
      <c r="N234" s="44">
        <v>27.475936999999998</v>
      </c>
      <c r="O234" s="36">
        <f>IF(ISBLANK(N235),"",Long2[[#This Row],[Adj Close]]/N235-1)</f>
        <v>9.1035851832872439E-3</v>
      </c>
      <c r="P234" s="29">
        <v>43458</v>
      </c>
      <c r="Q234" s="44">
        <v>23.067005000000002</v>
      </c>
      <c r="R234" s="33">
        <f>IF(ISBLANK(Q235),"",Long3[[#This Row],[Adj Close]]/Q235-1)</f>
        <v>-1.760626084243988E-3</v>
      </c>
      <c r="S234" s="37">
        <v>43458</v>
      </c>
      <c r="T234" s="44">
        <v>24.950619</v>
      </c>
      <c r="U234" s="36">
        <f>IF(ISBLANK(T235),"",Long4[[#This Row],[Adj Close]]/T235-1)</f>
        <v>9.673547093422008E-2</v>
      </c>
      <c r="V234" s="29">
        <v>43458</v>
      </c>
      <c r="W234" s="44">
        <v>58.822417999999999</v>
      </c>
      <c r="X234" s="33">
        <f>IF(ISBLANK(W235),"",Long5[[#This Row],[Adj Close]]/W235-1)</f>
        <v>7.8591703920741551E-2</v>
      </c>
      <c r="Y234" s="37">
        <v>43458</v>
      </c>
      <c r="Z234" s="44">
        <v>90.187302000000003</v>
      </c>
      <c r="AA234" s="36">
        <f>IF(ISBLANK(Z235),"",Long6[[#This Row],[Adj Close]]/Z235-1)</f>
        <v>7.1304026255348152E-2</v>
      </c>
      <c r="AH234" s="29">
        <v>43458</v>
      </c>
      <c r="AI234" s="44">
        <v>47.418895999999997</v>
      </c>
      <c r="AJ234" s="33">
        <f>IF(ISBLANK(AI235),"",Short0[[#This Row],[Adj Close]]/AI235-1)</f>
        <v>6.3399172924392566E-2</v>
      </c>
      <c r="AK234" s="37">
        <v>43458</v>
      </c>
      <c r="AL234" s="44">
        <v>44.808715999999997</v>
      </c>
      <c r="AM234" s="36">
        <f>IF(ISBLANK(AL235),"",Short1[[#This Row],[Adj Close]]/AL235-1)</f>
        <v>5.0757299742279161E-2</v>
      </c>
      <c r="AN234" s="29">
        <v>43458</v>
      </c>
      <c r="AO234" s="44">
        <v>37.545864000000002</v>
      </c>
      <c r="AP234" s="33">
        <f>IF(ISBLANK(AO235),"",Short2[[#This Row],[Adj Close]]/AO235-1)</f>
        <v>1.2063508630361985E-2</v>
      </c>
      <c r="AQ234" s="37">
        <v>43458</v>
      </c>
      <c r="AR234" s="44">
        <v>102.790001</v>
      </c>
      <c r="AS234" s="36">
        <f>IF(ISBLANK(AR235),"",Short3[[#This Row],[Adj Close]]/AR235-1)</f>
        <v>0.11910727532079002</v>
      </c>
    </row>
    <row r="235" spans="1:45" x14ac:dyDescent="0.25">
      <c r="A235" s="37">
        <v>43451</v>
      </c>
      <c r="B235" s="39">
        <v>2416.6201169999999</v>
      </c>
      <c r="C235" s="36">
        <f>IF(ISBLANK(B236), "", GSPC[[#This Row],[Adj Close]]/B236-1)</f>
        <v>-7.0512831960279576E-2</v>
      </c>
      <c r="D23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42995.975565999994</v>
      </c>
      <c r="E23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22274.385326</v>
      </c>
      <c r="F235" s="11">
        <f>IF(ISBLANK(GSPC[[#This Row],[Long Exp.]]), "", (GSPC[[#This Row],[Long Exp.]]/D236-1)+(E236/GSPC[[#This Row],[Short Exp.]]-1))</f>
        <v>3.8280275391889051E-2</v>
      </c>
      <c r="G235" s="37">
        <v>43451</v>
      </c>
      <c r="H235" s="44">
        <v>24.228940999999999</v>
      </c>
      <c r="I235" s="36">
        <f>IF(ISBLANK(H236), "", Long0[[#This Row],[Adj Close]]/H236-1)</f>
        <v>-8.9156629314190661E-2</v>
      </c>
      <c r="J235" s="29">
        <v>43451</v>
      </c>
      <c r="K235" s="44">
        <v>18.005155999999999</v>
      </c>
      <c r="L235" s="33">
        <f>IF(ISBLANK(K236),"",Long1[[#This Row],[Adj Close]]/K236-1)</f>
        <v>9.8933353226273724E-3</v>
      </c>
      <c r="M235" s="37">
        <v>43451</v>
      </c>
      <c r="N235" s="44">
        <v>27.228064</v>
      </c>
      <c r="O235" s="36">
        <f>IF(ISBLANK(N236),"",Long2[[#This Row],[Adj Close]]/N236-1)</f>
        <v>-7.6624614434539939E-2</v>
      </c>
      <c r="P235" s="29">
        <v>43451</v>
      </c>
      <c r="Q235" s="44">
        <v>23.107689000000001</v>
      </c>
      <c r="R235" s="33">
        <f>IF(ISBLANK(Q236),"",Long3[[#This Row],[Adj Close]]/Q236-1)</f>
        <v>-7.1591996073538167E-2</v>
      </c>
      <c r="S235" s="37">
        <v>43451</v>
      </c>
      <c r="T235" s="44">
        <v>22.749897000000001</v>
      </c>
      <c r="U235" s="36">
        <f>IF(ISBLANK(T236),"",Long4[[#This Row],[Adj Close]]/T236-1)</f>
        <v>-6.8594612219176843E-2</v>
      </c>
      <c r="V235" s="29">
        <v>43451</v>
      </c>
      <c r="W235" s="44">
        <v>54.536315999999999</v>
      </c>
      <c r="X235" s="33">
        <f>IF(ISBLANK(W236),"",Long5[[#This Row],[Adj Close]]/W236-1)</f>
        <v>-5.1890476251902906E-2</v>
      </c>
      <c r="Y235" s="37">
        <v>43451</v>
      </c>
      <c r="Z235" s="44">
        <v>84.184601000000001</v>
      </c>
      <c r="AA235" s="36">
        <f>IF(ISBLANK(Z236),"",Long6[[#This Row],[Adj Close]]/Z236-1)</f>
        <v>-9.3590651517659551E-2</v>
      </c>
      <c r="AH235" s="29">
        <v>43451</v>
      </c>
      <c r="AI235" s="44">
        <v>44.591811999999997</v>
      </c>
      <c r="AJ235" s="33">
        <f>IF(ISBLANK(AI236),"",Short0[[#This Row],[Adj Close]]/AI236-1)</f>
        <v>-0.11542670823522716</v>
      </c>
      <c r="AK235" s="37">
        <v>43451</v>
      </c>
      <c r="AL235" s="44">
        <v>42.644210999999999</v>
      </c>
      <c r="AM235" s="36">
        <f>IF(ISBLANK(AL236),"",Short1[[#This Row],[Adj Close]]/AL236-1)</f>
        <v>-0.11096876572954573</v>
      </c>
      <c r="AN235" s="29">
        <v>43451</v>
      </c>
      <c r="AO235" s="44">
        <v>37.098328000000002</v>
      </c>
      <c r="AP235" s="33">
        <f>IF(ISBLANK(AO236),"",Short2[[#This Row],[Adj Close]]/AO236-1)</f>
        <v>-3.1086876221985693E-2</v>
      </c>
      <c r="AQ235" s="37">
        <v>43451</v>
      </c>
      <c r="AR235" s="44">
        <v>91.849997999999999</v>
      </c>
      <c r="AS235" s="36">
        <f>IF(ISBLANK(AR236),"",Short3[[#This Row],[Adj Close]]/AR236-1)</f>
        <v>-0.12739885754514801</v>
      </c>
    </row>
    <row r="236" spans="1:45" x14ac:dyDescent="0.25">
      <c r="A236" s="37">
        <v>43444</v>
      </c>
      <c r="B236" s="39">
        <v>2599.9499510000001</v>
      </c>
      <c r="C236" s="36">
        <f>IF(ISBLANK(B237), "", GSPC[[#This Row],[Adj Close]]/B237-1)</f>
        <v>-1.2582270959705988E-2</v>
      </c>
      <c r="D23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46559.617038000011</v>
      </c>
      <c r="E23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24831.921258000002</v>
      </c>
      <c r="F236" s="11">
        <f>IF(ISBLANK(GSPC[[#This Row],[Long Exp.]]), "", (GSPC[[#This Row],[Long Exp.]]/D237-1)+(E237/GSPC[[#This Row],[Short Exp.]]-1))</f>
        <v>-2.169793643138973E-2</v>
      </c>
      <c r="G236" s="37">
        <v>43444</v>
      </c>
      <c r="H236" s="44">
        <v>26.600556999999998</v>
      </c>
      <c r="I236" s="36">
        <f>IF(ISBLANK(H237), "", Long0[[#This Row],[Adj Close]]/H237-1)</f>
        <v>-4.9099879277535674E-2</v>
      </c>
      <c r="J236" s="29">
        <v>43444</v>
      </c>
      <c r="K236" s="44">
        <v>17.828769999999999</v>
      </c>
      <c r="L236" s="33">
        <f>IF(ISBLANK(K237),"",Long1[[#This Row],[Adj Close]]/K237-1)</f>
        <v>-0.22434550234881168</v>
      </c>
      <c r="M236" s="37">
        <v>43444</v>
      </c>
      <c r="N236" s="44">
        <v>29.487535000000001</v>
      </c>
      <c r="O236" s="36">
        <f>IF(ISBLANK(N237),"",Long2[[#This Row],[Adj Close]]/N237-1)</f>
        <v>-7.6613191243256495E-2</v>
      </c>
      <c r="P236" s="29">
        <v>43444</v>
      </c>
      <c r="Q236" s="44">
        <v>24.889583999999999</v>
      </c>
      <c r="R236" s="33">
        <f>IF(ISBLANK(Q237),"",Long3[[#This Row],[Adj Close]]/Q237-1)</f>
        <v>-2.7420843984384824E-3</v>
      </c>
      <c r="S236" s="37">
        <v>43444</v>
      </c>
      <c r="T236" s="44">
        <v>24.425343999999999</v>
      </c>
      <c r="U236" s="36">
        <f>IF(ISBLANK(T237),"",Long4[[#This Row],[Adj Close]]/T237-1)</f>
        <v>-1.8201582865875254E-2</v>
      </c>
      <c r="V236" s="29">
        <v>43444</v>
      </c>
      <c r="W236" s="44">
        <v>57.521113999999997</v>
      </c>
      <c r="X236" s="33">
        <f>IF(ISBLANK(W237),"",Long5[[#This Row],[Adj Close]]/W237-1)</f>
        <v>3.0389303705700366E-2</v>
      </c>
      <c r="Y236" s="37">
        <v>43444</v>
      </c>
      <c r="Z236" s="44">
        <v>92.877021999999997</v>
      </c>
      <c r="AA236" s="36">
        <f>IF(ISBLANK(Z237),"",Long6[[#This Row],[Adj Close]]/Z237-1)</f>
        <v>-3.3550069077395994E-3</v>
      </c>
      <c r="AH236" s="29">
        <v>43444</v>
      </c>
      <c r="AI236" s="44">
        <v>50.410533999999998</v>
      </c>
      <c r="AJ236" s="33">
        <f>IF(ISBLANK(AI237),"",Short0[[#This Row],[Adj Close]]/AI237-1)</f>
        <v>2.8121591171096805E-2</v>
      </c>
      <c r="AK236" s="37">
        <v>43444</v>
      </c>
      <c r="AL236" s="44">
        <v>47.967055999999999</v>
      </c>
      <c r="AM236" s="36">
        <f>IF(ISBLANK(AL237),"",Short1[[#This Row],[Adj Close]]/AL237-1)</f>
        <v>-8.6001957299171039E-2</v>
      </c>
      <c r="AN236" s="29">
        <v>43444</v>
      </c>
      <c r="AO236" s="44">
        <v>38.288601</v>
      </c>
      <c r="AP236" s="33">
        <f>IF(ISBLANK(AO237),"",Short2[[#This Row],[Adj Close]]/AO237-1)</f>
        <v>-4.2618893312517336E-2</v>
      </c>
      <c r="AQ236" s="37">
        <v>43444</v>
      </c>
      <c r="AR236" s="44">
        <v>105.260002</v>
      </c>
      <c r="AS236" s="36">
        <f>IF(ISBLANK(AR237),"",Short3[[#This Row],[Adj Close]]/AR237-1)</f>
        <v>-3.7857465914916677E-3</v>
      </c>
    </row>
    <row r="237" spans="1:45" x14ac:dyDescent="0.25">
      <c r="A237" s="37">
        <v>43437</v>
      </c>
      <c r="B237" s="39">
        <v>2633.080078</v>
      </c>
      <c r="C237" s="36">
        <f>IF(ISBLANK(B238), "", GSPC[[#This Row],[Adj Close]]/B238-1)</f>
        <v>-4.6044210172362043E-2</v>
      </c>
      <c r="D23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48431.203649000003</v>
      </c>
      <c r="E23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25252.730305000001</v>
      </c>
      <c r="F237" s="11">
        <f>IF(ISBLANK(GSPC[[#This Row],[Long Exp.]]), "", (GSPC[[#This Row],[Long Exp.]]/D238-1)+(E238/GSPC[[#This Row],[Short Exp.]]-1))</f>
        <v>-1.4939401298411981E-2</v>
      </c>
      <c r="G237" s="37">
        <v>43437</v>
      </c>
      <c r="H237" s="44">
        <v>27.974081000000002</v>
      </c>
      <c r="I237" s="36">
        <f>IF(ISBLANK(H238), "", Long0[[#This Row],[Adj Close]]/H238-1)</f>
        <v>-9.7755522578784837E-2</v>
      </c>
      <c r="J237" s="29">
        <v>43437</v>
      </c>
      <c r="K237" s="44">
        <v>22.985453</v>
      </c>
      <c r="L237" s="33">
        <f>IF(ISBLANK(K238),"",Long1[[#This Row],[Adj Close]]/K238-1)</f>
        <v>-0.12391250183284874</v>
      </c>
      <c r="M237" s="37">
        <v>43437</v>
      </c>
      <c r="N237" s="44">
        <v>31.934108999999999</v>
      </c>
      <c r="O237" s="36">
        <f>IF(ISBLANK(N238),"",Long2[[#This Row],[Adj Close]]/N238-1)</f>
        <v>-6.8888569195624472E-2</v>
      </c>
      <c r="P237" s="29">
        <v>43437</v>
      </c>
      <c r="Q237" s="44">
        <v>24.958020999999999</v>
      </c>
      <c r="R237" s="33">
        <f>IF(ISBLANK(Q238),"",Long3[[#This Row],[Adj Close]]/Q238-1)</f>
        <v>1.6345152119555006E-2</v>
      </c>
      <c r="S237" s="37">
        <v>43437</v>
      </c>
      <c r="T237" s="44">
        <v>24.878166</v>
      </c>
      <c r="U237" s="36">
        <f>IF(ISBLANK(T238),"",Long4[[#This Row],[Adj Close]]/T238-1)</f>
        <v>-6.0854720691080666E-2</v>
      </c>
      <c r="V237" s="29">
        <v>43437</v>
      </c>
      <c r="W237" s="44">
        <v>55.824641999999997</v>
      </c>
      <c r="X237" s="33">
        <f>IF(ISBLANK(W238),"",Long5[[#This Row],[Adj Close]]/W238-1)</f>
        <v>-6.3852478772708499E-2</v>
      </c>
      <c r="Y237" s="37">
        <v>43437</v>
      </c>
      <c r="Z237" s="44">
        <v>93.189673999999997</v>
      </c>
      <c r="AA237" s="36">
        <f>IF(ISBLANK(Z238),"",Long6[[#This Row],[Adj Close]]/Z238-1)</f>
        <v>3.854550786039268E-2</v>
      </c>
      <c r="AH237" s="29">
        <v>43437</v>
      </c>
      <c r="AI237" s="44">
        <v>49.031685000000003</v>
      </c>
      <c r="AJ237" s="33">
        <f>IF(ISBLANK(AI238),"",Short0[[#This Row],[Adj Close]]/AI238-1)</f>
        <v>-2.9122838768646075E-2</v>
      </c>
      <c r="AK237" s="37">
        <v>43437</v>
      </c>
      <c r="AL237" s="44">
        <v>52.48048</v>
      </c>
      <c r="AM237" s="36">
        <f>IF(ISBLANK(AL238),"",Short1[[#This Row],[Adj Close]]/AL238-1)</f>
        <v>-6.2084052692021996E-2</v>
      </c>
      <c r="AN237" s="29">
        <v>43437</v>
      </c>
      <c r="AO237" s="44">
        <v>39.993060999999997</v>
      </c>
      <c r="AP237" s="33">
        <f>IF(ISBLANK(AO238),"",Short2[[#This Row],[Adj Close]]/AO238-1)</f>
        <v>-1.7084124891986519E-2</v>
      </c>
      <c r="AQ237" s="37">
        <v>43437</v>
      </c>
      <c r="AR237" s="44">
        <v>105.660004</v>
      </c>
      <c r="AS237" s="36">
        <f>IF(ISBLANK(AR238),"",Short3[[#This Row],[Adj Close]]/AR238-1)</f>
        <v>-5.4327385993178545E-2</v>
      </c>
    </row>
    <row r="238" spans="1:45" x14ac:dyDescent="0.25">
      <c r="A238" s="37">
        <v>43430</v>
      </c>
      <c r="B238" s="39">
        <v>2760.169922</v>
      </c>
      <c r="C238" s="36">
        <f>IF(ISBLANK(B239), "", GSPC[[#This Row],[Adj Close]]/B239-1)</f>
        <v>4.8473675866857135E-2</v>
      </c>
      <c r="D23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51406.833966000006</v>
      </c>
      <c r="E23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26337.197268999997</v>
      </c>
      <c r="F238" s="11">
        <f>IF(ISBLANK(GSPC[[#This Row],[Long Exp.]]), "", (GSPC[[#This Row],[Long Exp.]]/D239-1)+(E239/GSPC[[#This Row],[Short Exp.]]-1))</f>
        <v>-5.867540025212048E-2</v>
      </c>
      <c r="G238" s="37">
        <v>43430</v>
      </c>
      <c r="H238" s="44">
        <v>31.004989999999999</v>
      </c>
      <c r="I238" s="36">
        <f>IF(ISBLANK(H239), "", Long0[[#This Row],[Adj Close]]/H239-1)</f>
        <v>1.1047964841802482E-2</v>
      </c>
      <c r="J238" s="29">
        <v>43430</v>
      </c>
      <c r="K238" s="44">
        <v>26.236481000000001</v>
      </c>
      <c r="L238" s="33">
        <f>IF(ISBLANK(K239),"",Long1[[#This Row],[Adj Close]]/K239-1)</f>
        <v>4.982016817381818E-2</v>
      </c>
      <c r="M238" s="37">
        <v>43430</v>
      </c>
      <c r="N238" s="44">
        <v>34.296764000000003</v>
      </c>
      <c r="O238" s="36">
        <f>IF(ISBLANK(N239),"",Long2[[#This Row],[Adj Close]]/N239-1)</f>
        <v>2.8571493693302363E-2</v>
      </c>
      <c r="P238" s="29">
        <v>43430</v>
      </c>
      <c r="Q238" s="44">
        <v>24.556639000000001</v>
      </c>
      <c r="R238" s="33">
        <f>IF(ISBLANK(Q239),"",Long3[[#This Row],[Adj Close]]/Q239-1)</f>
        <v>-8.1064066192593209E-3</v>
      </c>
      <c r="S238" s="37">
        <v>43430</v>
      </c>
      <c r="T238" s="44">
        <v>26.490220999999998</v>
      </c>
      <c r="U238" s="36">
        <f>IF(ISBLANK(T239),"",Long4[[#This Row],[Adj Close]]/T239-1)</f>
        <v>7.0644313545897841E-2</v>
      </c>
      <c r="V238" s="29">
        <v>43430</v>
      </c>
      <c r="W238" s="44">
        <v>59.632313000000003</v>
      </c>
      <c r="X238" s="33">
        <f>IF(ISBLANK(W239),"",Long5[[#This Row],[Adj Close]]/W239-1)</f>
        <v>9.501488606089481E-2</v>
      </c>
      <c r="Y238" s="37">
        <v>43430</v>
      </c>
      <c r="Z238" s="44">
        <v>89.730948999999995</v>
      </c>
      <c r="AA238" s="36">
        <f>IF(ISBLANK(Z239),"",Long6[[#This Row],[Adj Close]]/Z239-1)</f>
        <v>4.2806601364320018E-2</v>
      </c>
      <c r="AH238" s="29">
        <v>43430</v>
      </c>
      <c r="AI238" s="44">
        <v>50.502459999999999</v>
      </c>
      <c r="AJ238" s="33">
        <f>IF(ISBLANK(AI239),"",Short0[[#This Row],[Adj Close]]/AI239-1)</f>
        <v>8.277492562073796E-2</v>
      </c>
      <c r="AK238" s="37">
        <v>43430</v>
      </c>
      <c r="AL238" s="44">
        <v>55.954352999999998</v>
      </c>
      <c r="AM238" s="36">
        <f>IF(ISBLANK(AL239),"",Short1[[#This Row],[Adj Close]]/AL239-1)</f>
        <v>3.2613849092467673E-2</v>
      </c>
      <c r="AN238" s="29">
        <v>43430</v>
      </c>
      <c r="AO238" s="44">
        <v>40.688183000000002</v>
      </c>
      <c r="AP238" s="33">
        <f>IF(ISBLANK(AO239),"",Short2[[#This Row],[Adj Close]]/AO239-1)</f>
        <v>-2.3377244171818301E-4</v>
      </c>
      <c r="AQ238" s="37">
        <v>43430</v>
      </c>
      <c r="AR238" s="44">
        <v>111.730003</v>
      </c>
      <c r="AS238" s="36">
        <f>IF(ISBLANK(AR239),"",Short3[[#This Row],[Adj Close]]/AR239-1)</f>
        <v>0.20697853516257969</v>
      </c>
    </row>
    <row r="239" spans="1:45" x14ac:dyDescent="0.25">
      <c r="A239" s="37">
        <v>43423</v>
      </c>
      <c r="B239" s="39">
        <v>2632.5600589999999</v>
      </c>
      <c r="C239" s="36">
        <f>IF(ISBLANK(B240), "", GSPC[[#This Row],[Adj Close]]/B240-1)</f>
        <v>-3.7901946899231875E-2</v>
      </c>
      <c r="D23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50179.639095999999</v>
      </c>
      <c r="E23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24147.748333</v>
      </c>
      <c r="F239" s="11">
        <f>IF(ISBLANK(GSPC[[#This Row],[Long Exp.]]), "", (GSPC[[#This Row],[Long Exp.]]/D240-1)+(E240/GSPC[[#This Row],[Short Exp.]]-1))</f>
        <v>1.2036250207033583E-2</v>
      </c>
      <c r="G239" s="37">
        <v>43423</v>
      </c>
      <c r="H239" s="44">
        <v>30.666191000000001</v>
      </c>
      <c r="I239" s="36">
        <f>IF(ISBLANK(H240), "", Long0[[#This Row],[Adj Close]]/H240-1)</f>
        <v>-4.0950585744866541E-2</v>
      </c>
      <c r="J239" s="29">
        <v>43423</v>
      </c>
      <c r="K239" s="44">
        <v>24.991405</v>
      </c>
      <c r="L239" s="33">
        <f>IF(ISBLANK(K240),"",Long1[[#This Row],[Adj Close]]/K240-1)</f>
        <v>-5.8133524585422092E-2</v>
      </c>
      <c r="M239" s="37">
        <v>43423</v>
      </c>
      <c r="N239" s="44">
        <v>33.344073999999999</v>
      </c>
      <c r="O239" s="36">
        <f>IF(ISBLANK(N240),"",Long2[[#This Row],[Adj Close]]/N240-1)</f>
        <v>-4.5541296019454669E-2</v>
      </c>
      <c r="P239" s="29">
        <v>43423</v>
      </c>
      <c r="Q239" s="44">
        <v>24.757332000000002</v>
      </c>
      <c r="R239" s="33">
        <f>IF(ISBLANK(Q240),"",Long3[[#This Row],[Adj Close]]/Q240-1)</f>
        <v>3.2437275811880717E-4</v>
      </c>
      <c r="S239" s="37">
        <v>43423</v>
      </c>
      <c r="T239" s="44">
        <v>24.742317</v>
      </c>
      <c r="U239" s="36">
        <f>IF(ISBLANK(T240),"",Long4[[#This Row],[Adj Close]]/T240-1)</f>
        <v>-7.8894116769354983E-2</v>
      </c>
      <c r="V239" s="29">
        <v>43423</v>
      </c>
      <c r="W239" s="44">
        <v>54.457993000000002</v>
      </c>
      <c r="X239" s="33">
        <f>IF(ISBLANK(W240),"",Long5[[#This Row],[Adj Close]]/W240-1)</f>
        <v>-3.94014103680419E-2</v>
      </c>
      <c r="Y239" s="37">
        <v>43423</v>
      </c>
      <c r="Z239" s="44">
        <v>86.047545999999997</v>
      </c>
      <c r="AA239" s="36">
        <f>IF(ISBLANK(Z240),"",Long6[[#This Row],[Adj Close]]/Z240-1)</f>
        <v>-2.7173267021702974E-2</v>
      </c>
      <c r="AH239" s="29">
        <v>43423</v>
      </c>
      <c r="AI239" s="44">
        <v>46.641697000000001</v>
      </c>
      <c r="AJ239" s="33">
        <f>IF(ISBLANK(AI240),"",Short0[[#This Row],[Adj Close]]/AI240-1)</f>
        <v>-5.7052495398345004E-2</v>
      </c>
      <c r="AK239" s="37">
        <v>43423</v>
      </c>
      <c r="AL239" s="44">
        <v>54.187103</v>
      </c>
      <c r="AM239" s="36">
        <f>IF(ISBLANK(AL240),"",Short1[[#This Row],[Adj Close]]/AL240-1)</f>
        <v>-5.8407192978980893E-2</v>
      </c>
      <c r="AN239" s="29">
        <v>43423</v>
      </c>
      <c r="AO239" s="44">
        <v>40.697696999999998</v>
      </c>
      <c r="AP239" s="33">
        <f>IF(ISBLANK(AO240),"",Short2[[#This Row],[Adj Close]]/AO240-1)</f>
        <v>4.1169133835641913E-2</v>
      </c>
      <c r="AQ239" s="37">
        <v>43423</v>
      </c>
      <c r="AR239" s="44">
        <v>92.57</v>
      </c>
      <c r="AS239" s="36">
        <f>IF(ISBLANK(AR240),"",Short3[[#This Row],[Adj Close]]/AR240-1)</f>
        <v>-7.9088711075071094E-2</v>
      </c>
    </row>
    <row r="240" spans="1:45" x14ac:dyDescent="0.25">
      <c r="A240" s="37">
        <v>43416</v>
      </c>
      <c r="B240" s="39">
        <v>2736.2700199999999</v>
      </c>
      <c r="C240" s="36">
        <f>IF(ISBLANK(B241), "", GSPC[[#This Row],[Adj Close]]/B241-1)</f>
        <v>-1.6087676721451283E-2</v>
      </c>
      <c r="D24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52052.934592000005</v>
      </c>
      <c r="E24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25307.432561000005</v>
      </c>
      <c r="F240" s="11">
        <f>IF(ISBLANK(GSPC[[#This Row],[Long Exp.]]), "", (GSPC[[#This Row],[Long Exp.]]/D241-1)+(E241/GSPC[[#This Row],[Short Exp.]]-1))</f>
        <v>-4.2090483416010183E-2</v>
      </c>
      <c r="G240" s="37">
        <v>43416</v>
      </c>
      <c r="H240" s="44">
        <v>31.975611000000001</v>
      </c>
      <c r="I240" s="36">
        <f>IF(ISBLANK(H241), "", Long0[[#This Row],[Adj Close]]/H241-1)</f>
        <v>-5.4939240921604959E-2</v>
      </c>
      <c r="J240" s="29">
        <v>43416</v>
      </c>
      <c r="K240" s="44">
        <v>26.533915</v>
      </c>
      <c r="L240" s="33">
        <f>IF(ISBLANK(K241),"",Long1[[#This Row],[Adj Close]]/K241-1)</f>
        <v>-5.3190192626135668E-2</v>
      </c>
      <c r="M240" s="37">
        <v>43416</v>
      </c>
      <c r="N240" s="44">
        <v>34.935062000000002</v>
      </c>
      <c r="O240" s="36">
        <f>IF(ISBLANK(N241),"",Long2[[#This Row],[Adj Close]]/N241-1)</f>
        <v>1.0918142700162559E-3</v>
      </c>
      <c r="P240" s="29">
        <v>43416</v>
      </c>
      <c r="Q240" s="44">
        <v>24.749303999999999</v>
      </c>
      <c r="R240" s="33">
        <f>IF(ISBLANK(Q241),"",Long3[[#This Row],[Adj Close]]/Q241-1)</f>
        <v>-2.7137839222990401E-2</v>
      </c>
      <c r="S240" s="37">
        <v>43416</v>
      </c>
      <c r="T240" s="44">
        <v>26.861533999999999</v>
      </c>
      <c r="U240" s="36">
        <f>IF(ISBLANK(T241),"",Long4[[#This Row],[Adj Close]]/T241-1)</f>
        <v>3.8151793395629241E-2</v>
      </c>
      <c r="V240" s="29">
        <v>43416</v>
      </c>
      <c r="W240" s="44">
        <v>56.691727</v>
      </c>
      <c r="X240" s="33">
        <f>IF(ISBLANK(W241),"",Long5[[#This Row],[Adj Close]]/W241-1)</f>
        <v>-2.8486582435757524E-2</v>
      </c>
      <c r="Y240" s="37">
        <v>43416</v>
      </c>
      <c r="Z240" s="44">
        <v>88.451049999999995</v>
      </c>
      <c r="AA240" s="36">
        <f>IF(ISBLANK(Z241),"",Long6[[#This Row],[Adj Close]]/Z241-1)</f>
        <v>-7.3387858057485822E-2</v>
      </c>
      <c r="AH240" s="29">
        <v>43416</v>
      </c>
      <c r="AI240" s="44">
        <v>49.463726000000001</v>
      </c>
      <c r="AJ240" s="33">
        <f>IF(ISBLANK(AI241),"",Short0[[#This Row],[Adj Close]]/AI241-1)</f>
        <v>3.301976674140783E-2</v>
      </c>
      <c r="AK240" s="37">
        <v>43416</v>
      </c>
      <c r="AL240" s="44">
        <v>57.548340000000003</v>
      </c>
      <c r="AM240" s="36">
        <f>IF(ISBLANK(AL241),"",Short1[[#This Row],[Adj Close]]/AL241-1)</f>
        <v>-2.0062279179862252E-2</v>
      </c>
      <c r="AN240" s="29">
        <v>43416</v>
      </c>
      <c r="AO240" s="44">
        <v>39.088459</v>
      </c>
      <c r="AP240" s="33">
        <f>IF(ISBLANK(AO241),"",Short2[[#This Row],[Adj Close]]/AO241-1)</f>
        <v>-2.0286581858420916E-2</v>
      </c>
      <c r="AQ240" s="37">
        <v>43416</v>
      </c>
      <c r="AR240" s="44">
        <v>100.519997</v>
      </c>
      <c r="AS240" s="36">
        <f>IF(ISBLANK(AR241),"",Short3[[#This Row],[Adj Close]]/AR241-1)</f>
        <v>2.0093322304715722E-2</v>
      </c>
    </row>
    <row r="241" spans="1:45" x14ac:dyDescent="0.25">
      <c r="A241" s="37">
        <v>43409</v>
      </c>
      <c r="B241" s="39">
        <v>2781.01001</v>
      </c>
      <c r="C241" s="36">
        <f>IF(ISBLANK(B242), "", GSPC[[#This Row],[Adj Close]]/B242-1)</f>
        <v>2.1281187246851019E-2</v>
      </c>
      <c r="D24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53899.127007000003</v>
      </c>
      <c r="E24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25109.079225000001</v>
      </c>
      <c r="F241" s="11">
        <f>IF(ISBLANK(GSPC[[#This Row],[Long Exp.]]), "", (GSPC[[#This Row],[Long Exp.]]/D242-1)+(E242/GSPC[[#This Row],[Short Exp.]]-1))</f>
        <v>0.16254464990073991</v>
      </c>
      <c r="G241" s="37">
        <v>43409</v>
      </c>
      <c r="H241" s="44">
        <v>33.834449999999997</v>
      </c>
      <c r="I241" s="36">
        <f>IF(ISBLANK(H242), "", Long0[[#This Row],[Adj Close]]/H242-1)</f>
        <v>0.16635108431219692</v>
      </c>
      <c r="J241" s="29">
        <v>43409</v>
      </c>
      <c r="K241" s="44">
        <v>28.024546000000001</v>
      </c>
      <c r="L241" s="33">
        <f>IF(ISBLANK(K242),"",Long1[[#This Row],[Adj Close]]/K242-1)</f>
        <v>-7.9413734889986376E-2</v>
      </c>
      <c r="M241" s="37">
        <v>43409</v>
      </c>
      <c r="N241" s="44">
        <v>34.896960999999997</v>
      </c>
      <c r="O241" s="36">
        <f>IF(ISBLANK(N242),"",Long2[[#This Row],[Adj Close]]/N242-1)</f>
        <v>0.14791600233603153</v>
      </c>
      <c r="P241" s="29">
        <v>43409</v>
      </c>
      <c r="Q241" s="44">
        <v>25.439682000000001</v>
      </c>
      <c r="R241" s="33">
        <f>IF(ISBLANK(Q242),"",Long3[[#This Row],[Adj Close]]/Q242-1)</f>
        <v>2.7894845042915284E-2</v>
      </c>
      <c r="S241" s="37">
        <v>43409</v>
      </c>
      <c r="T241" s="44">
        <v>25.874379999999999</v>
      </c>
      <c r="U241" s="36">
        <f>IF(ISBLANK(T242),"",Long4[[#This Row],[Adj Close]]/T242-1)</f>
        <v>0.12391827061429517</v>
      </c>
      <c r="V241" s="29">
        <v>43409</v>
      </c>
      <c r="W241" s="44">
        <v>58.354033999999999</v>
      </c>
      <c r="X241" s="33">
        <f>IF(ISBLANK(W242),"",Long5[[#This Row],[Adj Close]]/W242-1)</f>
        <v>7.9955387138167078E-2</v>
      </c>
      <c r="Y241" s="37">
        <v>43409</v>
      </c>
      <c r="Z241" s="44">
        <v>95.456389999999999</v>
      </c>
      <c r="AA241" s="36">
        <f>IF(ISBLANK(Z242),"",Long6[[#This Row],[Adj Close]]/Z242-1)</f>
        <v>-5.2008656701873934E-2</v>
      </c>
      <c r="AH241" s="29">
        <v>43409</v>
      </c>
      <c r="AI241" s="44">
        <v>47.882652</v>
      </c>
      <c r="AJ241" s="33">
        <f>IF(ISBLANK(AI242),"",Short0[[#This Row],[Adj Close]]/AI242-1)</f>
        <v>-7.3955632399314242E-2</v>
      </c>
      <c r="AK241" s="37">
        <v>43409</v>
      </c>
      <c r="AL241" s="44">
        <v>58.726528000000002</v>
      </c>
      <c r="AM241" s="36">
        <f>IF(ISBLANK(AL242),"",Short1[[#This Row],[Adj Close]]/AL242-1)</f>
        <v>-5.7031196209224366E-2</v>
      </c>
      <c r="AN241" s="29">
        <v>43409</v>
      </c>
      <c r="AO241" s="44">
        <v>39.897849999999998</v>
      </c>
      <c r="AP241" s="33">
        <f>IF(ISBLANK(AO242),"",Short2[[#This Row],[Adj Close]]/AO242-1)</f>
        <v>-3.1885184422101087E-2</v>
      </c>
      <c r="AQ241" s="37">
        <v>43409</v>
      </c>
      <c r="AR241" s="44">
        <v>98.540001000000004</v>
      </c>
      <c r="AS241" s="36">
        <f>IF(ISBLANK(AR242),"",Short3[[#This Row],[Adj Close]]/AR242-1)</f>
        <v>-6.5351408517499765E-2</v>
      </c>
    </row>
    <row r="242" spans="1:45" x14ac:dyDescent="0.25">
      <c r="A242" s="37">
        <v>43402</v>
      </c>
      <c r="B242" s="39">
        <v>2723.0600589999999</v>
      </c>
      <c r="C242" s="36">
        <f>IF(ISBLANK(B243), "", GSPC[[#This Row],[Adj Close]]/B243-1)</f>
        <v>2.4211216587289863E-2</v>
      </c>
      <c r="D24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49066.120988999995</v>
      </c>
      <c r="E24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26717.184944000001</v>
      </c>
      <c r="F242" s="11">
        <f>IF(ISBLANK(GSPC[[#This Row],[Long Exp.]]), "", (GSPC[[#This Row],[Long Exp.]]/D243-1)+(E243/GSPC[[#This Row],[Short Exp.]]-1))</f>
        <v>-6.4991563055270873E-2</v>
      </c>
      <c r="G242" s="37">
        <v>43402</v>
      </c>
      <c r="H242" s="44">
        <v>29.008804000000001</v>
      </c>
      <c r="I242" s="36">
        <f>IF(ISBLANK(H243), "", Long0[[#This Row],[Adj Close]]/H243-1)</f>
        <v>1.2464118167426541E-2</v>
      </c>
      <c r="J242" s="29">
        <v>43402</v>
      </c>
      <c r="K242" s="44">
        <v>30.442063999999998</v>
      </c>
      <c r="L242" s="33">
        <f>IF(ISBLANK(K243),"",Long1[[#This Row],[Adj Close]]/K243-1)</f>
        <v>1.5576330015375062E-2</v>
      </c>
      <c r="M242" s="37">
        <v>43402</v>
      </c>
      <c r="N242" s="44">
        <v>30.400274</v>
      </c>
      <c r="O242" s="36">
        <f>IF(ISBLANK(N243),"",Long2[[#This Row],[Adj Close]]/N243-1)</f>
        <v>7.0087155349241703E-2</v>
      </c>
      <c r="P242" s="29">
        <v>43402</v>
      </c>
      <c r="Q242" s="44">
        <v>24.749303999999999</v>
      </c>
      <c r="R242" s="33">
        <f>IF(ISBLANK(Q243),"",Long3[[#This Row],[Adj Close]]/Q243-1)</f>
        <v>2.9038922963855018E-2</v>
      </c>
      <c r="S242" s="37">
        <v>43402</v>
      </c>
      <c r="T242" s="44">
        <v>23.021585000000002</v>
      </c>
      <c r="U242" s="36">
        <f>IF(ISBLANK(T243),"",Long4[[#This Row],[Adj Close]]/T243-1)</f>
        <v>1.7613985915813091E-2</v>
      </c>
      <c r="V242" s="29">
        <v>43402</v>
      </c>
      <c r="W242" s="44">
        <v>54.033745000000003</v>
      </c>
      <c r="X242" s="33">
        <f>IF(ISBLANK(W243),"",Long5[[#This Row],[Adj Close]]/W243-1)</f>
        <v>-7.1141871036532134E-2</v>
      </c>
      <c r="Y242" s="37">
        <v>43402</v>
      </c>
      <c r="Z242" s="44">
        <v>100.693314</v>
      </c>
      <c r="AA242" s="36">
        <f>IF(ISBLANK(Z243),"",Long6[[#This Row],[Adj Close]]/Z243-1)</f>
        <v>-1.2740638755295297E-2</v>
      </c>
      <c r="AH242" s="29">
        <v>43402</v>
      </c>
      <c r="AI242" s="44">
        <v>51.706650000000003</v>
      </c>
      <c r="AJ242" s="33">
        <f>IF(ISBLANK(AI243),"",Short0[[#This Row],[Adj Close]]/AI243-1)</f>
        <v>7.3678266984708696E-2</v>
      </c>
      <c r="AK242" s="37">
        <v>43402</v>
      </c>
      <c r="AL242" s="44">
        <v>62.278336000000003</v>
      </c>
      <c r="AM242" s="36">
        <f>IF(ISBLANK(AL243),"",Short1[[#This Row],[Adj Close]]/AL243-1)</f>
        <v>5.0255636488784949E-2</v>
      </c>
      <c r="AN242" s="29">
        <v>43402</v>
      </c>
      <c r="AO242" s="44">
        <v>41.211899000000003</v>
      </c>
      <c r="AP242" s="33">
        <f>IF(ISBLANK(AO243),"",Short2[[#This Row],[Adj Close]]/AO243-1)</f>
        <v>3.5654345318442582E-2</v>
      </c>
      <c r="AQ242" s="37">
        <v>43402</v>
      </c>
      <c r="AR242" s="44">
        <v>105.43</v>
      </c>
      <c r="AS242" s="36">
        <f>IF(ISBLANK(AR243),"",Short3[[#This Row],[Adj Close]]/AR243-1)</f>
        <v>0.17261700933747037</v>
      </c>
    </row>
    <row r="243" spans="1:45" x14ac:dyDescent="0.25">
      <c r="A243" s="37">
        <v>43395</v>
      </c>
      <c r="B243" s="39">
        <v>2658.6899410000001</v>
      </c>
      <c r="C243" s="36">
        <f>IF(ISBLANK(B244), "", GSPC[[#This Row],[Adj Close]]/B244-1)</f>
        <v>-3.9414291185349115E-2</v>
      </c>
      <c r="D24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48312.934666999994</v>
      </c>
      <c r="E24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24564.279239</v>
      </c>
      <c r="F243" s="11">
        <f>IF(ISBLANK(GSPC[[#This Row],[Long Exp.]]), "", (GSPC[[#This Row],[Long Exp.]]/D244-1)+(E244/GSPC[[#This Row],[Short Exp.]]-1))</f>
        <v>-1.3100825291645135E-2</v>
      </c>
      <c r="G243" s="37">
        <v>43395</v>
      </c>
      <c r="H243" s="44">
        <v>28.651686000000002</v>
      </c>
      <c r="I243" s="36">
        <f>IF(ISBLANK(H244), "", Long0[[#This Row],[Adj Close]]/H244-1)</f>
        <v>-2.8562580316872643E-2</v>
      </c>
      <c r="J243" s="29">
        <v>43395</v>
      </c>
      <c r="K243" s="44">
        <v>29.975161</v>
      </c>
      <c r="L243" s="33">
        <f>IF(ISBLANK(K244),"",Long1[[#This Row],[Adj Close]]/K244-1)</f>
        <v>-8.4794110618380047E-2</v>
      </c>
      <c r="M243" s="37">
        <v>43395</v>
      </c>
      <c r="N243" s="44">
        <v>28.409157</v>
      </c>
      <c r="O243" s="36">
        <f>IF(ISBLANK(N244),"",Long2[[#This Row],[Adj Close]]/N244-1)</f>
        <v>-0.10072359237303607</v>
      </c>
      <c r="P243" s="29">
        <v>43395</v>
      </c>
      <c r="Q243" s="44">
        <v>24.050892000000001</v>
      </c>
      <c r="R243" s="33">
        <f>IF(ISBLANK(Q244),"",Long3[[#This Row],[Adj Close]]/Q244-1)</f>
        <v>-4.03589698410175E-2</v>
      </c>
      <c r="S243" s="37">
        <v>43395</v>
      </c>
      <c r="T243" s="44">
        <v>22.623101999999999</v>
      </c>
      <c r="U243" s="36">
        <f>IF(ISBLANK(T244),"",Long4[[#This Row],[Adj Close]]/T244-1)</f>
        <v>-1.846754766287606E-2</v>
      </c>
      <c r="V243" s="29">
        <v>43395</v>
      </c>
      <c r="W243" s="44">
        <v>58.172226000000002</v>
      </c>
      <c r="X243" s="33">
        <f>IF(ISBLANK(W244),"",Long5[[#This Row],[Adj Close]]/W244-1)</f>
        <v>-5.0854345246719501E-2</v>
      </c>
      <c r="Y243" s="37">
        <v>43395</v>
      </c>
      <c r="Z243" s="44">
        <v>101.992767</v>
      </c>
      <c r="AA243" s="36">
        <f>IF(ISBLANK(Z244),"",Long6[[#This Row],[Adj Close]]/Z244-1)</f>
        <v>-6.2505568491393992E-2</v>
      </c>
      <c r="AH243" s="29">
        <v>43395</v>
      </c>
      <c r="AI243" s="44">
        <v>48.158420999999997</v>
      </c>
      <c r="AJ243" s="33">
        <f>IF(ISBLANK(AI244),"",Short0[[#This Row],[Adj Close]]/AI244-1)</f>
        <v>-5.8749593442130932E-2</v>
      </c>
      <c r="AK243" s="37">
        <v>43395</v>
      </c>
      <c r="AL243" s="44">
        <v>59.298264000000003</v>
      </c>
      <c r="AM243" s="36">
        <f>IF(ISBLANK(AL244),"",Short1[[#This Row],[Adj Close]]/AL244-1)</f>
        <v>-3.3055674126113099E-2</v>
      </c>
      <c r="AN243" s="29">
        <v>43395</v>
      </c>
      <c r="AO243" s="44">
        <v>39.793101999999998</v>
      </c>
      <c r="AP243" s="33">
        <f>IF(ISBLANK(AO244),"",Short2[[#This Row],[Adj Close]]/AO244-1)</f>
        <v>2.4463406710415025E-2</v>
      </c>
      <c r="AQ243" s="37">
        <v>43395</v>
      </c>
      <c r="AR243" s="44">
        <v>89.910004000000001</v>
      </c>
      <c r="AS243" s="36">
        <f>IF(ISBLANK(AR244),"",Short3[[#This Row],[Adj Close]]/AR244-1)</f>
        <v>-5.158226630013929E-2</v>
      </c>
    </row>
    <row r="244" spans="1:45" x14ac:dyDescent="0.25">
      <c r="A244" s="37">
        <v>43388</v>
      </c>
      <c r="B244" s="39">
        <v>2767.780029</v>
      </c>
      <c r="C244" s="36">
        <f>IF(ISBLANK(B245), "", GSPC[[#This Row],[Adj Close]]/B245-1)</f>
        <v>2.3495319247368585E-4</v>
      </c>
      <c r="D24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50888.208545000001</v>
      </c>
      <c r="E24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25485.578986</v>
      </c>
      <c r="F244" s="11">
        <f>IF(ISBLANK(GSPC[[#This Row],[Long Exp.]]), "", (GSPC[[#This Row],[Long Exp.]]/D245-1)+(E245/GSPC[[#This Row],[Short Exp.]]-1))</f>
        <v>5.2262500071261098E-2</v>
      </c>
      <c r="G244" s="37">
        <v>43388</v>
      </c>
      <c r="H244" s="44">
        <v>29.494114</v>
      </c>
      <c r="I244" s="36">
        <f>IF(ISBLANK(H245), "", Long0[[#This Row],[Adj Close]]/H245-1)</f>
        <v>3.1143563631772508E-3</v>
      </c>
      <c r="J244" s="29">
        <v>43388</v>
      </c>
      <c r="K244" s="44">
        <v>32.752369000000002</v>
      </c>
      <c r="L244" s="33">
        <f>IF(ISBLANK(K245),"",Long1[[#This Row],[Adj Close]]/K245-1)</f>
        <v>-5.0150485881761964E-2</v>
      </c>
      <c r="M244" s="37">
        <v>43388</v>
      </c>
      <c r="N244" s="44">
        <v>31.591128999999999</v>
      </c>
      <c r="O244" s="36">
        <f>IF(ISBLANK(N245),"",Long2[[#This Row],[Adj Close]]/N245-1)</f>
        <v>8.2090946465467329E-3</v>
      </c>
      <c r="P244" s="29">
        <v>43388</v>
      </c>
      <c r="Q244" s="44">
        <v>25.062384000000002</v>
      </c>
      <c r="R244" s="33">
        <f>IF(ISBLANK(Q245),"",Long3[[#This Row],[Adj Close]]/Q245-1)</f>
        <v>3.2066245926227754E-2</v>
      </c>
      <c r="S244" s="37">
        <v>43388</v>
      </c>
      <c r="T244" s="44">
        <v>23.048756000000001</v>
      </c>
      <c r="U244" s="36">
        <f>IF(ISBLANK(T245),"",Long4[[#This Row],[Adj Close]]/T245-1)</f>
        <v>4.6033637083707779E-2</v>
      </c>
      <c r="V244" s="29">
        <v>43388</v>
      </c>
      <c r="W244" s="44">
        <v>61.28904</v>
      </c>
      <c r="X244" s="33">
        <f>IF(ISBLANK(W245),"",Long5[[#This Row],[Adj Close]]/W245-1)</f>
        <v>1.8707546538826669E-2</v>
      </c>
      <c r="Y244" s="37">
        <v>43388</v>
      </c>
      <c r="Z244" s="44">
        <v>108.792931</v>
      </c>
      <c r="AA244" s="36">
        <f>IF(ISBLANK(Z245),"",Long6[[#This Row],[Adj Close]]/Z245-1)</f>
        <v>-9.4299202887087041E-3</v>
      </c>
      <c r="AH244" s="29">
        <v>43388</v>
      </c>
      <c r="AI244" s="44">
        <v>51.164302999999997</v>
      </c>
      <c r="AJ244" s="33">
        <f>IF(ISBLANK(AI245),"",Short0[[#This Row],[Adj Close]]/AI245-1)</f>
        <v>-8.7266566381336563E-3</v>
      </c>
      <c r="AK244" s="37">
        <v>43388</v>
      </c>
      <c r="AL244" s="44">
        <v>61.325417000000002</v>
      </c>
      <c r="AM244" s="36">
        <f>IF(ISBLANK(AL245),"",Short1[[#This Row],[Adj Close]]/AL245-1)</f>
        <v>-2.2912136363669622E-2</v>
      </c>
      <c r="AN244" s="29">
        <v>43388</v>
      </c>
      <c r="AO244" s="44">
        <v>38.842872999999997</v>
      </c>
      <c r="AP244" s="33">
        <f>IF(ISBLANK(AO245),"",Short2[[#This Row],[Adj Close]]/AO245-1)</f>
        <v>-5.3765897609500901E-2</v>
      </c>
      <c r="AQ244" s="37">
        <v>43388</v>
      </c>
      <c r="AR244" s="44">
        <v>94.800003000000004</v>
      </c>
      <c r="AS244" s="36">
        <f>IF(ISBLANK(AR245),"",Short3[[#This Row],[Adj Close]]/AR245-1)</f>
        <v>-8.4411801386789609E-2</v>
      </c>
    </row>
    <row r="245" spans="1:45" x14ac:dyDescent="0.25">
      <c r="A245" s="37">
        <v>43381</v>
      </c>
      <c r="B245" s="39">
        <v>2767.1298830000001</v>
      </c>
      <c r="C245" s="36">
        <f>IF(ISBLANK(B246), "", GSPC[[#This Row],[Adj Close]]/B246-1)</f>
        <v>-4.1045679782120592E-2</v>
      </c>
      <c r="D24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50437.449132999987</v>
      </c>
      <c r="E24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26589.754476000002</v>
      </c>
      <c r="F245" s="11">
        <f>IF(ISBLANK(GSPC[[#This Row],[Long Exp.]]), "", (GSPC[[#This Row],[Long Exp.]]/D246-1)+(E246/GSPC[[#This Row],[Short Exp.]]-1))</f>
        <v>-4.5071348117589061E-3</v>
      </c>
      <c r="G245" s="37">
        <v>43381</v>
      </c>
      <c r="H245" s="44">
        <v>29.402543999999999</v>
      </c>
      <c r="I245" s="36">
        <f>IF(ISBLANK(H246), "", Long0[[#This Row],[Adj Close]]/H246-1)</f>
        <v>-9.0110589964262022E-2</v>
      </c>
      <c r="J245" s="29">
        <v>43381</v>
      </c>
      <c r="K245" s="44">
        <v>34.481639999999999</v>
      </c>
      <c r="L245" s="33">
        <f>IF(ISBLANK(K246),"",Long1[[#This Row],[Adj Close]]/K246-1)</f>
        <v>-9.3801058320641895E-2</v>
      </c>
      <c r="M245" s="37">
        <v>43381</v>
      </c>
      <c r="N245" s="44">
        <v>31.333905999999999</v>
      </c>
      <c r="O245" s="36">
        <f>IF(ISBLANK(N246),"",Long2[[#This Row],[Adj Close]]/N246-1)</f>
        <v>-6.6445704073603284E-3</v>
      </c>
      <c r="P245" s="29">
        <v>43381</v>
      </c>
      <c r="Q245" s="44">
        <v>24.283697</v>
      </c>
      <c r="R245" s="33">
        <f>IF(ISBLANK(Q246),"",Long3[[#This Row],[Adj Close]]/Q246-1)</f>
        <v>-1.3207044585105132E-3</v>
      </c>
      <c r="S245" s="37">
        <v>43381</v>
      </c>
      <c r="T245" s="44">
        <v>22.034431000000001</v>
      </c>
      <c r="U245" s="36">
        <f>IF(ISBLANK(T246),"",Long4[[#This Row],[Adj Close]]/T246-1)</f>
        <v>-4.1597066302230701E-2</v>
      </c>
      <c r="V245" s="29">
        <v>43381</v>
      </c>
      <c r="W245" s="44">
        <v>60.163527999999999</v>
      </c>
      <c r="X245" s="33">
        <f>IF(ISBLANK(W246),"",Long5[[#This Row],[Adj Close]]/W246-1)</f>
        <v>9.1489012529217817E-3</v>
      </c>
      <c r="Y245" s="37">
        <v>43381</v>
      </c>
      <c r="Z245" s="44">
        <v>109.82860599999999</v>
      </c>
      <c r="AA245" s="36">
        <f>IF(ISBLANK(Z246),"",Long6[[#This Row],[Adj Close]]/Z246-1)</f>
        <v>-3.881976455992564E-2</v>
      </c>
      <c r="AH245" s="29">
        <v>43381</v>
      </c>
      <c r="AI245" s="44">
        <v>51.614727000000002</v>
      </c>
      <c r="AJ245" s="33">
        <f>IF(ISBLANK(AI246),"",Short0[[#This Row],[Adj Close]]/AI246-1)</f>
        <v>-4.3441106081858138E-2</v>
      </c>
      <c r="AK245" s="37">
        <v>43381</v>
      </c>
      <c r="AL245" s="44">
        <v>62.763461999999997</v>
      </c>
      <c r="AM245" s="36">
        <f>IF(ISBLANK(AL246),"",Short1[[#This Row],[Adj Close]]/AL246-1)</f>
        <v>-1.3785657160000353E-3</v>
      </c>
      <c r="AN245" s="29">
        <v>43381</v>
      </c>
      <c r="AO245" s="44">
        <v>41.049961000000003</v>
      </c>
      <c r="AP245" s="33">
        <f>IF(ISBLANK(AO246),"",Short2[[#This Row],[Adj Close]]/AO246-1)</f>
        <v>-3.6400097200445014E-2</v>
      </c>
      <c r="AQ245" s="37">
        <v>43381</v>
      </c>
      <c r="AR245" s="44">
        <v>103.540001</v>
      </c>
      <c r="AS245" s="36">
        <f>IF(ISBLANK(AR246),"",Short3[[#This Row],[Adj Close]]/AR246-1)</f>
        <v>-6.3748939822730444E-2</v>
      </c>
    </row>
    <row r="246" spans="1:45" x14ac:dyDescent="0.25">
      <c r="A246" s="37">
        <v>43374</v>
      </c>
      <c r="B246" s="39">
        <v>2885.570068</v>
      </c>
      <c r="C246" s="36">
        <f>IF(ISBLANK(B247), "", GSPC[[#This Row],[Adj Close]]/B247-1)</f>
        <v>-9.7495220265720883E-3</v>
      </c>
      <c r="D24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52836.930988999993</v>
      </c>
      <c r="E24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27677.430536999997</v>
      </c>
      <c r="F246" s="11">
        <f>IF(ISBLANK(GSPC[[#This Row],[Long Exp.]]), "", (GSPC[[#This Row],[Long Exp.]]/D247-1)+(E247/GSPC[[#This Row],[Short Exp.]]-1))</f>
        <v>5.049136833704515E-2</v>
      </c>
      <c r="G246" s="37">
        <v>43374</v>
      </c>
      <c r="H246" s="44">
        <v>32.314414999999997</v>
      </c>
      <c r="I246" s="36">
        <f>IF(ISBLANK(H247), "", Long0[[#This Row],[Adj Close]]/H247-1)</f>
        <v>-3.5792110449529346E-2</v>
      </c>
      <c r="J246" s="29">
        <v>43374</v>
      </c>
      <c r="K246" s="44">
        <v>38.050849999999997</v>
      </c>
      <c r="L246" s="33">
        <f>IF(ISBLANK(K247),"",Long1[[#This Row],[Adj Close]]/K247-1)</f>
        <v>-3.63493321518219E-2</v>
      </c>
      <c r="M246" s="37">
        <v>43374</v>
      </c>
      <c r="N246" s="44">
        <v>31.543499000000001</v>
      </c>
      <c r="O246" s="36">
        <f>IF(ISBLANK(N247),"",Long2[[#This Row],[Adj Close]]/N247-1)</f>
        <v>1.9396669431077651E-2</v>
      </c>
      <c r="P246" s="29">
        <v>43374</v>
      </c>
      <c r="Q246" s="44">
        <v>24.315811</v>
      </c>
      <c r="R246" s="33">
        <f>IF(ISBLANK(Q247),"",Long3[[#This Row],[Adj Close]]/Q247-1)</f>
        <v>3.5201509951652277E-2</v>
      </c>
      <c r="S246" s="37">
        <v>43374</v>
      </c>
      <c r="T246" s="44">
        <v>22.990780000000001</v>
      </c>
      <c r="U246" s="36">
        <f>IF(ISBLANK(T247),"",Long4[[#This Row],[Adj Close]]/T247-1)</f>
        <v>-9.2662566285659498E-3</v>
      </c>
      <c r="V246" s="29">
        <v>43374</v>
      </c>
      <c r="W246" s="44">
        <v>59.618088</v>
      </c>
      <c r="X246" s="33">
        <f>IF(ISBLANK(W247),"",Long5[[#This Row],[Adj Close]]/W247-1)</f>
        <v>8.6423047995876079E-3</v>
      </c>
      <c r="Y246" s="37">
        <v>43374</v>
      </c>
      <c r="Z246" s="44">
        <v>114.26432</v>
      </c>
      <c r="AA246" s="36">
        <f>IF(ISBLANK(Z247),"",Long6[[#This Row],[Adj Close]]/Z247-1)</f>
        <v>-8.0578148650624071E-3</v>
      </c>
      <c r="AH246" s="29">
        <v>43374</v>
      </c>
      <c r="AI246" s="44">
        <v>53.958754999999996</v>
      </c>
      <c r="AJ246" s="33">
        <f>IF(ISBLANK(AI247),"",Short0[[#This Row],[Adj Close]]/AI247-1)</f>
        <v>-1.0618693694635306E-2</v>
      </c>
      <c r="AK246" s="37">
        <v>43374</v>
      </c>
      <c r="AL246" s="44">
        <v>62.850104999999999</v>
      </c>
      <c r="AM246" s="36">
        <f>IF(ISBLANK(AL247),"",Short1[[#This Row],[Adj Close]]/AL247-1)</f>
        <v>-8.5811375521688382E-2</v>
      </c>
      <c r="AN246" s="29">
        <v>43374</v>
      </c>
      <c r="AO246" s="44">
        <v>42.600628</v>
      </c>
      <c r="AP246" s="33">
        <f>IF(ISBLANK(AO247),"",Short2[[#This Row],[Adj Close]]/AO247-1)</f>
        <v>-4.0908110648124718E-2</v>
      </c>
      <c r="AQ246" s="37">
        <v>43374</v>
      </c>
      <c r="AR246" s="44">
        <v>110.589996</v>
      </c>
      <c r="AS246" s="36">
        <f>IF(ISBLANK(AR247),"",Short3[[#This Row],[Adj Close]]/AR247-1)</f>
        <v>-8.5352805049944469E-2</v>
      </c>
    </row>
    <row r="247" spans="1:45" x14ac:dyDescent="0.25">
      <c r="A247" s="37">
        <v>43367</v>
      </c>
      <c r="B247" s="39">
        <v>2913.9799800000001</v>
      </c>
      <c r="C247" s="36">
        <f>IF(ISBLANK(B248), "", GSPC[[#This Row],[Adj Close]]/B248-1)</f>
        <v>-5.3555323356321294E-3</v>
      </c>
      <c r="D24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53235.950818999998</v>
      </c>
      <c r="E24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29282.352734</v>
      </c>
      <c r="F247" s="11">
        <f>IF(ISBLANK(GSPC[[#This Row],[Long Exp.]]), "", (GSPC[[#This Row],[Long Exp.]]/D248-1)+(E248/GSPC[[#This Row],[Short Exp.]]-1))</f>
        <v>-1.9220063516087071E-2</v>
      </c>
      <c r="G247" s="37">
        <v>43367</v>
      </c>
      <c r="H247" s="44">
        <v>33.513950000000001</v>
      </c>
      <c r="I247" s="36">
        <f>IF(ISBLANK(H248), "", Long0[[#This Row],[Adj Close]]/H248-1)</f>
        <v>-6.1297998752914307E-2</v>
      </c>
      <c r="J247" s="29">
        <v>43367</v>
      </c>
      <c r="K247" s="44">
        <v>39.486145</v>
      </c>
      <c r="L247" s="33">
        <f>IF(ISBLANK(K248),"",Long1[[#This Row],[Adj Close]]/K248-1)</f>
        <v>1.169696335990178E-2</v>
      </c>
      <c r="M247" s="37">
        <v>43367</v>
      </c>
      <c r="N247" s="44">
        <v>30.943301999999999</v>
      </c>
      <c r="O247" s="36">
        <f>IF(ISBLANK(N248),"",Long2[[#This Row],[Adj Close]]/N248-1)</f>
        <v>4.6393867457661386E-3</v>
      </c>
      <c r="P247" s="29">
        <v>43367</v>
      </c>
      <c r="Q247" s="44">
        <v>23.488963999999999</v>
      </c>
      <c r="R247" s="33">
        <f>IF(ISBLANK(Q248),"",Long3[[#This Row],[Adj Close]]/Q248-1)</f>
        <v>-1.4150564273649802E-2</v>
      </c>
      <c r="S247" s="37">
        <v>43367</v>
      </c>
      <c r="T247" s="44">
        <v>23.205811000000001</v>
      </c>
      <c r="U247" s="36">
        <f>IF(ISBLANK(T248),"",Long4[[#This Row],[Adj Close]]/T248-1)</f>
        <v>-2.8142591396843497E-2</v>
      </c>
      <c r="V247" s="29">
        <v>43367</v>
      </c>
      <c r="W247" s="44">
        <v>59.107264999999998</v>
      </c>
      <c r="X247" s="33">
        <f>IF(ISBLANK(W248),"",Long5[[#This Row],[Adj Close]]/W248-1)</f>
        <v>2.8937458980295983E-2</v>
      </c>
      <c r="Y247" s="37">
        <v>43367</v>
      </c>
      <c r="Z247" s="44">
        <v>115.19252</v>
      </c>
      <c r="AA247" s="36">
        <f>IF(ISBLANK(Z248),"",Long6[[#This Row],[Adj Close]]/Z248-1)</f>
        <v>-2.9230184410290128E-2</v>
      </c>
      <c r="AH247" s="29">
        <v>43367</v>
      </c>
      <c r="AI247" s="44">
        <v>54.537875999999997</v>
      </c>
      <c r="AJ247" s="33">
        <f>IF(ISBLANK(AI248),"",Short0[[#This Row],[Adj Close]]/AI248-1)</f>
        <v>-1.450791554976083E-2</v>
      </c>
      <c r="AK247" s="37">
        <v>43367</v>
      </c>
      <c r="AL247" s="44">
        <v>68.749602999999993</v>
      </c>
      <c r="AM247" s="36">
        <f>IF(ISBLANK(AL248),"",Short1[[#This Row],[Adj Close]]/AL248-1)</f>
        <v>-1.0191202217622375E-2</v>
      </c>
      <c r="AN247" s="29">
        <v>43367</v>
      </c>
      <c r="AO247" s="44">
        <v>44.417670999999999</v>
      </c>
      <c r="AP247" s="33">
        <f>IF(ISBLANK(AO248),"",Short2[[#This Row],[Adj Close]]/AO248-1)</f>
        <v>-6.8621708861377972E-2</v>
      </c>
      <c r="AQ247" s="37">
        <v>43367</v>
      </c>
      <c r="AR247" s="44">
        <v>120.910004</v>
      </c>
      <c r="AS247" s="36">
        <f>IF(ISBLANK(AR248),"",Short3[[#This Row],[Adj Close]]/AR248-1)</f>
        <v>3.8745720983750509E-2</v>
      </c>
    </row>
    <row r="248" spans="1:45" x14ac:dyDescent="0.25">
      <c r="A248" s="37">
        <v>43360</v>
      </c>
      <c r="B248" s="39">
        <v>2929.669922</v>
      </c>
      <c r="C248" s="36">
        <f>IF(ISBLANK(B249), "", GSPC[[#This Row],[Adj Close]]/B249-1)</f>
        <v>8.4991780218739432E-3</v>
      </c>
      <c r="D24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54761.473418000001</v>
      </c>
      <c r="E24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29535.279790999997</v>
      </c>
      <c r="F248" s="11">
        <f>IF(ISBLANK(GSPC[[#This Row],[Long Exp.]]), "", (GSPC[[#This Row],[Long Exp.]]/D249-1)+(E249/GSPC[[#This Row],[Short Exp.]]-1))</f>
        <v>5.3608806732962977E-2</v>
      </c>
      <c r="G248" s="37">
        <v>43360</v>
      </c>
      <c r="H248" s="44">
        <v>35.702438000000001</v>
      </c>
      <c r="I248" s="36">
        <f>IF(ISBLANK(H249), "", Long0[[#This Row],[Adj Close]]/H249-1)</f>
        <v>4.0288132559439083E-2</v>
      </c>
      <c r="J248" s="29">
        <v>43360</v>
      </c>
      <c r="K248" s="44">
        <v>39.029617000000002</v>
      </c>
      <c r="L248" s="33">
        <f>IF(ISBLANK(K249),"",Long1[[#This Row],[Adj Close]]/K249-1)</f>
        <v>-1.4668580663750319E-2</v>
      </c>
      <c r="M248" s="37">
        <v>43360</v>
      </c>
      <c r="N248" s="44">
        <v>30.800407</v>
      </c>
      <c r="O248" s="36">
        <f>IF(ISBLANK(N249),"",Long2[[#This Row],[Adj Close]]/N249-1)</f>
        <v>5.0016321060747826E-2</v>
      </c>
      <c r="P248" s="29">
        <v>43360</v>
      </c>
      <c r="Q248" s="44">
        <v>23.826117</v>
      </c>
      <c r="R248" s="33">
        <f>IF(ISBLANK(Q249),"",Long3[[#This Row],[Adj Close]]/Q249-1)</f>
        <v>-1.5915199120482115E-2</v>
      </c>
      <c r="S248" s="37">
        <v>43360</v>
      </c>
      <c r="T248" s="44">
        <v>23.877794000000002</v>
      </c>
      <c r="U248" s="36">
        <f>IF(ISBLANK(T249),"",Long4[[#This Row],[Adj Close]]/T249-1)</f>
        <v>9.670784094999485E-2</v>
      </c>
      <c r="V248" s="29">
        <v>43360</v>
      </c>
      <c r="W248" s="44">
        <v>57.444954000000003</v>
      </c>
      <c r="X248" s="33">
        <f>IF(ISBLANK(W249),"",Long5[[#This Row],[Adj Close]]/W249-1)</f>
        <v>-1.5052145903737824E-4</v>
      </c>
      <c r="Y248" s="37">
        <v>43360</v>
      </c>
      <c r="Z248" s="44">
        <v>118.66100299999999</v>
      </c>
      <c r="AA248" s="36">
        <f>IF(ISBLANK(Z249),"",Long6[[#This Row],[Adj Close]]/Z249-1)</f>
        <v>1.3419201707763451E-2</v>
      </c>
      <c r="AH248" s="29">
        <v>43360</v>
      </c>
      <c r="AI248" s="44">
        <v>55.340755000000001</v>
      </c>
      <c r="AJ248" s="33">
        <f>IF(ISBLANK(AI249),"",Short0[[#This Row],[Adj Close]]/AI249-1)</f>
        <v>-7.4905997603698093E-3</v>
      </c>
      <c r="AK248" s="37">
        <v>43360</v>
      </c>
      <c r="AL248" s="44">
        <v>69.457458000000003</v>
      </c>
      <c r="AM248" s="36">
        <f>IF(ISBLANK(AL249),"",Short1[[#This Row],[Adj Close]]/AL249-1)</f>
        <v>2.8702760861708976E-2</v>
      </c>
      <c r="AN248" s="29">
        <v>43360</v>
      </c>
      <c r="AO248" s="44">
        <v>47.690258</v>
      </c>
      <c r="AP248" s="33">
        <f>IF(ISBLANK(AO249),"",Short2[[#This Row],[Adj Close]]/AO249-1)</f>
        <v>-4.5688023995783755E-2</v>
      </c>
      <c r="AQ248" s="37">
        <v>43360</v>
      </c>
      <c r="AR248" s="44">
        <v>116.400002</v>
      </c>
      <c r="AS248" s="36">
        <f>IF(ISBLANK(AR249),"",Short3[[#This Row],[Adj Close]]/AR249-1)</f>
        <v>-7.1548223541160749E-2</v>
      </c>
    </row>
    <row r="249" spans="1:45" x14ac:dyDescent="0.25">
      <c r="A249" s="37">
        <v>43353</v>
      </c>
      <c r="B249" s="39">
        <v>2904.9799800000001</v>
      </c>
      <c r="C249" s="36">
        <f>IF(ISBLANK(B250), "", GSPC[[#This Row],[Adj Close]]/B250-1)</f>
        <v>1.1596016543810261E-2</v>
      </c>
      <c r="D24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53371.247966999996</v>
      </c>
      <c r="E24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30349.28974</v>
      </c>
      <c r="F249" s="11">
        <f>IF(ISBLANK(GSPC[[#This Row],[Long Exp.]]), "", (GSPC[[#This Row],[Long Exp.]]/D250-1)+(E250/GSPC[[#This Row],[Short Exp.]]-1))</f>
        <v>-1.7443788604188604E-2</v>
      </c>
      <c r="G249" s="37">
        <v>43353</v>
      </c>
      <c r="H249" s="44">
        <v>34.319758999999998</v>
      </c>
      <c r="I249" s="36">
        <f>IF(ISBLANK(H250), "", Long0[[#This Row],[Adj Close]]/H250-1)</f>
        <v>-1.9874497360867993E-2</v>
      </c>
      <c r="J249" s="29">
        <v>43353</v>
      </c>
      <c r="K249" s="44">
        <v>39.610649000000002</v>
      </c>
      <c r="L249" s="33">
        <f>IF(ISBLANK(K250),"",Long1[[#This Row],[Adj Close]]/K250-1)</f>
        <v>7.8639980626734385E-2</v>
      </c>
      <c r="M249" s="37">
        <v>43353</v>
      </c>
      <c r="N249" s="44">
        <v>29.333265000000001</v>
      </c>
      <c r="O249" s="36">
        <f>IF(ISBLANK(N250),"",Long2[[#This Row],[Adj Close]]/N250-1)</f>
        <v>2.9224909382675968E-2</v>
      </c>
      <c r="P249" s="29">
        <v>43353</v>
      </c>
      <c r="Q249" s="44">
        <v>24.211447</v>
      </c>
      <c r="R249" s="33">
        <f>IF(ISBLANK(Q250),"",Long3[[#This Row],[Adj Close]]/Q250-1)</f>
        <v>2.7404777023628757E-2</v>
      </c>
      <c r="S249" s="37">
        <v>43353</v>
      </c>
      <c r="T249" s="44">
        <v>21.772247</v>
      </c>
      <c r="U249" s="36">
        <f>IF(ISBLANK(T250),"",Long4[[#This Row],[Adj Close]]/T250-1)</f>
        <v>-5.9961285800520514E-2</v>
      </c>
      <c r="V249" s="29">
        <v>43353</v>
      </c>
      <c r="W249" s="44">
        <v>57.453601999999997</v>
      </c>
      <c r="X249" s="33">
        <f>IF(ISBLANK(W250),"",Long5[[#This Row],[Adj Close]]/W250-1)</f>
        <v>-4.8056559889112949E-2</v>
      </c>
      <c r="Y249" s="37">
        <v>43353</v>
      </c>
      <c r="Z249" s="44">
        <v>117.089752</v>
      </c>
      <c r="AA249" s="36">
        <f>IF(ISBLANK(Z250),"",Long6[[#This Row],[Adj Close]]/Z250-1)</f>
        <v>-3.3843823646460436E-2</v>
      </c>
      <c r="AH249" s="29">
        <v>43353</v>
      </c>
      <c r="AI249" s="44">
        <v>55.758419000000004</v>
      </c>
      <c r="AJ249" s="33">
        <f>IF(ISBLANK(AI250),"",Short0[[#This Row],[Adj Close]]/AI250-1)</f>
        <v>1.3031872710462133E-2</v>
      </c>
      <c r="AK249" s="37">
        <v>43353</v>
      </c>
      <c r="AL249" s="44">
        <v>67.519463000000002</v>
      </c>
      <c r="AM249" s="36">
        <f>IF(ISBLANK(AL250),"",Short1[[#This Row],[Adj Close]]/AL250-1)</f>
        <v>2.557968601838212E-3</v>
      </c>
      <c r="AN249" s="29">
        <v>43353</v>
      </c>
      <c r="AO249" s="44">
        <v>49.973446000000003</v>
      </c>
      <c r="AP249" s="33">
        <f>IF(ISBLANK(AO250),"",Short2[[#This Row],[Adj Close]]/AO250-1)</f>
        <v>3.9580315604971661E-2</v>
      </c>
      <c r="AQ249" s="37">
        <v>43353</v>
      </c>
      <c r="AR249" s="44">
        <v>125.370003</v>
      </c>
      <c r="AS249" s="36">
        <f>IF(ISBLANK(AR250),"",Short3[[#This Row],[Adj Close]]/AR250-1)</f>
        <v>7.9786215062327415E-5</v>
      </c>
    </row>
    <row r="250" spans="1:45" x14ac:dyDescent="0.25">
      <c r="A250" s="37">
        <v>43346</v>
      </c>
      <c r="B250" s="39">
        <v>2871.679932</v>
      </c>
      <c r="C250" s="36">
        <f>IF(ISBLANK(B251), "", GSPC[[#This Row],[Adj Close]]/B251-1)</f>
        <v>-1.0284295057181758E-2</v>
      </c>
      <c r="D25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53674.370752999996</v>
      </c>
      <c r="E25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29991.278937000003</v>
      </c>
      <c r="F250" s="11">
        <f>IF(ISBLANK(GSPC[[#This Row],[Long Exp.]]), "", (GSPC[[#This Row],[Long Exp.]]/D251-1)+(E251/GSPC[[#This Row],[Short Exp.]]-1))</f>
        <v>2.6335818113826459E-2</v>
      </c>
      <c r="G250" s="37">
        <v>43346</v>
      </c>
      <c r="H250" s="44">
        <v>35.015678000000001</v>
      </c>
      <c r="I250" s="36">
        <f>IF(ISBLANK(H251), "", Long0[[#This Row],[Adj Close]]/H251-1)</f>
        <v>-2.2744589678032612E-2</v>
      </c>
      <c r="J250" s="29">
        <v>43346</v>
      </c>
      <c r="K250" s="44">
        <v>36.722771000000002</v>
      </c>
      <c r="L250" s="33">
        <f>IF(ISBLANK(K251),"",Long1[[#This Row],[Adj Close]]/K251-1)</f>
        <v>-3.004660737254472E-3</v>
      </c>
      <c r="M250" s="37">
        <v>43346</v>
      </c>
      <c r="N250" s="44">
        <v>28.500344999999999</v>
      </c>
      <c r="O250" s="36">
        <f>IF(ISBLANK(N251),"",Long2[[#This Row],[Adj Close]]/N251-1)</f>
        <v>-4.2532830815852241E-2</v>
      </c>
      <c r="P250" s="29">
        <v>43346</v>
      </c>
      <c r="Q250" s="44">
        <v>23.565636000000001</v>
      </c>
      <c r="R250" s="33">
        <f>IF(ISBLANK(Q251),"",Long3[[#This Row],[Adj Close]]/Q251-1)</f>
        <v>3.3628050667400267E-4</v>
      </c>
      <c r="S250" s="37">
        <v>43346</v>
      </c>
      <c r="T250" s="44">
        <v>23.161010999999998</v>
      </c>
      <c r="U250" s="36">
        <f>IF(ISBLANK(T251),"",Long4[[#This Row],[Adj Close]]/T251-1)</f>
        <v>-1.3358945689697865E-2</v>
      </c>
      <c r="V250" s="29">
        <v>43346</v>
      </c>
      <c r="W250" s="44">
        <v>60.354008</v>
      </c>
      <c r="X250" s="33">
        <f>IF(ISBLANK(W251),"",Long5[[#This Row],[Adj Close]]/W251-1)</f>
        <v>4.2634528452902387E-2</v>
      </c>
      <c r="Y250" s="37">
        <v>43346</v>
      </c>
      <c r="Z250" s="44">
        <v>121.19132999999999</v>
      </c>
      <c r="AA250" s="36">
        <f>IF(ISBLANK(Z251),"",Long6[[#This Row],[Adj Close]]/Z251-1)</f>
        <v>1.3888895628181519E-2</v>
      </c>
      <c r="AH250" s="29">
        <v>43346</v>
      </c>
      <c r="AI250" s="44">
        <v>55.041130000000003</v>
      </c>
      <c r="AJ250" s="33">
        <f>IF(ISBLANK(AI251),"",Short0[[#This Row],[Adj Close]]/AI251-1)</f>
        <v>-7.3371977956672274E-2</v>
      </c>
      <c r="AK250" s="37">
        <v>43346</v>
      </c>
      <c r="AL250" s="44">
        <v>67.347190999999995</v>
      </c>
      <c r="AM250" s="36">
        <f>IF(ISBLANK(AL251),"",Short1[[#This Row],[Adj Close]]/AL251-1)</f>
        <v>-1.7219771987228349E-2</v>
      </c>
      <c r="AN250" s="29">
        <v>43346</v>
      </c>
      <c r="AO250" s="44">
        <v>48.070788999999998</v>
      </c>
      <c r="AP250" s="33">
        <f>IF(ISBLANK(AO251),"",Short2[[#This Row],[Adj Close]]/AO251-1)</f>
        <v>-2.206287192330203E-2</v>
      </c>
      <c r="AQ250" s="37">
        <v>43346</v>
      </c>
      <c r="AR250" s="44">
        <v>125.360001</v>
      </c>
      <c r="AS250" s="36">
        <f>IF(ISBLANK(AR251),"",Short3[[#This Row],[Adj Close]]/AR251-1)</f>
        <v>-2.1771308081372176E-2</v>
      </c>
    </row>
    <row r="251" spans="1:45" x14ac:dyDescent="0.25">
      <c r="A251" s="37">
        <v>43339</v>
      </c>
      <c r="B251" s="39">
        <v>2901.5200199999999</v>
      </c>
      <c r="C251" s="36">
        <f>IF(ISBLANK(B252), "", GSPC[[#This Row],[Adj Close]]/B252-1)</f>
        <v>9.3332079461294626E-3</v>
      </c>
      <c r="D25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54327.859231999988</v>
      </c>
      <c r="E25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31141.877118000004</v>
      </c>
      <c r="F251" s="11">
        <f>IF(ISBLANK(GSPC[[#This Row],[Long Exp.]]), "", (GSPC[[#This Row],[Long Exp.]]/D252-1)+(E252/GSPC[[#This Row],[Short Exp.]]-1))</f>
        <v>1.2761685187826943E-2</v>
      </c>
      <c r="G251" s="37">
        <v>43339</v>
      </c>
      <c r="H251" s="44">
        <v>35.830630999999997</v>
      </c>
      <c r="I251" s="36">
        <f>IF(ISBLANK(H252), "", Long0[[#This Row],[Adj Close]]/H252-1)</f>
        <v>1.1372447193979118E-2</v>
      </c>
      <c r="J251" s="29">
        <v>43339</v>
      </c>
      <c r="K251" s="44">
        <v>36.833443000000003</v>
      </c>
      <c r="L251" s="33">
        <f>IF(ISBLANK(K252),"",Long1[[#This Row],[Adj Close]]/K252-1)</f>
        <v>7.0921312936178538E-3</v>
      </c>
      <c r="M251" s="37">
        <v>43339</v>
      </c>
      <c r="N251" s="44">
        <v>29.766393999999998</v>
      </c>
      <c r="O251" s="36">
        <f>IF(ISBLANK(N252),"",Long2[[#This Row],[Adj Close]]/N252-1)</f>
        <v>5.4993287026855464E-2</v>
      </c>
      <c r="P251" s="29">
        <v>43339</v>
      </c>
      <c r="Q251" s="44">
        <v>23.557714000000001</v>
      </c>
      <c r="R251" s="33">
        <f>IF(ISBLANK(Q252),"",Long3[[#This Row],[Adj Close]]/Q252-1)</f>
        <v>1.3467635635933117E-3</v>
      </c>
      <c r="S251" s="37">
        <v>43339</v>
      </c>
      <c r="T251" s="44">
        <v>23.474606999999999</v>
      </c>
      <c r="U251" s="36">
        <f>IF(ISBLANK(T252),"",Long4[[#This Row],[Adj Close]]/T252-1)</f>
        <v>3.5573367862728578E-2</v>
      </c>
      <c r="V251" s="29">
        <v>43339</v>
      </c>
      <c r="W251" s="44">
        <v>57.886063</v>
      </c>
      <c r="X251" s="33">
        <f>IF(ISBLANK(W252),"",Long5[[#This Row],[Adj Close]]/W252-1)</f>
        <v>1.4855326206924646E-2</v>
      </c>
      <c r="Y251" s="37">
        <v>43339</v>
      </c>
      <c r="Z251" s="44">
        <v>119.53117399999999</v>
      </c>
      <c r="AA251" s="36">
        <f>IF(ISBLANK(Z252),"",Long6[[#This Row],[Adj Close]]/Z252-1)</f>
        <v>3.2786316693032003E-3</v>
      </c>
      <c r="AH251" s="29">
        <v>43339</v>
      </c>
      <c r="AI251" s="44">
        <v>59.399380000000001</v>
      </c>
      <c r="AJ251" s="33">
        <f>IF(ISBLANK(AI252),"",Short0[[#This Row],[Adj Close]]/AI252-1)</f>
        <v>-1.8309870823314256E-3</v>
      </c>
      <c r="AK251" s="37">
        <v>43339</v>
      </c>
      <c r="AL251" s="44">
        <v>68.527214000000001</v>
      </c>
      <c r="AM251" s="36">
        <f>IF(ISBLANK(AL252),"",Short1[[#This Row],[Adj Close]]/AL252-1)</f>
        <v>-3.0701572862025794E-2</v>
      </c>
      <c r="AN251" s="29">
        <v>43339</v>
      </c>
      <c r="AO251" s="44">
        <v>49.155296</v>
      </c>
      <c r="AP251" s="33">
        <f>IF(ISBLANK(AO252),"",Short2[[#This Row],[Adj Close]]/AO252-1)</f>
        <v>2.3276577249573549E-3</v>
      </c>
      <c r="AQ251" s="37">
        <v>43339</v>
      </c>
      <c r="AR251" s="44">
        <v>128.14999399999999</v>
      </c>
      <c r="AS251" s="36">
        <f>IF(ISBLANK(AR252),"",Short3[[#This Row],[Adj Close]]/AR252-1)</f>
        <v>3.6057821391255018E-2</v>
      </c>
    </row>
    <row r="252" spans="1:45" x14ac:dyDescent="0.25">
      <c r="A252" s="37">
        <v>43332</v>
      </c>
      <c r="B252" s="39">
        <v>2874.6899410000001</v>
      </c>
      <c r="C252" s="36">
        <f>IF(ISBLANK(B253), "", GSPC[[#This Row],[Adj Close]]/B253-1)</f>
        <v>8.6171715003207083E-3</v>
      </c>
      <c r="D25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53437.252902</v>
      </c>
      <c r="E25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31020.277145</v>
      </c>
      <c r="F252" s="11">
        <f>IF(ISBLANK(GSPC[[#This Row],[Long Exp.]]), "", (GSPC[[#This Row],[Long Exp.]]/D253-1)+(E253/GSPC[[#This Row],[Short Exp.]]-1))</f>
        <v>-4.4853517298485635E-2</v>
      </c>
      <c r="G252" s="37">
        <v>43332</v>
      </c>
      <c r="H252" s="44">
        <v>35.427731000000001</v>
      </c>
      <c r="I252" s="36">
        <f>IF(ISBLANK(H253), "", Long0[[#This Row],[Adj Close]]/H253-1)</f>
        <v>1.4154443600613353E-2</v>
      </c>
      <c r="J252" s="29">
        <v>43332</v>
      </c>
      <c r="K252" s="44">
        <v>36.574055000000001</v>
      </c>
      <c r="L252" s="33">
        <f>IF(ISBLANK(K253),"",Long1[[#This Row],[Adj Close]]/K253-1)</f>
        <v>3.9720805790088409E-2</v>
      </c>
      <c r="M252" s="37">
        <v>43332</v>
      </c>
      <c r="N252" s="44">
        <v>28.214770999999999</v>
      </c>
      <c r="O252" s="36">
        <f>IF(ISBLANK(N253),"",Long2[[#This Row],[Adj Close]]/N253-1)</f>
        <v>3.3741940420028982E-4</v>
      </c>
      <c r="P252" s="29">
        <v>43332</v>
      </c>
      <c r="Q252" s="44">
        <v>23.526029999999999</v>
      </c>
      <c r="R252" s="33">
        <f>IF(ISBLANK(Q253),"",Long3[[#This Row],[Adj Close]]/Q253-1)</f>
        <v>-6.0239284033940521E-3</v>
      </c>
      <c r="S252" s="37">
        <v>43332</v>
      </c>
      <c r="T252" s="44">
        <v>22.668222</v>
      </c>
      <c r="U252" s="36">
        <f>IF(ISBLANK(T253),"",Long4[[#This Row],[Adj Close]]/T253-1)</f>
        <v>-2.5048456784840134E-2</v>
      </c>
      <c r="V252" s="29">
        <v>43332</v>
      </c>
      <c r="W252" s="44">
        <v>57.038733999999998</v>
      </c>
      <c r="X252" s="33">
        <f>IF(ISBLANK(W253),"",Long5[[#This Row],[Adj Close]]/W253-1)</f>
        <v>4.3663750936486556E-2</v>
      </c>
      <c r="Y252" s="37">
        <v>43332</v>
      </c>
      <c r="Z252" s="44">
        <v>119.140556</v>
      </c>
      <c r="AA252" s="36">
        <f>IF(ISBLANK(Z253),"",Long6[[#This Row],[Adj Close]]/Z253-1)</f>
        <v>5.4907147221115116E-2</v>
      </c>
      <c r="AH252" s="29">
        <v>43332</v>
      </c>
      <c r="AI252" s="44">
        <v>59.508338999999999</v>
      </c>
      <c r="AJ252" s="33">
        <f>IF(ISBLANK(AI253),"",Short0[[#This Row],[Adj Close]]/AI253-1)</f>
        <v>-4.8588524874532135E-3</v>
      </c>
      <c r="AK252" s="37">
        <v>43332</v>
      </c>
      <c r="AL252" s="44">
        <v>70.697745999999995</v>
      </c>
      <c r="AM252" s="36">
        <f>IF(ISBLANK(AL253),"",Short1[[#This Row],[Adj Close]]/AL253-1)</f>
        <v>4.5871183143770589E-2</v>
      </c>
      <c r="AN252" s="29">
        <v>43332</v>
      </c>
      <c r="AO252" s="44">
        <v>49.041145</v>
      </c>
      <c r="AP252" s="33">
        <f>IF(ISBLANK(AO253),"",Short2[[#This Row],[Adj Close]]/AO253-1)</f>
        <v>1.9379142339275512E-2</v>
      </c>
      <c r="AQ252" s="37">
        <v>43332</v>
      </c>
      <c r="AR252" s="44">
        <v>123.69000200000001</v>
      </c>
      <c r="AS252" s="36">
        <f>IF(ISBLANK(AR253),"",Short3[[#This Row],[Adj Close]]/AR253-1)</f>
        <v>0.19611253472149559</v>
      </c>
    </row>
    <row r="253" spans="1:45" x14ac:dyDescent="0.25">
      <c r="A253" s="37">
        <v>43325</v>
      </c>
      <c r="B253" s="39">
        <v>2850.1298830000001</v>
      </c>
      <c r="C253" s="36">
        <f>IF(ISBLANK(B254), "", GSPC[[#This Row],[Adj Close]]/B254-1)</f>
        <v>5.9471191790199107E-3</v>
      </c>
      <c r="D25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52694.922402999997</v>
      </c>
      <c r="E25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29191.915880999997</v>
      </c>
      <c r="F253" s="11">
        <f>IF(ISBLANK(GSPC[[#This Row],[Long Exp.]]), "", (GSPC[[#This Row],[Long Exp.]]/D254-1)+(E254/GSPC[[#This Row],[Short Exp.]]-1))</f>
        <v>3.7662014502572116E-2</v>
      </c>
      <c r="G253" s="37">
        <v>43325</v>
      </c>
      <c r="H253" s="44">
        <v>34.93327</v>
      </c>
      <c r="I253" s="36">
        <f>IF(ISBLANK(H254), "", Long0[[#This Row],[Adj Close]]/H254-1)</f>
        <v>2.526226339401183E-2</v>
      </c>
      <c r="J253" s="29">
        <v>43325</v>
      </c>
      <c r="K253" s="44">
        <v>35.176803999999997</v>
      </c>
      <c r="L253" s="33">
        <f>IF(ISBLANK(K254),"",Long1[[#This Row],[Adj Close]]/K254-1)</f>
        <v>-2.8000736664432591E-2</v>
      </c>
      <c r="M253" s="37">
        <v>43325</v>
      </c>
      <c r="N253" s="44">
        <v>28.205254</v>
      </c>
      <c r="O253" s="36">
        <f>IF(ISBLANK(N254),"",Long2[[#This Row],[Adj Close]]/N254-1)</f>
        <v>-5.9066380075645575E-2</v>
      </c>
      <c r="P253" s="29">
        <v>43325</v>
      </c>
      <c r="Q253" s="44">
        <v>23.668607999999999</v>
      </c>
      <c r="R253" s="33">
        <f>IF(ISBLANK(Q254),"",Long3[[#This Row],[Adj Close]]/Q254-1)</f>
        <v>3.6060846218647802E-2</v>
      </c>
      <c r="S253" s="37">
        <v>43325</v>
      </c>
      <c r="T253" s="44">
        <v>23.250613999999999</v>
      </c>
      <c r="U253" s="36">
        <f>IF(ISBLANK(T254),"",Long4[[#This Row],[Adj Close]]/T254-1)</f>
        <v>3.8686998594319455E-3</v>
      </c>
      <c r="V253" s="29">
        <v>43325</v>
      </c>
      <c r="W253" s="44">
        <v>54.652405000000002</v>
      </c>
      <c r="X253" s="33">
        <f>IF(ISBLANK(W254),"",Long5[[#This Row],[Adj Close]]/W254-1)</f>
        <v>5.2798112143473519E-2</v>
      </c>
      <c r="Y253" s="37">
        <v>43325</v>
      </c>
      <c r="Z253" s="44">
        <v>112.93937699999999</v>
      </c>
      <c r="AA253" s="36">
        <f>IF(ISBLANK(Z254),"",Long6[[#This Row],[Adj Close]]/Z254-1)</f>
        <v>6.9656838663636478E-3</v>
      </c>
      <c r="AH253" s="29">
        <v>43325</v>
      </c>
      <c r="AI253" s="44">
        <v>59.798893</v>
      </c>
      <c r="AJ253" s="33">
        <f>IF(ISBLANK(AI254),"",Short0[[#This Row],[Adj Close]]/AI254-1)</f>
        <v>-2.9329309163315553E-2</v>
      </c>
      <c r="AK253" s="37">
        <v>43325</v>
      </c>
      <c r="AL253" s="44">
        <v>67.596992</v>
      </c>
      <c r="AM253" s="36">
        <f>IF(ISBLANK(AL254),"",Short1[[#This Row],[Adj Close]]/AL254-1)</f>
        <v>-2.9217757030547409E-3</v>
      </c>
      <c r="AN253" s="29">
        <v>43325</v>
      </c>
      <c r="AO253" s="44">
        <v>48.108837000000001</v>
      </c>
      <c r="AP253" s="33">
        <f>IF(ISBLANK(AO254),"",Short2[[#This Row],[Adj Close]]/AO254-1)</f>
        <v>-5.2641500598577307E-2</v>
      </c>
      <c r="AQ253" s="37">
        <v>43325</v>
      </c>
      <c r="AR253" s="44">
        <v>103.410004</v>
      </c>
      <c r="AS253" s="36">
        <f>IF(ISBLANK(AR254),"",Short3[[#This Row],[Adj Close]]/AR254-1)</f>
        <v>-2.2497371939716682E-2</v>
      </c>
    </row>
    <row r="254" spans="1:45" x14ac:dyDescent="0.25">
      <c r="A254" s="37">
        <v>43318</v>
      </c>
      <c r="B254" s="39">
        <v>2833.280029</v>
      </c>
      <c r="C254" s="36">
        <f>IF(ISBLANK(B255), "", GSPC[[#This Row],[Adj Close]]/B255-1)</f>
        <v>-2.4891540676545976E-3</v>
      </c>
      <c r="D25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52163.311607000011</v>
      </c>
      <c r="E25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29993.839318000002</v>
      </c>
      <c r="F254" s="11">
        <f>IF(ISBLANK(GSPC[[#This Row],[Long Exp.]]), "", (GSPC[[#This Row],[Long Exp.]]/D255-1)+(E255/GSPC[[#This Row],[Short Exp.]]-1))</f>
        <v>-2.931181469262345E-2</v>
      </c>
      <c r="G254" s="37">
        <v>43318</v>
      </c>
      <c r="H254" s="44">
        <v>34.072521000000002</v>
      </c>
      <c r="I254" s="36">
        <f>IF(ISBLANK(H255), "", Long0[[#This Row],[Adj Close]]/H255-1)</f>
        <v>-3.2249661908898553E-2</v>
      </c>
      <c r="J254" s="29">
        <v>43318</v>
      </c>
      <c r="K254" s="44">
        <v>36.190154999999997</v>
      </c>
      <c r="L254" s="33">
        <f>IF(ISBLANK(K255),"",Long1[[#This Row],[Adj Close]]/K255-1)</f>
        <v>3.1647438406721351E-2</v>
      </c>
      <c r="M254" s="37">
        <v>43318</v>
      </c>
      <c r="N254" s="44">
        <v>29.975816999999999</v>
      </c>
      <c r="O254" s="36">
        <f>IF(ISBLANK(N255),"",Long2[[#This Row],[Adj Close]]/N255-1)</f>
        <v>3.4154349582942833E-2</v>
      </c>
      <c r="P254" s="29">
        <v>43318</v>
      </c>
      <c r="Q254" s="44">
        <v>22.844805000000001</v>
      </c>
      <c r="R254" s="33">
        <f>IF(ISBLANK(Q255),"",Long3[[#This Row],[Adj Close]]/Q255-1)</f>
        <v>-4.4872320312332459E-3</v>
      </c>
      <c r="S254" s="37">
        <v>43318</v>
      </c>
      <c r="T254" s="44">
        <v>23.161010999999998</v>
      </c>
      <c r="U254" s="36">
        <f>IF(ISBLANK(T255),"",Long4[[#This Row],[Adj Close]]/T255-1)</f>
        <v>-0.19092343046346327</v>
      </c>
      <c r="V254" s="29">
        <v>43318</v>
      </c>
      <c r="W254" s="44">
        <v>51.911572</v>
      </c>
      <c r="X254" s="33">
        <f>IF(ISBLANK(W255),"",Long5[[#This Row],[Adj Close]]/W255-1)</f>
        <v>1.3846881453776883E-2</v>
      </c>
      <c r="Y254" s="37">
        <v>43318</v>
      </c>
      <c r="Z254" s="44">
        <v>112.158119</v>
      </c>
      <c r="AA254" s="36">
        <f>IF(ISBLANK(Z255),"",Long6[[#This Row],[Adj Close]]/Z255-1)</f>
        <v>0.13881997487588582</v>
      </c>
      <c r="AH254" s="29">
        <v>43318</v>
      </c>
      <c r="AI254" s="44">
        <v>61.605747000000001</v>
      </c>
      <c r="AJ254" s="33">
        <f>IF(ISBLANK(AI255),"",Short0[[#This Row],[Adj Close]]/AI255-1)</f>
        <v>-1.1653317182859335E-2</v>
      </c>
      <c r="AK254" s="37">
        <v>43318</v>
      </c>
      <c r="AL254" s="44">
        <v>67.795074</v>
      </c>
      <c r="AM254" s="36">
        <f>IF(ISBLANK(AL255),"",Short1[[#This Row],[Adj Close]]/AL255-1)</f>
        <v>3.4568718994732794E-2</v>
      </c>
      <c r="AN254" s="29">
        <v>43318</v>
      </c>
      <c r="AO254" s="44">
        <v>50.782082000000003</v>
      </c>
      <c r="AP254" s="33">
        <f>IF(ISBLANK(AO255),"",Short2[[#This Row],[Adj Close]]/AO255-1)</f>
        <v>3.6907619851846318E-2</v>
      </c>
      <c r="AQ254" s="37">
        <v>43318</v>
      </c>
      <c r="AR254" s="44">
        <v>105.790001</v>
      </c>
      <c r="AS254" s="36">
        <f>IF(ISBLANK(AR255),"",Short3[[#This Row],[Adj Close]]/AR255-1)</f>
        <v>5.2951129163420596E-2</v>
      </c>
    </row>
    <row r="255" spans="1:45" x14ac:dyDescent="0.25">
      <c r="A255" s="37">
        <v>43311</v>
      </c>
      <c r="B255" s="39">
        <v>2840.3500979999999</v>
      </c>
      <c r="C255" s="36">
        <f>IF(ISBLANK(B256), "", GSPC[[#This Row],[Adj Close]]/B256-1)</f>
        <v>7.6379582522541067E-3</v>
      </c>
      <c r="D25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52491.482757999991</v>
      </c>
      <c r="E25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29302.183742000001</v>
      </c>
      <c r="F255" s="11">
        <f>IF(ISBLANK(GSPC[[#This Row],[Long Exp.]]), "", (GSPC[[#This Row],[Long Exp.]]/D256-1)+(E256/GSPC[[#This Row],[Short Exp.]]-1))</f>
        <v>5.863103436672934E-2</v>
      </c>
      <c r="G255" s="37">
        <v>43311</v>
      </c>
      <c r="H255" s="44">
        <v>35.207965999999999</v>
      </c>
      <c r="I255" s="36">
        <f>IF(ISBLANK(H256), "", Long0[[#This Row],[Adj Close]]/H256-1)</f>
        <v>6.1567923588262241E-2</v>
      </c>
      <c r="J255" s="29">
        <v>43311</v>
      </c>
      <c r="K255" s="44">
        <v>35.079963999999997</v>
      </c>
      <c r="L255" s="33">
        <f>IF(ISBLANK(K256),"",Long1[[#This Row],[Adj Close]]/K256-1)</f>
        <v>2.8076239961446259E-2</v>
      </c>
      <c r="M255" s="37">
        <v>43311</v>
      </c>
      <c r="N255" s="44">
        <v>28.985824999999998</v>
      </c>
      <c r="O255" s="36">
        <f>IF(ISBLANK(N256),"",Long2[[#This Row],[Adj Close]]/N256-1)</f>
        <v>2.249838084043887E-2</v>
      </c>
      <c r="P255" s="29">
        <v>43311</v>
      </c>
      <c r="Q255" s="44">
        <v>22.947776999999999</v>
      </c>
      <c r="R255" s="33">
        <f>IF(ISBLANK(Q256),"",Long3[[#This Row],[Adj Close]]/Q256-1)</f>
        <v>6.2519954331465843E-3</v>
      </c>
      <c r="S255" s="37">
        <v>43311</v>
      </c>
      <c r="T255" s="44">
        <v>28.626476</v>
      </c>
      <c r="U255" s="36">
        <f>IF(ISBLANK(T256),"",Long4[[#This Row],[Adj Close]]/T256-1)</f>
        <v>1.567472865043662E-3</v>
      </c>
      <c r="V255" s="29">
        <v>43311</v>
      </c>
      <c r="W255" s="44">
        <v>51.202576000000001</v>
      </c>
      <c r="X255" s="33">
        <f>IF(ISBLANK(W256),"",Long5[[#This Row],[Adj Close]]/W256-1)</f>
        <v>0.15867730966853988</v>
      </c>
      <c r="Y255" s="37">
        <v>43311</v>
      </c>
      <c r="Z255" s="44">
        <v>98.486259000000004</v>
      </c>
      <c r="AA255" s="36">
        <f>IF(ISBLANK(Z256),"",Long6[[#This Row],[Adj Close]]/Z256-1)</f>
        <v>1.7145748393901705E-2</v>
      </c>
      <c r="AH255" s="29">
        <v>43311</v>
      </c>
      <c r="AI255" s="44">
        <v>62.332123000000003</v>
      </c>
      <c r="AJ255" s="33">
        <f>IF(ISBLANK(AI256),"",Short0[[#This Row],[Adj Close]]/AI256-1)</f>
        <v>-4.0262695773467305E-2</v>
      </c>
      <c r="AK255" s="37">
        <v>43311</v>
      </c>
      <c r="AL255" s="44">
        <v>65.529792999999998</v>
      </c>
      <c r="AM255" s="36">
        <f>IF(ISBLANK(AL256),"",Short1[[#This Row],[Adj Close]]/AL256-1)</f>
        <v>1.8746502857474034E-2</v>
      </c>
      <c r="AN255" s="29">
        <v>43311</v>
      </c>
      <c r="AO255" s="44">
        <v>48.974547999999999</v>
      </c>
      <c r="AP255" s="33">
        <f>IF(ISBLANK(AO256),"",Short2[[#This Row],[Adj Close]]/AO256-1)</f>
        <v>-1.2089732813546306E-2</v>
      </c>
      <c r="AQ255" s="37">
        <v>43311</v>
      </c>
      <c r="AR255" s="44">
        <v>100.470001</v>
      </c>
      <c r="AS255" s="36">
        <f>IF(ISBLANK(AR256),"",Short3[[#This Row],[Adj Close]]/AR256-1)</f>
        <v>-6.231424455616752E-3</v>
      </c>
    </row>
    <row r="256" spans="1:45" x14ac:dyDescent="0.25">
      <c r="A256" s="37">
        <v>43304</v>
      </c>
      <c r="B256" s="39">
        <v>2818.820068</v>
      </c>
      <c r="C256" s="36">
        <f>IF(ISBLANK(B257), "", GSPC[[#This Row],[Adj Close]]/B257-1)</f>
        <v>6.0638902171139542E-3</v>
      </c>
      <c r="D25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50284.602378999996</v>
      </c>
      <c r="E25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29734.192816999999</v>
      </c>
      <c r="F256" s="11">
        <f>IF(ISBLANK(GSPC[[#This Row],[Long Exp.]]), "", (GSPC[[#This Row],[Long Exp.]]/D257-1)+(E257/GSPC[[#This Row],[Short Exp.]]-1))</f>
        <v>5.1653863141355005E-2</v>
      </c>
      <c r="G256" s="37">
        <v>43304</v>
      </c>
      <c r="H256" s="44">
        <v>33.166004000000001</v>
      </c>
      <c r="I256" s="36">
        <f>IF(ISBLANK(H257), "", Long0[[#This Row],[Adj Close]]/H257-1)</f>
        <v>1.9420188931125404E-2</v>
      </c>
      <c r="J256" s="29">
        <v>43304</v>
      </c>
      <c r="K256" s="44">
        <v>34.121948000000003</v>
      </c>
      <c r="L256" s="33">
        <f>IF(ISBLANK(K257),"",Long1[[#This Row],[Adj Close]]/K257-1)</f>
        <v>-3.3124312713043391E-2</v>
      </c>
      <c r="M256" s="37">
        <v>43304</v>
      </c>
      <c r="N256" s="44">
        <v>28.348040000000001</v>
      </c>
      <c r="O256" s="36">
        <f>IF(ISBLANK(N257),"",Long2[[#This Row],[Adj Close]]/N257-1)</f>
        <v>5.1553654607473742E-2</v>
      </c>
      <c r="P256" s="29">
        <v>43304</v>
      </c>
      <c r="Q256" s="44">
        <v>22.805199000000002</v>
      </c>
      <c r="R256" s="33">
        <f>IF(ISBLANK(Q257),"",Long3[[#This Row],[Adj Close]]/Q257-1)</f>
        <v>2.7847089056978636E-2</v>
      </c>
      <c r="S256" s="37">
        <v>43304</v>
      </c>
      <c r="T256" s="44">
        <v>28.581675000000001</v>
      </c>
      <c r="U256" s="36">
        <f>IF(ISBLANK(T257),"",Long4[[#This Row],[Adj Close]]/T257-1)</f>
        <v>-7.6700500584425901E-2</v>
      </c>
      <c r="V256" s="29">
        <v>43304</v>
      </c>
      <c r="W256" s="44">
        <v>44.190539999999999</v>
      </c>
      <c r="X256" s="33">
        <f>IF(ISBLANK(W257),"",Long5[[#This Row],[Adj Close]]/W257-1)</f>
        <v>-1.9566476185928994E-2</v>
      </c>
      <c r="Y256" s="37">
        <v>43304</v>
      </c>
      <c r="Z256" s="44">
        <v>96.826103000000003</v>
      </c>
      <c r="AA256" s="36">
        <f>IF(ISBLANK(Z257),"",Long6[[#This Row],[Adj Close]]/Z257-1)</f>
        <v>3.6591848158993745E-2</v>
      </c>
      <c r="AH256" s="29">
        <v>43304</v>
      </c>
      <c r="AI256" s="44">
        <v>64.947067000000004</v>
      </c>
      <c r="AJ256" s="33">
        <f>IF(ISBLANK(AI257),"",Short0[[#This Row],[Adj Close]]/AI257-1)</f>
        <v>-3.141516739020267E-2</v>
      </c>
      <c r="AK256" s="37">
        <v>43304</v>
      </c>
      <c r="AL256" s="44">
        <v>64.323943999999997</v>
      </c>
      <c r="AM256" s="36">
        <f>IF(ISBLANK(AL257),"",Short1[[#This Row],[Adj Close]]/AL257-1)</f>
        <v>-1.8788349302011231E-2</v>
      </c>
      <c r="AN256" s="29">
        <v>43304</v>
      </c>
      <c r="AO256" s="44">
        <v>49.573883000000002</v>
      </c>
      <c r="AP256" s="33">
        <f>IF(ISBLANK(AO257),"",Short2[[#This Row],[Adj Close]]/AO257-1)</f>
        <v>-4.7000825278394442E-2</v>
      </c>
      <c r="AQ256" s="37">
        <v>43304</v>
      </c>
      <c r="AR256" s="44">
        <v>101.099998</v>
      </c>
      <c r="AS256" s="36">
        <f>IF(ISBLANK(AR257),"",Short3[[#This Row],[Adj Close]]/AR257-1)</f>
        <v>-4.1797023186484261E-2</v>
      </c>
    </row>
    <row r="257" spans="1:45" x14ac:dyDescent="0.25">
      <c r="A257" s="37">
        <v>43297</v>
      </c>
      <c r="B257" s="39">
        <v>2801.830078</v>
      </c>
      <c r="C257" s="36">
        <f>IF(ISBLANK(B258), "", GSPC[[#This Row],[Adj Close]]/B258-1)</f>
        <v>1.8563421722261886E-4</v>
      </c>
      <c r="D25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49504.135359</v>
      </c>
      <c r="E25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30801.298576000001</v>
      </c>
      <c r="F257" s="11">
        <f>IF(ISBLANK(GSPC[[#This Row],[Long Exp.]]), "", (GSPC[[#This Row],[Long Exp.]]/D258-1)+(E258/GSPC[[#This Row],[Short Exp.]]-1))</f>
        <v>-1.6594019663547566E-2</v>
      </c>
      <c r="G257" s="37">
        <v>43297</v>
      </c>
      <c r="H257" s="44">
        <v>32.534184000000003</v>
      </c>
      <c r="I257" s="36">
        <f>IF(ISBLANK(H258), "", Long0[[#This Row],[Adj Close]]/H258-1)</f>
        <v>-2.8704233872033136E-2</v>
      </c>
      <c r="J257" s="29">
        <v>43297</v>
      </c>
      <c r="K257" s="44">
        <v>35.290936000000002</v>
      </c>
      <c r="L257" s="33">
        <f>IF(ISBLANK(K258),"",Long1[[#This Row],[Adj Close]]/K258-1)</f>
        <v>2.8501045405855407E-3</v>
      </c>
      <c r="M257" s="37">
        <v>43297</v>
      </c>
      <c r="N257" s="44">
        <v>26.958244000000001</v>
      </c>
      <c r="O257" s="36">
        <f>IF(ISBLANK(N258),"",Long2[[#This Row],[Adj Close]]/N258-1)</f>
        <v>6.0390532033403055E-3</v>
      </c>
      <c r="P257" s="29">
        <v>43297</v>
      </c>
      <c r="Q257" s="44">
        <v>22.187346000000002</v>
      </c>
      <c r="R257" s="33">
        <f>IF(ISBLANK(Q258),"",Long3[[#This Row],[Adj Close]]/Q258-1)</f>
        <v>-1.7881997531441707E-2</v>
      </c>
      <c r="S257" s="37">
        <v>43297</v>
      </c>
      <c r="T257" s="44">
        <v>30.956016999999999</v>
      </c>
      <c r="U257" s="36">
        <f>IF(ISBLANK(T258),"",Long4[[#This Row],[Adj Close]]/T258-1)</f>
        <v>-2.1246458833944604E-2</v>
      </c>
      <c r="V257" s="29">
        <v>43297</v>
      </c>
      <c r="W257" s="44">
        <v>45.072448999999999</v>
      </c>
      <c r="X257" s="33">
        <f>IF(ISBLANK(W258),"",Long5[[#This Row],[Adj Close]]/W258-1)</f>
        <v>-1.5322446247327814E-3</v>
      </c>
      <c r="Y257" s="37">
        <v>43297</v>
      </c>
      <c r="Z257" s="44">
        <v>93.408126999999993</v>
      </c>
      <c r="AA257" s="36">
        <f>IF(ISBLANK(Z258),"",Long6[[#This Row],[Adj Close]]/Z258-1)</f>
        <v>2.2447736860525147E-2</v>
      </c>
      <c r="AH257" s="29">
        <v>43297</v>
      </c>
      <c r="AI257" s="44">
        <v>67.053566000000004</v>
      </c>
      <c r="AJ257" s="33">
        <f>IF(ISBLANK(AI258),"",Short0[[#This Row],[Adj Close]]/AI258-1)</f>
        <v>1.6275395192004716E-3</v>
      </c>
      <c r="AK257" s="37">
        <v>43297</v>
      </c>
      <c r="AL257" s="44">
        <v>65.555626000000004</v>
      </c>
      <c r="AM257" s="36">
        <f>IF(ISBLANK(AL258),"",Short1[[#This Row],[Adj Close]]/AL258-1)</f>
        <v>3.0309744421335161E-3</v>
      </c>
      <c r="AN257" s="29">
        <v>43297</v>
      </c>
      <c r="AO257" s="44">
        <v>52.018810000000002</v>
      </c>
      <c r="AP257" s="33">
        <f>IF(ISBLANK(AO258),"",Short2[[#This Row],[Adj Close]]/AO258-1)</f>
        <v>1.2213505112865564E-2</v>
      </c>
      <c r="AQ257" s="37">
        <v>43297</v>
      </c>
      <c r="AR257" s="44">
        <v>105.510002</v>
      </c>
      <c r="AS257" s="36">
        <f>IF(ISBLANK(AR258),"",Short3[[#This Row],[Adj Close]]/AR258-1)</f>
        <v>-3.2120548552112549E-3</v>
      </c>
    </row>
    <row r="258" spans="1:45" x14ac:dyDescent="0.25">
      <c r="A258" s="37">
        <v>43290</v>
      </c>
      <c r="B258" s="39">
        <v>2801.3100589999999</v>
      </c>
      <c r="C258" s="36">
        <f>IF(ISBLANK(B259), "", GSPC[[#This Row],[Adj Close]]/B259-1)</f>
        <v>1.5033585515619174E-2</v>
      </c>
      <c r="D25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50198.223472999998</v>
      </c>
      <c r="E25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30716.069106999999</v>
      </c>
      <c r="F258" s="11">
        <f>IF(ISBLANK(GSPC[[#This Row],[Long Exp.]]), "", (GSPC[[#This Row],[Long Exp.]]/D259-1)+(E259/GSPC[[#This Row],[Short Exp.]]-1))</f>
        <v>-2.7610868153297941E-2</v>
      </c>
      <c r="G258" s="37">
        <v>43290</v>
      </c>
      <c r="H258" s="44">
        <v>33.495651000000002</v>
      </c>
      <c r="I258" s="36">
        <f>IF(ISBLANK(H259), "", Long0[[#This Row],[Adj Close]]/H259-1)</f>
        <v>-1.3648791549770722E-3</v>
      </c>
      <c r="J258" s="29">
        <v>43290</v>
      </c>
      <c r="K258" s="44">
        <v>35.190638999999997</v>
      </c>
      <c r="L258" s="33">
        <f>IF(ISBLANK(K259),"",Long1[[#This Row],[Adj Close]]/K259-1)</f>
        <v>3.8476705508787568E-3</v>
      </c>
      <c r="M258" s="37">
        <v>43290</v>
      </c>
      <c r="N258" s="44">
        <v>26.796419</v>
      </c>
      <c r="O258" s="36">
        <f>IF(ISBLANK(N259),"",Long2[[#This Row],[Adj Close]]/N259-1)</f>
        <v>1.0669138287484614E-3</v>
      </c>
      <c r="P258" s="29">
        <v>43290</v>
      </c>
      <c r="Q258" s="44">
        <v>22.591324</v>
      </c>
      <c r="R258" s="33">
        <f>IF(ISBLANK(Q259),"",Long3[[#This Row],[Adj Close]]/Q259-1)</f>
        <v>-3.5509115462986518E-2</v>
      </c>
      <c r="S258" s="37">
        <v>43290</v>
      </c>
      <c r="T258" s="44">
        <v>31.628</v>
      </c>
      <c r="U258" s="36">
        <f>IF(ISBLANK(T259),"",Long4[[#This Row],[Adj Close]]/T259-1)</f>
        <v>-2.0804347247273758E-2</v>
      </c>
      <c r="V258" s="29">
        <v>43290</v>
      </c>
      <c r="W258" s="44">
        <v>45.141616999999997</v>
      </c>
      <c r="X258" s="33">
        <f>IF(ISBLANK(W259),"",Long5[[#This Row],[Adj Close]]/W259-1)</f>
        <v>-1.7685894925184575E-2</v>
      </c>
      <c r="Y258" s="37">
        <v>43290</v>
      </c>
      <c r="Z258" s="44">
        <v>91.357360999999997</v>
      </c>
      <c r="AA258" s="36">
        <f>IF(ISBLANK(Z259),"",Long6[[#This Row],[Adj Close]]/Z259-1)</f>
        <v>5.5869206849770148E-2</v>
      </c>
      <c r="AH258" s="29">
        <v>43290</v>
      </c>
      <c r="AI258" s="44">
        <v>66.944610999999995</v>
      </c>
      <c r="AJ258" s="33">
        <f>IF(ISBLANK(AI259),"",Short0[[#This Row],[Adj Close]]/AI259-1)</f>
        <v>1.8792226021521419E-2</v>
      </c>
      <c r="AK258" s="37">
        <v>43290</v>
      </c>
      <c r="AL258" s="44">
        <v>65.357529</v>
      </c>
      <c r="AM258" s="36">
        <f>IF(ISBLANK(AL259),"",Short1[[#This Row],[Adj Close]]/AL259-1)</f>
        <v>2.1540182909808747E-2</v>
      </c>
      <c r="AN258" s="29">
        <v>43290</v>
      </c>
      <c r="AO258" s="44">
        <v>51.391143999999997</v>
      </c>
      <c r="AP258" s="33">
        <f>IF(ISBLANK(AO259),"",Short2[[#This Row],[Adj Close]]/AO259-1)</f>
        <v>6.891735430871293E-3</v>
      </c>
      <c r="AQ258" s="37">
        <v>43290</v>
      </c>
      <c r="AR258" s="44">
        <v>105.849998</v>
      </c>
      <c r="AS258" s="36">
        <f>IF(ISBLANK(AR259),"",Short3[[#This Row],[Adj Close]]/AR259-1)</f>
        <v>4.4091547960886102E-2</v>
      </c>
    </row>
    <row r="259" spans="1:45" x14ac:dyDescent="0.25">
      <c r="A259" s="37">
        <v>43283</v>
      </c>
      <c r="B259" s="39">
        <v>2759.820068</v>
      </c>
      <c r="C259" s="36">
        <f>IF(ISBLANK(B260), "", GSPC[[#This Row],[Adj Close]]/B260-1)</f>
        <v>1.5248089559542599E-2</v>
      </c>
      <c r="D25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50448.222474000002</v>
      </c>
      <c r="E25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30020.186979000002</v>
      </c>
      <c r="F259" s="11">
        <f>IF(ISBLANK(GSPC[[#This Row],[Long Exp.]]), "", (GSPC[[#This Row],[Long Exp.]]/D260-1)+(E260/GSPC[[#This Row],[Short Exp.]]-1))</f>
        <v>2.957400538960786E-2</v>
      </c>
      <c r="G259" s="37">
        <v>43283</v>
      </c>
      <c r="H259" s="44">
        <v>33.541431000000003</v>
      </c>
      <c r="I259" s="36">
        <f>IF(ISBLANK(H260), "", Long0[[#This Row],[Adj Close]]/H260-1)</f>
        <v>1.3558378819382932E-2</v>
      </c>
      <c r="J259" s="29">
        <v>43283</v>
      </c>
      <c r="K259" s="44">
        <v>35.055756000000002</v>
      </c>
      <c r="L259" s="33">
        <f>IF(ISBLANK(K260),"",Long1[[#This Row],[Adj Close]]/K260-1)</f>
        <v>1.1778808189231382E-2</v>
      </c>
      <c r="M259" s="37">
        <v>43283</v>
      </c>
      <c r="N259" s="44">
        <v>26.767859999999999</v>
      </c>
      <c r="O259" s="36">
        <f>IF(ISBLANK(N260),"",Long2[[#This Row],[Adj Close]]/N260-1)</f>
        <v>2.4955032965339186E-3</v>
      </c>
      <c r="P259" s="29">
        <v>43283</v>
      </c>
      <c r="Q259" s="44">
        <v>23.423055999999999</v>
      </c>
      <c r="R259" s="33">
        <f>IF(ISBLANK(Q260),"",Long3[[#This Row],[Adj Close]]/Q260-1)</f>
        <v>3.5726944772445757E-2</v>
      </c>
      <c r="S259" s="37">
        <v>43283</v>
      </c>
      <c r="T259" s="44">
        <v>32.299979999999998</v>
      </c>
      <c r="U259" s="36">
        <f>IF(ISBLANK(T260),"",Long4[[#This Row],[Adj Close]]/T260-1)</f>
        <v>4.3415242988140257E-2</v>
      </c>
      <c r="V259" s="29">
        <v>43283</v>
      </c>
      <c r="W259" s="44">
        <v>45.954360999999999</v>
      </c>
      <c r="X259" s="33">
        <f>IF(ISBLANK(W260),"",Long5[[#This Row],[Adj Close]]/W260-1)</f>
        <v>1.9762203370283782E-2</v>
      </c>
      <c r="Y259" s="37">
        <v>43283</v>
      </c>
      <c r="Z259" s="44">
        <v>86.523369000000002</v>
      </c>
      <c r="AA259" s="36">
        <f>IF(ISBLANK(Z260),"",Long6[[#This Row],[Adj Close]]/Z260-1)</f>
        <v>3.0232490795840894E-2</v>
      </c>
      <c r="AH259" s="29">
        <v>43283</v>
      </c>
      <c r="AI259" s="44">
        <v>65.709778</v>
      </c>
      <c r="AJ259" s="33">
        <f>IF(ISBLANK(AI260),"",Short0[[#This Row],[Adj Close]]/AI260-1)</f>
        <v>-5.2252533336383467E-2</v>
      </c>
      <c r="AK259" s="37">
        <v>43283</v>
      </c>
      <c r="AL259" s="44">
        <v>63.979401000000003</v>
      </c>
      <c r="AM259" s="36">
        <f>IF(ISBLANK(AL260),"",Short1[[#This Row],[Adj Close]]/AL260-1)</f>
        <v>-4.0227862043129559E-3</v>
      </c>
      <c r="AN259" s="29">
        <v>43283</v>
      </c>
      <c r="AO259" s="44">
        <v>51.039394000000001</v>
      </c>
      <c r="AP259" s="33">
        <f>IF(ISBLANK(AO260),"",Short2[[#This Row],[Adj Close]]/AO260-1)</f>
        <v>2.2666436430407666E-2</v>
      </c>
      <c r="AQ259" s="37">
        <v>43283</v>
      </c>
      <c r="AR259" s="44">
        <v>101.379997</v>
      </c>
      <c r="AS259" s="36">
        <f>IF(ISBLANK(AR260),"",Short3[[#This Row],[Adj Close]]/AR260-1)</f>
        <v>2.2903803623208541E-2</v>
      </c>
    </row>
    <row r="260" spans="1:45" x14ac:dyDescent="0.25">
      <c r="A260" s="37">
        <v>43276</v>
      </c>
      <c r="B260" s="39">
        <v>2718.3701169999999</v>
      </c>
      <c r="C260" s="36">
        <f>IF(ISBLANK(B261), "", GSPC[[#This Row],[Adj Close]]/B261-1)</f>
        <v>-1.3252761481651887E-2</v>
      </c>
      <c r="D26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49503.794033000006</v>
      </c>
      <c r="E26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30335.282019999999</v>
      </c>
      <c r="F260" s="11">
        <f>IF(ISBLANK(GSPC[[#This Row],[Long Exp.]]), "", (GSPC[[#This Row],[Long Exp.]]/D261-1)+(E261/GSPC[[#This Row],[Short Exp.]]-1))</f>
        <v>-8.7182805156709176E-3</v>
      </c>
      <c r="G260" s="37">
        <v>43276</v>
      </c>
      <c r="H260" s="44">
        <v>33.092747000000003</v>
      </c>
      <c r="I260" s="36">
        <f>IF(ISBLANK(H261), "", Long0[[#This Row],[Adj Close]]/H261-1)</f>
        <v>-5.6643176494536984E-2</v>
      </c>
      <c r="J260" s="29">
        <v>43276</v>
      </c>
      <c r="K260" s="44">
        <v>34.647647999999997</v>
      </c>
      <c r="L260" s="33">
        <f>IF(ISBLANK(K261),"",Long1[[#This Row],[Adj Close]]/K261-1)</f>
        <v>-7.8889277208387343E-2</v>
      </c>
      <c r="M260" s="37">
        <v>43276</v>
      </c>
      <c r="N260" s="44">
        <v>26.701226999999999</v>
      </c>
      <c r="O260" s="36">
        <f>IF(ISBLANK(N261),"",Long2[[#This Row],[Adj Close]]/N261-1)</f>
        <v>-2.8739725848013209E-2</v>
      </c>
      <c r="P260" s="29">
        <v>43276</v>
      </c>
      <c r="Q260" s="44">
        <v>22.615088</v>
      </c>
      <c r="R260" s="33">
        <f>IF(ISBLANK(Q261),"",Long3[[#This Row],[Adj Close]]/Q261-1)</f>
        <v>1.026187994552874E-2</v>
      </c>
      <c r="S260" s="37">
        <v>43276</v>
      </c>
      <c r="T260" s="44">
        <v>30.956016999999999</v>
      </c>
      <c r="U260" s="36">
        <f>IF(ISBLANK(T261),"",Long4[[#This Row],[Adj Close]]/T261-1)</f>
        <v>-6.3685587510959207E-2</v>
      </c>
      <c r="V260" s="29">
        <v>43276</v>
      </c>
      <c r="W260" s="44">
        <v>45.063800999999998</v>
      </c>
      <c r="X260" s="33">
        <f>IF(ISBLANK(W261),"",Long5[[#This Row],[Adj Close]]/W261-1)</f>
        <v>-7.9940220501292236E-3</v>
      </c>
      <c r="Y260" s="37">
        <v>43276</v>
      </c>
      <c r="Z260" s="44">
        <v>83.984313999999998</v>
      </c>
      <c r="AA260" s="36">
        <f>IF(ISBLANK(Z261),"",Long6[[#This Row],[Adj Close]]/Z261-1)</f>
        <v>-5.2054175497365796E-3</v>
      </c>
      <c r="AH260" s="29">
        <v>43276</v>
      </c>
      <c r="AI260" s="44">
        <v>69.332581000000005</v>
      </c>
      <c r="AJ260" s="33">
        <f>IF(ISBLANK(AI261),"",Short0[[#This Row],[Adj Close]]/AI261-1)</f>
        <v>-3.419475227460389E-2</v>
      </c>
      <c r="AK260" s="37">
        <v>43276</v>
      </c>
      <c r="AL260" s="44">
        <v>64.237815999999995</v>
      </c>
      <c r="AM260" s="36">
        <f>IF(ISBLANK(AL261),"",Short1[[#This Row],[Adj Close]]/AL261-1)</f>
        <v>-2.2029652813290501E-2</v>
      </c>
      <c r="AN260" s="29">
        <v>43276</v>
      </c>
      <c r="AO260" s="44">
        <v>49.908154000000003</v>
      </c>
      <c r="AP260" s="33">
        <f>IF(ISBLANK(AO261),"",Short2[[#This Row],[Adj Close]]/AO261-1)</f>
        <v>2.5390794460712574E-2</v>
      </c>
      <c r="AQ260" s="37">
        <v>43276</v>
      </c>
      <c r="AR260" s="44">
        <v>99.110000999999997</v>
      </c>
      <c r="AS260" s="36">
        <f>IF(ISBLANK(AR261),"",Short3[[#This Row],[Adj Close]]/AR261-1)</f>
        <v>-5.8158337218711331E-2</v>
      </c>
    </row>
    <row r="261" spans="1:45" x14ac:dyDescent="0.25">
      <c r="A261" s="37">
        <v>43269</v>
      </c>
      <c r="B261" s="39">
        <v>2754.8798830000001</v>
      </c>
      <c r="C261" s="36">
        <f>IF(ISBLANK(B262), "", GSPC[[#This Row],[Adj Close]]/B262-1)</f>
        <v>-8.9147700742175928E-3</v>
      </c>
      <c r="D26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51364.046468000008</v>
      </c>
      <c r="E26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31169.463882</v>
      </c>
      <c r="F261" s="11">
        <f>IF(ISBLANK(GSPC[[#This Row],[Long Exp.]]), "", (GSPC[[#This Row],[Long Exp.]]/D262-1)+(E262/GSPC[[#This Row],[Short Exp.]]-1))</f>
        <v>1.9284655764164715E-2</v>
      </c>
      <c r="G261" s="37">
        <v>43269</v>
      </c>
      <c r="H261" s="44">
        <v>35.079777</v>
      </c>
      <c r="I261" s="36">
        <f>IF(ISBLANK(H262), "", Long0[[#This Row],[Adj Close]]/H262-1)</f>
        <v>-1.7692099399662764E-2</v>
      </c>
      <c r="J261" s="29">
        <v>43269</v>
      </c>
      <c r="K261" s="44">
        <v>37.615074</v>
      </c>
      <c r="L261" s="33">
        <f>IF(ISBLANK(K262),"",Long1[[#This Row],[Adj Close]]/K262-1)</f>
        <v>-4.5797543624140347E-2</v>
      </c>
      <c r="M261" s="37">
        <v>43269</v>
      </c>
      <c r="N261" s="44">
        <v>27.491320000000002</v>
      </c>
      <c r="O261" s="36">
        <f>IF(ISBLANK(N262),"",Long2[[#This Row],[Adj Close]]/N262-1)</f>
        <v>-3.4502383412176041E-3</v>
      </c>
      <c r="P261" s="29">
        <v>43269</v>
      </c>
      <c r="Q261" s="44">
        <v>22.385372</v>
      </c>
      <c r="R261" s="33">
        <f>IF(ISBLANK(Q262),"",Long3[[#This Row],[Adj Close]]/Q262-1)</f>
        <v>4.3574587047825242E-2</v>
      </c>
      <c r="S261" s="37">
        <v>43269</v>
      </c>
      <c r="T261" s="44">
        <v>33.061562000000002</v>
      </c>
      <c r="U261" s="36">
        <f>IF(ISBLANK(T262),"",Long4[[#This Row],[Adj Close]]/T262-1)</f>
        <v>0</v>
      </c>
      <c r="V261" s="29">
        <v>43269</v>
      </c>
      <c r="W261" s="44">
        <v>45.426945000000003</v>
      </c>
      <c r="X261" s="33">
        <f>IF(ISBLANK(W262),"",Long5[[#This Row],[Adj Close]]/W262-1)</f>
        <v>7.2850699803097552E-3</v>
      </c>
      <c r="Y261" s="37">
        <v>43269</v>
      </c>
      <c r="Z261" s="44">
        <v>84.423775000000006</v>
      </c>
      <c r="AA261" s="36">
        <f>IF(ISBLANK(Z262),"",Long6[[#This Row],[Adj Close]]/Z262-1)</f>
        <v>-7.9270822951009179E-2</v>
      </c>
      <c r="AH261" s="29">
        <v>43269</v>
      </c>
      <c r="AI261" s="44">
        <v>71.787330999999995</v>
      </c>
      <c r="AJ261" s="33">
        <f>IF(ISBLANK(AI262),"",Short0[[#This Row],[Adj Close]]/AI262-1)</f>
        <v>-7.0922583207421175E-3</v>
      </c>
      <c r="AK261" s="37">
        <v>43269</v>
      </c>
      <c r="AL261" s="44">
        <v>65.684830000000005</v>
      </c>
      <c r="AM261" s="36">
        <f>IF(ISBLANK(AL262),"",Short1[[#This Row],[Adj Close]]/AL262-1)</f>
        <v>2.5615006005058838E-2</v>
      </c>
      <c r="AN261" s="29">
        <v>43269</v>
      </c>
      <c r="AO261" s="44">
        <v>48.672325000000001</v>
      </c>
      <c r="AP261" s="33">
        <f>IF(ISBLANK(AO262),"",Short2[[#This Row],[Adj Close]]/AO262-1)</f>
        <v>-3.0670301389779553E-2</v>
      </c>
      <c r="AQ261" s="37">
        <v>43269</v>
      </c>
      <c r="AR261" s="44">
        <v>105.230003</v>
      </c>
      <c r="AS261" s="36">
        <f>IF(ISBLANK(AR262),"",Short3[[#This Row],[Adj Close]]/AR262-1)</f>
        <v>-9.1748644124385992E-2</v>
      </c>
    </row>
    <row r="262" spans="1:45" x14ac:dyDescent="0.25">
      <c r="A262" s="37">
        <v>43262</v>
      </c>
      <c r="B262" s="39">
        <v>2779.6599120000001</v>
      </c>
      <c r="C262" s="36">
        <f>IF(ISBLANK(B263), "", GSPC[[#This Row],[Adj Close]]/B263-1)</f>
        <v>2.2665570124358325E-4</v>
      </c>
      <c r="D26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51845.210260000007</v>
      </c>
      <c r="E26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32059.833080999997</v>
      </c>
      <c r="F262" s="11">
        <f>IF(ISBLANK(GSPC[[#This Row],[Long Exp.]]), "", (GSPC[[#This Row],[Long Exp.]]/D263-1)+(E263/GSPC[[#This Row],[Short Exp.]]-1))</f>
        <v>-3.207735382304544E-2</v>
      </c>
      <c r="G262" s="37">
        <v>43262</v>
      </c>
      <c r="H262" s="44">
        <v>35.711590000000001</v>
      </c>
      <c r="I262" s="36">
        <f>IF(ISBLANK(H263), "", Long0[[#This Row],[Adj Close]]/H263-1)</f>
        <v>-5.7060084909925979E-2</v>
      </c>
      <c r="J262" s="29">
        <v>43262</v>
      </c>
      <c r="K262" s="44">
        <v>39.420433000000003</v>
      </c>
      <c r="L262" s="33">
        <f>IF(ISBLANK(K263),"",Long1[[#This Row],[Adj Close]]/K263-1)</f>
        <v>2.4263155725835706E-2</v>
      </c>
      <c r="M262" s="37">
        <v>43262</v>
      </c>
      <c r="N262" s="44">
        <v>27.586500000000001</v>
      </c>
      <c r="O262" s="36">
        <f>IF(ISBLANK(N263),"",Long2[[#This Row],[Adj Close]]/N263-1)</f>
        <v>-1.5410266779864235E-2</v>
      </c>
      <c r="P262" s="29">
        <v>43262</v>
      </c>
      <c r="Q262" s="44">
        <v>21.450668</v>
      </c>
      <c r="R262" s="33">
        <f>IF(ISBLANK(Q263),"",Long3[[#This Row],[Adj Close]]/Q263-1)</f>
        <v>6.7062410959648266E-2</v>
      </c>
      <c r="S262" s="37">
        <v>43262</v>
      </c>
      <c r="T262" s="44">
        <v>33.061562000000002</v>
      </c>
      <c r="U262" s="36">
        <f>IF(ISBLANK(T263),"",Long4[[#This Row],[Adj Close]]/T263-1)</f>
        <v>1.793105834950981E-2</v>
      </c>
      <c r="V262" s="29">
        <v>43262</v>
      </c>
      <c r="W262" s="44">
        <v>45.098399999999998</v>
      </c>
      <c r="X262" s="33">
        <f>IF(ISBLANK(W263),"",Long5[[#This Row],[Adj Close]]/W263-1)</f>
        <v>-4.1352340596852777E-2</v>
      </c>
      <c r="Y262" s="37">
        <v>43262</v>
      </c>
      <c r="Z262" s="44">
        <v>91.692299000000006</v>
      </c>
      <c r="AA262" s="36">
        <f>IF(ISBLANK(Z263),"",Long6[[#This Row],[Adj Close]]/Z263-1)</f>
        <v>-2.7935844526217446E-2</v>
      </c>
      <c r="AH262" s="29">
        <v>43262</v>
      </c>
      <c r="AI262" s="44">
        <v>72.300101999999995</v>
      </c>
      <c r="AJ262" s="33">
        <f>IF(ISBLANK(AI263),"",Short0[[#This Row],[Adj Close]]/AI263-1)</f>
        <v>3.0384675832887176E-2</v>
      </c>
      <c r="AK262" s="37">
        <v>43262</v>
      </c>
      <c r="AL262" s="44">
        <v>64.044334000000006</v>
      </c>
      <c r="AM262" s="36">
        <f>IF(ISBLANK(AL263),"",Short1[[#This Row],[Adj Close]]/AL263-1)</f>
        <v>3.4573347013417743E-2</v>
      </c>
      <c r="AN262" s="29">
        <v>43262</v>
      </c>
      <c r="AO262" s="44">
        <v>50.212353</v>
      </c>
      <c r="AP262" s="33">
        <f>IF(ISBLANK(AO263),"",Short2[[#This Row],[Adj Close]]/AO263-1)</f>
        <v>-2.1851868871800018E-2</v>
      </c>
      <c r="AQ262" s="37">
        <v>43262</v>
      </c>
      <c r="AR262" s="44">
        <v>115.860001</v>
      </c>
      <c r="AS262" s="36">
        <f>IF(ISBLANK(AR263),"",Short3[[#This Row],[Adj Close]]/AR263-1)</f>
        <v>-7.6231177730192723E-3</v>
      </c>
    </row>
    <row r="263" spans="1:45" x14ac:dyDescent="0.25">
      <c r="A263" s="37">
        <v>43255</v>
      </c>
      <c r="B263" s="39">
        <v>2779.030029</v>
      </c>
      <c r="C263" s="36">
        <f>IF(ISBLANK(B264), "", GSPC[[#This Row],[Adj Close]]/B264-1)</f>
        <v>1.6239883457275228E-2</v>
      </c>
      <c r="D26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52970.901775999999</v>
      </c>
      <c r="E26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31712.746150000003</v>
      </c>
      <c r="F263" s="11">
        <f>IF(ISBLANK(GSPC[[#This Row],[Long Exp.]]), "", (GSPC[[#This Row],[Long Exp.]]/D264-1)+(E264/GSPC[[#This Row],[Short Exp.]]-1))</f>
        <v>2.5760194605706666E-2</v>
      </c>
      <c r="G263" s="37">
        <v>43255</v>
      </c>
      <c r="H263" s="44">
        <v>37.872604000000003</v>
      </c>
      <c r="I263" s="36">
        <f>IF(ISBLANK(H264), "", Long0[[#This Row],[Adj Close]]/H264-1)</f>
        <v>6.4881762247737562E-2</v>
      </c>
      <c r="J263" s="29">
        <v>43255</v>
      </c>
      <c r="K263" s="44">
        <v>38.486626000000001</v>
      </c>
      <c r="L263" s="33">
        <f>IF(ISBLANK(K264),"",Long1[[#This Row],[Adj Close]]/K264-1)</f>
        <v>4.3217409493633507E-2</v>
      </c>
      <c r="M263" s="37">
        <v>43255</v>
      </c>
      <c r="N263" s="44">
        <v>28.018269</v>
      </c>
      <c r="O263" s="36">
        <f>IF(ISBLANK(N264),"",Long2[[#This Row],[Adj Close]]/N264-1)</f>
        <v>6.5076021931733896E-2</v>
      </c>
      <c r="P263" s="29">
        <v>43255</v>
      </c>
      <c r="Q263" s="44">
        <v>20.102543000000001</v>
      </c>
      <c r="R263" s="33">
        <f>IF(ISBLANK(Q264),"",Long3[[#This Row],[Adj Close]]/Q264-1)</f>
        <v>-4.339760650289326E-2</v>
      </c>
      <c r="S263" s="37">
        <v>43255</v>
      </c>
      <c r="T263" s="44">
        <v>32.479176000000002</v>
      </c>
      <c r="U263" s="36">
        <f>IF(ISBLANK(T264),"",Long4[[#This Row],[Adj Close]]/T264-1)</f>
        <v>1.3985835619672482E-2</v>
      </c>
      <c r="V263" s="29">
        <v>43255</v>
      </c>
      <c r="W263" s="44">
        <v>47.043770000000002</v>
      </c>
      <c r="X263" s="33">
        <f>IF(ISBLANK(W264),"",Long5[[#This Row],[Adj Close]]/W264-1)</f>
        <v>8.5582205262898059E-2</v>
      </c>
      <c r="Y263" s="37">
        <v>43255</v>
      </c>
      <c r="Z263" s="44">
        <v>94.327415000000002</v>
      </c>
      <c r="AA263" s="36">
        <f>IF(ISBLANK(Z264),"",Long6[[#This Row],[Adj Close]]/Z264-1)</f>
        <v>-2.9131135525706453E-2</v>
      </c>
      <c r="AH263" s="29">
        <v>43255</v>
      </c>
      <c r="AI263" s="44">
        <v>70.168068000000005</v>
      </c>
      <c r="AJ263" s="33">
        <f>IF(ISBLANK(AI264),"",Short0[[#This Row],[Adj Close]]/AI264-1)</f>
        <v>-3.069451055044925E-2</v>
      </c>
      <c r="AK263" s="37">
        <v>43255</v>
      </c>
      <c r="AL263" s="44">
        <v>61.904102000000002</v>
      </c>
      <c r="AM263" s="36">
        <f>IF(ISBLANK(AL264),"",Short1[[#This Row],[Adj Close]]/AL264-1)</f>
        <v>5.0254289754236847E-2</v>
      </c>
      <c r="AN263" s="29">
        <v>43255</v>
      </c>
      <c r="AO263" s="44">
        <v>51.334099000000002</v>
      </c>
      <c r="AP263" s="33">
        <f>IF(ISBLANK(AO264),"",Short2[[#This Row],[Adj Close]]/AO264-1)</f>
        <v>4.6106205557537194E-2</v>
      </c>
      <c r="AQ263" s="37">
        <v>43255</v>
      </c>
      <c r="AR263" s="44">
        <v>116.75</v>
      </c>
      <c r="AS263" s="36">
        <f>IF(ISBLANK(AR264),"",Short3[[#This Row],[Adj Close]]/AR264-1)</f>
        <v>2.4572207755301667E-2</v>
      </c>
    </row>
    <row r="264" spans="1:45" x14ac:dyDescent="0.25">
      <c r="A264" s="37">
        <v>43248</v>
      </c>
      <c r="B264" s="39">
        <v>2734.6201169999999</v>
      </c>
      <c r="C264" s="36">
        <f>IF(ISBLANK(B265), "", GSPC[[#This Row],[Adj Close]]/B265-1)</f>
        <v>4.883655645979923E-3</v>
      </c>
      <c r="D26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51041.701764000005</v>
      </c>
      <c r="E26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31331.040403999999</v>
      </c>
      <c r="F264" s="11">
        <f>IF(ISBLANK(GSPC[[#This Row],[Long Exp.]]), "", (GSPC[[#This Row],[Long Exp.]]/D265-1)+(E265/GSPC[[#This Row],[Short Exp.]]-1))</f>
        <v>-2.2577950584134365E-2</v>
      </c>
      <c r="G264" s="37">
        <v>43248</v>
      </c>
      <c r="H264" s="44">
        <v>35.565078999999997</v>
      </c>
      <c r="I264" s="36">
        <f>IF(ISBLANK(H265), "", Long0[[#This Row],[Adj Close]]/H265-1)</f>
        <v>-1.3712649943977473E-2</v>
      </c>
      <c r="J264" s="29">
        <v>43248</v>
      </c>
      <c r="K264" s="44">
        <v>36.892239000000004</v>
      </c>
      <c r="L264" s="33">
        <f>IF(ISBLANK(K265),"",Long1[[#This Row],[Adj Close]]/K265-1)</f>
        <v>-1.9667299154137563E-2</v>
      </c>
      <c r="M264" s="37">
        <v>43248</v>
      </c>
      <c r="N264" s="44">
        <v>26.306356000000001</v>
      </c>
      <c r="O264" s="36">
        <f>IF(ISBLANK(N265),"",Long2[[#This Row],[Adj Close]]/N265-1)</f>
        <v>-1.320022832705714E-2</v>
      </c>
      <c r="P264" s="29">
        <v>43248</v>
      </c>
      <c r="Q264" s="44">
        <v>21.014523000000001</v>
      </c>
      <c r="R264" s="33">
        <f>IF(ISBLANK(Q265),"",Long3[[#This Row],[Adj Close]]/Q265-1)</f>
        <v>-1.7850613907541613E-2</v>
      </c>
      <c r="S264" s="37">
        <v>43248</v>
      </c>
      <c r="T264" s="44">
        <v>32.031193000000002</v>
      </c>
      <c r="U264" s="36">
        <f>IF(ISBLANK(T265),"",Long4[[#This Row],[Adj Close]]/T265-1)</f>
        <v>-2.3224049298177674E-2</v>
      </c>
      <c r="V264" s="29">
        <v>43248</v>
      </c>
      <c r="W264" s="44">
        <v>43.335059999999999</v>
      </c>
      <c r="X264" s="33">
        <f>IF(ISBLANK(W265),"",Long5[[#This Row],[Adj Close]]/W265-1)</f>
        <v>-1.200824964559688E-2</v>
      </c>
      <c r="Y264" s="37">
        <v>43248</v>
      </c>
      <c r="Z264" s="44">
        <v>97.157730000000001</v>
      </c>
      <c r="AA264" s="36">
        <f>IF(ISBLANK(Z265),"",Long6[[#This Row],[Adj Close]]/Z265-1)</f>
        <v>-1.0034926108158926E-3</v>
      </c>
      <c r="AH264" s="29">
        <v>43248</v>
      </c>
      <c r="AI264" s="44">
        <v>72.390045000000001</v>
      </c>
      <c r="AJ264" s="33">
        <f>IF(ISBLANK(AI265),"",Short0[[#This Row],[Adj Close]]/AI265-1)</f>
        <v>1.4114634556054328E-2</v>
      </c>
      <c r="AK264" s="37">
        <v>43248</v>
      </c>
      <c r="AL264" s="44">
        <v>58.942013000000003</v>
      </c>
      <c r="AM264" s="36">
        <f>IF(ISBLANK(AL265),"",Short1[[#This Row],[Adj Close]]/AL265-1)</f>
        <v>5.8437629176502082E-3</v>
      </c>
      <c r="AN264" s="29">
        <v>43248</v>
      </c>
      <c r="AO264" s="44">
        <v>49.071593999999997</v>
      </c>
      <c r="AP264" s="33">
        <f>IF(ISBLANK(AO265),"",Short2[[#This Row],[Adj Close]]/AO265-1)</f>
        <v>-3.3152206808152784E-2</v>
      </c>
      <c r="AQ264" s="37">
        <v>43248</v>
      </c>
      <c r="AR264" s="44">
        <v>113.949997</v>
      </c>
      <c r="AS264" s="36">
        <f>IF(ISBLANK(AR265),"",Short3[[#This Row],[Adj Close]]/AR265-1)</f>
        <v>3.3466306303894244E-2</v>
      </c>
    </row>
    <row r="265" spans="1:45" x14ac:dyDescent="0.25">
      <c r="A265" s="37">
        <v>43241</v>
      </c>
      <c r="B265" s="39">
        <v>2721.330078</v>
      </c>
      <c r="C265" s="36">
        <f>IF(ISBLANK(B266), "", GSPC[[#This Row],[Adj Close]]/B266-1)</f>
        <v>3.0815331866420603E-3</v>
      </c>
      <c r="D26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51770.121254000005</v>
      </c>
      <c r="E26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31064.485863000002</v>
      </c>
      <c r="F265" s="11">
        <f>IF(ISBLANK(GSPC[[#This Row],[Long Exp.]]), "", (GSPC[[#This Row],[Long Exp.]]/D266-1)+(E266/GSPC[[#This Row],[Short Exp.]]-1))</f>
        <v>3.7803150316160883E-2</v>
      </c>
      <c r="G265" s="37">
        <v>43241</v>
      </c>
      <c r="H265" s="44">
        <v>36.059550999999999</v>
      </c>
      <c r="I265" s="36">
        <f>IF(ISBLANK(H266), "", Long0[[#This Row],[Adj Close]]/H266-1)</f>
        <v>-7.0599850352219828E-3</v>
      </c>
      <c r="J265" s="29">
        <v>43241</v>
      </c>
      <c r="K265" s="44">
        <v>37.632365999999998</v>
      </c>
      <c r="L265" s="33">
        <f>IF(ISBLANK(K266),"",Long1[[#This Row],[Adj Close]]/K266-1)</f>
        <v>3.782284855341933E-3</v>
      </c>
      <c r="M265" s="37">
        <v>43241</v>
      </c>
      <c r="N265" s="44">
        <v>26.658251</v>
      </c>
      <c r="O265" s="36">
        <f>IF(ISBLANK(N266),"",Long2[[#This Row],[Adj Close]]/N266-1)</f>
        <v>4.299482465517368E-3</v>
      </c>
      <c r="P265" s="29">
        <v>43241</v>
      </c>
      <c r="Q265" s="44">
        <v>21.396463000000001</v>
      </c>
      <c r="R265" s="33">
        <f>IF(ISBLANK(Q266),"",Long3[[#This Row],[Adj Close]]/Q266-1)</f>
        <v>2.7320437914429174E-2</v>
      </c>
      <c r="S265" s="37">
        <v>43241</v>
      </c>
      <c r="T265" s="44">
        <v>32.792774000000001</v>
      </c>
      <c r="U265" s="36">
        <f>IF(ISBLANK(T266),"",Long4[[#This Row],[Adj Close]]/T266-1)</f>
        <v>7.6470894873110096E-2</v>
      </c>
      <c r="V265" s="29">
        <v>43241</v>
      </c>
      <c r="W265" s="44">
        <v>43.861763000000003</v>
      </c>
      <c r="X265" s="33">
        <f>IF(ISBLANK(W266),"",Long5[[#This Row],[Adj Close]]/W266-1)</f>
        <v>-1.987267929380121E-2</v>
      </c>
      <c r="Y265" s="37">
        <v>43241</v>
      </c>
      <c r="Z265" s="44">
        <v>97.255324999999999</v>
      </c>
      <c r="AA265" s="36">
        <f>IF(ISBLANK(Z266),"",Long6[[#This Row],[Adj Close]]/Z266-1)</f>
        <v>5.8979592647828483E-2</v>
      </c>
      <c r="AH265" s="29">
        <v>43241</v>
      </c>
      <c r="AI265" s="44">
        <v>71.382507000000004</v>
      </c>
      <c r="AJ265" s="33">
        <f>IF(ISBLANK(AI266),"",Short0[[#This Row],[Adj Close]]/AI266-1)</f>
        <v>1.8482743722971762E-2</v>
      </c>
      <c r="AK265" s="37">
        <v>43241</v>
      </c>
      <c r="AL265" s="44">
        <v>58.599570999999997</v>
      </c>
      <c r="AM265" s="36">
        <f>IF(ISBLANK(AL266),"",Short1[[#This Row],[Adj Close]]/AL266-1)</f>
        <v>-0.12523988904258521</v>
      </c>
      <c r="AN265" s="29">
        <v>43241</v>
      </c>
      <c r="AO265" s="44">
        <v>50.754207999999998</v>
      </c>
      <c r="AP265" s="33">
        <f>IF(ISBLANK(AO266),"",Short2[[#This Row],[Adj Close]]/AO266-1)</f>
        <v>2.6138690544918797E-2</v>
      </c>
      <c r="AQ265" s="37">
        <v>43241</v>
      </c>
      <c r="AR265" s="44">
        <v>110.260002</v>
      </c>
      <c r="AS265" s="36">
        <f>IF(ISBLANK(AR266),"",Short3[[#This Row],[Adj Close]]/AR266-1)</f>
        <v>-5.5184191649979231E-2</v>
      </c>
    </row>
    <row r="266" spans="1:45" x14ac:dyDescent="0.25">
      <c r="A266" s="37">
        <v>43234</v>
      </c>
      <c r="B266" s="39">
        <v>2712.969971</v>
      </c>
      <c r="C266" s="36">
        <f>IF(ISBLANK(B267), "", GSPC[[#This Row],[Adj Close]]/B267-1)</f>
        <v>-5.4074465695951313E-3</v>
      </c>
      <c r="D26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51281.371446999998</v>
      </c>
      <c r="E26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31942.753517999998</v>
      </c>
      <c r="F266" s="11">
        <f>IF(ISBLANK(GSPC[[#This Row],[Long Exp.]]), "", (GSPC[[#This Row],[Long Exp.]]/D267-1)+(E267/GSPC[[#This Row],[Short Exp.]]-1))</f>
        <v>1.9406607998022851E-2</v>
      </c>
      <c r="G266" s="37">
        <v>43234</v>
      </c>
      <c r="H266" s="44">
        <v>36.315941000000002</v>
      </c>
      <c r="I266" s="36">
        <f>IF(ISBLANK(H267), "", Long0[[#This Row],[Adj Close]]/H267-1)</f>
        <v>3.254354162953299E-2</v>
      </c>
      <c r="J266" s="29">
        <v>43234</v>
      </c>
      <c r="K266" s="44">
        <v>37.490566000000001</v>
      </c>
      <c r="L266" s="33">
        <f>IF(ISBLANK(K267),"",Long1[[#This Row],[Adj Close]]/K267-1)</f>
        <v>-6.1428932336822228E-3</v>
      </c>
      <c r="M266" s="37">
        <v>43234</v>
      </c>
      <c r="N266" s="44">
        <v>26.544125000000001</v>
      </c>
      <c r="O266" s="36">
        <f>IF(ISBLANK(N267),"",Long2[[#This Row],[Adj Close]]/N267-1)</f>
        <v>5.0828273560696857E-2</v>
      </c>
      <c r="P266" s="29">
        <v>43234</v>
      </c>
      <c r="Q266" s="44">
        <v>20.827448</v>
      </c>
      <c r="R266" s="33">
        <f>IF(ISBLANK(Q267),"",Long3[[#This Row],[Adj Close]]/Q267-1)</f>
        <v>-3.9539926140193749E-2</v>
      </c>
      <c r="S266" s="37">
        <v>43234</v>
      </c>
      <c r="T266" s="44">
        <v>30.463224</v>
      </c>
      <c r="U266" s="36">
        <f>IF(ISBLANK(T267),"",Long4[[#This Row],[Adj Close]]/T267-1)</f>
        <v>3.0302815077207113E-2</v>
      </c>
      <c r="V266" s="29">
        <v>43234</v>
      </c>
      <c r="W266" s="44">
        <v>44.751086999999998</v>
      </c>
      <c r="X266" s="33">
        <f>IF(ISBLANK(W267),"",Long5[[#This Row],[Adj Close]]/W267-1)</f>
        <v>-6.1359785271956069E-3</v>
      </c>
      <c r="Y266" s="37">
        <v>43234</v>
      </c>
      <c r="Z266" s="44">
        <v>91.838714999999993</v>
      </c>
      <c r="AA266" s="36">
        <f>IF(ISBLANK(Z267),"",Long6[[#This Row],[Adj Close]]/Z267-1)</f>
        <v>-4.077471602189342E-2</v>
      </c>
      <c r="AH266" s="29">
        <v>43234</v>
      </c>
      <c r="AI266" s="44">
        <v>70.087104999999994</v>
      </c>
      <c r="AJ266" s="33">
        <f>IF(ISBLANK(AI267),"",Short0[[#This Row],[Adj Close]]/AI267-1)</f>
        <v>-2.943479653900738E-3</v>
      </c>
      <c r="AK266" s="37">
        <v>43234</v>
      </c>
      <c r="AL266" s="44">
        <v>66.989304000000004</v>
      </c>
      <c r="AM266" s="36">
        <f>IF(ISBLANK(AL267),"",Short1[[#This Row],[Adj Close]]/AL267-1)</f>
        <v>6.0427317748523723E-3</v>
      </c>
      <c r="AN266" s="29">
        <v>43234</v>
      </c>
      <c r="AO266" s="44">
        <v>49.461353000000003</v>
      </c>
      <c r="AP266" s="33">
        <f>IF(ISBLANK(AO267),"",Short2[[#This Row],[Adj Close]]/AO267-1)</f>
        <v>-4.1628273587453246E-2</v>
      </c>
      <c r="AQ266" s="37">
        <v>43234</v>
      </c>
      <c r="AR266" s="44">
        <v>116.699997</v>
      </c>
      <c r="AS266" s="36">
        <f>IF(ISBLANK(AR267),"",Short3[[#This Row],[Adj Close]]/AR267-1)</f>
        <v>5.6009821904097201E-3</v>
      </c>
    </row>
    <row r="267" spans="1:45" x14ac:dyDescent="0.25">
      <c r="A267" s="37">
        <v>43227</v>
      </c>
      <c r="B267" s="39">
        <v>2727.719971</v>
      </c>
      <c r="C267" s="36">
        <f>IF(ISBLANK(B268), "", GSPC[[#This Row],[Adj Close]]/B268-1)</f>
        <v>2.4141911858839071E-2</v>
      </c>
      <c r="D26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50620.341064</v>
      </c>
      <c r="E26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32145.526626999999</v>
      </c>
      <c r="F267" s="11">
        <f>IF(ISBLANK(GSPC[[#This Row],[Long Exp.]]), "", (GSPC[[#This Row],[Long Exp.]]/D268-1)+(E268/GSPC[[#This Row],[Short Exp.]]-1))</f>
        <v>-1.3920748176397324E-2</v>
      </c>
      <c r="G267" s="37">
        <v>43227</v>
      </c>
      <c r="H267" s="44">
        <v>35.171340999999998</v>
      </c>
      <c r="I267" s="36">
        <f>IF(ISBLANK(H268), "", Long0[[#This Row],[Adj Close]]/H268-1)</f>
        <v>6.7537457086144892E-2</v>
      </c>
      <c r="J267" s="29">
        <v>43227</v>
      </c>
      <c r="K267" s="44">
        <v>37.722290000000001</v>
      </c>
      <c r="L267" s="33">
        <f>IF(ISBLANK(K268),"",Long1[[#This Row],[Adj Close]]/K268-1)</f>
        <v>7.7341021021954282E-2</v>
      </c>
      <c r="M267" s="37">
        <v>43227</v>
      </c>
      <c r="N267" s="44">
        <v>25.260193000000001</v>
      </c>
      <c r="O267" s="36">
        <f>IF(ISBLANK(N268),"",Long2[[#This Row],[Adj Close]]/N268-1)</f>
        <v>-3.1717154092029354E-2</v>
      </c>
      <c r="P267" s="29">
        <v>43227</v>
      </c>
      <c r="Q267" s="44">
        <v>21.684866</v>
      </c>
      <c r="R267" s="33">
        <f>IF(ISBLANK(Q268),"",Long3[[#This Row],[Adj Close]]/Q268-1)</f>
        <v>-3.903300553158795E-2</v>
      </c>
      <c r="S267" s="37">
        <v>43227</v>
      </c>
      <c r="T267" s="44">
        <v>29.567253000000001</v>
      </c>
      <c r="U267" s="36">
        <f>IF(ISBLANK(T268),"",Long4[[#This Row],[Adj Close]]/T268-1)</f>
        <v>2.9641203738366206E-2</v>
      </c>
      <c r="V267" s="29">
        <v>43227</v>
      </c>
      <c r="W267" s="44">
        <v>45.027374000000002</v>
      </c>
      <c r="X267" s="33">
        <f>IF(ISBLANK(W268),"",Long5[[#This Row],[Adj Close]]/W268-1)</f>
        <v>-2.3042441919273848E-2</v>
      </c>
      <c r="Y267" s="37">
        <v>43227</v>
      </c>
      <c r="Z267" s="44">
        <v>95.742592000000002</v>
      </c>
      <c r="AA267" s="36">
        <f>IF(ISBLANK(Z268),"",Long6[[#This Row],[Adj Close]]/Z268-1)</f>
        <v>-4.0117327491501542E-2</v>
      </c>
      <c r="AH267" s="29">
        <v>43227</v>
      </c>
      <c r="AI267" s="44">
        <v>70.294014000000004</v>
      </c>
      <c r="AJ267" s="33">
        <f>IF(ISBLANK(AI268),"",Short0[[#This Row],[Adj Close]]/AI268-1)</f>
        <v>2.3042836806667966E-2</v>
      </c>
      <c r="AK267" s="37">
        <v>43227</v>
      </c>
      <c r="AL267" s="44">
        <v>66.586937000000006</v>
      </c>
      <c r="AM267" s="36">
        <f>IF(ISBLANK(AL268),"",Short1[[#This Row],[Adj Close]]/AL268-1)</f>
        <v>2.0467029123068858E-2</v>
      </c>
      <c r="AN267" s="29">
        <v>43227</v>
      </c>
      <c r="AO267" s="44">
        <v>51.609779000000003</v>
      </c>
      <c r="AP267" s="33">
        <f>IF(ISBLANK(AO268),"",Short2[[#This Row],[Adj Close]]/AO268-1)</f>
        <v>-2.7553903466115415E-3</v>
      </c>
      <c r="AQ267" s="37">
        <v>43227</v>
      </c>
      <c r="AR267" s="44">
        <v>116.050003</v>
      </c>
      <c r="AS267" s="36">
        <f>IF(ISBLANK(AR268),"",Short3[[#This Row],[Adj Close]]/AR268-1)</f>
        <v>8.2051310023310009E-2</v>
      </c>
    </row>
    <row r="268" spans="1:45" x14ac:dyDescent="0.25">
      <c r="A268" s="37">
        <v>43220</v>
      </c>
      <c r="B268" s="39">
        <v>2663.419922</v>
      </c>
      <c r="C268" s="36">
        <f>IF(ISBLANK(B269), "", GSPC[[#This Row],[Adj Close]]/B269-1)</f>
        <v>-2.4307898820220553E-3</v>
      </c>
      <c r="D26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49755.075974000007</v>
      </c>
      <c r="E26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31139.010426000001</v>
      </c>
      <c r="F268" s="11">
        <f>IF(ISBLANK(GSPC[[#This Row],[Long Exp.]]), "", (GSPC[[#This Row],[Long Exp.]]/D269-1)+(E269/GSPC[[#This Row],[Short Exp.]]-1))</f>
        <v>-4.7210556461791509E-2</v>
      </c>
      <c r="G268" s="37">
        <v>43220</v>
      </c>
      <c r="H268" s="44">
        <v>32.946235999999999</v>
      </c>
      <c r="I268" s="36">
        <f>IF(ISBLANK(H269), "", Long0[[#This Row],[Adj Close]]/H269-1)</f>
        <v>-8.5409321229561352E-2</v>
      </c>
      <c r="J268" s="29">
        <v>43220</v>
      </c>
      <c r="K268" s="44">
        <v>35.014251999999999</v>
      </c>
      <c r="L268" s="33">
        <f>IF(ISBLANK(K269),"",Long1[[#This Row],[Adj Close]]/K269-1)</f>
        <v>3.2850388152376286E-2</v>
      </c>
      <c r="M268" s="37">
        <v>43220</v>
      </c>
      <c r="N268" s="44">
        <v>26.087617999999999</v>
      </c>
      <c r="O268" s="36">
        <f>IF(ISBLANK(N269),"",Long2[[#This Row],[Adj Close]]/N269-1)</f>
        <v>1.0313105604206063E-2</v>
      </c>
      <c r="P268" s="29">
        <v>43220</v>
      </c>
      <c r="Q268" s="44">
        <v>22.565671999999999</v>
      </c>
      <c r="R268" s="33">
        <f>IF(ISBLANK(Q269),"",Long3[[#This Row],[Adj Close]]/Q269-1)</f>
        <v>-1.7241146675828212E-3</v>
      </c>
      <c r="S268" s="37">
        <v>43220</v>
      </c>
      <c r="T268" s="44">
        <v>28.716073999999999</v>
      </c>
      <c r="U268" s="36">
        <f>IF(ISBLANK(T269),"",Long4[[#This Row],[Adj Close]]/T269-1)</f>
        <v>7.861658673626426E-3</v>
      </c>
      <c r="V268" s="29">
        <v>43220</v>
      </c>
      <c r="W268" s="44">
        <v>46.089385999999998</v>
      </c>
      <c r="X268" s="33">
        <f>IF(ISBLANK(W269),"",Long5[[#This Row],[Adj Close]]/W269-1)</f>
        <v>7.9255981128293795E-2</v>
      </c>
      <c r="Y268" s="37">
        <v>43220</v>
      </c>
      <c r="Z268" s="44">
        <v>99.744056999999998</v>
      </c>
      <c r="AA268" s="36">
        <f>IF(ISBLANK(Z269),"",Long6[[#This Row],[Adj Close]]/Z269-1)</f>
        <v>0.14573989444872648</v>
      </c>
      <c r="AH268" s="29">
        <v>43220</v>
      </c>
      <c r="AI268" s="44">
        <v>68.710723999999999</v>
      </c>
      <c r="AJ268" s="33">
        <f>IF(ISBLANK(AI269),"",Short0[[#This Row],[Adj Close]]/AI269-1)</f>
        <v>5.5993483677495792E-2</v>
      </c>
      <c r="AK268" s="37">
        <v>43220</v>
      </c>
      <c r="AL268" s="44">
        <v>65.251434000000003</v>
      </c>
      <c r="AM268" s="36">
        <f>IF(ISBLANK(AL269),"",Short1[[#This Row],[Adj Close]]/AL269-1)</f>
        <v>-1.0643588357024503E-2</v>
      </c>
      <c r="AN268" s="29">
        <v>43220</v>
      </c>
      <c r="AO268" s="44">
        <v>51.752377000000003</v>
      </c>
      <c r="AP268" s="33">
        <f>IF(ISBLANK(AO269),"",Short2[[#This Row],[Adj Close]]/AO269-1)</f>
        <v>-6.7452812299869658E-3</v>
      </c>
      <c r="AQ268" s="37">
        <v>43220</v>
      </c>
      <c r="AR268" s="44">
        <v>107.25</v>
      </c>
      <c r="AS268" s="36">
        <f>IF(ISBLANK(AR269),"",Short3[[#This Row],[Adj Close]]/AR269-1)</f>
        <v>4.9926558004374844E-2</v>
      </c>
    </row>
    <row r="269" spans="1:45" x14ac:dyDescent="0.25">
      <c r="A269" s="37">
        <v>43213</v>
      </c>
      <c r="B269" s="39">
        <v>2669.9099120000001</v>
      </c>
      <c r="C269" s="36">
        <f>IF(ISBLANK(B270), "", GSPC[[#This Row],[Adj Close]]/B270-1)</f>
        <v>-8.6130693228048116E-5</v>
      </c>
      <c r="D26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50749.195670000001</v>
      </c>
      <c r="E26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30278.898626999999</v>
      </c>
      <c r="F269" s="11">
        <f>IF(ISBLANK(GSPC[[#This Row],[Long Exp.]]), "", (GSPC[[#This Row],[Long Exp.]]/D270-1)+(E270/GSPC[[#This Row],[Short Exp.]]-1))</f>
        <v>-1.0293861858484354E-2</v>
      </c>
      <c r="G269" s="37">
        <v>43213</v>
      </c>
      <c r="H269" s="44">
        <v>36.022930000000002</v>
      </c>
      <c r="I269" s="36">
        <f>IF(ISBLANK(H270), "", Long0[[#This Row],[Adj Close]]/H270-1)</f>
        <v>-3.3889898367691074E-2</v>
      </c>
      <c r="J269" s="29">
        <v>43213</v>
      </c>
      <c r="K269" s="44">
        <v>33.900604000000001</v>
      </c>
      <c r="L269" s="33">
        <f>IF(ISBLANK(K270),"",Long1[[#This Row],[Adj Close]]/K270-1)</f>
        <v>-6.1470613908818583E-2</v>
      </c>
      <c r="M269" s="37">
        <v>43213</v>
      </c>
      <c r="N269" s="44">
        <v>25.82132</v>
      </c>
      <c r="O269" s="36">
        <f>IF(ISBLANK(N270),"",Long2[[#This Row],[Adj Close]]/N270-1)</f>
        <v>5.7243145631360681E-2</v>
      </c>
      <c r="P269" s="29">
        <v>43213</v>
      </c>
      <c r="Q269" s="44">
        <v>22.604645000000001</v>
      </c>
      <c r="R269" s="33">
        <f>IF(ISBLANK(Q270),"",Long3[[#This Row],[Adj Close]]/Q270-1)</f>
        <v>3.9799532885550937E-2</v>
      </c>
      <c r="S269" s="37">
        <v>43213</v>
      </c>
      <c r="T269" s="44">
        <v>28.492079</v>
      </c>
      <c r="U269" s="36">
        <f>IF(ISBLANK(T270),"",Long4[[#This Row],[Adj Close]]/T270-1)</f>
        <v>-4.6948496210291735E-3</v>
      </c>
      <c r="V269" s="29">
        <v>43213</v>
      </c>
      <c r="W269" s="44">
        <v>42.704777</v>
      </c>
      <c r="X269" s="33">
        <f>IF(ISBLANK(W270),"",Long5[[#This Row],[Adj Close]]/W270-1)</f>
        <v>-2.5610480867218288E-2</v>
      </c>
      <c r="Y269" s="37">
        <v>43213</v>
      </c>
      <c r="Z269" s="44">
        <v>87.056458000000006</v>
      </c>
      <c r="AA269" s="36">
        <f>IF(ISBLANK(Z270),"",Long6[[#This Row],[Adj Close]]/Z270-1)</f>
        <v>-5.1568077990640337E-2</v>
      </c>
      <c r="AH269" s="29">
        <v>43213</v>
      </c>
      <c r="AI269" s="44">
        <v>65.067374999999998</v>
      </c>
      <c r="AJ269" s="33">
        <f>IF(ISBLANK(AI270),"",Short0[[#This Row],[Adj Close]]/AI270-1)</f>
        <v>-2.1112655131958813E-2</v>
      </c>
      <c r="AK269" s="37">
        <v>43213</v>
      </c>
      <c r="AL269" s="44">
        <v>65.953415000000007</v>
      </c>
      <c r="AM269" s="36">
        <f>IF(ISBLANK(AL270),"",Short1[[#This Row],[Adj Close]]/AL270-1)</f>
        <v>6.5559882737935116E-2</v>
      </c>
      <c r="AN269" s="29">
        <v>43213</v>
      </c>
      <c r="AO269" s="44">
        <v>52.103831999999997</v>
      </c>
      <c r="AP269" s="33">
        <f>IF(ISBLANK(AO270),"",Short2[[#This Row],[Adj Close]]/AO270-1)</f>
        <v>4.2109578340472353E-3</v>
      </c>
      <c r="AQ269" s="37">
        <v>43213</v>
      </c>
      <c r="AR269" s="44">
        <v>102.150002</v>
      </c>
      <c r="AS269" s="36">
        <f>IF(ISBLANK(AR270),"",Short3[[#This Row],[Adj Close]]/AR270-1)</f>
        <v>-2.2394449658234228E-2</v>
      </c>
    </row>
    <row r="270" spans="1:45" x14ac:dyDescent="0.25">
      <c r="A270" s="37">
        <v>43206</v>
      </c>
      <c r="B270" s="39">
        <v>2670.139893</v>
      </c>
      <c r="C270" s="36">
        <f>IF(ISBLANK(B271), "", GSPC[[#This Row],[Adj Close]]/B271-1)</f>
        <v>5.210196041373516E-3</v>
      </c>
      <c r="D27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51277.829410999999</v>
      </c>
      <c r="E27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30279.363251000002</v>
      </c>
      <c r="F270" s="11">
        <f>IF(ISBLANK(GSPC[[#This Row],[Long Exp.]]), "", (GSPC[[#This Row],[Long Exp.]]/D271-1)+(E271/GSPC[[#This Row],[Short Exp.]]-1))</f>
        <v>3.7250373192871944E-3</v>
      </c>
      <c r="G270" s="37">
        <v>43206</v>
      </c>
      <c r="H270" s="44">
        <v>37.286568000000003</v>
      </c>
      <c r="I270" s="36">
        <f>IF(ISBLANK(H271), "", Long0[[#This Row],[Adj Close]]/H271-1)</f>
        <v>2.4618362683157535E-3</v>
      </c>
      <c r="J270" s="29">
        <v>43206</v>
      </c>
      <c r="K270" s="44">
        <v>36.120983000000003</v>
      </c>
      <c r="L270" s="33">
        <f>IF(ISBLANK(K271),"",Long1[[#This Row],[Adj Close]]/K271-1)</f>
        <v>5.4842952409888568E-2</v>
      </c>
      <c r="M270" s="37">
        <v>43206</v>
      </c>
      <c r="N270" s="44">
        <v>24.423255999999999</v>
      </c>
      <c r="O270" s="36">
        <f>IF(ISBLANK(N271),"",Long2[[#This Row],[Adj Close]]/N271-1)</f>
        <v>3.3816225948722467E-2</v>
      </c>
      <c r="P270" s="29">
        <v>43206</v>
      </c>
      <c r="Q270" s="44">
        <v>21.739426000000002</v>
      </c>
      <c r="R270" s="33">
        <f>IF(ISBLANK(Q271),"",Long3[[#This Row],[Adj Close]]/Q271-1)</f>
        <v>3.5980911004906968E-3</v>
      </c>
      <c r="S270" s="37">
        <v>43206</v>
      </c>
      <c r="T270" s="44">
        <v>28.626476</v>
      </c>
      <c r="U270" s="36">
        <f>IF(ISBLANK(T271),"",Long4[[#This Row],[Adj Close]]/T271-1)</f>
        <v>2.4038461366478803E-2</v>
      </c>
      <c r="V270" s="29">
        <v>43206</v>
      </c>
      <c r="W270" s="44">
        <v>43.827213</v>
      </c>
      <c r="X270" s="33">
        <f>IF(ISBLANK(W271),"",Long5[[#This Row],[Adj Close]]/W271-1)</f>
        <v>5.1366892661352415E-2</v>
      </c>
      <c r="Y270" s="37">
        <v>43206</v>
      </c>
      <c r="Z270" s="44">
        <v>91.789885999999996</v>
      </c>
      <c r="AA270" s="36">
        <f>IF(ISBLANK(Z271),"",Long6[[#This Row],[Adj Close]]/Z271-1)</f>
        <v>-5.3346853607329492E-2</v>
      </c>
      <c r="AH270" s="29">
        <v>43206</v>
      </c>
      <c r="AI270" s="44">
        <v>66.470748999999998</v>
      </c>
      <c r="AJ270" s="33">
        <f>IF(ISBLANK(AI271),"",Short0[[#This Row],[Adj Close]]/AI271-1)</f>
        <v>2.8822046700688997E-2</v>
      </c>
      <c r="AK270" s="37">
        <v>43206</v>
      </c>
      <c r="AL270" s="44">
        <v>61.89555</v>
      </c>
      <c r="AM270" s="36">
        <f>IF(ISBLANK(AL271),"",Short1[[#This Row],[Adj Close]]/AL271-1)</f>
        <v>1.6448885457566176E-2</v>
      </c>
      <c r="AN270" s="29">
        <v>43206</v>
      </c>
      <c r="AO270" s="44">
        <v>51.885345000000001</v>
      </c>
      <c r="AP270" s="33">
        <f>IF(ISBLANK(AO271),"",Short2[[#This Row],[Adj Close]]/AO271-1)</f>
        <v>-4.0744665602412078E-2</v>
      </c>
      <c r="AQ270" s="37">
        <v>43206</v>
      </c>
      <c r="AR270" s="44">
        <v>104.489998</v>
      </c>
      <c r="AS270" s="36">
        <f>IF(ISBLANK(AR271),"",Short3[[#This Row],[Adj Close]]/AR271-1)</f>
        <v>3.2644838547386534E-3</v>
      </c>
    </row>
    <row r="271" spans="1:45" x14ac:dyDescent="0.25">
      <c r="A271" s="37">
        <v>43199</v>
      </c>
      <c r="B271" s="39">
        <v>2656.3000489999999</v>
      </c>
      <c r="C271" s="36">
        <f>IF(ISBLANK(B272), "", GSPC[[#This Row],[Adj Close]]/B272-1)</f>
        <v>1.9900432171271909E-2</v>
      </c>
      <c r="D27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50819.239872999999</v>
      </c>
      <c r="E27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30118.915990999998</v>
      </c>
      <c r="F271" s="11">
        <f>IF(ISBLANK(GSPC[[#This Row],[Long Exp.]]), "", (GSPC[[#This Row],[Long Exp.]]/D272-1)+(E272/GSPC[[#This Row],[Short Exp.]]-1))</f>
        <v>6.7807580209563456E-3</v>
      </c>
      <c r="G271" s="37">
        <v>43199</v>
      </c>
      <c r="H271" s="44">
        <v>37.195</v>
      </c>
      <c r="I271" s="36">
        <f>IF(ISBLANK(H272), "", Long0[[#This Row],[Adj Close]]/H272-1)</f>
        <v>2.7834061406639687E-2</v>
      </c>
      <c r="J271" s="29">
        <v>43199</v>
      </c>
      <c r="K271" s="44">
        <v>34.242995999999998</v>
      </c>
      <c r="L271" s="33">
        <f>IF(ISBLANK(K272),"",Long1[[#This Row],[Adj Close]]/K272-1)</f>
        <v>2.8889030776083624E-2</v>
      </c>
      <c r="M271" s="37">
        <v>43199</v>
      </c>
      <c r="N271" s="44">
        <v>23.624369000000002</v>
      </c>
      <c r="O271" s="36">
        <f>IF(ISBLANK(N272),"",Long2[[#This Row],[Adj Close]]/N272-1)</f>
        <v>2.559871602464292E-2</v>
      </c>
      <c r="P271" s="29">
        <v>43199</v>
      </c>
      <c r="Q271" s="44">
        <v>21.661486</v>
      </c>
      <c r="R271" s="33">
        <f>IF(ISBLANK(Q272),"",Long3[[#This Row],[Adj Close]]/Q272-1)</f>
        <v>-5.0123999746630732E-3</v>
      </c>
      <c r="S271" s="37">
        <v>43199</v>
      </c>
      <c r="T271" s="44">
        <v>27.954492999999999</v>
      </c>
      <c r="U271" s="36">
        <f>IF(ISBLANK(T272),"",Long4[[#This Row],[Adj Close]]/T272-1)</f>
        <v>3.3112646171183036E-2</v>
      </c>
      <c r="V271" s="29">
        <v>43199</v>
      </c>
      <c r="W271" s="44">
        <v>41.685935999999998</v>
      </c>
      <c r="X271" s="33">
        <f>IF(ISBLANK(W272),"",Long5[[#This Row],[Adj Close]]/W272-1)</f>
        <v>1.0887389818840409E-2</v>
      </c>
      <c r="Y271" s="37">
        <v>43199</v>
      </c>
      <c r="Z271" s="44">
        <v>96.962531999999996</v>
      </c>
      <c r="AA271" s="36">
        <f>IF(ISBLANK(Z272),"",Long6[[#This Row],[Adj Close]]/Z272-1)</f>
        <v>1.0681644127209511E-2</v>
      </c>
      <c r="AH271" s="29">
        <v>43199</v>
      </c>
      <c r="AI271" s="44">
        <v>64.608597000000003</v>
      </c>
      <c r="AJ271" s="33">
        <f>IF(ISBLANK(AI272),"",Short0[[#This Row],[Adj Close]]/AI272-1)</f>
        <v>3.7561472355629011E-2</v>
      </c>
      <c r="AK271" s="37">
        <v>43199</v>
      </c>
      <c r="AL271" s="44">
        <v>60.893912999999998</v>
      </c>
      <c r="AM271" s="36">
        <f>IF(ISBLANK(AL272),"",Short1[[#This Row],[Adj Close]]/AL272-1)</f>
        <v>9.0793909681647911E-3</v>
      </c>
      <c r="AN271" s="29">
        <v>43199</v>
      </c>
      <c r="AO271" s="44">
        <v>54.089191</v>
      </c>
      <c r="AP271" s="33">
        <f>IF(ISBLANK(AO272),"",Short2[[#This Row],[Adj Close]]/AO272-1)</f>
        <v>-7.5349303606579654E-2</v>
      </c>
      <c r="AQ271" s="37">
        <v>43199</v>
      </c>
      <c r="AR271" s="44">
        <v>104.150002</v>
      </c>
      <c r="AS271" s="36">
        <f>IF(ISBLANK(AR272),"",Short3[[#This Row],[Adj Close]]/AR272-1)</f>
        <v>6.864357755636763E-2</v>
      </c>
    </row>
    <row r="272" spans="1:45" x14ac:dyDescent="0.25">
      <c r="A272" s="37">
        <v>43192</v>
      </c>
      <c r="B272" s="39">
        <v>2604.469971</v>
      </c>
      <c r="C272" s="36">
        <f>IF(ISBLANK(B273), "", GSPC[[#This Row],[Adj Close]]/B273-1)</f>
        <v>-1.3783391226127484E-2</v>
      </c>
      <c r="D27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49819.918918000003</v>
      </c>
      <c r="E27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29718.999892</v>
      </c>
      <c r="F272" s="11">
        <f>IF(ISBLANK(GSPC[[#This Row],[Long Exp.]]), "", (GSPC[[#This Row],[Long Exp.]]/D273-1)+(E273/GSPC[[#This Row],[Short Exp.]]-1))</f>
        <v>-2.1316864295125693E-2</v>
      </c>
      <c r="G272" s="37">
        <v>43192</v>
      </c>
      <c r="H272" s="44">
        <v>36.187747999999999</v>
      </c>
      <c r="I272" s="36">
        <f>IF(ISBLANK(H273), "", Long0[[#This Row],[Adj Close]]/H273-1)</f>
        <v>-4.0077647404599959E-2</v>
      </c>
      <c r="J272" s="29">
        <v>43192</v>
      </c>
      <c r="K272" s="44">
        <v>33.281525000000002</v>
      </c>
      <c r="L272" s="33">
        <f>IF(ISBLANK(K273),"",Long1[[#This Row],[Adj Close]]/K273-1)</f>
        <v>-5.4807921800753667E-2</v>
      </c>
      <c r="M272" s="37">
        <v>43192</v>
      </c>
      <c r="N272" s="44">
        <v>23.03471</v>
      </c>
      <c r="O272" s="36">
        <f>IF(ISBLANK(N273),"",Long2[[#This Row],[Adj Close]]/N273-1)</f>
        <v>-2.4711830282073688E-3</v>
      </c>
      <c r="P272" s="29">
        <v>43192</v>
      </c>
      <c r="Q272" s="44">
        <v>21.770609</v>
      </c>
      <c r="R272" s="33">
        <f>IF(ISBLANK(Q273),"",Long3[[#This Row],[Adj Close]]/Q273-1)</f>
        <v>-1.2725328823106175E-2</v>
      </c>
      <c r="S272" s="37">
        <v>43192</v>
      </c>
      <c r="T272" s="44">
        <v>27.058513999999999</v>
      </c>
      <c r="U272" s="36">
        <f>IF(ISBLANK(T273),"",Long4[[#This Row],[Adj Close]]/T273-1)</f>
        <v>-7.862989280848498E-3</v>
      </c>
      <c r="V272" s="29">
        <v>43192</v>
      </c>
      <c r="W272" s="44">
        <v>41.236972999999999</v>
      </c>
      <c r="X272" s="33">
        <f>IF(ISBLANK(W273),"",Long5[[#This Row],[Adj Close]]/W273-1)</f>
        <v>1.1222202498181622E-2</v>
      </c>
      <c r="Y272" s="37">
        <v>43192</v>
      </c>
      <c r="Z272" s="44">
        <v>95.937759</v>
      </c>
      <c r="AA272" s="36">
        <f>IF(ISBLANK(Z273),"",Long6[[#This Row],[Adj Close]]/Z273-1)</f>
        <v>-2.6732599481634201E-2</v>
      </c>
      <c r="AH272" s="29">
        <v>43192</v>
      </c>
      <c r="AI272" s="44">
        <v>62.269657000000002</v>
      </c>
      <c r="AJ272" s="33">
        <f>IF(ISBLANK(AI273),"",Short0[[#This Row],[Adj Close]]/AI273-1)</f>
        <v>-3.7274190505393268E-2</v>
      </c>
      <c r="AK272" s="37">
        <v>43192</v>
      </c>
      <c r="AL272" s="44">
        <v>60.346007999999998</v>
      </c>
      <c r="AM272" s="36">
        <f>IF(ISBLANK(AL273),"",Short1[[#This Row],[Adj Close]]/AL273-1)</f>
        <v>7.1436324885205682E-3</v>
      </c>
      <c r="AN272" s="29">
        <v>43192</v>
      </c>
      <c r="AO272" s="44">
        <v>58.496890999999998</v>
      </c>
      <c r="AP272" s="33">
        <f>IF(ISBLANK(AO273),"",Short2[[#This Row],[Adj Close]]/AO273-1)</f>
        <v>4.4791465418270393E-2</v>
      </c>
      <c r="AQ272" s="37">
        <v>43192</v>
      </c>
      <c r="AR272" s="44">
        <v>97.459998999999996</v>
      </c>
      <c r="AS272" s="36">
        <f>IF(ISBLANK(AR273),"",Short3[[#This Row],[Adj Close]]/AR273-1)</f>
        <v>-9.4521801956721774E-3</v>
      </c>
    </row>
    <row r="273" spans="1:45" x14ac:dyDescent="0.25">
      <c r="A273" s="37">
        <v>43185</v>
      </c>
      <c r="B273" s="39">
        <v>2640.8701169999999</v>
      </c>
      <c r="C273" s="36">
        <f>IF(ISBLANK(B274), "", GSPC[[#This Row],[Adj Close]]/B274-1)</f>
        <v>2.0326438146374581E-2</v>
      </c>
      <c r="D27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51125.772328999985</v>
      </c>
      <c r="E27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29844.566079999997</v>
      </c>
      <c r="F273" s="11">
        <f>IF(ISBLANK(GSPC[[#This Row],[Long Exp.]]), "", (GSPC[[#This Row],[Long Exp.]]/D274-1)+(E274/GSPC[[#This Row],[Short Exp.]]-1))</f>
        <v>9.9149574819804576E-3</v>
      </c>
      <c r="G273" s="37">
        <v>43185</v>
      </c>
      <c r="H273" s="44">
        <v>37.698619999999998</v>
      </c>
      <c r="I273" s="36">
        <f>IF(ISBLANK(H274), "", Long0[[#This Row],[Adj Close]]/H274-1)</f>
        <v>5.9171592978216392E-2</v>
      </c>
      <c r="J273" s="29">
        <v>43185</v>
      </c>
      <c r="K273" s="44">
        <v>35.211387999999999</v>
      </c>
      <c r="L273" s="33">
        <f>IF(ISBLANK(K274),"",Long1[[#This Row],[Adj Close]]/K274-1)</f>
        <v>2.3216004152913472E-2</v>
      </c>
      <c r="M273" s="37">
        <v>43185</v>
      </c>
      <c r="N273" s="44">
        <v>23.091774000000001</v>
      </c>
      <c r="O273" s="36">
        <f>IF(ISBLANK(N274),"",Long2[[#This Row],[Adj Close]]/N274-1)</f>
        <v>8.2443568066792317E-4</v>
      </c>
      <c r="P273" s="29">
        <v>43185</v>
      </c>
      <c r="Q273" s="44">
        <v>22.051217999999999</v>
      </c>
      <c r="R273" s="33">
        <f>IF(ISBLANK(Q274),"",Long3[[#This Row],[Adj Close]]/Q274-1)</f>
        <v>4.2757111257976987E-2</v>
      </c>
      <c r="S273" s="37">
        <v>43185</v>
      </c>
      <c r="T273" s="44">
        <v>27.272960999999999</v>
      </c>
      <c r="U273" s="36">
        <f>IF(ISBLANK(T274),"",Long4[[#This Row],[Adj Close]]/T274-1)</f>
        <v>-3.9123543282538087E-2</v>
      </c>
      <c r="V273" s="29">
        <v>43185</v>
      </c>
      <c r="W273" s="44">
        <v>40.779339</v>
      </c>
      <c r="X273" s="33">
        <f>IF(ISBLANK(W274),"",Long5[[#This Row],[Adj Close]]/W274-1)</f>
        <v>2.9727877118839174E-3</v>
      </c>
      <c r="Y273" s="37">
        <v>43185</v>
      </c>
      <c r="Z273" s="44">
        <v>98.572868</v>
      </c>
      <c r="AA273" s="36">
        <f>IF(ISBLANK(Z274),"",Long6[[#This Row],[Adj Close]]/Z274-1)</f>
        <v>-4.0380167009880341E-2</v>
      </c>
      <c r="AH273" s="29">
        <v>43185</v>
      </c>
      <c r="AI273" s="44">
        <v>64.680572999999995</v>
      </c>
      <c r="AJ273" s="33">
        <f>IF(ISBLANK(AI274),"",Short0[[#This Row],[Adj Close]]/AI274-1)</f>
        <v>4.7674450585628136E-2</v>
      </c>
      <c r="AK273" s="37">
        <v>43185</v>
      </c>
      <c r="AL273" s="44">
        <v>59.917976000000003</v>
      </c>
      <c r="AM273" s="36">
        <f>IF(ISBLANK(AL274),"",Short1[[#This Row],[Adj Close]]/AL274-1)</f>
        <v>5.6427604997896674E-2</v>
      </c>
      <c r="AN273" s="29">
        <v>43185</v>
      </c>
      <c r="AO273" s="44">
        <v>55.989058999999997</v>
      </c>
      <c r="AP273" s="33">
        <f>IF(ISBLANK(AO274),"",Short2[[#This Row],[Adj Close]]/AO274-1)</f>
        <v>1.5156731483431329E-2</v>
      </c>
      <c r="AQ273" s="37">
        <v>43185</v>
      </c>
      <c r="AR273" s="44">
        <v>98.389999000000003</v>
      </c>
      <c r="AS273" s="36">
        <f>IF(ISBLANK(AR274),"",Short3[[#This Row],[Adj Close]]/AR274-1)</f>
        <v>-3.9629068998410899E-2</v>
      </c>
    </row>
    <row r="274" spans="1:45" x14ac:dyDescent="0.25">
      <c r="A274" s="37">
        <v>43178</v>
      </c>
      <c r="B274" s="39">
        <v>2588.26001</v>
      </c>
      <c r="C274" s="36">
        <f>IF(ISBLANK(B275), "", GSPC[[#This Row],[Adj Close]]/B275-1)</f>
        <v>-5.9501963802813362E-2</v>
      </c>
      <c r="D27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49673.793086000005</v>
      </c>
      <c r="E27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29268.108443000001</v>
      </c>
      <c r="F274" s="11">
        <f>IF(ISBLANK(GSPC[[#This Row],[Long Exp.]]), "", (GSPC[[#This Row],[Long Exp.]]/D275-1)+(E275/GSPC[[#This Row],[Short Exp.]]-1))</f>
        <v>-1.4723736030531676E-2</v>
      </c>
      <c r="G274" s="37">
        <v>43178</v>
      </c>
      <c r="H274" s="44">
        <v>35.592551999999998</v>
      </c>
      <c r="I274" s="36">
        <f>IF(ISBLANK(H275), "", Long0[[#This Row],[Adj Close]]/H275-1)</f>
        <v>-6.8535850410936239E-2</v>
      </c>
      <c r="J274" s="29">
        <v>43178</v>
      </c>
      <c r="K274" s="44">
        <v>34.412467999999997</v>
      </c>
      <c r="L274" s="33">
        <f>IF(ISBLANK(K275),"",Long1[[#This Row],[Adj Close]]/K275-1)</f>
        <v>-4.9393280999110223E-2</v>
      </c>
      <c r="M274" s="37">
        <v>43178</v>
      </c>
      <c r="N274" s="44">
        <v>23.072752000000001</v>
      </c>
      <c r="O274" s="36">
        <f>IF(ISBLANK(N275),"",Long2[[#This Row],[Adj Close]]/N275-1)</f>
        <v>-7.0498190608373479E-2</v>
      </c>
      <c r="P274" s="29">
        <v>43178</v>
      </c>
      <c r="Q274" s="44">
        <v>21.147031999999999</v>
      </c>
      <c r="R274" s="33">
        <f>IF(ISBLANK(Q275),"",Long3[[#This Row],[Adj Close]]/Q275-1)</f>
        <v>-3.5206316211415567E-2</v>
      </c>
      <c r="S274" s="37">
        <v>43178</v>
      </c>
      <c r="T274" s="44">
        <v>28.383420999999998</v>
      </c>
      <c r="U274" s="36">
        <f>IF(ISBLANK(T275),"",Long4[[#This Row],[Adj Close]]/T275-1)</f>
        <v>-3.6199095637221346E-2</v>
      </c>
      <c r="V274" s="29">
        <v>43178</v>
      </c>
      <c r="W274" s="44">
        <v>40.658470000000001</v>
      </c>
      <c r="X274" s="33">
        <f>IF(ISBLANK(W275),"",Long5[[#This Row],[Adj Close]]/W275-1)</f>
        <v>-3.2065754395178447E-2</v>
      </c>
      <c r="Y274" s="37">
        <v>43178</v>
      </c>
      <c r="Z274" s="44">
        <v>102.720749</v>
      </c>
      <c r="AA274" s="36">
        <f>IF(ISBLANK(Z275),"",Long6[[#This Row],[Adj Close]]/Z275-1)</f>
        <v>-0.15080614710678242</v>
      </c>
      <c r="AH274" s="29">
        <v>43178</v>
      </c>
      <c r="AI274" s="44">
        <v>61.737282</v>
      </c>
      <c r="AJ274" s="33">
        <f>IF(ISBLANK(AI275),"",Short0[[#This Row],[Adj Close]]/AI275-1)</f>
        <v>-7.6348761107585816E-2</v>
      </c>
      <c r="AK274" s="37">
        <v>43178</v>
      </c>
      <c r="AL274" s="44">
        <v>56.717540999999997</v>
      </c>
      <c r="AM274" s="36">
        <f>IF(ISBLANK(AL275),"",Short1[[#This Row],[Adj Close]]/AL275-1)</f>
        <v>-4.3740049626513122E-2</v>
      </c>
      <c r="AN274" s="29">
        <v>43178</v>
      </c>
      <c r="AO274" s="44">
        <v>55.153117999999999</v>
      </c>
      <c r="AP274" s="33">
        <f>IF(ISBLANK(AO275),"",Short2[[#This Row],[Adj Close]]/AO275-1)</f>
        <v>-1.9422392968004409E-2</v>
      </c>
      <c r="AQ274" s="37">
        <v>43178</v>
      </c>
      <c r="AR274" s="44">
        <v>102.449997</v>
      </c>
      <c r="AS274" s="36">
        <f>IF(ISBLANK(AR275),"",Short3[[#This Row],[Adj Close]]/AR275-1)</f>
        <v>-4.0909970043063071E-2</v>
      </c>
    </row>
    <row r="275" spans="1:45" x14ac:dyDescent="0.25">
      <c r="A275" s="37">
        <v>43171</v>
      </c>
      <c r="B275" s="39">
        <v>2752.01001</v>
      </c>
      <c r="C275" s="36">
        <f>IF(ISBLANK(B276), "", GSPC[[#This Row],[Adj Close]]/B276-1)</f>
        <v>-1.2402364611920458E-2</v>
      </c>
      <c r="D27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53218.297863</v>
      </c>
      <c r="E27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30786.519933000003</v>
      </c>
      <c r="F275" s="11">
        <f>IF(ISBLANK(GSPC[[#This Row],[Long Exp.]]), "", (GSPC[[#This Row],[Long Exp.]]/D276-1)+(E276/GSPC[[#This Row],[Short Exp.]]-1))</f>
        <v>-4.7606451074660994E-3</v>
      </c>
      <c r="G275" s="37">
        <v>43171</v>
      </c>
      <c r="H275" s="44">
        <v>38.211402999999997</v>
      </c>
      <c r="I275" s="36">
        <f>IF(ISBLANK(H276), "", Long0[[#This Row],[Adj Close]]/H276-1)</f>
        <v>-1.8348855063258562E-2</v>
      </c>
      <c r="J275" s="29">
        <v>43171</v>
      </c>
      <c r="K275" s="44">
        <v>36.200530999999998</v>
      </c>
      <c r="L275" s="33">
        <f>IF(ISBLANK(K276),"",Long1[[#This Row],[Adj Close]]/K276-1)</f>
        <v>3.836150720847753E-3</v>
      </c>
      <c r="M275" s="37">
        <v>43171</v>
      </c>
      <c r="N275" s="44">
        <v>24.822707999999999</v>
      </c>
      <c r="O275" s="36">
        <f>IF(ISBLANK(N276),"",Long2[[#This Row],[Adj Close]]/N276-1)</f>
        <v>-7.6106213267178591E-2</v>
      </c>
      <c r="P275" s="29">
        <v>43171</v>
      </c>
      <c r="Q275" s="44">
        <v>21.918709</v>
      </c>
      <c r="R275" s="33">
        <f>IF(ISBLANK(Q276),"",Long3[[#This Row],[Adj Close]]/Q276-1)</f>
        <v>3.6445695439989656E-2</v>
      </c>
      <c r="S275" s="37">
        <v>43171</v>
      </c>
      <c r="T275" s="44">
        <v>29.449465</v>
      </c>
      <c r="U275" s="36">
        <f>IF(ISBLANK(T276),"",Long4[[#This Row],[Adj Close]]/T276-1)</f>
        <v>-9.9184825457542147E-2</v>
      </c>
      <c r="V275" s="29">
        <v>43171</v>
      </c>
      <c r="W275" s="44">
        <v>42.005405000000003</v>
      </c>
      <c r="X275" s="33">
        <f>IF(ISBLANK(W276),"",Long5[[#This Row],[Adj Close]]/W276-1)</f>
        <v>1.2576437273368768E-2</v>
      </c>
      <c r="Y275" s="37">
        <v>43171</v>
      </c>
      <c r="Z275" s="44">
        <v>120.96266199999999</v>
      </c>
      <c r="AA275" s="36">
        <f>IF(ISBLANK(Z276),"",Long6[[#This Row],[Adj Close]]/Z276-1)</f>
        <v>-6.0961720631779626E-2</v>
      </c>
      <c r="AH275" s="29">
        <v>43171</v>
      </c>
      <c r="AI275" s="44">
        <v>66.840468999999999</v>
      </c>
      <c r="AJ275" s="33">
        <f>IF(ISBLANK(AI276),"",Short0[[#This Row],[Adj Close]]/AI276-1)</f>
        <v>-1.8569506669304903E-2</v>
      </c>
      <c r="AK275" s="37">
        <v>43171</v>
      </c>
      <c r="AL275" s="44">
        <v>59.311844000000001</v>
      </c>
      <c r="AM275" s="36">
        <f>IF(ISBLANK(AL276),"",Short1[[#This Row],[Adj Close]]/AL276-1)</f>
        <v>-5.5404783175713512E-2</v>
      </c>
      <c r="AN275" s="29">
        <v>43171</v>
      </c>
      <c r="AO275" s="44">
        <v>56.245541000000003</v>
      </c>
      <c r="AP275" s="33">
        <f>IF(ISBLANK(AO276),"",Short2[[#This Row],[Adj Close]]/AO276-1)</f>
        <v>-9.7007370646671198E-3</v>
      </c>
      <c r="AQ275" s="37">
        <v>43171</v>
      </c>
      <c r="AR275" s="44">
        <v>106.82</v>
      </c>
      <c r="AS275" s="36">
        <f>IF(ISBLANK(AR276),"",Short3[[#This Row],[Adj Close]]/AR276-1)</f>
        <v>-3.6377110683492031E-3</v>
      </c>
    </row>
    <row r="276" spans="1:45" x14ac:dyDescent="0.25">
      <c r="A276" s="37">
        <v>43164</v>
      </c>
      <c r="B276" s="39">
        <v>2786.570068</v>
      </c>
      <c r="C276" s="36">
        <f>IF(ISBLANK(B277), "", GSPC[[#This Row],[Adj Close]]/B277-1)</f>
        <v>3.541851110078964E-2</v>
      </c>
      <c r="D27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54576.664195999998</v>
      </c>
      <c r="E27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31406.206297000001</v>
      </c>
      <c r="F276" s="11">
        <f>IF(ISBLANK(GSPC[[#This Row],[Long Exp.]]), "", (GSPC[[#This Row],[Long Exp.]]/D277-1)+(E277/GSPC[[#This Row],[Short Exp.]]-1))</f>
        <v>-6.2243561955964699E-3</v>
      </c>
      <c r="G276" s="37">
        <v>43164</v>
      </c>
      <c r="H276" s="44">
        <v>38.925643999999998</v>
      </c>
      <c r="I276" s="36">
        <f>IF(ISBLANK(H277), "", Long0[[#This Row],[Adj Close]]/H277-1)</f>
        <v>3.7588746022842123E-2</v>
      </c>
      <c r="J276" s="29">
        <v>43164</v>
      </c>
      <c r="K276" s="44">
        <v>36.062190999999999</v>
      </c>
      <c r="L276" s="33">
        <f>IF(ISBLANK(K277),"",Long1[[#This Row],[Adj Close]]/K277-1)</f>
        <v>5.0367722873556842E-2</v>
      </c>
      <c r="M276" s="37">
        <v>43164</v>
      </c>
      <c r="N276" s="44">
        <v>26.867491000000001</v>
      </c>
      <c r="O276" s="36">
        <f>IF(ISBLANK(N277),"",Long2[[#This Row],[Adj Close]]/N277-1)</f>
        <v>5.7060305551611457E-2</v>
      </c>
      <c r="P276" s="29">
        <v>43164</v>
      </c>
      <c r="Q276" s="44">
        <v>21.147957000000002</v>
      </c>
      <c r="R276" s="33">
        <f>IF(ISBLANK(Q277),"",Long3[[#This Row],[Adj Close]]/Q277-1)</f>
        <v>-6.852114447048363E-3</v>
      </c>
      <c r="S276" s="37">
        <v>43164</v>
      </c>
      <c r="T276" s="44">
        <v>32.692017</v>
      </c>
      <c r="U276" s="36">
        <f>IF(ISBLANK(T277),"",Long4[[#This Row],[Adj Close]]/T277-1)</f>
        <v>5.4644807062533829E-3</v>
      </c>
      <c r="V276" s="29">
        <v>43164</v>
      </c>
      <c r="W276" s="44">
        <v>41.483688000000001</v>
      </c>
      <c r="X276" s="33">
        <f>IF(ISBLANK(W277),"",Long5[[#This Row],[Adj Close]]/W277-1)</f>
        <v>9.4382321081430298E-2</v>
      </c>
      <c r="Y276" s="37">
        <v>43164</v>
      </c>
      <c r="Z276" s="44">
        <v>128.81547499999999</v>
      </c>
      <c r="AA276" s="36">
        <f>IF(ISBLANK(Z277),"",Long6[[#This Row],[Adj Close]]/Z277-1)</f>
        <v>6.8797977134602784E-2</v>
      </c>
      <c r="AH276" s="29">
        <v>43164</v>
      </c>
      <c r="AI276" s="44">
        <v>68.105148</v>
      </c>
      <c r="AJ276" s="33">
        <f>IF(ISBLANK(AI277),"",Short0[[#This Row],[Adj Close]]/AI277-1)</f>
        <v>6.9360984677325321E-2</v>
      </c>
      <c r="AK276" s="37">
        <v>43164</v>
      </c>
      <c r="AL276" s="44">
        <v>62.790751999999998</v>
      </c>
      <c r="AM276" s="36">
        <f>IF(ISBLANK(AL277),"",Short1[[#This Row],[Adj Close]]/AL277-1)</f>
        <v>1.0678912490966086E-2</v>
      </c>
      <c r="AN276" s="29">
        <v>43164</v>
      </c>
      <c r="AO276" s="44">
        <v>56.796509</v>
      </c>
      <c r="AP276" s="33">
        <f>IF(ISBLANK(AO277),"",Short2[[#This Row],[Adj Close]]/AO277-1)</f>
        <v>4.0188066573344283E-2</v>
      </c>
      <c r="AQ276" s="37">
        <v>43164</v>
      </c>
      <c r="AR276" s="44">
        <v>107.209999</v>
      </c>
      <c r="AS276" s="36">
        <f>IF(ISBLANK(AR277),"",Short3[[#This Row],[Adj Close]]/AR277-1)</f>
        <v>4.7791233385457321E-2</v>
      </c>
    </row>
    <row r="277" spans="1:45" x14ac:dyDescent="0.25">
      <c r="A277" s="37">
        <v>43157</v>
      </c>
      <c r="B277" s="39">
        <v>2691.25</v>
      </c>
      <c r="C277" s="36">
        <f>IF(ISBLANK(B278), "", GSPC[[#This Row],[Adj Close]]/B278-1)</f>
        <v>-2.040186656000742E-2</v>
      </c>
      <c r="D27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52565.669748999993</v>
      </c>
      <c r="E27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30009.221850000002</v>
      </c>
      <c r="F277" s="11">
        <f>IF(ISBLANK(GSPC[[#This Row],[Long Exp.]]), "", (GSPC[[#This Row],[Long Exp.]]/D278-1)+(E278/GSPC[[#This Row],[Short Exp.]]-1))</f>
        <v>-3.2317162973607316E-2</v>
      </c>
      <c r="G277" s="37">
        <v>43157</v>
      </c>
      <c r="H277" s="44">
        <v>37.515484000000001</v>
      </c>
      <c r="I277" s="36">
        <f>IF(ISBLANK(H278), "", Long0[[#This Row],[Adj Close]]/H278-1)</f>
        <v>-1.1580262138231934E-2</v>
      </c>
      <c r="J277" s="29">
        <v>43157</v>
      </c>
      <c r="K277" s="44">
        <v>34.332920000000001</v>
      </c>
      <c r="L277" s="33">
        <f>IF(ISBLANK(K278),"",Long1[[#This Row],[Adj Close]]/K278-1)</f>
        <v>2.4563896836234944E-2</v>
      </c>
      <c r="M277" s="37">
        <v>43157</v>
      </c>
      <c r="N277" s="44">
        <v>25.417179000000001</v>
      </c>
      <c r="O277" s="36">
        <f>IF(ISBLANK(N278),"",Long2[[#This Row],[Adj Close]]/N278-1)</f>
        <v>-6.9241404312468613E-2</v>
      </c>
      <c r="P277" s="29">
        <v>43157</v>
      </c>
      <c r="Q277" s="44">
        <v>21.293865</v>
      </c>
      <c r="R277" s="33">
        <f>IF(ISBLANK(Q278),"",Long3[[#This Row],[Adj Close]]/Q278-1)</f>
        <v>-8.6024899905914887E-2</v>
      </c>
      <c r="S277" s="37">
        <v>43157</v>
      </c>
      <c r="T277" s="44">
        <v>32.514342999999997</v>
      </c>
      <c r="U277" s="36">
        <f>IF(ISBLANK(T278),"",Long4[[#This Row],[Adj Close]]/T278-1)</f>
        <v>-2.0080246847723138E-2</v>
      </c>
      <c r="V277" s="29">
        <v>43157</v>
      </c>
      <c r="W277" s="44">
        <v>37.906028999999997</v>
      </c>
      <c r="X277" s="33">
        <f>IF(ISBLANK(W278),"",Long5[[#This Row],[Adj Close]]/W278-1)</f>
        <v>-9.2382593804204438E-3</v>
      </c>
      <c r="Y277" s="37">
        <v>43157</v>
      </c>
      <c r="Z277" s="44">
        <v>120.523689</v>
      </c>
      <c r="AA277" s="36">
        <f>IF(ISBLANK(Z278),"",Long6[[#This Row],[Adj Close]]/Z278-1)</f>
        <v>-5.2530624091993716E-2</v>
      </c>
      <c r="AH277" s="29">
        <v>43157</v>
      </c>
      <c r="AI277" s="44">
        <v>63.687705999999999</v>
      </c>
      <c r="AJ277" s="33">
        <f>IF(ISBLANK(AI278),"",Short0[[#This Row],[Adj Close]]/AI278-1)</f>
        <v>-3.7939044679695888E-2</v>
      </c>
      <c r="AK277" s="37">
        <v>43157</v>
      </c>
      <c r="AL277" s="44">
        <v>62.127299999999998</v>
      </c>
      <c r="AM277" s="36">
        <f>IF(ISBLANK(AL278),"",Short1[[#This Row],[Adj Close]]/AL278-1)</f>
        <v>-1.7764908870187002E-3</v>
      </c>
      <c r="AN277" s="29">
        <v>43157</v>
      </c>
      <c r="AO277" s="44">
        <v>54.602153999999999</v>
      </c>
      <c r="AP277" s="33">
        <f>IF(ISBLANK(AO278),"",Short2[[#This Row],[Adj Close]]/AO278-1)</f>
        <v>-2.6422822901190801E-2</v>
      </c>
      <c r="AQ277" s="37">
        <v>43157</v>
      </c>
      <c r="AR277" s="44">
        <v>102.32</v>
      </c>
      <c r="AS277" s="36">
        <f>IF(ISBLANK(AR278),"",Short3[[#This Row],[Adj Close]]/AR278-1)</f>
        <v>7.5693826460455416E-2</v>
      </c>
    </row>
    <row r="278" spans="1:45" x14ac:dyDescent="0.25">
      <c r="A278" s="37">
        <v>43150</v>
      </c>
      <c r="B278" s="39">
        <v>2747.3000489999999</v>
      </c>
      <c r="C278" s="36">
        <f>IF(ISBLANK(B279), "", GSPC[[#This Row],[Adj Close]]/B279-1)</f>
        <v>5.5193498913195249E-3</v>
      </c>
      <c r="D27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54450.21039</v>
      </c>
      <c r="E27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30078.038499000002</v>
      </c>
      <c r="F278" s="11">
        <f>IF(ISBLANK(GSPC[[#This Row],[Long Exp.]]), "", (GSPC[[#This Row],[Long Exp.]]/D279-1)+(E279/GSPC[[#This Row],[Short Exp.]]-1))</f>
        <v>-1.0849225337465684E-2</v>
      </c>
      <c r="G278" s="37">
        <v>43150</v>
      </c>
      <c r="H278" s="44">
        <v>37.955013000000001</v>
      </c>
      <c r="I278" s="36">
        <f>IF(ISBLANK(H279), "", Long0[[#This Row],[Adj Close]]/H279-1)</f>
        <v>-1.637390270203587E-2</v>
      </c>
      <c r="J278" s="29">
        <v>43150</v>
      </c>
      <c r="K278" s="44">
        <v>33.509788999999998</v>
      </c>
      <c r="L278" s="33">
        <f>IF(ISBLANK(K279),"",Long1[[#This Row],[Adj Close]]/K279-1)</f>
        <v>5.9717831827065471E-2</v>
      </c>
      <c r="M278" s="37">
        <v>43150</v>
      </c>
      <c r="N278" s="44">
        <v>27.308025000000001</v>
      </c>
      <c r="O278" s="36">
        <f>IF(ISBLANK(N279),"",Long2[[#This Row],[Adj Close]]/N279-1)</f>
        <v>0.13016100558247223</v>
      </c>
      <c r="P278" s="29">
        <v>43150</v>
      </c>
      <c r="Q278" s="44">
        <v>23.298079999999999</v>
      </c>
      <c r="R278" s="33">
        <f>IF(ISBLANK(Q279),"",Long3[[#This Row],[Adj Close]]/Q279-1)</f>
        <v>-3.5294006578594828E-2</v>
      </c>
      <c r="S278" s="37">
        <v>43150</v>
      </c>
      <c r="T278" s="44">
        <v>33.180618000000003</v>
      </c>
      <c r="U278" s="36">
        <f>IF(ISBLANK(T279),"",Long4[[#This Row],[Adj Close]]/T279-1)</f>
        <v>1.2195199703338933E-2</v>
      </c>
      <c r="V278" s="29">
        <v>43150</v>
      </c>
      <c r="W278" s="44">
        <v>38.259480000000003</v>
      </c>
      <c r="X278" s="33">
        <f>IF(ISBLANK(W279),"",Long5[[#This Row],[Adj Close]]/W279-1)</f>
        <v>-5.4336169819606095E-2</v>
      </c>
      <c r="Y278" s="37">
        <v>43150</v>
      </c>
      <c r="Z278" s="44">
        <v>127.205894</v>
      </c>
      <c r="AA278" s="36">
        <f>IF(ISBLANK(Z279),"",Long6[[#This Row],[Adj Close]]/Z279-1)</f>
        <v>-0.15843841378098567</v>
      </c>
      <c r="AH278" s="29">
        <v>43150</v>
      </c>
      <c r="AI278" s="44">
        <v>66.199241999999998</v>
      </c>
      <c r="AJ278" s="33">
        <f>IF(ISBLANK(AI279),"",Short0[[#This Row],[Adj Close]]/AI279-1)</f>
        <v>-9.1973432235528119E-3</v>
      </c>
      <c r="AK278" s="37">
        <v>43150</v>
      </c>
      <c r="AL278" s="44">
        <v>62.237864999999999</v>
      </c>
      <c r="AM278" s="36">
        <f>IF(ISBLANK(AL279),"",Short1[[#This Row],[Adj Close]]/AL279-1)</f>
        <v>-1.3703604843295913E-4</v>
      </c>
      <c r="AN278" s="29">
        <v>43150</v>
      </c>
      <c r="AO278" s="44">
        <v>56.084052999999997</v>
      </c>
      <c r="AP278" s="33">
        <f>IF(ISBLANK(AO279),"",Short2[[#This Row],[Adj Close]]/AO279-1)</f>
        <v>-2.990482805241923E-2</v>
      </c>
      <c r="AQ278" s="37">
        <v>43150</v>
      </c>
      <c r="AR278" s="44">
        <v>95.120002999999997</v>
      </c>
      <c r="AS278" s="36">
        <f>IF(ISBLANK(AR279),"",Short3[[#This Row],[Adj Close]]/AR279-1)</f>
        <v>2.6770337076536421E-2</v>
      </c>
    </row>
    <row r="279" spans="1:45" x14ac:dyDescent="0.25">
      <c r="A279" s="37">
        <v>43143</v>
      </c>
      <c r="B279" s="39">
        <v>2732.219971</v>
      </c>
      <c r="C279" s="36">
        <f>IF(ISBLANK(B280), "", GSPC[[#This Row],[Adj Close]]/B280-1)</f>
        <v>4.3011173633812128E-2</v>
      </c>
      <c r="D27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55277.667757000003</v>
      </c>
      <c r="E27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30201.956482000001</v>
      </c>
      <c r="F279" s="11">
        <f>IF(ISBLANK(GSPC[[#This Row],[Long Exp.]]), "", (GSPC[[#This Row],[Long Exp.]]/D280-1)+(E280/GSPC[[#This Row],[Short Exp.]]-1))</f>
        <v>1.7250155013301294E-2</v>
      </c>
      <c r="G279" s="37">
        <v>43143</v>
      </c>
      <c r="H279" s="44">
        <v>38.586829999999999</v>
      </c>
      <c r="I279" s="36">
        <f>IF(ISBLANK(H280), "", Long0[[#This Row],[Adj Close]]/H280-1)</f>
        <v>7.2810624138765156E-2</v>
      </c>
      <c r="J279" s="29">
        <v>43143</v>
      </c>
      <c r="K279" s="44">
        <v>31.621426</v>
      </c>
      <c r="L279" s="33">
        <f>IF(ISBLANK(K280),"",Long1[[#This Row],[Adj Close]]/K280-1)</f>
        <v>6.3015950873800408E-2</v>
      </c>
      <c r="M279" s="37">
        <v>43143</v>
      </c>
      <c r="N279" s="44">
        <v>24.162951</v>
      </c>
      <c r="O279" s="36">
        <f>IF(ISBLANK(N280),"",Long2[[#This Row],[Adj Close]]/N280-1)</f>
        <v>4.4353226452051864E-2</v>
      </c>
      <c r="P279" s="29">
        <v>43143</v>
      </c>
      <c r="Q279" s="44">
        <v>24.150445999999999</v>
      </c>
      <c r="R279" s="33">
        <f>IF(ISBLANK(Q280),"",Long3[[#This Row],[Adj Close]]/Q280-1)</f>
        <v>4.6240869659206707E-2</v>
      </c>
      <c r="S279" s="37">
        <v>43143</v>
      </c>
      <c r="T279" s="44">
        <v>32.780849000000003</v>
      </c>
      <c r="U279" s="36">
        <f>IF(ISBLANK(T280),"",Long4[[#This Row],[Adj Close]]/T280-1)</f>
        <v>3.2167624970756759E-2</v>
      </c>
      <c r="V279" s="29">
        <v>43143</v>
      </c>
      <c r="W279" s="44">
        <v>40.457802000000001</v>
      </c>
      <c r="X279" s="33">
        <f>IF(ISBLANK(W280),"",Long5[[#This Row],[Adj Close]]/W280-1)</f>
        <v>0.11271095454691848</v>
      </c>
      <c r="Y279" s="37">
        <v>43143</v>
      </c>
      <c r="Z279" s="44">
        <v>151.15458699999999</v>
      </c>
      <c r="AA279" s="36">
        <f>IF(ISBLANK(Z280),"",Long6[[#This Row],[Adj Close]]/Z280-1)</f>
        <v>8.092123645713456E-2</v>
      </c>
      <c r="AH279" s="29">
        <v>43143</v>
      </c>
      <c r="AI279" s="44">
        <v>66.813750999999996</v>
      </c>
      <c r="AJ279" s="33">
        <f>IF(ISBLANK(AI280),"",Short0[[#This Row],[Adj Close]]/AI280-1)</f>
        <v>5.6619378817013066E-2</v>
      </c>
      <c r="AK279" s="37">
        <v>43143</v>
      </c>
      <c r="AL279" s="44">
        <v>62.246395</v>
      </c>
      <c r="AM279" s="36">
        <f>IF(ISBLANK(AL280),"",Short1[[#This Row],[Adj Close]]/AL280-1)</f>
        <v>3.4200026533543815E-2</v>
      </c>
      <c r="AN279" s="29">
        <v>43143</v>
      </c>
      <c r="AO279" s="44">
        <v>57.812939</v>
      </c>
      <c r="AP279" s="33">
        <f>IF(ISBLANK(AO280),"",Short2[[#This Row],[Adj Close]]/AO280-1)</f>
        <v>3.6974020054212353E-2</v>
      </c>
      <c r="AQ279" s="37">
        <v>43143</v>
      </c>
      <c r="AR279" s="44">
        <v>92.639999000000003</v>
      </c>
      <c r="AS279" s="36">
        <f>IF(ISBLANK(AR280),"",Short3[[#This Row],[Adj Close]]/AR280-1)</f>
        <v>6.6912321388637119E-2</v>
      </c>
    </row>
    <row r="280" spans="1:45" x14ac:dyDescent="0.25">
      <c r="A280" s="37">
        <v>43136</v>
      </c>
      <c r="B280" s="39">
        <v>2619.5500489999999</v>
      </c>
      <c r="C280" s="36">
        <f>IF(ISBLANK(B281), "", GSPC[[#This Row],[Adj Close]]/B281-1)</f>
        <v>-5.1619525525404164E-2</v>
      </c>
      <c r="D28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51906.839904</v>
      </c>
      <c r="E28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28761.631214999998</v>
      </c>
      <c r="F280" s="11">
        <f>IF(ISBLANK(GSPC[[#This Row],[Long Exp.]]), "", (GSPC[[#This Row],[Long Exp.]]/D281-1)+(E281/GSPC[[#This Row],[Short Exp.]]-1))</f>
        <v>-2.5948926872290445E-2</v>
      </c>
      <c r="G280" s="37">
        <v>43136</v>
      </c>
      <c r="H280" s="44">
        <v>35.967979</v>
      </c>
      <c r="I280" s="36">
        <f>IF(ISBLANK(H281), "", Long0[[#This Row],[Adj Close]]/H281-1)</f>
        <v>-6.6983457027011917E-2</v>
      </c>
      <c r="J280" s="29">
        <v>43136</v>
      </c>
      <c r="K280" s="44">
        <v>29.746897000000001</v>
      </c>
      <c r="L280" s="33">
        <f>IF(ISBLANK(K281),"",Long1[[#This Row],[Adj Close]]/K281-1)</f>
        <v>-8.3244532323808906E-2</v>
      </c>
      <c r="M280" s="37">
        <v>43136</v>
      </c>
      <c r="N280" s="44">
        <v>23.136761</v>
      </c>
      <c r="O280" s="36">
        <f>IF(ISBLANK(N281),"",Long2[[#This Row],[Adj Close]]/N281-1)</f>
        <v>-6.4900125920701157E-2</v>
      </c>
      <c r="P280" s="29">
        <v>43136</v>
      </c>
      <c r="Q280" s="44">
        <v>23.083065000000001</v>
      </c>
      <c r="R280" s="33">
        <f>IF(ISBLANK(Q281),"",Long3[[#This Row],[Adj Close]]/Q281-1)</f>
        <v>-3.6229654849855852E-2</v>
      </c>
      <c r="S280" s="37">
        <v>43136</v>
      </c>
      <c r="T280" s="44">
        <v>31.759229999999999</v>
      </c>
      <c r="U280" s="36">
        <f>IF(ISBLANK(T281),"",Long4[[#This Row],[Adj Close]]/T281-1)</f>
        <v>-8.6845197359216475E-2</v>
      </c>
      <c r="V280" s="29">
        <v>43136</v>
      </c>
      <c r="W280" s="44">
        <v>36.359668999999997</v>
      </c>
      <c r="X280" s="33">
        <f>IF(ISBLANK(W281),"",Long5[[#This Row],[Adj Close]]/W281-1)</f>
        <v>-5.7607945111228243E-2</v>
      </c>
      <c r="Y280" s="37">
        <v>43136</v>
      </c>
      <c r="Z280" s="44">
        <v>139.83866900000001</v>
      </c>
      <c r="AA280" s="36">
        <f>IF(ISBLANK(Z281),"",Long6[[#This Row],[Adj Close]]/Z281-1)</f>
        <v>-8.0205616782071276E-2</v>
      </c>
      <c r="AH280" s="29">
        <v>43136</v>
      </c>
      <c r="AI280" s="44">
        <v>63.233508999999998</v>
      </c>
      <c r="AJ280" s="33">
        <f>IF(ISBLANK(AI281),"",Short0[[#This Row],[Adj Close]]/AI281-1)</f>
        <v>-5.559964653338656E-2</v>
      </c>
      <c r="AK280" s="37">
        <v>43136</v>
      </c>
      <c r="AL280" s="44">
        <v>60.187964999999998</v>
      </c>
      <c r="AM280" s="36">
        <f>IF(ISBLANK(AL281),"",Short1[[#This Row],[Adj Close]]/AL281-1)</f>
        <v>-6.7377112228654834E-3</v>
      </c>
      <c r="AN280" s="29">
        <v>43136</v>
      </c>
      <c r="AO280" s="44">
        <v>55.751579</v>
      </c>
      <c r="AP280" s="33">
        <f>IF(ISBLANK(AO281),"",Short2[[#This Row],[Adj Close]]/AO281-1)</f>
        <v>-2.215924346068443E-2</v>
      </c>
      <c r="AQ280" s="37">
        <v>43136</v>
      </c>
      <c r="AR280" s="44">
        <v>86.830001999999993</v>
      </c>
      <c r="AS280" s="36">
        <f>IF(ISBLANK(AR281),"",Short3[[#This Row],[Adj Close]]/AR281-1)</f>
        <v>-4.8229758361402308E-2</v>
      </c>
    </row>
    <row r="281" spans="1:45" x14ac:dyDescent="0.25">
      <c r="A281" s="37">
        <v>43129</v>
      </c>
      <c r="B281" s="39">
        <v>2762.1298830000001</v>
      </c>
      <c r="C281" s="36">
        <f>IF(ISBLANK(B282), "", GSPC[[#This Row],[Adj Close]]/B282-1)</f>
        <v>-3.8546898916419048E-2</v>
      </c>
      <c r="D28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55497.751451999997</v>
      </c>
      <c r="E28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29876.282582</v>
      </c>
      <c r="F281" s="11">
        <f>IF(ISBLANK(GSPC[[#This Row],[Long Exp.]]), "", (GSPC[[#This Row],[Long Exp.]]/D282-1)+(E282/GSPC[[#This Row],[Short Exp.]]-1))</f>
        <v>-1.412603217023245E-2</v>
      </c>
      <c r="G281" s="37">
        <v>43129</v>
      </c>
      <c r="H281" s="44">
        <v>38.550204999999998</v>
      </c>
      <c r="I281" s="36">
        <f>IF(ISBLANK(H282), "", Long0[[#This Row],[Adj Close]]/H282-1)</f>
        <v>-8.8744599540365732E-2</v>
      </c>
      <c r="J281" s="29">
        <v>43129</v>
      </c>
      <c r="K281" s="44">
        <v>32.448017</v>
      </c>
      <c r="L281" s="33">
        <f>IF(ISBLANK(K282),"",Long1[[#This Row],[Adj Close]]/K282-1)</f>
        <v>-2.9782852132531512E-2</v>
      </c>
      <c r="M281" s="37">
        <v>43129</v>
      </c>
      <c r="N281" s="44">
        <v>24.742556</v>
      </c>
      <c r="O281" s="36">
        <f>IF(ISBLANK(N282),"",Long2[[#This Row],[Adj Close]]/N282-1)</f>
        <v>-5.7205015958986194E-2</v>
      </c>
      <c r="P281" s="29">
        <v>43129</v>
      </c>
      <c r="Q281" s="44">
        <v>23.950793999999998</v>
      </c>
      <c r="R281" s="33">
        <f>IF(ISBLANK(Q282),"",Long3[[#This Row],[Adj Close]]/Q282-1)</f>
        <v>-2.5616803781636888E-2</v>
      </c>
      <c r="S281" s="37">
        <v>43129</v>
      </c>
      <c r="T281" s="44">
        <v>34.779677999999997</v>
      </c>
      <c r="U281" s="36">
        <f>IF(ISBLANK(T282),"",Long4[[#This Row],[Adj Close]]/T282-1)</f>
        <v>-4.6285367770629526E-2</v>
      </c>
      <c r="V281" s="29">
        <v>43129</v>
      </c>
      <c r="W281" s="44">
        <v>38.582317000000003</v>
      </c>
      <c r="X281" s="33">
        <f>IF(ISBLANK(W282),"",Long5[[#This Row],[Adj Close]]/W282-1)</f>
        <v>3.350568359541839E-3</v>
      </c>
      <c r="Y281" s="37">
        <v>43129</v>
      </c>
      <c r="Z281" s="44">
        <v>152.032532</v>
      </c>
      <c r="AA281" s="36">
        <f>IF(ISBLANK(Z282),"",Long6[[#This Row],[Adj Close]]/Z282-1)</f>
        <v>-8.5655313478934403E-2</v>
      </c>
      <c r="AH281" s="29">
        <v>43129</v>
      </c>
      <c r="AI281" s="44">
        <v>66.956253000000004</v>
      </c>
      <c r="AJ281" s="33">
        <f>IF(ISBLANK(AI282),"",Short0[[#This Row],[Adj Close]]/AI282-1)</f>
        <v>-4.2385287354160806E-3</v>
      </c>
      <c r="AK281" s="37">
        <v>43129</v>
      </c>
      <c r="AL281" s="44">
        <v>60.596245000000003</v>
      </c>
      <c r="AM281" s="36">
        <f>IF(ISBLANK(AL282),"",Short1[[#This Row],[Adj Close]]/AL282-1)</f>
        <v>-8.4906890150882819E-2</v>
      </c>
      <c r="AN281" s="29">
        <v>43129</v>
      </c>
      <c r="AO281" s="44">
        <v>57.014988000000002</v>
      </c>
      <c r="AP281" s="33">
        <f>IF(ISBLANK(AO282),"",Short2[[#This Row],[Adj Close]]/AO282-1)</f>
        <v>-0.11451057258136199</v>
      </c>
      <c r="AQ281" s="37">
        <v>43129</v>
      </c>
      <c r="AR281" s="44">
        <v>91.230002999999996</v>
      </c>
      <c r="AS281" s="36">
        <f>IF(ISBLANK(AR282),"",Short3[[#This Row],[Adj Close]]/AR282-1)</f>
        <v>-1.3409732741324398E-2</v>
      </c>
    </row>
    <row r="282" spans="1:45" x14ac:dyDescent="0.25">
      <c r="A282" s="37">
        <v>43122</v>
      </c>
      <c r="B282" s="39">
        <v>2872.8701169999999</v>
      </c>
      <c r="C282" s="36">
        <f>IF(ISBLANK(B283), "", GSPC[[#This Row],[Adj Close]]/B283-1)</f>
        <v>2.2264550727337573E-2</v>
      </c>
      <c r="D28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59365.109768999995</v>
      </c>
      <c r="E28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31400.548862</v>
      </c>
      <c r="F282" s="11">
        <f>IF(ISBLANK(GSPC[[#This Row],[Long Exp.]]), "", (GSPC[[#This Row],[Long Exp.]]/D283-1)+(E283/GSPC[[#This Row],[Short Exp.]]-1))</f>
        <v>-1.6317421732413573E-2</v>
      </c>
      <c r="G282" s="37">
        <v>43122</v>
      </c>
      <c r="H282" s="44">
        <v>42.304501000000002</v>
      </c>
      <c r="I282" s="36">
        <f>IF(ISBLANK(H283), "", Long0[[#This Row],[Adj Close]]/H283-1)</f>
        <v>-1.1341788024598509E-2</v>
      </c>
      <c r="J282" s="29">
        <v>43122</v>
      </c>
      <c r="K282" s="44">
        <v>33.444077</v>
      </c>
      <c r="L282" s="33">
        <f>IF(ISBLANK(K283),"",Long1[[#This Row],[Adj Close]]/K283-1)</f>
        <v>7.8166178163210365E-3</v>
      </c>
      <c r="M282" s="37">
        <v>43122</v>
      </c>
      <c r="N282" s="44">
        <v>26.243835000000001</v>
      </c>
      <c r="O282" s="36">
        <f>IF(ISBLANK(N283),"",Long2[[#This Row],[Adj Close]]/N283-1)</f>
        <v>4.1085695291850355E-2</v>
      </c>
      <c r="P282" s="29">
        <v>43122</v>
      </c>
      <c r="Q282" s="44">
        <v>24.580466999999999</v>
      </c>
      <c r="R282" s="33">
        <f>IF(ISBLANK(Q283),"",Long3[[#This Row],[Adj Close]]/Q283-1)</f>
        <v>1.3295060803968806E-2</v>
      </c>
      <c r="S282" s="37">
        <v>43122</v>
      </c>
      <c r="T282" s="44">
        <v>36.467593999999998</v>
      </c>
      <c r="U282" s="36">
        <f>IF(ISBLANK(T283),"",Long4[[#This Row],[Adj Close]]/T283-1)</f>
        <v>-1.0843224310504662E-2</v>
      </c>
      <c r="V282" s="29">
        <v>43122</v>
      </c>
      <c r="W282" s="44">
        <v>38.453476000000002</v>
      </c>
      <c r="X282" s="33">
        <f>IF(ISBLANK(W283),"",Long5[[#This Row],[Adj Close]]/W283-1)</f>
        <v>7.5450596839305772E-2</v>
      </c>
      <c r="Y282" s="37">
        <v>43122</v>
      </c>
      <c r="Z282" s="44">
        <v>166.274857</v>
      </c>
      <c r="AA282" s="36">
        <f>IF(ISBLANK(Z283),"",Long6[[#This Row],[Adj Close]]/Z283-1)</f>
        <v>-0.16302489521228791</v>
      </c>
      <c r="AH282" s="29">
        <v>43122</v>
      </c>
      <c r="AI282" s="44">
        <v>67.241257000000004</v>
      </c>
      <c r="AJ282" s="33">
        <f>IF(ISBLANK(AI283),"",Short0[[#This Row],[Adj Close]]/AI283-1)</f>
        <v>1.3286691873384715E-2</v>
      </c>
      <c r="AK282" s="37">
        <v>43122</v>
      </c>
      <c r="AL282" s="44">
        <v>66.218665999999999</v>
      </c>
      <c r="AM282" s="36">
        <f>IF(ISBLANK(AL283),"",Short1[[#This Row],[Adj Close]]/AL283-1)</f>
        <v>1.2880917128764047E-2</v>
      </c>
      <c r="AN282" s="29">
        <v>43122</v>
      </c>
      <c r="AO282" s="44">
        <v>64.388107000000005</v>
      </c>
      <c r="AP282" s="33">
        <f>IF(ISBLANK(AO283),"",Short2[[#This Row],[Adj Close]]/AO283-1)</f>
        <v>-5.5694845923629721E-2</v>
      </c>
      <c r="AQ282" s="37">
        <v>43122</v>
      </c>
      <c r="AR282" s="44">
        <v>92.470000999999996</v>
      </c>
      <c r="AS282" s="36">
        <f>IF(ISBLANK(AR283),"",Short3[[#This Row],[Adj Close]]/AR283-1)</f>
        <v>2.8129852609965367E-2</v>
      </c>
    </row>
    <row r="283" spans="1:45" x14ac:dyDescent="0.25">
      <c r="A283" s="37">
        <v>43115</v>
      </c>
      <c r="B283" s="39">
        <v>2810.3000489999999</v>
      </c>
      <c r="C283" s="36">
        <f>IF(ISBLANK(B284), "", GSPC[[#This Row],[Adj Close]]/B284-1)</f>
        <v>8.6353146485418364E-3</v>
      </c>
      <c r="D28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60432.496184999996</v>
      </c>
      <c r="E28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31442.783734000001</v>
      </c>
      <c r="F283" s="11">
        <f>IF(ISBLANK(GSPC[[#This Row],[Long Exp.]]), "", (GSPC[[#This Row],[Long Exp.]]/D284-1)+(E284/GSPC[[#This Row],[Short Exp.]]-1))</f>
        <v>-3.0957901393863452E-2</v>
      </c>
      <c r="G283" s="37">
        <v>43115</v>
      </c>
      <c r="H283" s="44">
        <v>42.789814</v>
      </c>
      <c r="I283" s="36">
        <f>IF(ISBLANK(H284), "", Long0[[#This Row],[Adj Close]]/H284-1)</f>
        <v>-3.6246657593300702E-3</v>
      </c>
      <c r="J283" s="29">
        <v>43115</v>
      </c>
      <c r="K283" s="44">
        <v>33.184685000000002</v>
      </c>
      <c r="L283" s="33">
        <f>IF(ISBLANK(K284),"",Long1[[#This Row],[Adj Close]]/K284-1)</f>
        <v>9.8936124725859109E-3</v>
      </c>
      <c r="M283" s="37">
        <v>43115</v>
      </c>
      <c r="N283" s="44">
        <v>25.208141000000001</v>
      </c>
      <c r="O283" s="36">
        <f>IF(ISBLANK(N284),"",Long2[[#This Row],[Adj Close]]/N284-1)</f>
        <v>-2.5349169954599682E-2</v>
      </c>
      <c r="P283" s="29">
        <v>43115</v>
      </c>
      <c r="Q283" s="44">
        <v>24.257956</v>
      </c>
      <c r="R283" s="33">
        <f>IF(ISBLANK(Q284),"",Long3[[#This Row],[Adj Close]]/Q284-1)</f>
        <v>1.6409567960204985E-2</v>
      </c>
      <c r="S283" s="37">
        <v>43115</v>
      </c>
      <c r="T283" s="44">
        <v>36.867355000000003</v>
      </c>
      <c r="U283" s="36">
        <f>IF(ISBLANK(T284),"",Long4[[#This Row],[Adj Close]]/T284-1)</f>
        <v>2.9776876283612586E-2</v>
      </c>
      <c r="V283" s="29">
        <v>43115</v>
      </c>
      <c r="W283" s="44">
        <v>35.755687999999999</v>
      </c>
      <c r="X283" s="33">
        <f>IF(ISBLANK(W284),"",Long5[[#This Row],[Adj Close]]/W284-1)</f>
        <v>-1.5084331592013278E-2</v>
      </c>
      <c r="Y283" s="37">
        <v>43115</v>
      </c>
      <c r="Z283" s="44">
        <v>198.661652</v>
      </c>
      <c r="AA283" s="36">
        <f>IF(ISBLANK(Z284),"",Long6[[#This Row],[Adj Close]]/Z284-1)</f>
        <v>3.5859655104672372E-2</v>
      </c>
      <c r="AH283" s="29">
        <v>43115</v>
      </c>
      <c r="AI283" s="44">
        <v>66.359558000000007</v>
      </c>
      <c r="AJ283" s="33">
        <f>IF(ISBLANK(AI284),"",Short0[[#This Row],[Adj Close]]/AI284-1)</f>
        <v>4.9141209908815986E-2</v>
      </c>
      <c r="AK283" s="37">
        <v>43115</v>
      </c>
      <c r="AL283" s="44">
        <v>65.376555999999994</v>
      </c>
      <c r="AM283" s="36">
        <f>IF(ISBLANK(AL284),"",Short1[[#This Row],[Adj Close]]/AL284-1)</f>
        <v>4.9283214179326684E-2</v>
      </c>
      <c r="AN283" s="29">
        <v>43115</v>
      </c>
      <c r="AO283" s="44">
        <v>68.185699</v>
      </c>
      <c r="AP283" s="33">
        <f>IF(ISBLANK(AO284),"",Short2[[#This Row],[Adj Close]]/AO284-1)</f>
        <v>3.6962194389949854E-2</v>
      </c>
      <c r="AQ283" s="37">
        <v>43115</v>
      </c>
      <c r="AR283" s="44">
        <v>89.940002000000007</v>
      </c>
      <c r="AS283" s="36">
        <f>IF(ISBLANK(AR284),"",Short3[[#This Row],[Adj Close]]/AR284-1)</f>
        <v>3.3467537187277241E-3</v>
      </c>
    </row>
    <row r="284" spans="1:45" x14ac:dyDescent="0.25">
      <c r="A284" s="37">
        <v>43108</v>
      </c>
      <c r="B284" s="39">
        <v>2786.23999</v>
      </c>
      <c r="C284" s="36">
        <f>IF(ISBLANK(B285), "", GSPC[[#This Row],[Adj Close]]/B285-1)</f>
        <v>1.5708251294828335E-2</v>
      </c>
      <c r="D28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60194.278365999999</v>
      </c>
      <c r="E28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30344.946860999997</v>
      </c>
      <c r="F284" s="11">
        <f>IF(ISBLANK(GSPC[[#This Row],[Long Exp.]]), "", (GSPC[[#This Row],[Long Exp.]]/D285-1)+(E285/GSPC[[#This Row],[Short Exp.]]-1))</f>
        <v>9.75610588156961E-3</v>
      </c>
      <c r="G284" s="37">
        <v>43108</v>
      </c>
      <c r="H284" s="44">
        <v>42.945476999999997</v>
      </c>
      <c r="I284" s="36">
        <f>IF(ISBLANK(H285), "", Long0[[#This Row],[Adj Close]]/H285-1)</f>
        <v>5.2986026298735611E-2</v>
      </c>
      <c r="J284" s="29">
        <v>43108</v>
      </c>
      <c r="K284" s="44">
        <v>32.859585000000003</v>
      </c>
      <c r="L284" s="33">
        <f>IF(ISBLANK(K285),"",Long1[[#This Row],[Adj Close]]/K285-1)</f>
        <v>4.3148910784499117E-2</v>
      </c>
      <c r="M284" s="37">
        <v>43108</v>
      </c>
      <c r="N284" s="44">
        <v>25.863765999999998</v>
      </c>
      <c r="O284" s="36">
        <f>IF(ISBLANK(N285),"",Long2[[#This Row],[Adj Close]]/N285-1)</f>
        <v>1.3402947295830581E-2</v>
      </c>
      <c r="P284" s="29">
        <v>43108</v>
      </c>
      <c r="Q284" s="44">
        <v>23.866320000000002</v>
      </c>
      <c r="R284" s="33">
        <f>IF(ISBLANK(Q285),"",Long3[[#This Row],[Adj Close]]/Q285-1)</f>
        <v>4.2003252225728538E-3</v>
      </c>
      <c r="S284" s="37">
        <v>43108</v>
      </c>
      <c r="T284" s="44">
        <v>35.801304000000002</v>
      </c>
      <c r="U284" s="36">
        <f>IF(ISBLANK(T285),"",Long4[[#This Row],[Adj Close]]/T285-1)</f>
        <v>7.4998597149757984E-3</v>
      </c>
      <c r="V284" s="29">
        <v>43108</v>
      </c>
      <c r="W284" s="44">
        <v>36.303299000000003</v>
      </c>
      <c r="X284" s="33">
        <f>IF(ISBLANK(W285),"",Long5[[#This Row],[Adj Close]]/W285-1)</f>
        <v>0.13551634602400986</v>
      </c>
      <c r="Y284" s="37">
        <v>43108</v>
      </c>
      <c r="Z284" s="44">
        <v>191.78433200000001</v>
      </c>
      <c r="AA284" s="36">
        <f>IF(ISBLANK(Z285),"",Long6[[#This Row],[Adj Close]]/Z285-1)</f>
        <v>9.6486305585305798E-2</v>
      </c>
      <c r="AH284" s="29">
        <v>43108</v>
      </c>
      <c r="AI284" s="44">
        <v>63.251311999999999</v>
      </c>
      <c r="AJ284" s="33">
        <f>IF(ISBLANK(AI285),"",Short0[[#This Row],[Adj Close]]/AI285-1)</f>
        <v>4.5642047765392713E-2</v>
      </c>
      <c r="AK284" s="37">
        <v>43108</v>
      </c>
      <c r="AL284" s="44">
        <v>62.30592</v>
      </c>
      <c r="AM284" s="36">
        <f>IF(ISBLANK(AL285),"",Short1[[#This Row],[Adj Close]]/AL285-1)</f>
        <v>6.3597823556429622E-2</v>
      </c>
      <c r="AN284" s="29">
        <v>43108</v>
      </c>
      <c r="AO284" s="44">
        <v>65.755240999999998</v>
      </c>
      <c r="AP284" s="33">
        <f>IF(ISBLANK(AO285),"",Short2[[#This Row],[Adj Close]]/AO285-1)</f>
        <v>2.4859520493125231E-2</v>
      </c>
      <c r="AQ284" s="37">
        <v>43108</v>
      </c>
      <c r="AR284" s="44">
        <v>89.639999000000003</v>
      </c>
      <c r="AS284" s="36">
        <f>IF(ISBLANK(AR285),"",Short3[[#This Row],[Adj Close]]/AR285-1)</f>
        <v>2.0027333410127524E-2</v>
      </c>
    </row>
    <row r="285" spans="1:45" x14ac:dyDescent="0.25">
      <c r="A285" s="37">
        <v>43101</v>
      </c>
      <c r="B285" s="39">
        <v>2743.1499020000001</v>
      </c>
      <c r="C285" s="36">
        <f>IF(ISBLANK(B286), "", GSPC[[#This Row],[Adj Close]]/B286-1)</f>
        <v>2.6009699326738911E-2</v>
      </c>
      <c r="D28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57529.618088000003</v>
      </c>
      <c r="E28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29235.476318999998</v>
      </c>
      <c r="F285" s="11">
        <f>IF(ISBLANK(GSPC[[#This Row],[Long Exp.]]), "", (GSPC[[#This Row],[Long Exp.]]/D286-1)+(E286/GSPC[[#This Row],[Short Exp.]]-1))</f>
        <v>1.1663980015166886E-2</v>
      </c>
      <c r="G285" s="37">
        <v>43101</v>
      </c>
      <c r="H285" s="44">
        <v>40.784469999999999</v>
      </c>
      <c r="I285" s="36">
        <f>IF(ISBLANK(H286), "", Long0[[#This Row],[Adj Close]]/H286-1)</f>
        <v>5.2706092512760705E-2</v>
      </c>
      <c r="J285" s="29">
        <v>43101</v>
      </c>
      <c r="K285" s="44">
        <v>31.500378000000001</v>
      </c>
      <c r="L285" s="33">
        <f>IF(ISBLANK(K286),"",Long1[[#This Row],[Adj Close]]/K286-1)</f>
        <v>-5.5682458958399295E-3</v>
      </c>
      <c r="M285" s="37">
        <v>43101</v>
      </c>
      <c r="N285" s="44">
        <v>25.521699999999999</v>
      </c>
      <c r="O285" s="36">
        <f>IF(ISBLANK(N286),"",Long2[[#This Row],[Adj Close]]/N286-1)</f>
        <v>4.6765437500556395E-2</v>
      </c>
      <c r="P285" s="29">
        <v>43101</v>
      </c>
      <c r="Q285" s="44">
        <v>23.766493000000001</v>
      </c>
      <c r="R285" s="33">
        <f>IF(ISBLANK(Q286),"",Long3[[#This Row],[Adj Close]]/Q286-1)</f>
        <v>0</v>
      </c>
      <c r="S285" s="37">
        <v>43101</v>
      </c>
      <c r="T285" s="44">
        <v>35.534798000000002</v>
      </c>
      <c r="U285" s="36">
        <f>IF(ISBLANK(T286),"",Long4[[#This Row],[Adj Close]]/T286-1)</f>
        <v>-6.2113611256592316E-3</v>
      </c>
      <c r="V285" s="29">
        <v>43101</v>
      </c>
      <c r="W285" s="44">
        <v>31.970741</v>
      </c>
      <c r="X285" s="33">
        <f>IF(ISBLANK(W286),"",Long5[[#This Row],[Adj Close]]/W286-1)</f>
        <v>1.8471205345317543E-2</v>
      </c>
      <c r="Y285" s="37">
        <v>43101</v>
      </c>
      <c r="Z285" s="44">
        <v>174.908096</v>
      </c>
      <c r="AA285" s="36">
        <f>IF(ISBLANK(Z286),"",Long6[[#This Row],[Adj Close]]/Z286-1)</f>
        <v>3.8517206198586118E-2</v>
      </c>
      <c r="AH285" s="29">
        <v>43101</v>
      </c>
      <c r="AI285" s="44">
        <v>60.490406</v>
      </c>
      <c r="AJ285" s="33">
        <f>IF(ISBLANK(AI286),"",Short0[[#This Row],[Adj Close]]/AI286-1)</f>
        <v>-2.2593182971719528E-2</v>
      </c>
      <c r="AK285" s="37">
        <v>43101</v>
      </c>
      <c r="AL285" s="44">
        <v>58.580337999999998</v>
      </c>
      <c r="AM285" s="36">
        <f>IF(ISBLANK(AL286),"",Short1[[#This Row],[Adj Close]]/AL286-1)</f>
        <v>5.8419713248778482E-3</v>
      </c>
      <c r="AN285" s="29">
        <v>43101</v>
      </c>
      <c r="AO285" s="44">
        <v>64.160247999999996</v>
      </c>
      <c r="AP285" s="33">
        <f>IF(ISBLANK(AO286),"",Short2[[#This Row],[Adj Close]]/AO286-1)</f>
        <v>6.8627417179321748E-2</v>
      </c>
      <c r="AQ285" s="37">
        <v>43101</v>
      </c>
      <c r="AR285" s="44">
        <v>87.879997000000003</v>
      </c>
      <c r="AS285" s="36">
        <f>IF(ISBLANK(AR286),"",Short3[[#This Row],[Adj Close]]/AR286-1)</f>
        <v>6.0840188838251485E-2</v>
      </c>
    </row>
    <row r="286" spans="1:45" x14ac:dyDescent="0.25">
      <c r="A286" s="37">
        <v>43094</v>
      </c>
      <c r="B286" s="39">
        <v>2673.610107</v>
      </c>
      <c r="C286" s="36">
        <f>IF(ISBLANK(B287), "", GSPC[[#This Row],[Adj Close]]/B287-1)</f>
        <v>-3.6260707479878196E-3</v>
      </c>
      <c r="D28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55629.636476999993</v>
      </c>
      <c r="E28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28577.966189999999</v>
      </c>
      <c r="F286" s="11">
        <f>IF(ISBLANK(GSPC[[#This Row],[Long Exp.]]), "", (GSPC[[#This Row],[Long Exp.]]/D287-1)+(E287/GSPC[[#This Row],[Short Exp.]]-1))</f>
        <v>-2.5766883902214044E-3</v>
      </c>
      <c r="G286" s="37">
        <v>43094</v>
      </c>
      <c r="H286" s="44">
        <v>38.742503999999997</v>
      </c>
      <c r="I286" s="36">
        <f>IF(ISBLANK(H287), "", Long0[[#This Row],[Adj Close]]/H287-1)</f>
        <v>6.1832639945422763E-3</v>
      </c>
      <c r="J286" s="29">
        <v>43094</v>
      </c>
      <c r="K286" s="44">
        <v>31.676762</v>
      </c>
      <c r="L286" s="33">
        <f>IF(ISBLANK(K287),"",Long1[[#This Row],[Adj Close]]/K287-1)</f>
        <v>1.7553565312576014E-2</v>
      </c>
      <c r="M286" s="37">
        <v>43094</v>
      </c>
      <c r="N286" s="44">
        <v>24.381488999999998</v>
      </c>
      <c r="O286" s="36">
        <f>IF(ISBLANK(N287),"",Long2[[#This Row],[Adj Close]]/N287-1)</f>
        <v>5.4860388871689203E-3</v>
      </c>
      <c r="P286" s="29">
        <v>43094</v>
      </c>
      <c r="Q286" s="44">
        <v>23.766493000000001</v>
      </c>
      <c r="R286" s="33">
        <f>IF(ISBLANK(Q287),"",Long3[[#This Row],[Adj Close]]/Q287-1)</f>
        <v>-5.7823313372697971E-3</v>
      </c>
      <c r="S286" s="37">
        <v>43094</v>
      </c>
      <c r="T286" s="44">
        <v>35.756897000000002</v>
      </c>
      <c r="U286" s="36">
        <f>IF(ISBLANK(T287),"",Long4[[#This Row],[Adj Close]]/T287-1)</f>
        <v>-1.4687609164299675E-2</v>
      </c>
      <c r="V286" s="29">
        <v>43094</v>
      </c>
      <c r="W286" s="44">
        <v>31.390913000000001</v>
      </c>
      <c r="X286" s="33">
        <f>IF(ISBLANK(W287),"",Long5[[#This Row],[Adj Close]]/W287-1)</f>
        <v>1.6427799589451508E-2</v>
      </c>
      <c r="Y286" s="37">
        <v>43094</v>
      </c>
      <c r="Z286" s="44">
        <v>168.42098999999999</v>
      </c>
      <c r="AA286" s="36">
        <f>IF(ISBLANK(Z287),"",Long6[[#This Row],[Adj Close]]/Z287-1)</f>
        <v>-1.6519502247574369E-2</v>
      </c>
      <c r="AH286" s="29">
        <v>43094</v>
      </c>
      <c r="AI286" s="44">
        <v>61.888668000000003</v>
      </c>
      <c r="AJ286" s="33">
        <f>IF(ISBLANK(AI287),"",Short0[[#This Row],[Adj Close]]/AI287-1)</f>
        <v>6.6256226525795991E-3</v>
      </c>
      <c r="AK286" s="37">
        <v>43094</v>
      </c>
      <c r="AL286" s="44">
        <v>58.240101000000003</v>
      </c>
      <c r="AM286" s="36">
        <f>IF(ISBLANK(AL287),"",Short1[[#This Row],[Adj Close]]/AL287-1)</f>
        <v>2.0265317573671782E-2</v>
      </c>
      <c r="AN286" s="29">
        <v>43094</v>
      </c>
      <c r="AO286" s="44">
        <v>60.039867000000001</v>
      </c>
      <c r="AP286" s="33">
        <f>IF(ISBLANK(AO287),"",Short2[[#This Row],[Adj Close]]/AO287-1)</f>
        <v>-1.1875020675129133E-2</v>
      </c>
      <c r="AQ286" s="37">
        <v>43094</v>
      </c>
      <c r="AR286" s="44">
        <v>82.839995999999999</v>
      </c>
      <c r="AS286" s="36">
        <f>IF(ISBLANK(AR287),"",Short3[[#This Row],[Adj Close]]/AR287-1)</f>
        <v>1.0875649546828736E-3</v>
      </c>
    </row>
    <row r="287" spans="1:45" x14ac:dyDescent="0.25">
      <c r="A287" s="37">
        <v>43087</v>
      </c>
      <c r="B287" s="39">
        <v>2683.3400879999999</v>
      </c>
      <c r="C287" s="36">
        <f>IF(ISBLANK(B288), "", GSPC[[#This Row],[Adj Close]]/B288-1)</f>
        <v>2.8141119264699643E-3</v>
      </c>
      <c r="D28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55589.534258000007</v>
      </c>
      <c r="E28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28483.713567999999</v>
      </c>
      <c r="F287" s="11">
        <f>IF(ISBLANK(GSPC[[#This Row],[Long Exp.]]), "", (GSPC[[#This Row],[Long Exp.]]/D288-1)+(E288/GSPC[[#This Row],[Short Exp.]]-1))</f>
        <v>-4.7798057103842773E-4</v>
      </c>
      <c r="G287" s="37">
        <v>43087</v>
      </c>
      <c r="H287" s="44">
        <v>38.504421000000001</v>
      </c>
      <c r="I287" s="36">
        <f>IF(ISBLANK(H288), "", Long0[[#This Row],[Adj Close]]/H288-1)</f>
        <v>3.7759013775329642E-2</v>
      </c>
      <c r="J287" s="29">
        <v>43087</v>
      </c>
      <c r="K287" s="44">
        <v>31.130313999999998</v>
      </c>
      <c r="L287" s="33">
        <f>IF(ISBLANK(K288),"",Long1[[#This Row],[Adj Close]]/K288-1)</f>
        <v>0.16126958424282378</v>
      </c>
      <c r="M287" s="37">
        <v>43087</v>
      </c>
      <c r="N287" s="44">
        <v>24.248460999999999</v>
      </c>
      <c r="O287" s="36">
        <f>IF(ISBLANK(N288),"",Long2[[#This Row],[Adj Close]]/N288-1)</f>
        <v>2.407696513415325E-2</v>
      </c>
      <c r="P287" s="29">
        <v>43087</v>
      </c>
      <c r="Q287" s="44">
        <v>23.904717999999999</v>
      </c>
      <c r="R287" s="33">
        <f>IF(ISBLANK(Q288),"",Long3[[#This Row],[Adj Close]]/Q288-1)</f>
        <v>-8.3603348642187325E-2</v>
      </c>
      <c r="S287" s="37">
        <v>43087</v>
      </c>
      <c r="T287" s="44">
        <v>36.289909000000002</v>
      </c>
      <c r="U287" s="36">
        <f>IF(ISBLANK(T288),"",Long4[[#This Row],[Adj Close]]/T288-1)</f>
        <v>1.616908558357677E-2</v>
      </c>
      <c r="V287" s="29">
        <v>43087</v>
      </c>
      <c r="W287" s="44">
        <v>30.883564</v>
      </c>
      <c r="X287" s="33">
        <f>IF(ISBLANK(W288),"",Long5[[#This Row],[Adj Close]]/W288-1)</f>
        <v>-6.2576710803442959E-2</v>
      </c>
      <c r="Y287" s="37">
        <v>43087</v>
      </c>
      <c r="Z287" s="44">
        <v>171.249954</v>
      </c>
      <c r="AA287" s="36">
        <f>IF(ISBLANK(Z288),"",Long6[[#This Row],[Adj Close]]/Z288-1)</f>
        <v>2.9499561901979776E-2</v>
      </c>
      <c r="AH287" s="29">
        <v>43087</v>
      </c>
      <c r="AI287" s="44">
        <v>61.481316</v>
      </c>
      <c r="AJ287" s="33">
        <f>IF(ISBLANK(AI288),"",Short0[[#This Row],[Adj Close]]/AI288-1)</f>
        <v>-1.0780285054260763E-2</v>
      </c>
      <c r="AK287" s="37">
        <v>43087</v>
      </c>
      <c r="AL287" s="44">
        <v>57.083289999999998</v>
      </c>
      <c r="AM287" s="36">
        <f>IF(ISBLANK(AL288),"",Short1[[#This Row],[Adj Close]]/AL288-1)</f>
        <v>2.7403601601606153E-2</v>
      </c>
      <c r="AN287" s="29">
        <v>43087</v>
      </c>
      <c r="AO287" s="44">
        <v>60.761409999999998</v>
      </c>
      <c r="AP287" s="33">
        <f>IF(ISBLANK(AO288),"",Short2[[#This Row],[Adj Close]]/AO288-1)</f>
        <v>4.2345361249631175E-2</v>
      </c>
      <c r="AQ287" s="37">
        <v>43087</v>
      </c>
      <c r="AR287" s="44">
        <v>82.75</v>
      </c>
      <c r="AS287" s="36">
        <f>IF(ISBLANK(AR288),"",Short3[[#This Row],[Adj Close]]/AR288-1)</f>
        <v>3.5168688275148963E-3</v>
      </c>
    </row>
    <row r="288" spans="1:45" x14ac:dyDescent="0.25">
      <c r="A288" s="37">
        <v>43080</v>
      </c>
      <c r="B288" s="39">
        <v>2675.8100589999999</v>
      </c>
      <c r="C288" s="36">
        <f>IF(ISBLANK(B289), "", GSPC[[#This Row],[Adj Close]]/B289-1)</f>
        <v>9.1684174995285694E-3</v>
      </c>
      <c r="D28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54953.454936000009</v>
      </c>
      <c r="E28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28140.403507999999</v>
      </c>
      <c r="F288" s="11">
        <f>IF(ISBLANK(GSPC[[#This Row],[Long Exp.]]), "", (GSPC[[#This Row],[Long Exp.]]/D289-1)+(E289/GSPC[[#This Row],[Short Exp.]]-1))</f>
        <v>1.7089773053167168E-2</v>
      </c>
      <c r="G288" s="37">
        <v>43080</v>
      </c>
      <c r="H288" s="44">
        <v>37.103431999999998</v>
      </c>
      <c r="I288" s="36">
        <f>IF(ISBLANK(H289), "", Long0[[#This Row],[Adj Close]]/H289-1)</f>
        <v>4.7840952569333739E-2</v>
      </c>
      <c r="J288" s="29">
        <v>43080</v>
      </c>
      <c r="K288" s="44">
        <v>26.807137999999998</v>
      </c>
      <c r="L288" s="33">
        <f>IF(ISBLANK(K289),"",Long1[[#This Row],[Adj Close]]/K289-1)</f>
        <v>3.1059565859083982E-3</v>
      </c>
      <c r="M288" s="37">
        <v>43080</v>
      </c>
      <c r="N288" s="44">
        <v>23.678357999999999</v>
      </c>
      <c r="O288" s="36">
        <f>IF(ISBLANK(N289),"",Long2[[#This Row],[Adj Close]]/N289-1)</f>
        <v>5.6145520539663485E-2</v>
      </c>
      <c r="P288" s="29">
        <v>43080</v>
      </c>
      <c r="Q288" s="44">
        <v>26.085557999999999</v>
      </c>
      <c r="R288" s="33">
        <f>IF(ISBLANK(Q289),"",Long3[[#This Row],[Adj Close]]/Q289-1)</f>
        <v>-4.2547967572343914E-3</v>
      </c>
      <c r="S288" s="37">
        <v>43080</v>
      </c>
      <c r="T288" s="44">
        <v>35.712471000000001</v>
      </c>
      <c r="U288" s="36">
        <f>IF(ISBLANK(T289),"",Long4[[#This Row],[Adj Close]]/T289-1)</f>
        <v>8.7830079929576144E-3</v>
      </c>
      <c r="V288" s="29">
        <v>43080</v>
      </c>
      <c r="W288" s="44">
        <v>32.945163999999998</v>
      </c>
      <c r="X288" s="33">
        <f>IF(ISBLANK(W289),"",Long5[[#This Row],[Adj Close]]/W289-1)</f>
        <v>5.1594368059757478E-3</v>
      </c>
      <c r="Y288" s="37">
        <v>43080</v>
      </c>
      <c r="Z288" s="44">
        <v>166.34291099999999</v>
      </c>
      <c r="AA288" s="36">
        <f>IF(ISBLANK(Z289),"",Long6[[#This Row],[Adj Close]]/Z289-1)</f>
        <v>-1.2449455561288292E-2</v>
      </c>
      <c r="AH288" s="29">
        <v>43080</v>
      </c>
      <c r="AI288" s="44">
        <v>62.151325</v>
      </c>
      <c r="AJ288" s="33">
        <f>IF(ISBLANK(AI289),"",Short0[[#This Row],[Adj Close]]/AI289-1)</f>
        <v>1.9895719211331375E-3</v>
      </c>
      <c r="AK288" s="37">
        <v>43080</v>
      </c>
      <c r="AL288" s="44">
        <v>55.560726000000003</v>
      </c>
      <c r="AM288" s="36">
        <f>IF(ISBLANK(AL289),"",Short1[[#This Row],[Adj Close]]/AL289-1)</f>
        <v>2.9633105896603507E-2</v>
      </c>
      <c r="AN288" s="29">
        <v>43080</v>
      </c>
      <c r="AO288" s="44">
        <v>58.292973000000003</v>
      </c>
      <c r="AP288" s="33">
        <f>IF(ISBLANK(AO289),"",Short2[[#This Row],[Adj Close]]/AO289-1)</f>
        <v>-1.2544199267463307E-2</v>
      </c>
      <c r="AQ288" s="37">
        <v>43080</v>
      </c>
      <c r="AR288" s="44">
        <v>82.459998999999996</v>
      </c>
      <c r="AS288" s="36">
        <f>IF(ISBLANK(AR289),"",Short3[[#This Row],[Adj Close]]/AR289-1)</f>
        <v>2.5366837238667728E-2</v>
      </c>
    </row>
    <row r="289" spans="1:45" x14ac:dyDescent="0.25">
      <c r="A289" s="37">
        <v>43073</v>
      </c>
      <c r="B289" s="39">
        <v>2651.5</v>
      </c>
      <c r="C289" s="36">
        <f>IF(ISBLANK(B290), "", GSPC[[#This Row],[Adj Close]]/B290-1)</f>
        <v>3.51220909002814E-3</v>
      </c>
      <c r="D28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53601.662247000007</v>
      </c>
      <c r="E28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27911.637288000002</v>
      </c>
      <c r="F289" s="11">
        <f>IF(ISBLANK(GSPC[[#This Row],[Long Exp.]]), "", (GSPC[[#This Row],[Long Exp.]]/D290-1)+(E290/GSPC[[#This Row],[Short Exp.]]-1))</f>
        <v>-2.0993850296624483E-2</v>
      </c>
      <c r="G289" s="37">
        <v>43073</v>
      </c>
      <c r="H289" s="44">
        <v>35.409412000000003</v>
      </c>
      <c r="I289" s="36">
        <f>IF(ISBLANK(H290), "", Long0[[#This Row],[Adj Close]]/H290-1)</f>
        <v>1.4427978027257149E-2</v>
      </c>
      <c r="J289" s="29">
        <v>43073</v>
      </c>
      <c r="K289" s="44">
        <v>26.724133999999999</v>
      </c>
      <c r="L289" s="33">
        <f>IF(ISBLANK(K290),"",Long1[[#This Row],[Adj Close]]/K290-1)</f>
        <v>-9.2319220581891237E-3</v>
      </c>
      <c r="M289" s="37">
        <v>43073</v>
      </c>
      <c r="N289" s="44">
        <v>22.419598000000001</v>
      </c>
      <c r="O289" s="36">
        <f>IF(ISBLANK(N290),"",Long2[[#This Row],[Adj Close]]/N290-1)</f>
        <v>-2.7182745782976414E-2</v>
      </c>
      <c r="P289" s="29">
        <v>43073</v>
      </c>
      <c r="Q289" s="44">
        <v>26.197020999999999</v>
      </c>
      <c r="R289" s="33">
        <f>IF(ISBLANK(Q290),"",Long3[[#This Row],[Adj Close]]/Q290-1)</f>
        <v>-4.8800486343342886E-2</v>
      </c>
      <c r="S289" s="37">
        <v>43073</v>
      </c>
      <c r="T289" s="44">
        <v>35.401539</v>
      </c>
      <c r="U289" s="36">
        <f>IF(ISBLANK(T290),"",Long4[[#This Row],[Adj Close]]/T290-1)</f>
        <v>-9.9381666144017222E-3</v>
      </c>
      <c r="V289" s="29">
        <v>43073</v>
      </c>
      <c r="W289" s="44">
        <v>32.776057999999999</v>
      </c>
      <c r="X289" s="33">
        <f>IF(ISBLANK(W290),"",Long5[[#This Row],[Adj Close]]/W290-1)</f>
        <v>5.2474170500513839E-2</v>
      </c>
      <c r="Y289" s="37">
        <v>43073</v>
      </c>
      <c r="Z289" s="44">
        <v>168.439896</v>
      </c>
      <c r="AA289" s="36">
        <f>IF(ISBLANK(Z290),"",Long6[[#This Row],[Adj Close]]/Z290-1)</f>
        <v>-2.2637275797123158E-2</v>
      </c>
      <c r="AH289" s="29">
        <v>43073</v>
      </c>
      <c r="AI289" s="44">
        <v>62.027915999999998</v>
      </c>
      <c r="AJ289" s="33">
        <f>IF(ISBLANK(AI290),"",Short0[[#This Row],[Adj Close]]/AI290-1)</f>
        <v>7.4458810166602163E-3</v>
      </c>
      <c r="AK289" s="37">
        <v>43073</v>
      </c>
      <c r="AL289" s="44">
        <v>53.961674000000002</v>
      </c>
      <c r="AM289" s="36">
        <f>IF(ISBLANK(AL290),"",Short1[[#This Row],[Adj Close]]/AL290-1)</f>
        <v>5.7000903515774581E-2</v>
      </c>
      <c r="AN289" s="29">
        <v>43073</v>
      </c>
      <c r="AO289" s="44">
        <v>59.033501000000001</v>
      </c>
      <c r="AP289" s="33">
        <f>IF(ISBLANK(AO290),"",Short2[[#This Row],[Adj Close]]/AO290-1)</f>
        <v>-6.0741046593922876E-3</v>
      </c>
      <c r="AQ289" s="37">
        <v>43073</v>
      </c>
      <c r="AR289" s="44">
        <v>80.419998000000007</v>
      </c>
      <c r="AS289" s="36">
        <f>IF(ISBLANK(AR290),"",Short3[[#This Row],[Adj Close]]/AR290-1)</f>
        <v>9.0338899259934102E-3</v>
      </c>
    </row>
    <row r="290" spans="1:45" x14ac:dyDescent="0.25">
      <c r="A290" s="37">
        <v>43066</v>
      </c>
      <c r="B290" s="39">
        <v>2642.219971</v>
      </c>
      <c r="C290" s="36">
        <f>IF(ISBLANK(B291), "", GSPC[[#This Row],[Adj Close]]/B291-1)</f>
        <v>1.5293476914906456E-2</v>
      </c>
      <c r="D29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54053.934767999992</v>
      </c>
      <c r="E29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27559.2029</v>
      </c>
      <c r="F290" s="11">
        <f>IF(ISBLANK(GSPC[[#This Row],[Long Exp.]]), "", (GSPC[[#This Row],[Long Exp.]]/D291-1)+(E291/GSPC[[#This Row],[Short Exp.]]-1))</f>
        <v>-1.8113155713766815E-2</v>
      </c>
      <c r="G290" s="37">
        <v>43066</v>
      </c>
      <c r="H290" s="44">
        <v>34.905791999999998</v>
      </c>
      <c r="I290" s="36">
        <f>IF(ISBLANK(H291), "", Long0[[#This Row],[Adj Close]]/H291-1)</f>
        <v>2.0069533235189008E-2</v>
      </c>
      <c r="J290" s="29">
        <v>43066</v>
      </c>
      <c r="K290" s="44">
        <v>26.973147999999998</v>
      </c>
      <c r="L290" s="33">
        <f>IF(ISBLANK(K291),"",Long1[[#This Row],[Adj Close]]/K291-1)</f>
        <v>1.5759302555690358E-2</v>
      </c>
      <c r="M290" s="37">
        <v>43066</v>
      </c>
      <c r="N290" s="44">
        <v>23.046053000000001</v>
      </c>
      <c r="O290" s="36">
        <f>IF(ISBLANK(N291),"",Long2[[#This Row],[Adj Close]]/N291-1)</f>
        <v>1.8029226992652081E-2</v>
      </c>
      <c r="P290" s="29">
        <v>43066</v>
      </c>
      <c r="Q290" s="44">
        <v>27.541036999999999</v>
      </c>
      <c r="R290" s="33">
        <f>IF(ISBLANK(Q291),"",Long3[[#This Row],[Adj Close]]/Q291-1)</f>
        <v>-1.1015034524716194E-3</v>
      </c>
      <c r="S290" s="37">
        <v>43066</v>
      </c>
      <c r="T290" s="44">
        <v>35.756897000000002</v>
      </c>
      <c r="U290" s="36">
        <f>IF(ISBLANK(T291),"",Long4[[#This Row],[Adj Close]]/T291-1)</f>
        <v>-2.660198779352041E-2</v>
      </c>
      <c r="V290" s="29">
        <v>43066</v>
      </c>
      <c r="W290" s="44">
        <v>31.141912000000001</v>
      </c>
      <c r="X290" s="33">
        <f>IF(ISBLANK(W291),"",Long5[[#This Row],[Adj Close]]/W291-1)</f>
        <v>-1.1230229985983775E-2</v>
      </c>
      <c r="Y290" s="37">
        <v>43066</v>
      </c>
      <c r="Z290" s="44">
        <v>172.34123199999999</v>
      </c>
      <c r="AA290" s="36">
        <f>IF(ISBLANK(Z291),"",Long6[[#This Row],[Adj Close]]/Z291-1)</f>
        <v>-7.4626624929049701E-2</v>
      </c>
      <c r="AH290" s="29">
        <v>43066</v>
      </c>
      <c r="AI290" s="44">
        <v>61.569476999999999</v>
      </c>
      <c r="AJ290" s="33">
        <f>IF(ISBLANK(AI291),"",Short0[[#This Row],[Adj Close]]/AI291-1)</f>
        <v>3.2372419013493525E-2</v>
      </c>
      <c r="AK290" s="37">
        <v>43066</v>
      </c>
      <c r="AL290" s="44">
        <v>51.051682</v>
      </c>
      <c r="AM290" s="36">
        <f>IF(ISBLANK(AL291),"",Short1[[#This Row],[Adj Close]]/AL291-1)</f>
        <v>5.8771693579459106E-2</v>
      </c>
      <c r="AN290" s="29">
        <v>43066</v>
      </c>
      <c r="AO290" s="44">
        <v>59.394267999999997</v>
      </c>
      <c r="AP290" s="33">
        <f>IF(ISBLANK(AO291),"",Short2[[#This Row],[Adj Close]]/AO291-1)</f>
        <v>2.5237676998733916E-2</v>
      </c>
      <c r="AQ290" s="37">
        <v>43066</v>
      </c>
      <c r="AR290" s="44">
        <v>79.699996999999996</v>
      </c>
      <c r="AS290" s="36">
        <f>IF(ISBLANK(AR291),"",Short3[[#This Row],[Adj Close]]/AR291-1)</f>
        <v>-5.2318681386888999E-2</v>
      </c>
    </row>
    <row r="291" spans="1:45" x14ac:dyDescent="0.25">
      <c r="A291" s="37">
        <v>43059</v>
      </c>
      <c r="B291" s="39">
        <v>2602.419922</v>
      </c>
      <c r="C291" s="36">
        <f>IF(ISBLANK(B292), "", GSPC[[#This Row],[Adj Close]]/B292-1)</f>
        <v>9.13966423185264E-3</v>
      </c>
      <c r="D29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54196.409741000003</v>
      </c>
      <c r="E29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27132.468154000002</v>
      </c>
      <c r="F291" s="11">
        <f>IF(ISBLANK(GSPC[[#This Row],[Long Exp.]]), "", (GSPC[[#This Row],[Long Exp.]]/D292-1)+(E292/GSPC[[#This Row],[Short Exp.]]-1))</f>
        <v>-1.0268366045479649E-2</v>
      </c>
      <c r="G291" s="37">
        <v>43059</v>
      </c>
      <c r="H291" s="44">
        <v>34.219031999999999</v>
      </c>
      <c r="I291" s="36">
        <f>IF(ISBLANK(H292), "", Long0[[#This Row],[Adj Close]]/H292-1)</f>
        <v>-5.8527354901379836E-3</v>
      </c>
      <c r="J291" s="29">
        <v>43059</v>
      </c>
      <c r="K291" s="44">
        <v>26.554665</v>
      </c>
      <c r="L291" s="33">
        <f>IF(ISBLANK(K292),"",Long1[[#This Row],[Adj Close]]/K292-1)</f>
        <v>2.8257595426741888E-2</v>
      </c>
      <c r="M291" s="37">
        <v>43059</v>
      </c>
      <c r="N291" s="44">
        <v>22.637909000000001</v>
      </c>
      <c r="O291" s="36">
        <f>IF(ISBLANK(N292),"",Long2[[#This Row],[Adj Close]]/N292-1)</f>
        <v>3.9668676954979221E-2</v>
      </c>
      <c r="P291" s="29">
        <v>43059</v>
      </c>
      <c r="Q291" s="44">
        <v>27.571407000000001</v>
      </c>
      <c r="R291" s="33">
        <f>IF(ISBLANK(Q292),"",Long3[[#This Row],[Adj Close]]/Q292-1)</f>
        <v>1.3789413890892277E-3</v>
      </c>
      <c r="S291" s="37">
        <v>43059</v>
      </c>
      <c r="T291" s="44">
        <v>36.734096999999998</v>
      </c>
      <c r="U291" s="36">
        <f>IF(ISBLANK(T292),"",Long4[[#This Row],[Adj Close]]/T292-1)</f>
        <v>3.6340606177249768E-2</v>
      </c>
      <c r="V291" s="29">
        <v>43059</v>
      </c>
      <c r="W291" s="44">
        <v>31.495615000000001</v>
      </c>
      <c r="X291" s="33">
        <f>IF(ISBLANK(W292),"",Long5[[#This Row],[Adj Close]]/W292-1)</f>
        <v>2.0843899728411275E-2</v>
      </c>
      <c r="Y291" s="37">
        <v>43059</v>
      </c>
      <c r="Z291" s="44">
        <v>186.23966999999999</v>
      </c>
      <c r="AA291" s="36">
        <f>IF(ISBLANK(Z292),"",Long6[[#This Row],[Adj Close]]/Z292-1)</f>
        <v>5.4972132576244448E-2</v>
      </c>
      <c r="AH291" s="29">
        <v>43059</v>
      </c>
      <c r="AI291" s="44">
        <v>59.638824</v>
      </c>
      <c r="AJ291" s="33">
        <f>IF(ISBLANK(AI292),"",Short0[[#This Row],[Adj Close]]/AI292-1)</f>
        <v>1.7293182256289841E-2</v>
      </c>
      <c r="AK291" s="37">
        <v>43059</v>
      </c>
      <c r="AL291" s="44">
        <v>48.217838</v>
      </c>
      <c r="AM291" s="36">
        <f>IF(ISBLANK(AL292),"",Short1[[#This Row],[Adj Close]]/AL292-1)</f>
        <v>2.0956462702800716E-2</v>
      </c>
      <c r="AN291" s="29">
        <v>43059</v>
      </c>
      <c r="AO291" s="44">
        <v>57.932194000000003</v>
      </c>
      <c r="AP291" s="33">
        <f>IF(ISBLANK(AO292),"",Short2[[#This Row],[Adj Close]]/AO292-1)</f>
        <v>3.6169013459760535E-2</v>
      </c>
      <c r="AQ291" s="37">
        <v>43059</v>
      </c>
      <c r="AR291" s="44">
        <v>84.099997999999999</v>
      </c>
      <c r="AS291" s="36">
        <f>IF(ISBLANK(AR292),"",Short3[[#This Row],[Adj Close]]/AR292-1)</f>
        <v>2.9375778312452194E-2</v>
      </c>
    </row>
    <row r="292" spans="1:45" x14ac:dyDescent="0.25">
      <c r="A292" s="37">
        <v>43052</v>
      </c>
      <c r="B292" s="39">
        <v>2578.8500979999999</v>
      </c>
      <c r="C292" s="36">
        <f>IF(ISBLANK(B293), "", GSPC[[#This Row],[Adj Close]]/B293-1)</f>
        <v>-1.3359992775959784E-3</v>
      </c>
      <c r="D29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53425.47976899999</v>
      </c>
      <c r="E29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26462.340372000002</v>
      </c>
      <c r="F292" s="11">
        <f>IF(ISBLANK(GSPC[[#This Row],[Long Exp.]]), "", (GSPC[[#This Row],[Long Exp.]]/D293-1)+(E293/GSPC[[#This Row],[Short Exp.]]-1))</f>
        <v>-2.6245217261103848E-2</v>
      </c>
      <c r="G292" s="37">
        <v>43052</v>
      </c>
      <c r="H292" s="44">
        <v>34.420485999999997</v>
      </c>
      <c r="I292" s="36">
        <f>IF(ISBLANK(H293), "", Long0[[#This Row],[Adj Close]]/H293-1)</f>
        <v>-1.4937001646222692E-2</v>
      </c>
      <c r="J292" s="29">
        <v>43052</v>
      </c>
      <c r="K292" s="44">
        <v>25.824915000000001</v>
      </c>
      <c r="L292" s="33">
        <f>IF(ISBLANK(K293),"",Long1[[#This Row],[Adj Close]]/K293-1)</f>
        <v>3.5644992801391551E-2</v>
      </c>
      <c r="M292" s="37">
        <v>43052</v>
      </c>
      <c r="N292" s="44">
        <v>21.774156999999999</v>
      </c>
      <c r="O292" s="36">
        <f>IF(ISBLANK(N293),"",Long2[[#This Row],[Adj Close]]/N293-1)</f>
        <v>4.3784755320011026E-3</v>
      </c>
      <c r="P292" s="29">
        <v>43052</v>
      </c>
      <c r="Q292" s="44">
        <v>27.533439999999999</v>
      </c>
      <c r="R292" s="33">
        <f>IF(ISBLANK(Q293),"",Long3[[#This Row],[Adj Close]]/Q293-1)</f>
        <v>-8.2663735543686556E-4</v>
      </c>
      <c r="S292" s="37">
        <v>43052</v>
      </c>
      <c r="T292" s="44">
        <v>35.445968999999998</v>
      </c>
      <c r="U292" s="36">
        <f>IF(ISBLANK(T293),"",Long4[[#This Row],[Adj Close]]/T293-1)</f>
        <v>8.8498575026079163E-3</v>
      </c>
      <c r="V292" s="29">
        <v>43052</v>
      </c>
      <c r="W292" s="44">
        <v>30.852528</v>
      </c>
      <c r="X292" s="33">
        <f>IF(ISBLANK(W293),"",Long5[[#This Row],[Adj Close]]/W293-1)</f>
        <v>7.3492924873441723E-3</v>
      </c>
      <c r="Y292" s="37">
        <v>43052</v>
      </c>
      <c r="Z292" s="44">
        <v>176.535156</v>
      </c>
      <c r="AA292" s="36">
        <f>IF(ISBLANK(Z293),"",Long6[[#This Row],[Adj Close]]/Z293-1)</f>
        <v>2.89938483901091E-2</v>
      </c>
      <c r="AH292" s="29">
        <v>43052</v>
      </c>
      <c r="AI292" s="44">
        <v>58.625011000000001</v>
      </c>
      <c r="AJ292" s="33">
        <f>IF(ISBLANK(AI293),"",Short0[[#This Row],[Adj Close]]/AI293-1)</f>
        <v>-1.3353079170890236E-2</v>
      </c>
      <c r="AK292" s="37">
        <v>43052</v>
      </c>
      <c r="AL292" s="44">
        <v>47.228104000000002</v>
      </c>
      <c r="AM292" s="36">
        <f>IF(ISBLANK(AL293),"",Short1[[#This Row],[Adj Close]]/AL293-1)</f>
        <v>-1.4996349312709656E-2</v>
      </c>
      <c r="AN292" s="29">
        <v>43052</v>
      </c>
      <c r="AO292" s="44">
        <v>55.909984999999999</v>
      </c>
      <c r="AP292" s="33">
        <f>IF(ISBLANK(AO293),"",Short2[[#This Row],[Adj Close]]/AO293-1)</f>
        <v>3.0661251292225522E-3</v>
      </c>
      <c r="AQ292" s="37">
        <v>43052</v>
      </c>
      <c r="AR292" s="44">
        <v>81.699996999999996</v>
      </c>
      <c r="AS292" s="36">
        <f>IF(ISBLANK(AR293),"",Short3[[#This Row],[Adj Close]]/AR293-1)</f>
        <v>0.17149411160006056</v>
      </c>
    </row>
    <row r="293" spans="1:45" x14ac:dyDescent="0.25">
      <c r="A293" s="37">
        <v>43045</v>
      </c>
      <c r="B293" s="39">
        <v>2582.3000489999999</v>
      </c>
      <c r="C293" s="36">
        <f>IF(ISBLANK(B294), "", GSPC[[#This Row],[Adj Close]]/B294-1)</f>
        <v>-2.1407964988600092E-3</v>
      </c>
      <c r="D29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53418.902179000004</v>
      </c>
      <c r="E29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25764.572132000001</v>
      </c>
      <c r="F293" s="11">
        <f>IF(ISBLANK(GSPC[[#This Row],[Long Exp.]]), "", (GSPC[[#This Row],[Long Exp.]]/D294-1)+(E294/GSPC[[#This Row],[Short Exp.]]-1))</f>
        <v>4.8883673471861178E-3</v>
      </c>
      <c r="G293" s="37">
        <v>43045</v>
      </c>
      <c r="H293" s="44">
        <v>34.942421000000003</v>
      </c>
      <c r="I293" s="36">
        <f>IF(ISBLANK(H294), "", Long0[[#This Row],[Adj Close]]/H294-1)</f>
        <v>6.8309076540142621E-2</v>
      </c>
      <c r="J293" s="29">
        <v>43045</v>
      </c>
      <c r="K293" s="44">
        <v>24.936069</v>
      </c>
      <c r="L293" s="33">
        <f>IF(ISBLANK(K294),"",Long1[[#This Row],[Adj Close]]/K294-1)</f>
        <v>-1.5699657544479884E-2</v>
      </c>
      <c r="M293" s="37">
        <v>43045</v>
      </c>
      <c r="N293" s="44">
        <v>21.679234999999998</v>
      </c>
      <c r="O293" s="36">
        <f>IF(ISBLANK(N294),"",Long2[[#This Row],[Adj Close]]/N294-1)</f>
        <v>2.0553870551825115E-2</v>
      </c>
      <c r="P293" s="29">
        <v>43045</v>
      </c>
      <c r="Q293" s="44">
        <v>27.556218999999999</v>
      </c>
      <c r="R293" s="33">
        <f>IF(ISBLANK(Q294),"",Long3[[#This Row],[Adj Close]]/Q294-1)</f>
        <v>-1.2248614861389395E-2</v>
      </c>
      <c r="S293" s="37">
        <v>43045</v>
      </c>
      <c r="T293" s="44">
        <v>35.135029000000003</v>
      </c>
      <c r="U293" s="36">
        <f>IF(ISBLANK(T294),"",Long4[[#This Row],[Adj Close]]/T294-1)</f>
        <v>-3.8882195886616122E-2</v>
      </c>
      <c r="V293" s="29">
        <v>43045</v>
      </c>
      <c r="W293" s="44">
        <v>30.627438000000001</v>
      </c>
      <c r="X293" s="33">
        <f>IF(ISBLANK(W294),"",Long5[[#This Row],[Adj Close]]/W294-1)</f>
        <v>4.6415608865982838E-2</v>
      </c>
      <c r="Y293" s="37">
        <v>43045</v>
      </c>
      <c r="Z293" s="44">
        <v>171.56094400000001</v>
      </c>
      <c r="AA293" s="36">
        <f>IF(ISBLANK(Z294),"",Long6[[#This Row],[Adj Close]]/Z294-1)</f>
        <v>0.11258676699071013</v>
      </c>
      <c r="AH293" s="29">
        <v>43045</v>
      </c>
      <c r="AI293" s="44">
        <v>59.418430000000001</v>
      </c>
      <c r="AJ293" s="33">
        <f>IF(ISBLANK(AI294),"",Short0[[#This Row],[Adj Close]]/AI294-1)</f>
        <v>2.3072442794973558E-2</v>
      </c>
      <c r="AK293" s="37">
        <v>43045</v>
      </c>
      <c r="AL293" s="44">
        <v>47.947136</v>
      </c>
      <c r="AM293" s="36">
        <f>IF(ISBLANK(AL294),"",Short1[[#This Row],[Adj Close]]/AL294-1)</f>
        <v>-4.2165174854448262E-3</v>
      </c>
      <c r="AN293" s="29">
        <v>43045</v>
      </c>
      <c r="AO293" s="44">
        <v>55.739082000000003</v>
      </c>
      <c r="AP293" s="33">
        <f>IF(ISBLANK(AO294),"",Short2[[#This Row],[Adj Close]]/AO294-1)</f>
        <v>9.3153681856758652E-2</v>
      </c>
      <c r="AQ293" s="37">
        <v>43045</v>
      </c>
      <c r="AR293" s="44">
        <v>69.739998</v>
      </c>
      <c r="AS293" s="36">
        <f>IF(ISBLANK(AR294),"",Short3[[#This Row],[Adj Close]]/AR294-1)</f>
        <v>3.1199188135406786E-2</v>
      </c>
    </row>
    <row r="294" spans="1:45" x14ac:dyDescent="0.25">
      <c r="A294" s="37">
        <v>43038</v>
      </c>
      <c r="B294" s="39">
        <v>2587.8400879999999</v>
      </c>
      <c r="C294" s="36">
        <f>IF(ISBLANK(B295), "", GSPC[[#This Row],[Adj Close]]/B295-1)</f>
        <v>2.6229508775970078E-3</v>
      </c>
      <c r="D29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51345.898774000001</v>
      </c>
      <c r="E29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24850.318009999999</v>
      </c>
      <c r="F294" s="11">
        <f>IF(ISBLANK(GSPC[[#This Row],[Long Exp.]]), "", (GSPC[[#This Row],[Long Exp.]]/D295-1)+(E295/GSPC[[#This Row],[Short Exp.]]-1))</f>
        <v>-2.4134123852755485E-2</v>
      </c>
      <c r="G294" s="37">
        <v>43038</v>
      </c>
      <c r="H294" s="44">
        <v>32.708157</v>
      </c>
      <c r="I294" s="36">
        <f>IF(ISBLANK(H295), "", Long0[[#This Row],[Adj Close]]/H295-1)</f>
        <v>-6.8578922180011492E-2</v>
      </c>
      <c r="J294" s="29">
        <v>43038</v>
      </c>
      <c r="K294" s="44">
        <v>25.333801000000001</v>
      </c>
      <c r="L294" s="33">
        <f>IF(ISBLANK(K295),"",Long1[[#This Row],[Adj Close]]/K295-1)</f>
        <v>5.259374531535177E-2</v>
      </c>
      <c r="M294" s="37">
        <v>43038</v>
      </c>
      <c r="N294" s="44">
        <v>21.242616999999999</v>
      </c>
      <c r="O294" s="36">
        <f>IF(ISBLANK(N295),"",Long2[[#This Row],[Adj Close]]/N295-1)</f>
        <v>6.876795242294409E-2</v>
      </c>
      <c r="P294" s="29">
        <v>43038</v>
      </c>
      <c r="Q294" s="44">
        <v>27.897929999999999</v>
      </c>
      <c r="R294" s="33">
        <f>IF(ISBLANK(Q295),"",Long3[[#This Row],[Adj Close]]/Q295-1)</f>
        <v>-2.6754786663472085E-2</v>
      </c>
      <c r="S294" s="37">
        <v>43038</v>
      </c>
      <c r="T294" s="44">
        <v>36.556423000000002</v>
      </c>
      <c r="U294" s="36">
        <f>IF(ISBLANK(T295),"",Long4[[#This Row],[Adj Close]]/T295-1)</f>
        <v>-2.7186465328138287E-2</v>
      </c>
      <c r="V294" s="29">
        <v>43038</v>
      </c>
      <c r="W294" s="44">
        <v>29.268903999999999</v>
      </c>
      <c r="X294" s="33">
        <f>IF(ISBLANK(W295),"",Long5[[#This Row],[Adj Close]]/W295-1)</f>
        <v>8.427643972075205E-2</v>
      </c>
      <c r="Y294" s="37">
        <v>43038</v>
      </c>
      <c r="Z294" s="44">
        <v>154.20005800000001</v>
      </c>
      <c r="AA294" s="36">
        <f>IF(ISBLANK(Z295),"",Long6[[#This Row],[Adj Close]]/Z295-1)</f>
        <v>0.1616459136291577</v>
      </c>
      <c r="AH294" s="29">
        <v>43038</v>
      </c>
      <c r="AI294" s="44">
        <v>58.078418999999997</v>
      </c>
      <c r="AJ294" s="33">
        <f>IF(ISBLANK(AI295),"",Short0[[#This Row],[Adj Close]]/AI295-1)</f>
        <v>6.6882396600520311E-2</v>
      </c>
      <c r="AK294" s="37">
        <v>43038</v>
      </c>
      <c r="AL294" s="44">
        <v>48.150162000000002</v>
      </c>
      <c r="AM294" s="36">
        <f>IF(ISBLANK(AL295),"",Short1[[#This Row],[Adj Close]]/AL295-1)</f>
        <v>3.1159412468544812E-2</v>
      </c>
      <c r="AN294" s="29">
        <v>43038</v>
      </c>
      <c r="AO294" s="44">
        <v>50.989246000000001</v>
      </c>
      <c r="AP294" s="33">
        <f>IF(ISBLANK(AO295),"",Short2[[#This Row],[Adj Close]]/AO295-1)</f>
        <v>-5.8438085414944108E-2</v>
      </c>
      <c r="AQ294" s="37">
        <v>43038</v>
      </c>
      <c r="AR294" s="44">
        <v>67.629997000000003</v>
      </c>
      <c r="AS294" s="36">
        <f>IF(ISBLANK(AR295),"",Short3[[#This Row],[Adj Close]]/AR295-1)</f>
        <v>1.4703600459006871E-2</v>
      </c>
    </row>
    <row r="295" spans="1:45" x14ac:dyDescent="0.25">
      <c r="A295" s="37">
        <v>43031</v>
      </c>
      <c r="B295" s="39">
        <v>2581.070068</v>
      </c>
      <c r="C295" s="36">
        <f>IF(ISBLANK(B296), "", GSPC[[#This Row],[Adj Close]]/B296-1)</f>
        <v>2.2755841615820227E-3</v>
      </c>
      <c r="D29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51708.586223000006</v>
      </c>
      <c r="E29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24424.879133999999</v>
      </c>
      <c r="F295" s="11">
        <f>IF(ISBLANK(GSPC[[#This Row],[Long Exp.]]), "", (GSPC[[#This Row],[Long Exp.]]/D296-1)+(E296/GSPC[[#This Row],[Short Exp.]]-1))</f>
        <v>-4.4400725201849678E-3</v>
      </c>
      <c r="G295" s="37">
        <v>43031</v>
      </c>
      <c r="H295" s="44">
        <v>35.116402000000001</v>
      </c>
      <c r="I295" s="36">
        <f>IF(ISBLANK(H296), "", Long0[[#This Row],[Adj Close]]/H296-1)</f>
        <v>-4.1549313688371559E-3</v>
      </c>
      <c r="J295" s="29">
        <v>43031</v>
      </c>
      <c r="K295" s="44">
        <v>24.067976000000002</v>
      </c>
      <c r="L295" s="33">
        <f>IF(ISBLANK(K296),"",Long1[[#This Row],[Adj Close]]/K296-1)</f>
        <v>2.9285661011776654E-2</v>
      </c>
      <c r="M295" s="37">
        <v>43031</v>
      </c>
      <c r="N295" s="44">
        <v>19.875799000000001</v>
      </c>
      <c r="O295" s="36">
        <f>IF(ISBLANK(N296),"",Long2[[#This Row],[Adj Close]]/N296-1)</f>
        <v>-2.1952266201736625E-2</v>
      </c>
      <c r="P295" s="29">
        <v>43031</v>
      </c>
      <c r="Q295" s="44">
        <v>28.664852</v>
      </c>
      <c r="R295" s="33">
        <f>IF(ISBLANK(Q296),"",Long3[[#This Row],[Adj Close]]/Q296-1)</f>
        <v>0</v>
      </c>
      <c r="S295" s="37">
        <v>43031</v>
      </c>
      <c r="T295" s="44">
        <v>37.578037000000002</v>
      </c>
      <c r="U295" s="36">
        <f>IF(ISBLANK(T296),"",Long4[[#This Row],[Adj Close]]/T296-1)</f>
        <v>-1.1682507223668481E-2</v>
      </c>
      <c r="V295" s="29">
        <v>43031</v>
      </c>
      <c r="W295" s="44">
        <v>26.993950000000002</v>
      </c>
      <c r="X295" s="33">
        <f>IF(ISBLANK(W296),"",Long5[[#This Row],[Adj Close]]/W296-1)</f>
        <v>2.4405090461011802E-2</v>
      </c>
      <c r="Y295" s="37">
        <v>43031</v>
      </c>
      <c r="Z295" s="44">
        <v>132.74273700000001</v>
      </c>
      <c r="AA295" s="36">
        <f>IF(ISBLANK(Z296),"",Long6[[#This Row],[Adj Close]]/Z296-1)</f>
        <v>1.3403082590434545E-2</v>
      </c>
      <c r="AH295" s="29">
        <v>43031</v>
      </c>
      <c r="AI295" s="44">
        <v>54.437508000000001</v>
      </c>
      <c r="AJ295" s="33">
        <f>IF(ISBLANK(AI296),"",Short0[[#This Row],[Adj Close]]/AI296-1)</f>
        <v>-1.4994428872638244E-2</v>
      </c>
      <c r="AK295" s="37">
        <v>43031</v>
      </c>
      <c r="AL295" s="44">
        <v>46.695168000000002</v>
      </c>
      <c r="AM295" s="36">
        <f>IF(ISBLANK(AL296),"",Short1[[#This Row],[Adj Close]]/AL296-1)</f>
        <v>-1.1284298010354132E-2</v>
      </c>
      <c r="AN295" s="29">
        <v>43031</v>
      </c>
      <c r="AO295" s="44">
        <v>54.153896000000003</v>
      </c>
      <c r="AP295" s="33">
        <f>IF(ISBLANK(AO296),"",Short2[[#This Row],[Adj Close]]/AO296-1)</f>
        <v>9.5910965505137113E-3</v>
      </c>
      <c r="AQ295" s="37">
        <v>43031</v>
      </c>
      <c r="AR295" s="44">
        <v>66.650002000000001</v>
      </c>
      <c r="AS295" s="36">
        <f>IF(ISBLANK(AR296),"",Short3[[#This Row],[Adj Close]]/AR296-1)</f>
        <v>3.9943925101820987E-2</v>
      </c>
    </row>
    <row r="296" spans="1:45" x14ac:dyDescent="0.25">
      <c r="A296" s="37">
        <v>43024</v>
      </c>
      <c r="B296" s="39">
        <v>2575.209961</v>
      </c>
      <c r="C296" s="36">
        <f>IF(ISBLANK(B297), "", GSPC[[#This Row],[Adj Close]]/B297-1)</f>
        <v>8.6324215282682637E-3</v>
      </c>
      <c r="D29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51803.959354999999</v>
      </c>
      <c r="E29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24361.398064999998</v>
      </c>
      <c r="F296" s="11">
        <f>IF(ISBLANK(GSPC[[#This Row],[Long Exp.]]), "", (GSPC[[#This Row],[Long Exp.]]/D297-1)+(E297/GSPC[[#This Row],[Short Exp.]]-1))</f>
        <v>-8.8053126169546081E-3</v>
      </c>
      <c r="G296" s="37">
        <v>43024</v>
      </c>
      <c r="H296" s="44">
        <v>35.262917000000002</v>
      </c>
      <c r="I296" s="36">
        <f>IF(ISBLANK(H297), "", Long0[[#This Row],[Adj Close]]/H297-1)</f>
        <v>1.475652203390565E-2</v>
      </c>
      <c r="J296" s="29">
        <v>43024</v>
      </c>
      <c r="K296" s="44">
        <v>23.383184</v>
      </c>
      <c r="L296" s="33">
        <f>IF(ISBLANK(K297),"",Long1[[#This Row],[Adj Close]]/K297-1)</f>
        <v>6.1011424233108347E-3</v>
      </c>
      <c r="M296" s="37">
        <v>43024</v>
      </c>
      <c r="N296" s="44">
        <v>20.321911</v>
      </c>
      <c r="O296" s="36">
        <f>IF(ISBLANK(N297),"",Long2[[#This Row],[Adj Close]]/N297-1)</f>
        <v>-1.6987870664602278E-2</v>
      </c>
      <c r="P296" s="29">
        <v>43024</v>
      </c>
      <c r="Q296" s="44">
        <v>28.664852</v>
      </c>
      <c r="R296" s="33">
        <f>IF(ISBLANK(Q297),"",Long3[[#This Row],[Adj Close]]/Q297-1)</f>
        <v>5.0586636118430395E-3</v>
      </c>
      <c r="S296" s="37">
        <v>43024</v>
      </c>
      <c r="T296" s="44">
        <v>38.022232000000002</v>
      </c>
      <c r="U296" s="36">
        <f>IF(ISBLANK(T297),"",Long4[[#This Row],[Adj Close]]/T297-1)</f>
        <v>-2.3310025756558828E-3</v>
      </c>
      <c r="V296" s="29">
        <v>43024</v>
      </c>
      <c r="W296" s="44">
        <v>26.350854999999999</v>
      </c>
      <c r="X296" s="33">
        <f>IF(ISBLANK(W297),"",Long5[[#This Row],[Adj Close]]/W297-1)</f>
        <v>8.9258129715927836E-3</v>
      </c>
      <c r="Y296" s="37">
        <v>43024</v>
      </c>
      <c r="Z296" s="44">
        <v>130.98710600000001</v>
      </c>
      <c r="AA296" s="36">
        <f>IF(ISBLANK(Z297),"",Long6[[#This Row],[Adj Close]]/Z297-1)</f>
        <v>7.4504780888351441E-4</v>
      </c>
      <c r="AH296" s="29">
        <v>43024</v>
      </c>
      <c r="AI296" s="44">
        <v>55.266193000000001</v>
      </c>
      <c r="AJ296" s="33">
        <f>IF(ISBLANK(AI297),"",Short0[[#This Row],[Adj Close]]/AI297-1)</f>
        <v>1.0965995800223505E-2</v>
      </c>
      <c r="AK296" s="37">
        <v>43024</v>
      </c>
      <c r="AL296" s="44">
        <v>47.228104000000002</v>
      </c>
      <c r="AM296" s="36">
        <f>IF(ISBLANK(AL297),"",Short1[[#This Row],[Adj Close]]/AL297-1)</f>
        <v>1.3248819168030446E-2</v>
      </c>
      <c r="AN296" s="29">
        <v>43024</v>
      </c>
      <c r="AO296" s="44">
        <v>53.639434999999999</v>
      </c>
      <c r="AP296" s="33">
        <f>IF(ISBLANK(AO297),"",Short2[[#This Row],[Adj Close]]/AO297-1)</f>
        <v>2.6419029687779982E-2</v>
      </c>
      <c r="AQ296" s="37">
        <v>43024</v>
      </c>
      <c r="AR296" s="44">
        <v>64.089995999999999</v>
      </c>
      <c r="AS296" s="36">
        <f>IF(ISBLANK(AR297),"",Short3[[#This Row],[Adj Close]]/AR297-1)</f>
        <v>8.4971991895703702E-3</v>
      </c>
    </row>
    <row r="297" spans="1:45" x14ac:dyDescent="0.25">
      <c r="A297" s="37">
        <v>43017</v>
      </c>
      <c r="B297" s="39">
        <v>2553.169922</v>
      </c>
      <c r="C297" s="36">
        <f>IF(ISBLANK(B298), "", GSPC[[#This Row],[Adj Close]]/B298-1)</f>
        <v>1.5062168815003218E-3</v>
      </c>
      <c r="D29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51503.010273999986</v>
      </c>
      <c r="E29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24004.536653000003</v>
      </c>
      <c r="F297" s="11">
        <f>IF(ISBLANK(GSPC[[#This Row],[Long Exp.]]), "", (GSPC[[#This Row],[Long Exp.]]/D298-1)+(E298/GSPC[[#This Row],[Short Exp.]]-1))</f>
        <v>4.3323842673728574E-2</v>
      </c>
      <c r="G297" s="37">
        <v>43017</v>
      </c>
      <c r="H297" s="44">
        <v>34.750126000000002</v>
      </c>
      <c r="I297" s="36">
        <f>IF(ISBLANK(H298), "", Long0[[#This Row],[Adj Close]]/H298-1)</f>
        <v>-8.8796361839933446E-3</v>
      </c>
      <c r="J297" s="29">
        <v>43017</v>
      </c>
      <c r="K297" s="44">
        <v>23.241385000000001</v>
      </c>
      <c r="L297" s="33">
        <f>IF(ISBLANK(K298),"",Long1[[#This Row],[Adj Close]]/K298-1)</f>
        <v>3.1348253283354222E-3</v>
      </c>
      <c r="M297" s="37">
        <v>43017</v>
      </c>
      <c r="N297" s="44">
        <v>20.673103000000001</v>
      </c>
      <c r="O297" s="36">
        <f>IF(ISBLANK(N298),"",Long2[[#This Row],[Adj Close]]/N298-1)</f>
        <v>3.6155756494937075E-2</v>
      </c>
      <c r="P297" s="29">
        <v>43017</v>
      </c>
      <c r="Q297" s="44">
        <v>28.520575999999998</v>
      </c>
      <c r="R297" s="33">
        <f>IF(ISBLANK(Q298),"",Long3[[#This Row],[Adj Close]]/Q298-1)</f>
        <v>6.4306869622325902E-3</v>
      </c>
      <c r="S297" s="37">
        <v>43017</v>
      </c>
      <c r="T297" s="44">
        <v>38.111069000000001</v>
      </c>
      <c r="U297" s="36">
        <f>IF(ISBLANK(T298),"",Long4[[#This Row],[Adj Close]]/T298-1)</f>
        <v>3.6142891053378756E-2</v>
      </c>
      <c r="V297" s="29">
        <v>43017</v>
      </c>
      <c r="W297" s="44">
        <v>26.117733000000001</v>
      </c>
      <c r="X297" s="33">
        <f>IF(ISBLANK(W298),"",Long5[[#This Row],[Adj Close]]/W298-1)</f>
        <v>-1.4857480089209063E-2</v>
      </c>
      <c r="Y297" s="37">
        <v>43017</v>
      </c>
      <c r="Z297" s="44">
        <v>130.88958700000001</v>
      </c>
      <c r="AA297" s="36">
        <f>IF(ISBLANK(Z298),"",Long6[[#This Row],[Adj Close]]/Z298-1)</f>
        <v>4.7618890972527694E-2</v>
      </c>
      <c r="AH297" s="29">
        <v>43017</v>
      </c>
      <c r="AI297" s="44">
        <v>54.666718000000003</v>
      </c>
      <c r="AJ297" s="33">
        <f>IF(ISBLANK(AI298),"",Short0[[#This Row],[Adj Close]]/AI298-1)</f>
        <v>-3.5014024292769452E-2</v>
      </c>
      <c r="AK297" s="37">
        <v>43017</v>
      </c>
      <c r="AL297" s="44">
        <v>46.610568999999998</v>
      </c>
      <c r="AM297" s="36">
        <f>IF(ISBLANK(AL298),"",Short1[[#This Row],[Adj Close]]/AL298-1)</f>
        <v>-6.2287133630036795E-2</v>
      </c>
      <c r="AN297" s="29">
        <v>43017</v>
      </c>
      <c r="AO297" s="44">
        <v>52.258808000000002</v>
      </c>
      <c r="AP297" s="33">
        <f>IF(ISBLANK(AO298),"",Short2[[#This Row],[Adj Close]]/AO298-1)</f>
        <v>2.3259440764935579E-3</v>
      </c>
      <c r="AQ297" s="37">
        <v>43017</v>
      </c>
      <c r="AR297" s="44">
        <v>63.549999</v>
      </c>
      <c r="AS297" s="36">
        <f>IF(ISBLANK(AR298),"",Short3[[#This Row],[Adj Close]]/AR298-1)</f>
        <v>-4.9364234835130416E-2</v>
      </c>
    </row>
    <row r="298" spans="1:45" x14ac:dyDescent="0.25">
      <c r="A298" s="37">
        <v>43010</v>
      </c>
      <c r="B298" s="39">
        <v>2549.330078</v>
      </c>
      <c r="C298" s="36">
        <f>IF(ISBLANK(B299), "", GSPC[[#This Row],[Adj Close]]/B299-1)</f>
        <v>1.1895866302212621E-2</v>
      </c>
      <c r="D29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51066.433381999988</v>
      </c>
      <c r="E29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24839.285960000001</v>
      </c>
      <c r="F298" s="11">
        <f>IF(ISBLANK(GSPC[[#This Row],[Long Exp.]]), "", (GSPC[[#This Row],[Long Exp.]]/D299-1)+(E299/GSPC[[#This Row],[Short Exp.]]-1))</f>
        <v>5.4773136077137075E-2</v>
      </c>
      <c r="G298" s="37">
        <v>43010</v>
      </c>
      <c r="H298" s="44">
        <v>35.061458999999999</v>
      </c>
      <c r="I298" s="36">
        <f>IF(ISBLANK(H299), "", Long0[[#This Row],[Adj Close]]/H299-1)</f>
        <v>0.22059281370897765</v>
      </c>
      <c r="J298" s="29">
        <v>43010</v>
      </c>
      <c r="K298" s="44">
        <v>23.168755000000001</v>
      </c>
      <c r="L298" s="33">
        <f>IF(ISBLANK(K299),"",Long1[[#This Row],[Adj Close]]/K299-1)</f>
        <v>-1.1655372114471541E-2</v>
      </c>
      <c r="M298" s="37">
        <v>43010</v>
      </c>
      <c r="N298" s="44">
        <v>19.951733000000001</v>
      </c>
      <c r="O298" s="36">
        <f>IF(ISBLANK(N299),"",Long2[[#This Row],[Adj Close]]/N299-1)</f>
        <v>-2.6401122542516697E-2</v>
      </c>
      <c r="P298" s="29">
        <v>43010</v>
      </c>
      <c r="Q298" s="44">
        <v>28.338341</v>
      </c>
      <c r="R298" s="33">
        <f>IF(ISBLANK(Q299),"",Long3[[#This Row],[Adj Close]]/Q299-1)</f>
        <v>-1.6600641912123515E-2</v>
      </c>
      <c r="S298" s="37">
        <v>43010</v>
      </c>
      <c r="T298" s="44">
        <v>36.781672999999998</v>
      </c>
      <c r="U298" s="36">
        <f>IF(ISBLANK(T299),"",Long4[[#This Row],[Adj Close]]/T299-1)</f>
        <v>-2.3952003884787354E-3</v>
      </c>
      <c r="V298" s="29">
        <v>43010</v>
      </c>
      <c r="W298" s="44">
        <v>26.511628999999999</v>
      </c>
      <c r="X298" s="33">
        <f>IF(ISBLANK(W299),"",Long5[[#This Row],[Adj Close]]/W299-1)</f>
        <v>-8.1203797748904405E-3</v>
      </c>
      <c r="Y298" s="37">
        <v>43010</v>
      </c>
      <c r="Z298" s="44">
        <v>124.940079</v>
      </c>
      <c r="AA298" s="36">
        <f>IF(ISBLANK(Z299),"",Long6[[#This Row],[Adj Close]]/Z299-1)</f>
        <v>-5.8207115519844921E-3</v>
      </c>
      <c r="AH298" s="29">
        <v>43010</v>
      </c>
      <c r="AI298" s="44">
        <v>56.650272000000001</v>
      </c>
      <c r="AJ298" s="33">
        <f>IF(ISBLANK(AI299),"",Short0[[#This Row],[Adj Close]]/AI299-1)</f>
        <v>1.5586582332474119E-3</v>
      </c>
      <c r="AK298" s="37">
        <v>43010</v>
      </c>
      <c r="AL298" s="44">
        <v>49.706654</v>
      </c>
      <c r="AM298" s="36">
        <f>IF(ISBLANK(AL299),"",Short1[[#This Row],[Adj Close]]/AL299-1)</f>
        <v>3.1601035945757028E-2</v>
      </c>
      <c r="AN298" s="29">
        <v>43010</v>
      </c>
      <c r="AO298" s="44">
        <v>52.137538999999997</v>
      </c>
      <c r="AP298" s="33">
        <f>IF(ISBLANK(AO299),"",Short2[[#This Row],[Adj Close]]/AO299-1)</f>
        <v>5.852298416871049E-2</v>
      </c>
      <c r="AQ298" s="37">
        <v>43010</v>
      </c>
      <c r="AR298" s="44">
        <v>66.849997999999999</v>
      </c>
      <c r="AS298" s="36">
        <f>IF(ISBLANK(AR299),"",Short3[[#This Row],[Adj Close]]/AR299-1)</f>
        <v>6.322414571729551E-3</v>
      </c>
    </row>
    <row r="299" spans="1:45" x14ac:dyDescent="0.25">
      <c r="A299" s="37">
        <v>43003</v>
      </c>
      <c r="B299" s="39">
        <v>2519.360107</v>
      </c>
      <c r="C299" s="36">
        <f>IF(ISBLANK(B300), "", GSPC[[#This Row],[Adj Close]]/B300-1)</f>
        <v>6.8499717045860109E-3</v>
      </c>
      <c r="D29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47463.069679</v>
      </c>
      <c r="E29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24314.029993</v>
      </c>
      <c r="F299" s="11">
        <f>IF(ISBLANK(GSPC[[#This Row],[Long Exp.]]), "", (GSPC[[#This Row],[Long Exp.]]/D300-1)+(E300/GSPC[[#This Row],[Short Exp.]]-1))</f>
        <v>-1.8575430891416445E-2</v>
      </c>
      <c r="G299" s="37">
        <v>43003</v>
      </c>
      <c r="H299" s="44">
        <v>28.724943</v>
      </c>
      <c r="I299" s="36">
        <f>IF(ISBLANK(H300), "", Long0[[#This Row],[Adj Close]]/H300-1)</f>
        <v>2.2365707970675164E-3</v>
      </c>
      <c r="J299" s="29">
        <v>43003</v>
      </c>
      <c r="K299" s="44">
        <v>23.441980000000001</v>
      </c>
      <c r="L299" s="33">
        <f>IF(ISBLANK(K300),"",Long1[[#This Row],[Adj Close]]/K300-1)</f>
        <v>5.7575283052312409E-2</v>
      </c>
      <c r="M299" s="37">
        <v>43003</v>
      </c>
      <c r="N299" s="44">
        <v>20.492764999999999</v>
      </c>
      <c r="O299" s="36">
        <f>IF(ISBLANK(N300),"",Long2[[#This Row],[Adj Close]]/N300-1)</f>
        <v>3.4995344917050364E-2</v>
      </c>
      <c r="P299" s="29">
        <v>43003</v>
      </c>
      <c r="Q299" s="44">
        <v>28.816717000000001</v>
      </c>
      <c r="R299" s="33">
        <f>IF(ISBLANK(Q300),"",Long3[[#This Row],[Adj Close]]/Q300-1)</f>
        <v>-1.3517108441917891E-2</v>
      </c>
      <c r="S299" s="37">
        <v>43003</v>
      </c>
      <c r="T299" s="44">
        <v>36.869984000000002</v>
      </c>
      <c r="U299" s="36">
        <f>IF(ISBLANK(T300),"",Long4[[#This Row],[Adj Close]]/T300-1)</f>
        <v>3.3415984225025674E-2</v>
      </c>
      <c r="V299" s="29">
        <v>43003</v>
      </c>
      <c r="W299" s="44">
        <v>26.728676</v>
      </c>
      <c r="X299" s="33">
        <f>IF(ISBLANK(W300),"",Long5[[#This Row],[Adj Close]]/W300-1)</f>
        <v>-2.0906674340579356E-2</v>
      </c>
      <c r="Y299" s="37">
        <v>43003</v>
      </c>
      <c r="Z299" s="44">
        <v>125.671577</v>
      </c>
      <c r="AA299" s="36">
        <f>IF(ISBLANK(Z300),"",Long6[[#This Row],[Adj Close]]/Z300-1)</f>
        <v>-2.9012910945213743E-2</v>
      </c>
      <c r="AH299" s="29">
        <v>43003</v>
      </c>
      <c r="AI299" s="44">
        <v>56.562111000000002</v>
      </c>
      <c r="AJ299" s="33">
        <f>IF(ISBLANK(AI300),"",Short0[[#This Row],[Adj Close]]/AI300-1)</f>
        <v>2.0829228556415336E-2</v>
      </c>
      <c r="AK299" s="37">
        <v>43003</v>
      </c>
      <c r="AL299" s="44">
        <v>48.183990000000001</v>
      </c>
      <c r="AM299" s="36">
        <f>IF(ISBLANK(AL300),"",Short1[[#This Row],[Adj Close]]/AL300-1)</f>
        <v>6.2937874065572386E-2</v>
      </c>
      <c r="AN299" s="29">
        <v>43003</v>
      </c>
      <c r="AO299" s="44">
        <v>49.254989999999999</v>
      </c>
      <c r="AP299" s="33">
        <f>IF(ISBLANK(AO300),"",Short2[[#This Row],[Adj Close]]/AO300-1)</f>
        <v>5.0119279332552447E-2</v>
      </c>
      <c r="AQ299" s="37">
        <v>43003</v>
      </c>
      <c r="AR299" s="44">
        <v>66.430000000000007</v>
      </c>
      <c r="AS299" s="36">
        <f>IF(ISBLANK(AR300),"",Short3[[#This Row],[Adj Close]]/AR300-1)</f>
        <v>-4.4585057451244858E-2</v>
      </c>
    </row>
    <row r="300" spans="1:45" x14ac:dyDescent="0.25">
      <c r="A300" s="37">
        <v>42996</v>
      </c>
      <c r="B300" s="39">
        <v>2502.219971</v>
      </c>
      <c r="C300" s="36">
        <f>IF(ISBLANK(B301), "", GSPC[[#This Row],[Adj Close]]/B301-1)</f>
        <v>7.9592318143473229E-4</v>
      </c>
      <c r="D30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47365.568948</v>
      </c>
      <c r="E30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23812.336642000002</v>
      </c>
      <c r="F300" s="11">
        <f>IF(ISBLANK(GSPC[[#This Row],[Long Exp.]]), "", (GSPC[[#This Row],[Long Exp.]]/D301-1)+(E301/GSPC[[#This Row],[Short Exp.]]-1))</f>
        <v>3.7053726200299009E-3</v>
      </c>
      <c r="G300" s="37">
        <v>42996</v>
      </c>
      <c r="H300" s="44">
        <v>28.660841000000001</v>
      </c>
      <c r="I300" s="36">
        <f>IF(ISBLANK(H301), "", Long0[[#This Row],[Adj Close]]/H301-1)</f>
        <v>-2.2791109010215194E-2</v>
      </c>
      <c r="J300" s="29">
        <v>42996</v>
      </c>
      <c r="K300" s="44">
        <v>22.165779000000001</v>
      </c>
      <c r="L300" s="33">
        <f>IF(ISBLANK(K301),"",Long1[[#This Row],[Adj Close]]/K301-1)</f>
        <v>5.3591935392486301E-2</v>
      </c>
      <c r="M300" s="37">
        <v>42996</v>
      </c>
      <c r="N300" s="44">
        <v>19.799862000000001</v>
      </c>
      <c r="O300" s="36">
        <f>IF(ISBLANK(N301),"",Long2[[#This Row],[Adj Close]]/N301-1)</f>
        <v>9.6806097901456223E-3</v>
      </c>
      <c r="P300" s="29">
        <v>42996</v>
      </c>
      <c r="Q300" s="44">
        <v>29.211573000000001</v>
      </c>
      <c r="R300" s="33">
        <f>IF(ISBLANK(Q301),"",Long3[[#This Row],[Adj Close]]/Q301-1)</f>
        <v>-2.1368594417585318E-2</v>
      </c>
      <c r="S300" s="37">
        <v>42996</v>
      </c>
      <c r="T300" s="44">
        <v>35.677776000000001</v>
      </c>
      <c r="U300" s="36">
        <f>IF(ISBLANK(T301),"",Long4[[#This Row],[Adj Close]]/T301-1)</f>
        <v>3.9896992481729177E-2</v>
      </c>
      <c r="V300" s="29">
        <v>42996</v>
      </c>
      <c r="W300" s="44">
        <v>27.299416000000001</v>
      </c>
      <c r="X300" s="33">
        <f>IF(ISBLANK(W301),"",Long5[[#This Row],[Adj Close]]/W301-1)</f>
        <v>5.3282802169847265E-3</v>
      </c>
      <c r="Y300" s="37">
        <v>42996</v>
      </c>
      <c r="Z300" s="44">
        <v>129.42662000000001</v>
      </c>
      <c r="AA300" s="36">
        <f>IF(ISBLANK(Z301),"",Long6[[#This Row],[Adj Close]]/Z301-1)</f>
        <v>5.1503515636810437E-3</v>
      </c>
      <c r="AH300" s="29">
        <v>42996</v>
      </c>
      <c r="AI300" s="44">
        <v>55.408005000000003</v>
      </c>
      <c r="AJ300" s="33">
        <f>IF(ISBLANK(AI301),"",Short0[[#This Row],[Adj Close]]/AI301-1)</f>
        <v>5.0592524712860243E-3</v>
      </c>
      <c r="AK300" s="37">
        <v>42996</v>
      </c>
      <c r="AL300" s="44">
        <v>45.330956</v>
      </c>
      <c r="AM300" s="36">
        <f>IF(ISBLANK(AL301),"",Short1[[#This Row],[Adj Close]]/AL301-1)</f>
        <v>-8.036189440886421E-2</v>
      </c>
      <c r="AN300" s="29">
        <v>42996</v>
      </c>
      <c r="AO300" s="44">
        <v>46.904186000000003</v>
      </c>
      <c r="AP300" s="33">
        <f>IF(ISBLANK(AO301),"",Short2[[#This Row],[Adj Close]]/AO301-1)</f>
        <v>-2.0074233720477341E-2</v>
      </c>
      <c r="AQ300" s="37">
        <v>42996</v>
      </c>
      <c r="AR300" s="44">
        <v>69.529999000000004</v>
      </c>
      <c r="AS300" s="36">
        <f>IF(ISBLANK(AR301),"",Short3[[#This Row],[Adj Close]]/AR301-1)</f>
        <v>3.4364742124892267E-2</v>
      </c>
    </row>
    <row r="301" spans="1:45" x14ac:dyDescent="0.25">
      <c r="A301" s="37">
        <v>42989</v>
      </c>
      <c r="B301" s="39">
        <v>2500.2299800000001</v>
      </c>
      <c r="C301" s="36">
        <f>IF(ISBLANK(B302), "", GSPC[[#This Row],[Adj Close]]/B302-1)</f>
        <v>1.5763214502097833E-2</v>
      </c>
      <c r="D30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47717.223372</v>
      </c>
      <c r="E30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24076.056408</v>
      </c>
      <c r="F301" s="11">
        <f>IF(ISBLANK(GSPC[[#This Row],[Long Exp.]]), "", (GSPC[[#This Row],[Long Exp.]]/D302-1)+(E302/GSPC[[#This Row],[Short Exp.]]-1))</f>
        <v>-9.0836573378227925E-4</v>
      </c>
      <c r="G301" s="37">
        <v>42989</v>
      </c>
      <c r="H301" s="44">
        <v>29.329287999999998</v>
      </c>
      <c r="I301" s="36">
        <f>IF(ISBLANK(H302), "", Long0[[#This Row],[Adj Close]]/H302-1)</f>
        <v>-2.1807965049556177E-3</v>
      </c>
      <c r="J301" s="29">
        <v>42989</v>
      </c>
      <c r="K301" s="44">
        <v>21.038295999999999</v>
      </c>
      <c r="L301" s="33">
        <f>IF(ISBLANK(K302),"",Long1[[#This Row],[Adj Close]]/K302-1)</f>
        <v>-7.1813407459729861E-3</v>
      </c>
      <c r="M301" s="37">
        <v>42989</v>
      </c>
      <c r="N301" s="44">
        <v>19.610025</v>
      </c>
      <c r="O301" s="36">
        <f>IF(ISBLANK(N302),"",Long2[[#This Row],[Adj Close]]/N302-1)</f>
        <v>7.377451191096962E-2</v>
      </c>
      <c r="P301" s="29">
        <v>42989</v>
      </c>
      <c r="Q301" s="44">
        <v>29.849412999999998</v>
      </c>
      <c r="R301" s="33">
        <f>IF(ISBLANK(Q302),"",Long3[[#This Row],[Adj Close]]/Q302-1)</f>
        <v>4.0700113944844851E-3</v>
      </c>
      <c r="S301" s="37">
        <v>42989</v>
      </c>
      <c r="T301" s="44">
        <v>34.308951999999998</v>
      </c>
      <c r="U301" s="36">
        <f>IF(ISBLANK(T302),"",Long4[[#This Row],[Adj Close]]/T302-1)</f>
        <v>6.4764676061770388E-3</v>
      </c>
      <c r="V301" s="29">
        <v>42989</v>
      </c>
      <c r="W301" s="44">
        <v>27.154727999999999</v>
      </c>
      <c r="X301" s="33">
        <f>IF(ISBLANK(W302),"",Long5[[#This Row],[Adj Close]]/W302-1)</f>
        <v>2.6747852967629715E-2</v>
      </c>
      <c r="Y301" s="37">
        <v>42989</v>
      </c>
      <c r="Z301" s="44">
        <v>128.763443</v>
      </c>
      <c r="AA301" s="36">
        <f>IF(ISBLANK(Z302),"",Long6[[#This Row],[Adj Close]]/Z302-1)</f>
        <v>3.4469247030161965E-2</v>
      </c>
      <c r="AH301" s="29">
        <v>42989</v>
      </c>
      <c r="AI301" s="44">
        <v>55.129092999999997</v>
      </c>
      <c r="AJ301" s="33">
        <f>IF(ISBLANK(AI302),"",Short0[[#This Row],[Adj Close]]/AI302-1)</f>
        <v>2.0595543624433166E-3</v>
      </c>
      <c r="AK301" s="37">
        <v>42989</v>
      </c>
      <c r="AL301" s="44">
        <v>49.292167999999997</v>
      </c>
      <c r="AM301" s="36">
        <f>IF(ISBLANK(AL302),"",Short1[[#This Row],[Adj Close]]/AL302-1)</f>
        <v>5.6036365301983526E-2</v>
      </c>
      <c r="AN301" s="29">
        <v>42989</v>
      </c>
      <c r="AO301" s="44">
        <v>47.86504</v>
      </c>
      <c r="AP301" s="33">
        <f>IF(ISBLANK(AO302),"",Short2[[#This Row],[Adj Close]]/AO302-1)</f>
        <v>1.5235584090961041E-2</v>
      </c>
      <c r="AQ301" s="37">
        <v>42989</v>
      </c>
      <c r="AR301" s="44">
        <v>67.220000999999996</v>
      </c>
      <c r="AS301" s="36">
        <f>IF(ISBLANK(AR302),"",Short3[[#This Row],[Adj Close]]/AR302-1)</f>
        <v>5.954301875557011E-4</v>
      </c>
    </row>
    <row r="302" spans="1:45" x14ac:dyDescent="0.25">
      <c r="A302" s="37">
        <v>42982</v>
      </c>
      <c r="B302" s="39">
        <v>2461.429932</v>
      </c>
      <c r="C302" s="36">
        <f>IF(ISBLANK(B303), "", GSPC[[#This Row],[Adj Close]]/B303-1)</f>
        <v>-6.1053145306331214E-3</v>
      </c>
      <c r="D30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47081.839695000002</v>
      </c>
      <c r="E30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23729.272875000002</v>
      </c>
      <c r="F302" s="11">
        <f>IF(ISBLANK(GSPC[[#This Row],[Long Exp.]]), "", (GSPC[[#This Row],[Long Exp.]]/D303-1)+(E303/GSPC[[#This Row],[Short Exp.]]-1))</f>
        <v>3.2954503609801122E-3</v>
      </c>
      <c r="G302" s="37">
        <v>42982</v>
      </c>
      <c r="H302" s="44">
        <v>29.393388999999999</v>
      </c>
      <c r="I302" s="36">
        <f>IF(ISBLANK(H303), "", Long0[[#This Row],[Adj Close]]/H303-1)</f>
        <v>1.6788181156994986E-2</v>
      </c>
      <c r="J302" s="29">
        <v>42982</v>
      </c>
      <c r="K302" s="44">
        <v>21.190472</v>
      </c>
      <c r="L302" s="33">
        <f>IF(ISBLANK(K303),"",Long1[[#This Row],[Adj Close]]/K303-1)</f>
        <v>-1.0657119136920135E-2</v>
      </c>
      <c r="M302" s="37">
        <v>42982</v>
      </c>
      <c r="N302" s="44">
        <v>18.262702999999998</v>
      </c>
      <c r="O302" s="36">
        <f>IF(ISBLANK(N303),"",Long2[[#This Row],[Adj Close]]/N303-1)</f>
        <v>-3.5803154505514412E-2</v>
      </c>
      <c r="P302" s="29">
        <v>42982</v>
      </c>
      <c r="Q302" s="44">
        <v>29.728418000000001</v>
      </c>
      <c r="R302" s="33">
        <f>IF(ISBLANK(Q303),"",Long3[[#This Row],[Adj Close]]/Q303-1)</f>
        <v>1.1250135639909065E-2</v>
      </c>
      <c r="S302" s="37">
        <v>42982</v>
      </c>
      <c r="T302" s="44">
        <v>34.088180999999999</v>
      </c>
      <c r="U302" s="36">
        <f>IF(ISBLANK(T303),"",Long4[[#This Row],[Adj Close]]/T303-1)</f>
        <v>-3.86052596428893E-2</v>
      </c>
      <c r="V302" s="29">
        <v>42982</v>
      </c>
      <c r="W302" s="44">
        <v>26.447319</v>
      </c>
      <c r="X302" s="33">
        <f>IF(ISBLANK(W303),"",Long5[[#This Row],[Adj Close]]/W303-1)</f>
        <v>-1.3120815996362278E-2</v>
      </c>
      <c r="Y302" s="37">
        <v>42982</v>
      </c>
      <c r="Z302" s="44">
        <v>124.472954</v>
      </c>
      <c r="AA302" s="36">
        <f>IF(ISBLANK(Z303),"",Long6[[#This Row],[Adj Close]]/Z303-1)</f>
        <v>5.5139908898409473E-3</v>
      </c>
      <c r="AH302" s="29">
        <v>42982</v>
      </c>
      <c r="AI302" s="44">
        <v>55.015785000000001</v>
      </c>
      <c r="AJ302" s="33">
        <f>IF(ISBLANK(AI303),"",Short0[[#This Row],[Adj Close]]/AI303-1)</f>
        <v>3.9765590923064309E-3</v>
      </c>
      <c r="AK302" s="37">
        <v>42982</v>
      </c>
      <c r="AL302" s="44">
        <v>46.676582000000003</v>
      </c>
      <c r="AM302" s="36">
        <f>IF(ISBLANK(AL303),"",Short1[[#This Row],[Adj Close]]/AL303-1)</f>
        <v>1.8722336105735593E-2</v>
      </c>
      <c r="AN302" s="29">
        <v>42982</v>
      </c>
      <c r="AO302" s="44">
        <v>47.146732</v>
      </c>
      <c r="AP302" s="33">
        <f>IF(ISBLANK(AO303),"",Short2[[#This Row],[Adj Close]]/AO303-1)</f>
        <v>-2.3570387250453684E-2</v>
      </c>
      <c r="AQ302" s="37">
        <v>42982</v>
      </c>
      <c r="AR302" s="44">
        <v>67.180000000000007</v>
      </c>
      <c r="AS302" s="36">
        <f>IF(ISBLANK(AR303),"",Short3[[#This Row],[Adj Close]]/AR303-1)</f>
        <v>-3.2641245322216905E-3</v>
      </c>
    </row>
    <row r="303" spans="1:45" x14ac:dyDescent="0.25">
      <c r="A303" s="37">
        <v>42975</v>
      </c>
      <c r="B303" s="39">
        <v>2476.5500489999999</v>
      </c>
      <c r="C303" s="36">
        <f>IF(ISBLANK(B304), "", GSPC[[#This Row],[Adj Close]]/B304-1)</f>
        <v>1.3712367462022534E-2</v>
      </c>
      <c r="D30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46998.093758999996</v>
      </c>
      <c r="E30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23765.188307999997</v>
      </c>
      <c r="F303" s="11">
        <f>IF(ISBLANK(GSPC[[#This Row],[Long Exp.]]), "", (GSPC[[#This Row],[Long Exp.]]/D304-1)+(E304/GSPC[[#This Row],[Short Exp.]]-1))</f>
        <v>2.6384201148039077E-2</v>
      </c>
      <c r="G303" s="37">
        <v>42975</v>
      </c>
      <c r="H303" s="44">
        <v>28.908075</v>
      </c>
      <c r="I303" s="36">
        <f>IF(ISBLANK(H304), "", Long0[[#This Row],[Adj Close]]/H304-1)</f>
        <v>3.4064739911107367E-2</v>
      </c>
      <c r="J303" s="29">
        <v>42975</v>
      </c>
      <c r="K303" s="44">
        <v>21.418734000000001</v>
      </c>
      <c r="L303" s="33">
        <f>IF(ISBLANK(K304),"",Long1[[#This Row],[Adj Close]]/K304-1)</f>
        <v>5.9356870053445698E-2</v>
      </c>
      <c r="M303" s="37">
        <v>42975</v>
      </c>
      <c r="N303" s="44">
        <v>18.940844999999999</v>
      </c>
      <c r="O303" s="36">
        <f>IF(ISBLANK(N304),"",Long2[[#This Row],[Adj Close]]/N304-1)</f>
        <v>-1.2764119423317344E-2</v>
      </c>
      <c r="P303" s="29">
        <v>42975</v>
      </c>
      <c r="Q303" s="44">
        <v>29.397690000000001</v>
      </c>
      <c r="R303" s="33">
        <f>IF(ISBLANK(Q304),"",Long3[[#This Row],[Adj Close]]/Q304-1)</f>
        <v>-1.2124071911727707E-2</v>
      </c>
      <c r="S303" s="37">
        <v>42975</v>
      </c>
      <c r="T303" s="44">
        <v>35.457008000000002</v>
      </c>
      <c r="U303" s="36">
        <f>IF(ISBLANK(T304),"",Long4[[#This Row],[Adj Close]]/T304-1)</f>
        <v>2.5543124560235331E-2</v>
      </c>
      <c r="V303" s="29">
        <v>42975</v>
      </c>
      <c r="W303" s="44">
        <v>26.798943000000001</v>
      </c>
      <c r="X303" s="33">
        <f>IF(ISBLANK(W304),"",Long5[[#This Row],[Adj Close]]/W304-1)</f>
        <v>-2.0234527083284659E-2</v>
      </c>
      <c r="Y303" s="37">
        <v>42975</v>
      </c>
      <c r="Z303" s="44">
        <v>123.790375</v>
      </c>
      <c r="AA303" s="36">
        <f>IF(ISBLANK(Z304),"",Long6[[#This Row],[Adj Close]]/Z304-1)</f>
        <v>0.14215020551859947</v>
      </c>
      <c r="AH303" s="29">
        <v>42975</v>
      </c>
      <c r="AI303" s="44">
        <v>54.797877999999997</v>
      </c>
      <c r="AJ303" s="33">
        <f>IF(ISBLANK(AI304),"",Short0[[#This Row],[Adj Close]]/AI304-1)</f>
        <v>4.574173220887312E-2</v>
      </c>
      <c r="AK303" s="37">
        <v>42975</v>
      </c>
      <c r="AL303" s="44">
        <v>45.818747999999999</v>
      </c>
      <c r="AM303" s="36">
        <f>IF(ISBLANK(AL304),"",Short1[[#This Row],[Adj Close]]/AL304-1)</f>
        <v>-0.119443659218613</v>
      </c>
      <c r="AN303" s="29">
        <v>42975</v>
      </c>
      <c r="AO303" s="44">
        <v>48.284824</v>
      </c>
      <c r="AP303" s="33">
        <f>IF(ISBLANK(AO304),"",Short2[[#This Row],[Adj Close]]/AO304-1)</f>
        <v>2.9063724032891702E-3</v>
      </c>
      <c r="AQ303" s="37">
        <v>42975</v>
      </c>
      <c r="AR303" s="44">
        <v>67.400002000000001</v>
      </c>
      <c r="AS303" s="36">
        <f>IF(ISBLANK(AR304),"",Short3[[#This Row],[Adj Close]]/AR304-1)</f>
        <v>3.0738691401417384E-2</v>
      </c>
    </row>
    <row r="304" spans="1:45" x14ac:dyDescent="0.25">
      <c r="A304" s="37">
        <v>42968</v>
      </c>
      <c r="B304" s="39">
        <v>2443.0500489999999</v>
      </c>
      <c r="C304" s="36">
        <f>IF(ISBLANK(B305), "", GSPC[[#This Row],[Adj Close]]/B305-1)</f>
        <v>7.2148583399525013E-3</v>
      </c>
      <c r="D30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45823.500068999994</v>
      </c>
      <c r="E30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23783.040789999999</v>
      </c>
      <c r="F304" s="11">
        <f>IF(ISBLANK(GSPC[[#This Row],[Long Exp.]]), "", (GSPC[[#This Row],[Long Exp.]]/D305-1)+(E305/GSPC[[#This Row],[Short Exp.]]-1))</f>
        <v>-2.0818182106804639E-2</v>
      </c>
      <c r="G304" s="37">
        <v>42968</v>
      </c>
      <c r="H304" s="44">
        <v>27.955769</v>
      </c>
      <c r="I304" s="36">
        <f>IF(ISBLANK(H305), "", Long0[[#This Row],[Adj Close]]/H305-1)</f>
        <v>-6.184840553311699E-3</v>
      </c>
      <c r="J304" s="29">
        <v>42968</v>
      </c>
      <c r="K304" s="44">
        <v>20.218620000000001</v>
      </c>
      <c r="L304" s="33">
        <f>IF(ISBLANK(K305),"",Long1[[#This Row],[Adj Close]]/K305-1)</f>
        <v>5.4283067000924889E-2</v>
      </c>
      <c r="M304" s="37">
        <v>42968</v>
      </c>
      <c r="N304" s="44">
        <v>19.185734</v>
      </c>
      <c r="O304" s="36">
        <f>IF(ISBLANK(N305),"",Long2[[#This Row],[Adj Close]]/N305-1)</f>
        <v>2.5680101198703342E-2</v>
      </c>
      <c r="P304" s="29">
        <v>42968</v>
      </c>
      <c r="Q304" s="44">
        <v>29.758483999999999</v>
      </c>
      <c r="R304" s="33">
        <f>IF(ISBLANK(Q305),"",Long3[[#This Row],[Adj Close]]/Q305-1)</f>
        <v>1.7214984640843589E-2</v>
      </c>
      <c r="S304" s="37">
        <v>42968</v>
      </c>
      <c r="T304" s="44">
        <v>34.573883000000002</v>
      </c>
      <c r="U304" s="36">
        <f>IF(ISBLANK(T305),"",Long4[[#This Row],[Adj Close]]/T305-1)</f>
        <v>-2.0025320586079642E-2</v>
      </c>
      <c r="V304" s="29">
        <v>42968</v>
      </c>
      <c r="W304" s="44">
        <v>27.352405999999998</v>
      </c>
      <c r="X304" s="33">
        <f>IF(ISBLANK(W305),"",Long5[[#This Row],[Adj Close]]/W305-1)</f>
        <v>-1.898732747127907E-2</v>
      </c>
      <c r="Y304" s="37">
        <v>42968</v>
      </c>
      <c r="Z304" s="44">
        <v>108.38362100000001</v>
      </c>
      <c r="AA304" s="36">
        <f>IF(ISBLANK(Z305),"",Long6[[#This Row],[Adj Close]]/Z305-1)</f>
        <v>1.2295136284249164E-2</v>
      </c>
      <c r="AH304" s="29">
        <v>42968</v>
      </c>
      <c r="AI304" s="44">
        <v>52.400967000000001</v>
      </c>
      <c r="AJ304" s="33">
        <f>IF(ISBLANK(AI305),"",Short0[[#This Row],[Adj Close]]/AI305-1)</f>
        <v>1.8331487623650666E-3</v>
      </c>
      <c r="AK304" s="37">
        <v>42968</v>
      </c>
      <c r="AL304" s="44">
        <v>52.033862999999997</v>
      </c>
      <c r="AM304" s="36">
        <f>IF(ISBLANK(AL305),"",Short1[[#This Row],[Adj Close]]/AL305-1)</f>
        <v>4.0355956466404885E-2</v>
      </c>
      <c r="AN304" s="29">
        <v>42968</v>
      </c>
      <c r="AO304" s="44">
        <v>48.144897</v>
      </c>
      <c r="AP304" s="33">
        <f>IF(ISBLANK(AO305),"",Short2[[#This Row],[Adj Close]]/AO305-1)</f>
        <v>-5.2044993573745479E-3</v>
      </c>
      <c r="AQ304" s="37">
        <v>42968</v>
      </c>
      <c r="AR304" s="44">
        <v>65.389999000000003</v>
      </c>
      <c r="AS304" s="36">
        <f>IF(ISBLANK(AR305),"",Short3[[#This Row],[Adj Close]]/AR305-1)</f>
        <v>0.10214051568715621</v>
      </c>
    </row>
    <row r="305" spans="1:45" x14ac:dyDescent="0.25">
      <c r="A305" s="37">
        <v>42961</v>
      </c>
      <c r="B305" s="39">
        <v>2425.5500489999999</v>
      </c>
      <c r="C305" s="36">
        <f>IF(ISBLANK(B306), "", GSPC[[#This Row],[Adj Close]]/B306-1)</f>
        <v>-6.4596278082125203E-3</v>
      </c>
      <c r="D30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45595.624312</v>
      </c>
      <c r="E30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23169.059306000003</v>
      </c>
      <c r="F305" s="11">
        <f>IF(ISBLANK(GSPC[[#This Row],[Long Exp.]]), "", (GSPC[[#This Row],[Long Exp.]]/D306-1)+(E306/GSPC[[#This Row],[Short Exp.]]-1))</f>
        <v>-2.0913395115756961E-3</v>
      </c>
      <c r="G305" s="37">
        <v>42961</v>
      </c>
      <c r="H305" s="44">
        <v>28.129746999999998</v>
      </c>
      <c r="I305" s="36">
        <f>IF(ISBLANK(H306), "", Long0[[#This Row],[Adj Close]]/H306-1)</f>
        <v>-5.1813084865729442E-3</v>
      </c>
      <c r="J305" s="29">
        <v>42961</v>
      </c>
      <c r="K305" s="44">
        <v>19.177600999999999</v>
      </c>
      <c r="L305" s="33">
        <f>IF(ISBLANK(K306),"",Long1[[#This Row],[Adj Close]]/K306-1)</f>
        <v>-3.2356792709715698E-3</v>
      </c>
      <c r="M305" s="37">
        <v>42961</v>
      </c>
      <c r="N305" s="44">
        <v>18.705378</v>
      </c>
      <c r="O305" s="36">
        <f>IF(ISBLANK(N306),"",Long2[[#This Row],[Adj Close]]/N306-1)</f>
        <v>-2.359903778556216E-2</v>
      </c>
      <c r="P305" s="29">
        <v>42961</v>
      </c>
      <c r="Q305" s="44">
        <v>29.254861999999999</v>
      </c>
      <c r="R305" s="33">
        <f>IF(ISBLANK(Q306),"",Long3[[#This Row],[Adj Close]]/Q306-1)</f>
        <v>1.1171292015134338E-2</v>
      </c>
      <c r="S305" s="37">
        <v>42961</v>
      </c>
      <c r="T305" s="44">
        <v>35.280383999999998</v>
      </c>
      <c r="U305" s="36">
        <f>IF(ISBLANK(T306),"",Long4[[#This Row],[Adj Close]]/T306-1)</f>
        <v>-3.5024034149712002E-2</v>
      </c>
      <c r="V305" s="29">
        <v>42961</v>
      </c>
      <c r="W305" s="44">
        <v>27.881806999999998</v>
      </c>
      <c r="X305" s="33">
        <f>IF(ISBLANK(W306),"",Long5[[#This Row],[Adj Close]]/W306-1)</f>
        <v>3.8231785416909192E-2</v>
      </c>
      <c r="Y305" s="37">
        <v>42961</v>
      </c>
      <c r="Z305" s="44">
        <v>107.067215</v>
      </c>
      <c r="AA305" s="36">
        <f>IF(ISBLANK(Z306),"",Long6[[#This Row],[Adj Close]]/Z306-1)</f>
        <v>-1.4804767633447402E-2</v>
      </c>
      <c r="AH305" s="29">
        <v>42961</v>
      </c>
      <c r="AI305" s="44">
        <v>52.305084000000001</v>
      </c>
      <c r="AJ305" s="33">
        <f>IF(ISBLANK(AI306),"",Short0[[#This Row],[Adj Close]]/AI306-1)</f>
        <v>5.8665550974852376E-3</v>
      </c>
      <c r="AK305" s="37">
        <v>42961</v>
      </c>
      <c r="AL305" s="44">
        <v>50.015442</v>
      </c>
      <c r="AM305" s="36">
        <f>IF(ISBLANK(AL306),"",Short1[[#This Row],[Adj Close]]/AL306-1)</f>
        <v>-9.9880564225216517E-3</v>
      </c>
      <c r="AN305" s="29">
        <v>42961</v>
      </c>
      <c r="AO305" s="44">
        <v>48.396777999999998</v>
      </c>
      <c r="AP305" s="33">
        <f>IF(ISBLANK(AO306),"",Short2[[#This Row],[Adj Close]]/AO306-1)</f>
        <v>-2.5727341952086924E-2</v>
      </c>
      <c r="AQ305" s="37">
        <v>42961</v>
      </c>
      <c r="AR305" s="44">
        <v>59.330002</v>
      </c>
      <c r="AS305" s="36">
        <f>IF(ISBLANK(AR306),"",Short3[[#This Row],[Adj Close]]/AR306-1)</f>
        <v>1.9415824408662852E-2</v>
      </c>
    </row>
    <row r="306" spans="1:45" x14ac:dyDescent="0.25">
      <c r="A306" s="37">
        <v>42954</v>
      </c>
      <c r="B306" s="39">
        <v>2441.320068</v>
      </c>
      <c r="C306" s="36">
        <f>IF(ISBLANK(B307), "", GSPC[[#This Row],[Adj Close]]/B307-1)</f>
        <v>-1.4336877735542375E-2</v>
      </c>
      <c r="D30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45820.019570000004</v>
      </c>
      <c r="E30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23234.071214000003</v>
      </c>
      <c r="F306" s="11">
        <f>IF(ISBLANK(GSPC[[#This Row],[Long Exp.]]), "", (GSPC[[#This Row],[Long Exp.]]/D307-1)+(E307/GSPC[[#This Row],[Short Exp.]]-1))</f>
        <v>-2.4715729367217998E-2</v>
      </c>
      <c r="G306" s="37">
        <v>42954</v>
      </c>
      <c r="H306" s="44">
        <v>28.276254999999999</v>
      </c>
      <c r="I306" s="36">
        <f>IF(ISBLANK(H307), "", Long0[[#This Row],[Adj Close]]/H307-1)</f>
        <v>-6.1968316802647916E-2</v>
      </c>
      <c r="J306" s="29">
        <v>42954</v>
      </c>
      <c r="K306" s="44">
        <v>19.239854999999999</v>
      </c>
      <c r="L306" s="33">
        <f>IF(ISBLANK(K307),"",Long1[[#This Row],[Adj Close]]/K307-1)</f>
        <v>-3.5708088796116755E-2</v>
      </c>
      <c r="M306" s="37">
        <v>42954</v>
      </c>
      <c r="N306" s="44">
        <v>19.157475999999999</v>
      </c>
      <c r="O306" s="36">
        <f>IF(ISBLANK(N307),"",Long2[[#This Row],[Adj Close]]/N307-1)</f>
        <v>-9.9202783472763789E-2</v>
      </c>
      <c r="P306" s="29">
        <v>42954</v>
      </c>
      <c r="Q306" s="44">
        <v>28.931657999999999</v>
      </c>
      <c r="R306" s="33">
        <f>IF(ISBLANK(Q307),"",Long3[[#This Row],[Adj Close]]/Q307-1)</f>
        <v>-7.7337457375810104E-3</v>
      </c>
      <c r="S306" s="37">
        <v>42954</v>
      </c>
      <c r="T306" s="44">
        <v>36.560893999999998</v>
      </c>
      <c r="U306" s="36">
        <f>IF(ISBLANK(T307),"",Long4[[#This Row],[Adj Close]]/T307-1)</f>
        <v>8.5259738189085166E-3</v>
      </c>
      <c r="V306" s="29">
        <v>42954</v>
      </c>
      <c r="W306" s="44">
        <v>26.855089</v>
      </c>
      <c r="X306" s="33">
        <f>IF(ISBLANK(W307),"",Long5[[#This Row],[Adj Close]]/W307-1)</f>
        <v>3.7174761533630862E-2</v>
      </c>
      <c r="Y306" s="37">
        <v>42954</v>
      </c>
      <c r="Z306" s="44">
        <v>108.67614</v>
      </c>
      <c r="AA306" s="36">
        <f>IF(ISBLANK(Z307),"",Long6[[#This Row],[Adj Close]]/Z307-1)</f>
        <v>-5.189283520379584E-2</v>
      </c>
      <c r="AH306" s="29">
        <v>42954</v>
      </c>
      <c r="AI306" s="44">
        <v>52.000022999999999</v>
      </c>
      <c r="AJ306" s="33">
        <f>IF(ISBLANK(AI307),"",Short0[[#This Row],[Adj Close]]/AI307-1)</f>
        <v>-2.148617817848153E-2</v>
      </c>
      <c r="AK306" s="37">
        <v>42954</v>
      </c>
      <c r="AL306" s="44">
        <v>50.520038999999997</v>
      </c>
      <c r="AM306" s="36">
        <f>IF(ISBLANK(AL307),"",Short1[[#This Row],[Adj Close]]/AL307-1)</f>
        <v>-3.4838587686814027E-3</v>
      </c>
      <c r="AN306" s="29">
        <v>42954</v>
      </c>
      <c r="AO306" s="44">
        <v>49.674778000000003</v>
      </c>
      <c r="AP306" s="33">
        <f>IF(ISBLANK(AO307),"",Short2[[#This Row],[Adj Close]]/AO307-1)</f>
        <v>-1.8433360476135086E-2</v>
      </c>
      <c r="AQ306" s="37">
        <v>42954</v>
      </c>
      <c r="AR306" s="44">
        <v>58.200001</v>
      </c>
      <c r="AS306" s="36">
        <f>IF(ISBLANK(AR307),"",Short3[[#This Row],[Adj Close]]/AR307-1)</f>
        <v>-2.5941405857740629E-2</v>
      </c>
    </row>
    <row r="307" spans="1:45" x14ac:dyDescent="0.25">
      <c r="A307" s="37">
        <v>42947</v>
      </c>
      <c r="B307" s="39">
        <v>2476.830078</v>
      </c>
      <c r="C307" s="36">
        <f>IF(ISBLANK(B308), "", GSPC[[#This Row],[Adj Close]]/B308-1)</f>
        <v>1.9133448535626485E-3</v>
      </c>
      <c r="D30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47880.477863</v>
      </c>
      <c r="E30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23659.664568</v>
      </c>
      <c r="F307" s="11">
        <f>IF(ISBLANK(GSPC[[#This Row],[Long Exp.]]), "", (GSPC[[#This Row],[Long Exp.]]/D308-1)+(E308/GSPC[[#This Row],[Short Exp.]]-1))</f>
        <v>-8.7167001091123519E-2</v>
      </c>
      <c r="G307" s="37">
        <v>42947</v>
      </c>
      <c r="H307" s="44">
        <v>30.144242999999999</v>
      </c>
      <c r="I307" s="36">
        <f>IF(ISBLANK(H308), "", Long0[[#This Row],[Adj Close]]/H308-1)</f>
        <v>-0.15023258756206959</v>
      </c>
      <c r="J307" s="29">
        <v>42947</v>
      </c>
      <c r="K307" s="44">
        <v>19.952314000000001</v>
      </c>
      <c r="L307" s="33">
        <f>IF(ISBLANK(K308),"",Long1[[#This Row],[Adj Close]]/K308-1)</f>
        <v>-3.9940114608713384E-2</v>
      </c>
      <c r="M307" s="37">
        <v>42947</v>
      </c>
      <c r="N307" s="44">
        <v>21.267246</v>
      </c>
      <c r="O307" s="36">
        <f>IF(ISBLANK(N308),"",Long2[[#This Row],[Adj Close]]/N308-1)</f>
        <v>-6.5784041129801851E-2</v>
      </c>
      <c r="P307" s="29">
        <v>42947</v>
      </c>
      <c r="Q307" s="44">
        <v>29.157152</v>
      </c>
      <c r="R307" s="33">
        <f>IF(ISBLANK(Q308),"",Long3[[#This Row],[Adj Close]]/Q308-1)</f>
        <v>1.5977032773651478E-2</v>
      </c>
      <c r="S307" s="37">
        <v>42947</v>
      </c>
      <c r="T307" s="44">
        <v>36.251812000000001</v>
      </c>
      <c r="U307" s="36">
        <f>IF(ISBLANK(T308),"",Long4[[#This Row],[Adj Close]]/T308-1)</f>
        <v>-2.1453657403404658E-2</v>
      </c>
      <c r="V307" s="29">
        <v>42947</v>
      </c>
      <c r="W307" s="44">
        <v>25.89254</v>
      </c>
      <c r="X307" s="33">
        <f>IF(ISBLANK(W308),"",Long5[[#This Row],[Adj Close]]/W308-1)</f>
        <v>8.5041883159618692E-2</v>
      </c>
      <c r="Y307" s="37">
        <v>42947</v>
      </c>
      <c r="Z307" s="44">
        <v>114.62432099999999</v>
      </c>
      <c r="AA307" s="36">
        <f>IF(ISBLANK(Z308),"",Long6[[#This Row],[Adj Close]]/Z308-1)</f>
        <v>-3.0915291535421718E-2</v>
      </c>
      <c r="AH307" s="29">
        <v>42947</v>
      </c>
      <c r="AI307" s="44">
        <v>53.141838</v>
      </c>
      <c r="AJ307" s="33">
        <f>IF(ISBLANK(AI308),"",Short0[[#This Row],[Adj Close]]/AI308-1)</f>
        <v>-5.058486645572069E-3</v>
      </c>
      <c r="AK307" s="37">
        <v>42947</v>
      </c>
      <c r="AL307" s="44">
        <v>50.696658999999997</v>
      </c>
      <c r="AM307" s="36">
        <f>IF(ISBLANK(AL308),"",Short1[[#This Row],[Adj Close]]/AL308-1)</f>
        <v>4.5801513017641904E-2</v>
      </c>
      <c r="AN307" s="29">
        <v>42947</v>
      </c>
      <c r="AO307" s="44">
        <v>50.607647</v>
      </c>
      <c r="AP307" s="33">
        <f>IF(ISBLANK(AO308),"",Short2[[#This Row],[Adj Close]]/AO308-1)</f>
        <v>3.4713163602769992E-2</v>
      </c>
      <c r="AQ307" s="37">
        <v>42947</v>
      </c>
      <c r="AR307" s="44">
        <v>59.75</v>
      </c>
      <c r="AS307" s="36">
        <f>IF(ISBLANK(AR308),"",Short3[[#This Row],[Adj Close]]/AR308-1)</f>
        <v>-5.1615217255823742E-3</v>
      </c>
    </row>
    <row r="308" spans="1:45" x14ac:dyDescent="0.25">
      <c r="A308" s="37">
        <v>42940</v>
      </c>
      <c r="B308" s="39">
        <v>2472.1000979999999</v>
      </c>
      <c r="C308" s="36">
        <f>IF(ISBLANK(B309), "", GSPC[[#This Row],[Adj Close]]/B309-1)</f>
        <v>-1.7793078901084947E-4</v>
      </c>
      <c r="D30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51644.519888999996</v>
      </c>
      <c r="E30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23321.725691</v>
      </c>
      <c r="F308" s="11">
        <f>IF(ISBLANK(GSPC[[#This Row],[Long Exp.]]), "", (GSPC[[#This Row],[Long Exp.]]/D309-1)+(E309/GSPC[[#This Row],[Short Exp.]]-1))</f>
        <v>-8.4381021575786752E-3</v>
      </c>
      <c r="G308" s="37">
        <v>42940</v>
      </c>
      <c r="H308" s="44">
        <v>35.473522000000003</v>
      </c>
      <c r="I308" s="36">
        <f>IF(ISBLANK(H309), "", Long0[[#This Row],[Adj Close]]/H309-1)</f>
        <v>-1.0977423082203175E-2</v>
      </c>
      <c r="J308" s="29">
        <v>42940</v>
      </c>
      <c r="K308" s="44">
        <v>20.782364000000001</v>
      </c>
      <c r="L308" s="33">
        <f>IF(ISBLANK(K309),"",Long1[[#This Row],[Adj Close]]/K309-1)</f>
        <v>-9.5598532866528751E-3</v>
      </c>
      <c r="M308" s="37">
        <v>42940</v>
      </c>
      <c r="N308" s="44">
        <v>22.764807000000001</v>
      </c>
      <c r="O308" s="36">
        <f>IF(ISBLANK(N309),"",Long2[[#This Row],[Adj Close]]/N309-1)</f>
        <v>-8.2070095373260044E-3</v>
      </c>
      <c r="P308" s="29">
        <v>42940</v>
      </c>
      <c r="Q308" s="44">
        <v>28.698633000000001</v>
      </c>
      <c r="R308" s="33">
        <f>IF(ISBLANK(Q309),"",Long3[[#This Row],[Adj Close]]/Q309-1)</f>
        <v>-9.5979704556938827E-3</v>
      </c>
      <c r="S308" s="37">
        <v>42940</v>
      </c>
      <c r="T308" s="44">
        <v>37.046596999999998</v>
      </c>
      <c r="U308" s="36">
        <f>IF(ISBLANK(T309),"",Long4[[#This Row],[Adj Close]]/T309-1)</f>
        <v>9.6265354989089058E-3</v>
      </c>
      <c r="V308" s="29">
        <v>42940</v>
      </c>
      <c r="W308" s="44">
        <v>23.863171000000001</v>
      </c>
      <c r="X308" s="33">
        <f>IF(ISBLANK(W309),"",Long5[[#This Row],[Adj Close]]/W309-1)</f>
        <v>-5.405417511800148E-2</v>
      </c>
      <c r="Y308" s="37">
        <v>42940</v>
      </c>
      <c r="Z308" s="44">
        <v>118.281013</v>
      </c>
      <c r="AA308" s="36">
        <f>IF(ISBLANK(Z309),"",Long6[[#This Row],[Adj Close]]/Z309-1)</f>
        <v>-1.4622286871969536E-2</v>
      </c>
      <c r="AH308" s="29">
        <v>42940</v>
      </c>
      <c r="AI308" s="44">
        <v>53.412022</v>
      </c>
      <c r="AJ308" s="33">
        <f>IF(ISBLANK(AI309),"",Short0[[#This Row],[Adj Close]]/AI309-1)</f>
        <v>-1.7318909963308093E-2</v>
      </c>
      <c r="AK308" s="37">
        <v>42940</v>
      </c>
      <c r="AL308" s="44">
        <v>48.476368000000001</v>
      </c>
      <c r="AM308" s="36">
        <f>IF(ISBLANK(AL309),"",Short1[[#This Row],[Adj Close]]/AL309-1)</f>
        <v>6.46472227635293E-2</v>
      </c>
      <c r="AN308" s="29">
        <v>42940</v>
      </c>
      <c r="AO308" s="44">
        <v>48.909832000000002</v>
      </c>
      <c r="AP308" s="33">
        <f>IF(ISBLANK(AO309),"",Short2[[#This Row],[Adj Close]]/AO309-1)</f>
        <v>-1.6876199122188518E-2</v>
      </c>
      <c r="AQ308" s="37">
        <v>42940</v>
      </c>
      <c r="AR308" s="44">
        <v>60.060001</v>
      </c>
      <c r="AS308" s="36">
        <f>IF(ISBLANK(AR309),"",Short3[[#This Row],[Adj Close]]/AR309-1)</f>
        <v>-1.6377333501845226E-2</v>
      </c>
    </row>
    <row r="309" spans="1:45" x14ac:dyDescent="0.25">
      <c r="A309" s="37">
        <v>42933</v>
      </c>
      <c r="B309" s="39">
        <v>2472.540039</v>
      </c>
      <c r="C309" s="36">
        <f>IF(ISBLANK(B310), "", GSPC[[#This Row],[Adj Close]]/B310-1)</f>
        <v>5.3959178504523475E-3</v>
      </c>
      <c r="D30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52207.504139000004</v>
      </c>
      <c r="E30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23376.426484000003</v>
      </c>
      <c r="F309" s="11">
        <f>IF(ISBLANK(GSPC[[#This Row],[Long Exp.]]), "", (GSPC[[#This Row],[Long Exp.]]/D310-1)+(E310/GSPC[[#This Row],[Short Exp.]]-1))</f>
        <v>8.3556269799284211E-3</v>
      </c>
      <c r="G309" s="37">
        <v>42933</v>
      </c>
      <c r="H309" s="44">
        <v>35.867252000000001</v>
      </c>
      <c r="I309" s="36">
        <f>IF(ISBLANK(H310), "", Long0[[#This Row],[Adj Close]]/H310-1)</f>
        <v>-1.0203074124152112E-3</v>
      </c>
      <c r="J309" s="29">
        <v>42933</v>
      </c>
      <c r="K309" s="44">
        <v>20.982958</v>
      </c>
      <c r="L309" s="33">
        <f>IF(ISBLANK(K310),"",Long1[[#This Row],[Adj Close]]/K310-1)</f>
        <v>-4.9655390124195509E-2</v>
      </c>
      <c r="M309" s="37">
        <v>42933</v>
      </c>
      <c r="N309" s="44">
        <v>22.953184</v>
      </c>
      <c r="O309" s="36">
        <f>IF(ISBLANK(N310),"",Long2[[#This Row],[Adj Close]]/N310-1)</f>
        <v>2.7403426843916501E-2</v>
      </c>
      <c r="P309" s="29">
        <v>42933</v>
      </c>
      <c r="Q309" s="44">
        <v>28.976751</v>
      </c>
      <c r="R309" s="33">
        <f>IF(ISBLANK(Q310),"",Long3[[#This Row],[Adj Close]]/Q310-1)</f>
        <v>3.1852161523979294E-2</v>
      </c>
      <c r="S309" s="37">
        <v>42933</v>
      </c>
      <c r="T309" s="44">
        <v>36.693367000000002</v>
      </c>
      <c r="U309" s="36">
        <f>IF(ISBLANK(T310),"",Long4[[#This Row],[Adj Close]]/T310-1)</f>
        <v>1.7136188053524792E-2</v>
      </c>
      <c r="V309" s="29">
        <v>42933</v>
      </c>
      <c r="W309" s="44">
        <v>25.226783999999999</v>
      </c>
      <c r="X309" s="33">
        <f>IF(ISBLANK(W310),"",Long5[[#This Row],[Adj Close]]/W310-1)</f>
        <v>3.4539487578899131E-2</v>
      </c>
      <c r="Y309" s="37">
        <v>42933</v>
      </c>
      <c r="Z309" s="44">
        <v>120.03621699999999</v>
      </c>
      <c r="AA309" s="36">
        <f>IF(ISBLANK(Z310),"",Long6[[#This Row],[Adj Close]]/Z310-1)</f>
        <v>2.8834386641873433E-2</v>
      </c>
      <c r="AH309" s="29">
        <v>42933</v>
      </c>
      <c r="AI309" s="44">
        <v>54.353363000000002</v>
      </c>
      <c r="AJ309" s="33">
        <f>IF(ISBLANK(AI310),"",Short0[[#This Row],[Adj Close]]/AI310-1)</f>
        <v>2.1123416123752792E-2</v>
      </c>
      <c r="AK309" s="37">
        <v>42933</v>
      </c>
      <c r="AL309" s="44">
        <v>45.532798999999997</v>
      </c>
      <c r="AM309" s="36">
        <f>IF(ISBLANK(AL310),"",Short1[[#This Row],[Adj Close]]/AL310-1)</f>
        <v>-2.0267700289200219E-2</v>
      </c>
      <c r="AN309" s="29">
        <v>42933</v>
      </c>
      <c r="AO309" s="44">
        <v>49.749412999999997</v>
      </c>
      <c r="AP309" s="33">
        <f>IF(ISBLANK(AO310),"",Short2[[#This Row],[Adj Close]]/AO310-1)</f>
        <v>-1.223196871222243E-2</v>
      </c>
      <c r="AQ309" s="37">
        <v>42933</v>
      </c>
      <c r="AR309" s="44">
        <v>61.060001</v>
      </c>
      <c r="AS309" s="36">
        <f>IF(ISBLANK(AR310),"",Short3[[#This Row],[Adj Close]]/AR310-1)</f>
        <v>2.0387717245989201E-2</v>
      </c>
    </row>
    <row r="310" spans="1:45" x14ac:dyDescent="0.25">
      <c r="A310" s="37">
        <v>42926</v>
      </c>
      <c r="B310" s="39">
        <v>2459.2700199999999</v>
      </c>
      <c r="C310" s="36">
        <f>IF(ISBLANK(B311), "", GSPC[[#This Row],[Adj Close]]/B311-1)</f>
        <v>1.4056725255798375E-2</v>
      </c>
      <c r="D31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51527.919069999996</v>
      </c>
      <c r="E31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23263.447051000003</v>
      </c>
      <c r="F310" s="11">
        <f>IF(ISBLANK(GSPC[[#This Row],[Long Exp.]]), "", (GSPC[[#This Row],[Long Exp.]]/D311-1)+(E311/GSPC[[#This Row],[Short Exp.]]-1))</f>
        <v>2.8099784322306753E-2</v>
      </c>
      <c r="G310" s="37">
        <v>42926</v>
      </c>
      <c r="H310" s="44">
        <v>35.903885000000002</v>
      </c>
      <c r="I310" s="36">
        <f>IF(ISBLANK(H311), "", Long0[[#This Row],[Adj Close]]/H311-1)</f>
        <v>4.2541787972442791E-2</v>
      </c>
      <c r="J310" s="29">
        <v>42926</v>
      </c>
      <c r="K310" s="44">
        <v>22.079315000000001</v>
      </c>
      <c r="L310" s="33">
        <f>IF(ISBLANK(K311),"",Long1[[#This Row],[Adj Close]]/K311-1)</f>
        <v>1.2546908627733E-3</v>
      </c>
      <c r="M310" s="37">
        <v>42926</v>
      </c>
      <c r="N310" s="44">
        <v>22.340965000000001</v>
      </c>
      <c r="O310" s="36">
        <f>IF(ISBLANK(N311),"",Long2[[#This Row],[Adj Close]]/N311-1)</f>
        <v>4.9557356325257151E-2</v>
      </c>
      <c r="P310" s="29">
        <v>42926</v>
      </c>
      <c r="Q310" s="44">
        <v>28.082270000000001</v>
      </c>
      <c r="R310" s="33">
        <f>IF(ISBLANK(Q311),"",Long3[[#This Row],[Adj Close]]/Q311-1)</f>
        <v>-1.8649533281166586E-2</v>
      </c>
      <c r="S310" s="37">
        <v>42926</v>
      </c>
      <c r="T310" s="44">
        <v>36.075175999999999</v>
      </c>
      <c r="U310" s="36">
        <f>IF(ISBLANK(T311),"",Long4[[#This Row],[Adj Close]]/T311-1)</f>
        <v>-1.9207853867875935E-2</v>
      </c>
      <c r="V310" s="29">
        <v>42926</v>
      </c>
      <c r="W310" s="44">
        <v>24.384554000000001</v>
      </c>
      <c r="X310" s="33">
        <f>IF(ISBLANK(W311),"",Long5[[#This Row],[Adj Close]]/W311-1)</f>
        <v>-3.9318146688621658E-3</v>
      </c>
      <c r="Y310" s="37">
        <v>42926</v>
      </c>
      <c r="Z310" s="44">
        <v>116.67205</v>
      </c>
      <c r="AA310" s="36">
        <f>IF(ISBLANK(Z311),"",Long6[[#This Row],[Adj Close]]/Z311-1)</f>
        <v>7.6473077052851002E-2</v>
      </c>
      <c r="AH310" s="29">
        <v>42926</v>
      </c>
      <c r="AI310" s="44">
        <v>53.228985000000002</v>
      </c>
      <c r="AJ310" s="33">
        <f>IF(ISBLANK(AI311),"",Short0[[#This Row],[Adj Close]]/AI311-1)</f>
        <v>-1.1332467110575561E-2</v>
      </c>
      <c r="AK310" s="37">
        <v>42926</v>
      </c>
      <c r="AL310" s="44">
        <v>46.474735000000003</v>
      </c>
      <c r="AM310" s="36">
        <f>IF(ISBLANK(AL311),"",Short1[[#This Row],[Adj Close]]/AL311-1)</f>
        <v>-4.5101250048181774E-2</v>
      </c>
      <c r="AN310" s="29">
        <v>42926</v>
      </c>
      <c r="AO310" s="44">
        <v>50.365482</v>
      </c>
      <c r="AP310" s="33">
        <f>IF(ISBLANK(AO311),"",Short2[[#This Row],[Adj Close]]/AO311-1)</f>
        <v>1.0284260359145758E-2</v>
      </c>
      <c r="AQ310" s="37">
        <v>42926</v>
      </c>
      <c r="AR310" s="44">
        <v>59.84</v>
      </c>
      <c r="AS310" s="36">
        <f>IF(ISBLANK(AR311),"",Short3[[#This Row],[Adj Close]]/AR311-1)</f>
        <v>4.5240174672489086E-2</v>
      </c>
    </row>
    <row r="311" spans="1:45" x14ac:dyDescent="0.25">
      <c r="A311" s="37">
        <v>42919</v>
      </c>
      <c r="B311" s="39">
        <v>2425.179932</v>
      </c>
      <c r="C311" s="36">
        <f>IF(ISBLANK(B312), "", GSPC[[#This Row],[Adj Close]]/B312-1)</f>
        <v>7.3038407214376377E-4</v>
      </c>
      <c r="D31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50228.416208000002</v>
      </c>
      <c r="E31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23315.276107000002</v>
      </c>
      <c r="F311" s="11">
        <f>IF(ISBLANK(GSPC[[#This Row],[Long Exp.]]), "", (GSPC[[#This Row],[Long Exp.]]/D312-1)+(E312/GSPC[[#This Row],[Short Exp.]]-1))</f>
        <v>-6.7816000957521272E-3</v>
      </c>
      <c r="G311" s="37">
        <v>42919</v>
      </c>
      <c r="H311" s="44">
        <v>34.438797000000001</v>
      </c>
      <c r="I311" s="36">
        <f>IF(ISBLANK(H312), "", Long0[[#This Row],[Adj Close]]/H312-1)</f>
        <v>-3.1169387889216749E-2</v>
      </c>
      <c r="J311" s="29">
        <v>42919</v>
      </c>
      <c r="K311" s="44">
        <v>22.051646999999999</v>
      </c>
      <c r="L311" s="33">
        <f>IF(ISBLANK(K312),"",Long1[[#This Row],[Adj Close]]/K312-1)</f>
        <v>-1.3461200090065906E-2</v>
      </c>
      <c r="M311" s="37">
        <v>42919</v>
      </c>
      <c r="N311" s="44">
        <v>21.286083000000001</v>
      </c>
      <c r="O311" s="36">
        <f>IF(ISBLANK(N312),"",Long2[[#This Row],[Adj Close]]/N312-1)</f>
        <v>-1.0074680798462743E-2</v>
      </c>
      <c r="P311" s="29">
        <v>42919</v>
      </c>
      <c r="Q311" s="44">
        <v>28.615943999999999</v>
      </c>
      <c r="R311" s="33">
        <f>IF(ISBLANK(Q312),"",Long3[[#This Row],[Adj Close]]/Q312-1)</f>
        <v>-1.526171821405653E-2</v>
      </c>
      <c r="S311" s="37">
        <v>42919</v>
      </c>
      <c r="T311" s="44">
        <v>36.781672999999998</v>
      </c>
      <c r="U311" s="36">
        <f>IF(ISBLANK(T312),"",Long4[[#This Row],[Adj Close]]/T312-1)</f>
        <v>2.0833379011560016E-2</v>
      </c>
      <c r="V311" s="29">
        <v>42919</v>
      </c>
      <c r="W311" s="44">
        <v>24.480808</v>
      </c>
      <c r="X311" s="33">
        <f>IF(ISBLANK(W312),"",Long5[[#This Row],[Adj Close]]/W312-1)</f>
        <v>-1.2297538773506034E-2</v>
      </c>
      <c r="Y311" s="37">
        <v>42919</v>
      </c>
      <c r="Z311" s="44">
        <v>108.38362100000001</v>
      </c>
      <c r="AA311" s="36">
        <f>IF(ISBLANK(Z312),"",Long6[[#This Row],[Adj Close]]/Z312-1)</f>
        <v>1.7391481312214019E-2</v>
      </c>
      <c r="AH311" s="29">
        <v>42919</v>
      </c>
      <c r="AI311" s="44">
        <v>53.839115</v>
      </c>
      <c r="AJ311" s="33">
        <f>IF(ISBLANK(AI312),"",Short0[[#This Row],[Adj Close]]/AI312-1)</f>
        <v>-3.3181959654580262E-2</v>
      </c>
      <c r="AK311" s="37">
        <v>42919</v>
      </c>
      <c r="AL311" s="44">
        <v>48.669803999999999</v>
      </c>
      <c r="AM311" s="36">
        <f>IF(ISBLANK(AL312),"",Short1[[#This Row],[Adj Close]]/AL312-1)</f>
        <v>9.4192447767320608E-3</v>
      </c>
      <c r="AN311" s="29">
        <v>42919</v>
      </c>
      <c r="AO311" s="44">
        <v>49.852783000000002</v>
      </c>
      <c r="AP311" s="33">
        <f>IF(ISBLANK(AO312),"",Short2[[#This Row],[Adj Close]]/AO312-1)</f>
        <v>3.0005647070867614E-3</v>
      </c>
      <c r="AQ311" s="37">
        <v>42919</v>
      </c>
      <c r="AR311" s="44">
        <v>57.25</v>
      </c>
      <c r="AS311" s="36">
        <f>IF(ISBLANK(AR312),"",Short3[[#This Row],[Adj Close]]/AR312-1)</f>
        <v>6.3280190952366144E-3</v>
      </c>
    </row>
    <row r="312" spans="1:45" x14ac:dyDescent="0.25">
      <c r="A312" s="37">
        <v>42912</v>
      </c>
      <c r="B312" s="39">
        <v>2423.4099120000001</v>
      </c>
      <c r="C312" s="36">
        <f>IF(ISBLANK(B313), "", GSPC[[#This Row],[Adj Close]]/B313-1)</f>
        <v>-6.106769757933006E-3</v>
      </c>
      <c r="D31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51046.476290999999</v>
      </c>
      <c r="E31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23530.806935000001</v>
      </c>
      <c r="F312" s="11">
        <f>IF(ISBLANK(GSPC[[#This Row],[Long Exp.]]), "", (GSPC[[#This Row],[Long Exp.]]/D313-1)+(E313/GSPC[[#This Row],[Short Exp.]]-1))</f>
        <v>-1.633950496936809E-2</v>
      </c>
      <c r="G312" s="37">
        <v>42912</v>
      </c>
      <c r="H312" s="35">
        <v>35.546768</v>
      </c>
      <c r="I312" s="36">
        <f>IF(ISBLANK(H313), "", Long0[[#This Row],[Adj Close]]/H313-1)</f>
        <v>-5.3805271839387769E-3</v>
      </c>
      <c r="J312" s="29">
        <v>42912</v>
      </c>
      <c r="K312">
        <v>22.352539</v>
      </c>
      <c r="L312" s="33">
        <f>IF(ISBLANK(K313),"",Long1[[#This Row],[Adj Close]]/K313-1)</f>
        <v>4.1076006589844782E-2</v>
      </c>
      <c r="M312" s="37">
        <v>42912</v>
      </c>
      <c r="N312" s="35">
        <v>21.502715999999999</v>
      </c>
      <c r="O312" s="36">
        <f>IF(ISBLANK(N313),"",Long2[[#This Row],[Adj Close]]/N313-1)</f>
        <v>-6.0948273770111694E-3</v>
      </c>
      <c r="P312" s="29">
        <v>42912</v>
      </c>
      <c r="Q312">
        <v>29.059441</v>
      </c>
      <c r="R312" s="33">
        <f>IF(ISBLANK(Q313),"",Long3[[#This Row],[Adj Close]]/Q313-1)</f>
        <v>-4.3778410124597489E-3</v>
      </c>
      <c r="S312" s="37">
        <v>42912</v>
      </c>
      <c r="T312" s="35">
        <v>36.031025</v>
      </c>
      <c r="U312" s="36">
        <f>IF(ISBLANK(T313),"",Long4[[#This Row],[Adj Close]]/T313-1)</f>
        <v>-1.6867567779363823E-2</v>
      </c>
      <c r="V312" s="29">
        <v>42912</v>
      </c>
      <c r="W312">
        <v>24.785609999999998</v>
      </c>
      <c r="X312" s="33">
        <f>IF(ISBLANK(W313),"",Long5[[#This Row],[Adj Close]]/W313-1)</f>
        <v>-1.2928677988481851E-3</v>
      </c>
      <c r="Y312" s="37">
        <v>42912</v>
      </c>
      <c r="Z312" s="35">
        <v>106.530891</v>
      </c>
      <c r="AA312" s="36">
        <f>IF(ISBLANK(Z313),"",Long6[[#This Row],[Adj Close]]/Z313-1)</f>
        <v>-6.981700616650377E-2</v>
      </c>
      <c r="AH312" s="29">
        <v>42912</v>
      </c>
      <c r="AI312" s="44">
        <v>55.686915999999997</v>
      </c>
      <c r="AJ312" s="33">
        <f>IF(ISBLANK(AI313),"",Short0[[#This Row],[Adj Close]]/AI313-1)</f>
        <v>-5.6449070414882341E-3</v>
      </c>
      <c r="AK312" s="37">
        <v>42912</v>
      </c>
      <c r="AL312" s="39">
        <v>48.215648999999999</v>
      </c>
      <c r="AM312" s="36">
        <f>IF(ISBLANK(AL313),"",Short1[[#This Row],[Adj Close]]/AL313-1)</f>
        <v>3.8963079888580721E-2</v>
      </c>
      <c r="AN312" s="29">
        <v>42912</v>
      </c>
      <c r="AO312" s="44">
        <v>49.703643999999997</v>
      </c>
      <c r="AP312" s="33">
        <f>IF(ISBLANK(AO313),"",Short2[[#This Row],[Adj Close]]/AO313-1)</f>
        <v>2.3023609262776912E-2</v>
      </c>
      <c r="AQ312" s="37">
        <v>42912</v>
      </c>
      <c r="AR312" s="39">
        <v>56.889999000000003</v>
      </c>
      <c r="AS312" s="36">
        <f>IF(ISBLANK(AR313),"",Short3[[#This Row],[Adj Close]]/AR313-1)</f>
        <v>-2.635634092075978E-2</v>
      </c>
    </row>
    <row r="313" spans="1:45" x14ac:dyDescent="0.25">
      <c r="A313" s="37">
        <v>42905</v>
      </c>
      <c r="B313" s="39">
        <v>2438.3000489999999</v>
      </c>
      <c r="C313" s="36">
        <f>IF(ISBLANK(B314), "", GSPC[[#This Row],[Adj Close]]/B314-1)</f>
        <v>2.1166583266269967E-3</v>
      </c>
      <c r="D31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51594.822511999999</v>
      </c>
      <c r="E31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23396.408993999998</v>
      </c>
      <c r="F313" s="11">
        <f>IF(ISBLANK(GSPC[[#This Row],[Long Exp.]]), "", (GSPC[[#This Row],[Long Exp.]]/D314-1)+(E314/GSPC[[#This Row],[Short Exp.]]-1))</f>
        <v>2.8448150684791562E-2</v>
      </c>
      <c r="G313" s="37">
        <v>42905</v>
      </c>
      <c r="H313" s="35">
        <v>35.739063000000002</v>
      </c>
      <c r="I313" s="36">
        <f>IF(ISBLANK(H314), "", Long0[[#This Row],[Adj Close]]/H314-1)</f>
        <v>6.2908430446968477E-2</v>
      </c>
      <c r="J313" s="29">
        <v>42905</v>
      </c>
      <c r="K313">
        <v>21.470611999999999</v>
      </c>
      <c r="L313" s="33">
        <f>IF(ISBLANK(K314),"",Long1[[#This Row],[Adj Close]]/K314-1)</f>
        <v>9.1027212849368322E-3</v>
      </c>
      <c r="M313" s="37">
        <v>42905</v>
      </c>
      <c r="N313" s="35">
        <v>21.634575000000002</v>
      </c>
      <c r="O313" s="36">
        <f>IF(ISBLANK(N314),"",Long2[[#This Row],[Adj Close]]/N314-1)</f>
        <v>1.1448976457577587E-2</v>
      </c>
      <c r="P313" s="29">
        <v>42905</v>
      </c>
      <c r="Q313">
        <v>29.187218000000001</v>
      </c>
      <c r="R313" s="33">
        <f>IF(ISBLANK(Q314),"",Long3[[#This Row],[Adj Close]]/Q314-1)</f>
        <v>-1.6713058045365936E-2</v>
      </c>
      <c r="S313" s="37">
        <v>42905</v>
      </c>
      <c r="T313" s="35">
        <v>36.649208000000002</v>
      </c>
      <c r="U313" s="36">
        <f>IF(ISBLANK(T314),"",Long4[[#This Row],[Adj Close]]/T314-1)</f>
        <v>1.3431170498201306E-2</v>
      </c>
      <c r="V313" s="29">
        <v>42905</v>
      </c>
      <c r="W313">
        <v>24.817696000000002</v>
      </c>
      <c r="X313" s="33">
        <f>IF(ISBLANK(W314),"",Long5[[#This Row],[Adj Close]]/W314-1)</f>
        <v>2.3825331889228973E-2</v>
      </c>
      <c r="Y313" s="37">
        <v>42905</v>
      </c>
      <c r="Z313" s="35">
        <v>114.52681</v>
      </c>
      <c r="AA313" s="36">
        <f>IF(ISBLANK(Z314),"",Long6[[#This Row],[Adj Close]]/Z314-1)</f>
        <v>4.9627395276903297E-3</v>
      </c>
      <c r="AH313" s="29">
        <v>42905</v>
      </c>
      <c r="AI313" s="44">
        <v>56.003048</v>
      </c>
      <c r="AJ313" s="33">
        <f>IF(ISBLANK(AI314),"",Short0[[#This Row],[Adj Close]]/AI314-1)</f>
        <v>-3.0765642508445712E-4</v>
      </c>
      <c r="AK313" s="37">
        <v>42905</v>
      </c>
      <c r="AL313" s="39">
        <v>46.407471000000001</v>
      </c>
      <c r="AM313" s="36">
        <f>IF(ISBLANK(AL314),"",Short1[[#This Row],[Adj Close]]/AL314-1)</f>
        <v>-2.5078589834220955E-3</v>
      </c>
      <c r="AN313" s="29">
        <v>42905</v>
      </c>
      <c r="AO313" s="44">
        <v>48.585040999999997</v>
      </c>
      <c r="AP313" s="33">
        <f>IF(ISBLANK(AO314),"",Short2[[#This Row],[Adj Close]]/AO314-1)</f>
        <v>-1.5302991328025928E-2</v>
      </c>
      <c r="AQ313" s="37">
        <v>42905</v>
      </c>
      <c r="AR313" s="39">
        <v>58.43</v>
      </c>
      <c r="AS313" s="36">
        <f>IF(ISBLANK(AR314),"",Short3[[#This Row],[Adj Close]]/AR314-1)</f>
        <v>1.617391304347815E-2</v>
      </c>
    </row>
    <row r="314" spans="1:45" x14ac:dyDescent="0.25">
      <c r="A314" s="37">
        <v>42898</v>
      </c>
      <c r="B314" s="39">
        <v>2433.1499020000001</v>
      </c>
      <c r="C314" s="36">
        <f>IF(ISBLANK(B315), "", GSPC[[#This Row],[Adj Close]]/B315-1)</f>
        <v>5.6743935020642233E-4</v>
      </c>
      <c r="D31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50240.200960000002</v>
      </c>
      <c r="E31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23431.158509000001</v>
      </c>
      <c r="F314" s="11">
        <f>IF(ISBLANK(GSPC[[#This Row],[Long Exp.]]), "", (GSPC[[#This Row],[Long Exp.]]/D315-1)+(E315/GSPC[[#This Row],[Short Exp.]]-1))</f>
        <v>-4.4422183233397083E-2</v>
      </c>
      <c r="G314" s="37">
        <v>42898</v>
      </c>
      <c r="H314" s="35">
        <v>33.623840000000001</v>
      </c>
      <c r="I314" s="36">
        <f>IF(ISBLANK(H315), "", Long0[[#This Row],[Adj Close]]/H315-1)</f>
        <v>-8.4060711830737156E-2</v>
      </c>
      <c r="J314" s="29">
        <v>42898</v>
      </c>
      <c r="K314">
        <v>21.276934000000001</v>
      </c>
      <c r="L314" s="33">
        <f>IF(ISBLANK(K315),"",Long1[[#This Row],[Adj Close]]/K315-1)</f>
        <v>3.9013650348481033E-2</v>
      </c>
      <c r="M314" s="37">
        <v>42898</v>
      </c>
      <c r="N314" s="35">
        <v>21.389685</v>
      </c>
      <c r="O314" s="36">
        <f>IF(ISBLANK(N315),"",Long2[[#This Row],[Adj Close]]/N315-1)</f>
        <v>-3.4028266673001184E-2</v>
      </c>
      <c r="P314" s="29">
        <v>42898</v>
      </c>
      <c r="Q314">
        <v>29.683316999999999</v>
      </c>
      <c r="R314" s="33">
        <f>IF(ISBLANK(Q315),"",Long3[[#This Row],[Adj Close]]/Q315-1)</f>
        <v>1.7470637443705472E-2</v>
      </c>
      <c r="S314" s="37">
        <v>42898</v>
      </c>
      <c r="T314" s="35">
        <v>36.163490000000003</v>
      </c>
      <c r="U314" s="36">
        <f>IF(ISBLANK(T315),"",Long4[[#This Row],[Adj Close]]/T315-1)</f>
        <v>8.6206711415985904E-3</v>
      </c>
      <c r="V314" s="29">
        <v>42898</v>
      </c>
      <c r="W314">
        <v>24.240165999999999</v>
      </c>
      <c r="X314" s="33">
        <f>IF(ISBLANK(W315),"",Long5[[#This Row],[Adj Close]]/W315-1)</f>
        <v>-1.6276055722547755E-2</v>
      </c>
      <c r="Y314" s="37">
        <v>42898</v>
      </c>
      <c r="Z314" s="35">
        <v>113.96125000000001</v>
      </c>
      <c r="AA314" s="36">
        <f>IF(ISBLANK(Z315),"",Long6[[#This Row],[Adj Close]]/Z315-1)</f>
        <v>-6.3301514263839676E-2</v>
      </c>
      <c r="AH314" s="29">
        <v>42898</v>
      </c>
      <c r="AI314" s="44">
        <v>56.020282999999999</v>
      </c>
      <c r="AJ314" s="33">
        <f>IF(ISBLANK(AI315),"",Short0[[#This Row],[Adj Close]]/AI315-1)</f>
        <v>2.0411310748683853E-2</v>
      </c>
      <c r="AK314" s="37">
        <v>42898</v>
      </c>
      <c r="AL314" s="39">
        <v>46.524146999999999</v>
      </c>
      <c r="AM314" s="36">
        <f>IF(ISBLANK(AL315),"",Short1[[#This Row],[Adj Close]]/AL315-1)</f>
        <v>-4.2663168322613632E-2</v>
      </c>
      <c r="AN314" s="29">
        <v>42898</v>
      </c>
      <c r="AO314" s="44">
        <v>49.340091999999999</v>
      </c>
      <c r="AP314" s="33">
        <f>IF(ISBLANK(AO315),"",Short2[[#This Row],[Adj Close]]/AO315-1)</f>
        <v>1.7884700078583782E-2</v>
      </c>
      <c r="AQ314" s="37">
        <v>42898</v>
      </c>
      <c r="AR314" s="39">
        <v>57.5</v>
      </c>
      <c r="AS314" s="36">
        <f>IF(ISBLANK(AR315),"",Short3[[#This Row],[Adj Close]]/AR315-1)</f>
        <v>-1.3214347005320093E-2</v>
      </c>
    </row>
    <row r="315" spans="1:45" x14ac:dyDescent="0.25">
      <c r="A315" s="37">
        <v>42891</v>
      </c>
      <c r="B315" s="39">
        <v>2431.7700199999999</v>
      </c>
      <c r="C315" s="36">
        <f>IF(ISBLANK(B316), "", GSPC[[#This Row],[Adj Close]]/B316-1)</f>
        <v>-2.9929636281363914E-3</v>
      </c>
      <c r="D31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52486.661494000007</v>
      </c>
      <c r="E31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23393.162903999997</v>
      </c>
      <c r="F315" s="11">
        <f>IF(ISBLANK(GSPC[[#This Row],[Long Exp.]]), "", (GSPC[[#This Row],[Long Exp.]]/D316-1)+(E316/GSPC[[#This Row],[Short Exp.]]-1))</f>
        <v>3.4811376575886177E-2</v>
      </c>
      <c r="G315" s="37">
        <v>42891</v>
      </c>
      <c r="H315" s="35">
        <v>36.709682000000001</v>
      </c>
      <c r="I315" s="36">
        <f>IF(ISBLANK(H316), "", Long0[[#This Row],[Adj Close]]/H316-1)</f>
        <v>2.5844318965510871E-2</v>
      </c>
      <c r="J315" s="29">
        <v>42891</v>
      </c>
      <c r="K315">
        <v>20.478012</v>
      </c>
      <c r="L315" s="33">
        <f>IF(ISBLANK(K316),"",Long1[[#This Row],[Adj Close]]/K316-1)</f>
        <v>8.7419664251011886E-2</v>
      </c>
      <c r="M315" s="37">
        <v>42891</v>
      </c>
      <c r="N315" s="35">
        <v>22.143179</v>
      </c>
      <c r="O315" s="36">
        <f>IF(ISBLANK(N316),"",Long2[[#This Row],[Adj Close]]/N316-1)</f>
        <v>5.1700470452029412E-2</v>
      </c>
      <c r="P315" s="29">
        <v>42891</v>
      </c>
      <c r="Q315">
        <v>29.173635000000001</v>
      </c>
      <c r="R315" s="33">
        <f>IF(ISBLANK(Q316),"",Long3[[#This Row],[Adj Close]]/Q316-1)</f>
        <v>-2.1467738269163483E-2</v>
      </c>
      <c r="S315" s="37">
        <v>42891</v>
      </c>
      <c r="T315" s="35">
        <v>35.854401000000003</v>
      </c>
      <c r="U315" s="36">
        <f>IF(ISBLANK(T316),"",Long4[[#This Row],[Adj Close]]/T316-1)</f>
        <v>-3.9053383560149091E-2</v>
      </c>
      <c r="V315" s="29">
        <v>42891</v>
      </c>
      <c r="W315">
        <v>24.641228000000002</v>
      </c>
      <c r="X315" s="33">
        <f>IF(ISBLANK(W316),"",Long5[[#This Row],[Adj Close]]/W316-1)</f>
        <v>4.9897424935329671E-2</v>
      </c>
      <c r="Y315" s="37">
        <v>42891</v>
      </c>
      <c r="Z315" s="35">
        <v>121.662682</v>
      </c>
      <c r="AA315" s="36">
        <f>IF(ISBLANK(Z316),"",Long6[[#This Row],[Adj Close]]/Z316-1)</f>
        <v>6.5755908996122825E-2</v>
      </c>
      <c r="AH315" s="29">
        <v>42891</v>
      </c>
      <c r="AI315" s="44">
        <v>54.899707999999997</v>
      </c>
      <c r="AJ315" s="33">
        <f>IF(ISBLANK(AI316),"",Short0[[#This Row],[Adj Close]]/AI316-1)</f>
        <v>1.8225385443479958E-2</v>
      </c>
      <c r="AK315" s="37">
        <v>42891</v>
      </c>
      <c r="AL315" s="39">
        <v>48.597468999999997</v>
      </c>
      <c r="AM315" s="36">
        <f>IF(ISBLANK(AL316),"",Short1[[#This Row],[Adj Close]]/AL316-1)</f>
        <v>-2.5808674535054532E-2</v>
      </c>
      <c r="AN315" s="29">
        <v>42891</v>
      </c>
      <c r="AO315" s="44">
        <v>48.473163999999997</v>
      </c>
      <c r="AP315" s="33">
        <f>IF(ISBLANK(AO316),"",Short2[[#This Row],[Adj Close]]/AO316-1)</f>
        <v>-1.3844339254139859E-2</v>
      </c>
      <c r="AQ315" s="37">
        <v>42891</v>
      </c>
      <c r="AR315" s="39">
        <v>58.27</v>
      </c>
      <c r="AS315" s="36">
        <f>IF(ISBLANK(AR316),"",Short3[[#This Row],[Adj Close]]/AR316-1)</f>
        <v>-6.7829117511729931E-2</v>
      </c>
    </row>
    <row r="316" spans="1:45" x14ac:dyDescent="0.25">
      <c r="A316" s="37">
        <v>42884</v>
      </c>
      <c r="B316" s="39">
        <v>2439.070068</v>
      </c>
      <c r="C316" s="36">
        <f>IF(ISBLANK(B317), "", GSPC[[#This Row],[Adj Close]]/B317-1)</f>
        <v>9.6240611244065022E-3</v>
      </c>
      <c r="D31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51460.977467000004</v>
      </c>
      <c r="E31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23741.255029</v>
      </c>
      <c r="F316" s="11">
        <f>IF(ISBLANK(GSPC[[#This Row],[Long Exp.]]), "", (GSPC[[#This Row],[Long Exp.]]/D317-1)+(E317/GSPC[[#This Row],[Short Exp.]]-1))</f>
        <v>-4.1094107649497835E-2</v>
      </c>
      <c r="G316" s="37">
        <v>42884</v>
      </c>
      <c r="H316" s="35">
        <v>35.784846999999999</v>
      </c>
      <c r="I316" s="36">
        <f>IF(ISBLANK(H317), "", Long0[[#This Row],[Adj Close]]/H317-1)</f>
        <v>-1.6112914262637834E-2</v>
      </c>
      <c r="J316" s="29">
        <v>42884</v>
      </c>
      <c r="K316">
        <v>18.831747</v>
      </c>
      <c r="L316" s="33">
        <f>IF(ISBLANK(K317),"",Long1[[#This Row],[Adj Close]]/K317-1)</f>
        <v>2.9884666352425038E-2</v>
      </c>
      <c r="M316" s="37">
        <v>42884</v>
      </c>
      <c r="N316" s="35">
        <v>21.054644</v>
      </c>
      <c r="O316" s="36">
        <f>IF(ISBLANK(N317),"",Long2[[#This Row],[Adj Close]]/N317-1)</f>
        <v>-2.8497593535622978E-2</v>
      </c>
      <c r="P316" s="29">
        <v>42884</v>
      </c>
      <c r="Q316">
        <v>29.813666999999999</v>
      </c>
      <c r="R316" s="33">
        <f>IF(ISBLANK(Q317),"",Long3[[#This Row],[Adj Close]]/Q317-1)</f>
        <v>5.0173897862273442E-3</v>
      </c>
      <c r="S316" s="37">
        <v>42884</v>
      </c>
      <c r="T316" s="35">
        <v>37.311543</v>
      </c>
      <c r="U316" s="36">
        <f>IF(ISBLANK(T317),"",Long4[[#This Row],[Adj Close]]/T317-1)</f>
        <v>7.1516960113773287E-3</v>
      </c>
      <c r="V316" s="29">
        <v>42884</v>
      </c>
      <c r="W316">
        <v>23.470129</v>
      </c>
      <c r="X316" s="33">
        <f>IF(ISBLANK(W317),"",Long5[[#This Row],[Adj Close]]/W317-1)</f>
        <v>1.2806778544304898E-2</v>
      </c>
      <c r="Y316" s="37">
        <v>42884</v>
      </c>
      <c r="Z316" s="35">
        <v>114.156235</v>
      </c>
      <c r="AA316" s="36">
        <f>IF(ISBLANK(Z317),"",Long6[[#This Row],[Adj Close]]/Z317-1)</f>
        <v>1.8260821304745489E-2</v>
      </c>
      <c r="AH316" s="29">
        <v>42884</v>
      </c>
      <c r="AI316" s="44">
        <v>53.917048999999999</v>
      </c>
      <c r="AJ316" s="33">
        <f>IF(ISBLANK(AI317),"",Short0[[#This Row],[Adj Close]]/AI317-1)</f>
        <v>7.807646315899941E-2</v>
      </c>
      <c r="AK316" s="37">
        <v>42884</v>
      </c>
      <c r="AL316" s="39">
        <v>49.884932999999997</v>
      </c>
      <c r="AM316" s="36">
        <f>IF(ISBLANK(AL317),"",Short1[[#This Row],[Adj Close]]/AL317-1)</f>
        <v>1.1870493141330263E-2</v>
      </c>
      <c r="AN316" s="29">
        <v>42884</v>
      </c>
      <c r="AO316" s="44">
        <v>49.153663999999999</v>
      </c>
      <c r="AP316" s="33">
        <f>IF(ISBLANK(AO317),"",Short2[[#This Row],[Adj Close]]/AO317-1)</f>
        <v>2.3287474943556319E-2</v>
      </c>
      <c r="AQ316" s="37">
        <v>42884</v>
      </c>
      <c r="AR316" s="39">
        <v>62.509998000000003</v>
      </c>
      <c r="AS316" s="36">
        <f>IF(ISBLANK(AR317),"",Short3[[#This Row],[Adj Close]]/AR317-1)</f>
        <v>1.602275276398224E-3</v>
      </c>
    </row>
    <row r="317" spans="1:45" x14ac:dyDescent="0.25">
      <c r="A317" s="37">
        <v>42877</v>
      </c>
      <c r="B317" s="39">
        <v>2415.820068</v>
      </c>
      <c r="C317" s="36">
        <f>IF(ISBLANK(B318), "", GSPC[[#This Row],[Adj Close]]/B318-1)</f>
        <v>1.4313162401390134E-2</v>
      </c>
      <c r="D31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51779.42472499999</v>
      </c>
      <c r="E31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22911.639798</v>
      </c>
      <c r="F317" s="11">
        <f>IF(ISBLANK(GSPC[[#This Row],[Long Exp.]]), "", (GSPC[[#This Row],[Long Exp.]]/D318-1)+(E318/GSPC[[#This Row],[Short Exp.]]-1))</f>
        <v>8.3638032705218857E-3</v>
      </c>
      <c r="G317" s="37">
        <v>42877</v>
      </c>
      <c r="H317" s="35">
        <v>36.370888000000001</v>
      </c>
      <c r="I317" s="36">
        <f>IF(ISBLANK(H318), "", Long0[[#This Row],[Adj Close]]/H318-1)</f>
        <v>4.6916397001845134E-2</v>
      </c>
      <c r="J317" s="29">
        <v>42877</v>
      </c>
      <c r="K317">
        <v>18.285297</v>
      </c>
      <c r="L317" s="33">
        <f>IF(ISBLANK(K318),"",Long1[[#This Row],[Adj Close]]/K318-1)</f>
        <v>1.5154213068957478E-3</v>
      </c>
      <c r="M317" s="37">
        <v>42877</v>
      </c>
      <c r="N317" s="35">
        <v>21.672250999999999</v>
      </c>
      <c r="O317" s="36">
        <f>IF(ISBLANK(N318),"",Long2[[#This Row],[Adj Close]]/N318-1)</f>
        <v>-2.0718619370225233E-2</v>
      </c>
      <c r="P317" s="29">
        <v>42877</v>
      </c>
      <c r="Q317">
        <v>29.664826999999999</v>
      </c>
      <c r="R317" s="33">
        <f>IF(ISBLANK(Q318),"",Long3[[#This Row],[Adj Close]]/Q318-1)</f>
        <v>2.6790297116043638E-2</v>
      </c>
      <c r="S317" s="37">
        <v>42877</v>
      </c>
      <c r="T317" s="35">
        <v>37.046596999999998</v>
      </c>
      <c r="U317" s="36">
        <f>IF(ISBLANK(T318),"",Long4[[#This Row],[Adj Close]]/T318-1)</f>
        <v>7.2889668197868573E-2</v>
      </c>
      <c r="V317" s="29">
        <v>42877</v>
      </c>
      <c r="W317">
        <v>23.173352999999999</v>
      </c>
      <c r="X317" s="33">
        <f>IF(ISBLANK(W318),"",Long5[[#This Row],[Adj Close]]/W318-1)</f>
        <v>-4.2743200990214669E-2</v>
      </c>
      <c r="Y317" s="37">
        <v>42877</v>
      </c>
      <c r="Z317" s="35">
        <v>112.109032</v>
      </c>
      <c r="AA317" s="36">
        <f>IF(ISBLANK(Z318),"",Long6[[#This Row],[Adj Close]]/Z318-1)</f>
        <v>3.4905589529163894E-3</v>
      </c>
      <c r="AH317" s="29">
        <v>42877</v>
      </c>
      <c r="AI317" s="44">
        <v>50.012267999999999</v>
      </c>
      <c r="AJ317" s="33">
        <f>IF(ISBLANK(AI318),"",Short0[[#This Row],[Adj Close]]/AI318-1)</f>
        <v>2.2018691487945219E-2</v>
      </c>
      <c r="AK317" s="37">
        <v>42877</v>
      </c>
      <c r="AL317" s="39">
        <v>49.299720999999998</v>
      </c>
      <c r="AM317" s="36">
        <f>IF(ISBLANK(AL318),"",Short1[[#This Row],[Adj Close]]/AL318-1)</f>
        <v>0.14884089337449469</v>
      </c>
      <c r="AN317" s="29">
        <v>42877</v>
      </c>
      <c r="AO317" s="44">
        <v>48.035049000000001</v>
      </c>
      <c r="AP317" s="33">
        <f>IF(ISBLANK(AO318),"",Short2[[#This Row],[Adj Close]]/AO318-1)</f>
        <v>-1.1888876727076503E-2</v>
      </c>
      <c r="AQ317" s="37">
        <v>42877</v>
      </c>
      <c r="AR317" s="39">
        <v>62.41</v>
      </c>
      <c r="AS317" s="36">
        <f>IF(ISBLANK(AR318),"",Short3[[#This Row],[Adj Close]]/AR318-1)</f>
        <v>-5.3389959047474789E-2</v>
      </c>
    </row>
    <row r="318" spans="1:45" x14ac:dyDescent="0.25">
      <c r="A318" s="37">
        <v>42870</v>
      </c>
      <c r="B318" s="39">
        <v>2381.7299800000001</v>
      </c>
      <c r="C318" s="36">
        <f>IF(ISBLANK(B319), "", GSPC[[#This Row],[Adj Close]]/B319-1)</f>
        <v>-3.8353433334157305E-3</v>
      </c>
      <c r="D31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50394.357521999998</v>
      </c>
      <c r="E31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22473.551697999999</v>
      </c>
      <c r="F318" s="11">
        <f>IF(ISBLANK(GSPC[[#This Row],[Long Exp.]]), "", (GSPC[[#This Row],[Long Exp.]]/D319-1)+(E319/GSPC[[#This Row],[Short Exp.]]-1))</f>
        <v>3.2286959999104914E-3</v>
      </c>
      <c r="G318" s="37">
        <v>42870</v>
      </c>
      <c r="H318" s="35">
        <v>34.740966999999998</v>
      </c>
      <c r="I318" s="36">
        <f>IF(ISBLANK(H319), "", Long0[[#This Row],[Adj Close]]/H319-1)</f>
        <v>-2.5680594624548414E-2</v>
      </c>
      <c r="J318" s="29">
        <v>42870</v>
      </c>
      <c r="K318">
        <v>18.257629000000001</v>
      </c>
      <c r="L318" s="33">
        <f>IF(ISBLANK(K319),"",Long1[[#This Row],[Adj Close]]/K319-1)</f>
        <v>-1.85908197943363E-2</v>
      </c>
      <c r="M318" s="37">
        <v>42870</v>
      </c>
      <c r="N318" s="35">
        <v>22.130769999999998</v>
      </c>
      <c r="O318" s="36">
        <f>IF(ISBLANK(N319),"",Long2[[#This Row],[Adj Close]]/N319-1)</f>
        <v>3.2300457736790023E-2</v>
      </c>
      <c r="P318" s="29">
        <v>42870</v>
      </c>
      <c r="Q318">
        <v>28.890833000000001</v>
      </c>
      <c r="R318" s="33">
        <f>IF(ISBLANK(Q319),"",Long3[[#This Row],[Adj Close]]/Q319-1)</f>
        <v>1.5481081443862177E-3</v>
      </c>
      <c r="S318" s="37">
        <v>42870</v>
      </c>
      <c r="T318" s="35">
        <v>34.529736</v>
      </c>
      <c r="U318" s="36">
        <f>IF(ISBLANK(T319),"",Long4[[#This Row],[Adj Close]]/T319-1)</f>
        <v>6.3945754805494248E-2</v>
      </c>
      <c r="V318" s="29">
        <v>42870</v>
      </c>
      <c r="W318">
        <v>24.208083999999999</v>
      </c>
      <c r="X318" s="33">
        <f>IF(ISBLANK(W319),"",Long5[[#This Row],[Adj Close]]/W319-1)</f>
        <v>-1.821742190824327E-2</v>
      </c>
      <c r="Y318" s="37">
        <v>42870</v>
      </c>
      <c r="Z318" s="35">
        <v>111.71907</v>
      </c>
      <c r="AA318" s="36">
        <f>IF(ISBLANK(Z319),"",Long6[[#This Row],[Adj Close]]/Z319-1)</f>
        <v>3.5026414112449E-3</v>
      </c>
      <c r="AH318" s="29">
        <v>42870</v>
      </c>
      <c r="AI318" s="44">
        <v>48.934787999999998</v>
      </c>
      <c r="AJ318" s="33">
        <f>IF(ISBLANK(AI319),"",Short0[[#This Row],[Adj Close]]/AI319-1)</f>
        <v>-3.2054571035525448E-2</v>
      </c>
      <c r="AK318" s="37">
        <v>42870</v>
      </c>
      <c r="AL318" s="39">
        <v>42.912574999999997</v>
      </c>
      <c r="AM318" s="36">
        <f>IF(ISBLANK(AL319),"",Short1[[#This Row],[Adj Close]]/AL319-1)</f>
        <v>4.3046769424592846E-3</v>
      </c>
      <c r="AN318" s="29">
        <v>42870</v>
      </c>
      <c r="AO318" s="44">
        <v>48.613002999999999</v>
      </c>
      <c r="AP318" s="33">
        <f>IF(ISBLANK(AO319),"",Short2[[#This Row],[Adj Close]]/AO319-1)</f>
        <v>3.4927618086973311E-2</v>
      </c>
      <c r="AQ318" s="37">
        <v>42870</v>
      </c>
      <c r="AR318" s="39">
        <v>65.930000000000007</v>
      </c>
      <c r="AS318" s="36">
        <f>IF(ISBLANK(AR319),"",Short3[[#This Row],[Adj Close]]/AR319-1)</f>
        <v>-2.1519695229431313E-2</v>
      </c>
    </row>
    <row r="319" spans="1:45" x14ac:dyDescent="0.25">
      <c r="A319" s="37">
        <v>42863</v>
      </c>
      <c r="B319" s="39">
        <v>2390.8999020000001</v>
      </c>
      <c r="C319" s="36">
        <f>IF(ISBLANK(B320), "", GSPC[[#This Row],[Adj Close]]/B320-1)</f>
        <v>-3.4969248667813257E-3</v>
      </c>
      <c r="D31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50590.020618000002</v>
      </c>
      <c r="E31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22633.031176</v>
      </c>
      <c r="F319" s="11">
        <f>IF(ISBLANK(GSPC[[#This Row],[Long Exp.]]), "", (GSPC[[#This Row],[Long Exp.]]/D320-1)+(E320/GSPC[[#This Row],[Short Exp.]]-1))</f>
        <v>1.8490587316877471E-2</v>
      </c>
      <c r="G319" s="37">
        <v>42863</v>
      </c>
      <c r="H319" s="35">
        <v>35.656650999999997</v>
      </c>
      <c r="I319" s="36">
        <f>IF(ISBLANK(H320), "", Long0[[#This Row],[Adj Close]]/H320-1)</f>
        <v>2.7440392919043211E-2</v>
      </c>
      <c r="J319" s="29">
        <v>42863</v>
      </c>
      <c r="K319">
        <v>18.603483000000001</v>
      </c>
      <c r="L319" s="33">
        <f>IF(ISBLANK(K320),"",Long1[[#This Row],[Adj Close]]/K320-1)</f>
        <v>-1.3389614751454948E-2</v>
      </c>
      <c r="M319" s="37">
        <v>42863</v>
      </c>
      <c r="N319" s="35">
        <v>21.438303000000001</v>
      </c>
      <c r="O319" s="36">
        <f>IF(ISBLANK(N320),"",Long2[[#This Row],[Adj Close]]/N320-1)</f>
        <v>-2.3027835383747308E-2</v>
      </c>
      <c r="P319" s="29">
        <v>42863</v>
      </c>
      <c r="Q319">
        <v>28.846176</v>
      </c>
      <c r="R319" s="33">
        <f>IF(ISBLANK(Q320),"",Long3[[#This Row],[Adj Close]]/Q320-1)</f>
        <v>5.9694854064695768E-3</v>
      </c>
      <c r="S319" s="37">
        <v>42863</v>
      </c>
      <c r="T319" s="35">
        <v>32.454414</v>
      </c>
      <c r="U319" s="36">
        <f>IF(ISBLANK(T320),"",Long4[[#This Row],[Adj Close]]/T320-1)</f>
        <v>0.17224881004935355</v>
      </c>
      <c r="V319" s="29">
        <v>42863</v>
      </c>
      <c r="W319">
        <v>24.657276</v>
      </c>
      <c r="X319" s="33">
        <f>IF(ISBLANK(W320),"",Long5[[#This Row],[Adj Close]]/W320-1)</f>
        <v>-4.8002499404646293E-2</v>
      </c>
      <c r="Y319" s="37">
        <v>42863</v>
      </c>
      <c r="Z319" s="35">
        <v>111.32912399999999</v>
      </c>
      <c r="AA319" s="36">
        <f>IF(ISBLANK(Z320),"",Long6[[#This Row],[Adj Close]]/Z320-1)</f>
        <v>2.6055687861837207E-2</v>
      </c>
      <c r="AH319" s="29">
        <v>42863</v>
      </c>
      <c r="AI319" s="44">
        <v>50.555317000000002</v>
      </c>
      <c r="AJ319" s="33">
        <f>IF(ISBLANK(AI320),"",Short0[[#This Row],[Adj Close]]/AI320-1)</f>
        <v>-1.7020227082484851E-3</v>
      </c>
      <c r="AK319" s="37">
        <v>42863</v>
      </c>
      <c r="AL319" s="39">
        <v>42.728642000000001</v>
      </c>
      <c r="AM319" s="36">
        <f>IF(ISBLANK(AL320),"",Short1[[#This Row],[Adj Close]]/AL320-1)</f>
        <v>-9.8801942448321078E-3</v>
      </c>
      <c r="AN319" s="29">
        <v>42863</v>
      </c>
      <c r="AO319" s="44">
        <v>46.972369999999998</v>
      </c>
      <c r="AP319" s="33">
        <f>IF(ISBLANK(AO320),"",Short2[[#This Row],[Adj Close]]/AO320-1)</f>
        <v>1.2050811996753952E-2</v>
      </c>
      <c r="AQ319" s="37">
        <v>42863</v>
      </c>
      <c r="AR319" s="39">
        <v>67.379997000000003</v>
      </c>
      <c r="AS319" s="36">
        <f>IF(ISBLANK(AR320),"",Short3[[#This Row],[Adj Close]]/AR320-1)</f>
        <v>6.5729756028389819E-3</v>
      </c>
    </row>
    <row r="320" spans="1:45" x14ac:dyDescent="0.25">
      <c r="A320" s="37">
        <v>42856</v>
      </c>
      <c r="B320" s="39">
        <v>2399.290039</v>
      </c>
      <c r="C320" s="36">
        <f>IF(ISBLANK(B321), "", GSPC[[#This Row],[Adj Close]]/B321-1)</f>
        <v>6.3292040559226326E-3</v>
      </c>
      <c r="D32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49575.125202000003</v>
      </c>
      <c r="E32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22588.18879</v>
      </c>
      <c r="F320" s="11">
        <f>IF(ISBLANK(GSPC[[#This Row],[Long Exp.]]), "", (GSPC[[#This Row],[Long Exp.]]/D321-1)+(E321/GSPC[[#This Row],[Short Exp.]]-1))</f>
        <v>1.1483292988002103E-2</v>
      </c>
      <c r="G320" s="37">
        <v>42856</v>
      </c>
      <c r="H320" s="35">
        <v>34.704349999999998</v>
      </c>
      <c r="I320" s="36">
        <f>IF(ISBLANK(H321), "", Long0[[#This Row],[Adj Close]]/H321-1)</f>
        <v>1.4725891395132917E-2</v>
      </c>
      <c r="J320" s="29">
        <v>42856</v>
      </c>
      <c r="K320">
        <v>18.855957</v>
      </c>
      <c r="L320" s="33">
        <f>IF(ISBLANK(K321),"",Long1[[#This Row],[Adj Close]]/K321-1)</f>
        <v>0.10386719702681102</v>
      </c>
      <c r="M320" s="37">
        <v>42856</v>
      </c>
      <c r="N320" s="35">
        <v>21.943617</v>
      </c>
      <c r="O320" s="36">
        <f>IF(ISBLANK(N321),"",Long2[[#This Row],[Adj Close]]/N321-1)</f>
        <v>-0.12922400099587028</v>
      </c>
      <c r="P320" s="29">
        <v>42856</v>
      </c>
      <c r="Q320">
        <v>28.675001000000002</v>
      </c>
      <c r="R320" s="33">
        <f>IF(ISBLANK(Q321),"",Long3[[#This Row],[Adj Close]]/Q321-1)</f>
        <v>1.1020635785461197E-2</v>
      </c>
      <c r="S320" s="37">
        <v>42856</v>
      </c>
      <c r="T320" s="35">
        <v>27.685601999999999</v>
      </c>
      <c r="U320" s="36">
        <f>IF(ISBLANK(T321),"",Long4[[#This Row],[Adj Close]]/T321-1)</f>
        <v>3.1999516474296996E-3</v>
      </c>
      <c r="V320" s="29">
        <v>42856</v>
      </c>
      <c r="W320">
        <v>25.900568</v>
      </c>
      <c r="X320" s="33">
        <f>IF(ISBLANK(W321),"",Long5[[#This Row],[Adj Close]]/W321-1)</f>
        <v>9.7179830989719607E-2</v>
      </c>
      <c r="Y320" s="37">
        <v>42856</v>
      </c>
      <c r="Z320" s="35">
        <v>108.50202899999999</v>
      </c>
      <c r="AA320" s="36">
        <f>IF(ISBLANK(Z321),"",Long6[[#This Row],[Adj Close]]/Z321-1)</f>
        <v>0.24566325282102142</v>
      </c>
      <c r="AH320" s="29">
        <v>42856</v>
      </c>
      <c r="AI320" s="44">
        <v>50.641509999999997</v>
      </c>
      <c r="AJ320" s="33">
        <f>IF(ISBLANK(AI321),"",Short0[[#This Row],[Adj Close]]/AI321-1)</f>
        <v>-4.0684674646009888E-3</v>
      </c>
      <c r="AK320" s="37">
        <v>42856</v>
      </c>
      <c r="AL320" s="39">
        <v>43.155022000000002</v>
      </c>
      <c r="AM320" s="36">
        <f>IF(ISBLANK(AL321),"",Short1[[#This Row],[Adj Close]]/AL321-1)</f>
        <v>-3.6671862693749002E-3</v>
      </c>
      <c r="AN320" s="29">
        <v>42856</v>
      </c>
      <c r="AO320" s="44">
        <v>46.413055</v>
      </c>
      <c r="AP320" s="33">
        <f>IF(ISBLANK(AO321),"",Short2[[#This Row],[Adj Close]]/AO321-1)</f>
        <v>-1.3287281833862963E-2</v>
      </c>
      <c r="AQ320" s="37">
        <v>42856</v>
      </c>
      <c r="AR320" s="39">
        <v>66.940002000000007</v>
      </c>
      <c r="AS320" s="36">
        <f>IF(ISBLANK(AR321),"",Short3[[#This Row],[Adj Close]]/AR321-1)</f>
        <v>4.0895725109492576E-2</v>
      </c>
    </row>
    <row r="321" spans="1:45" x14ac:dyDescent="0.25">
      <c r="A321" s="37">
        <v>42849</v>
      </c>
      <c r="B321" s="39">
        <v>2384.1999510000001</v>
      </c>
      <c r="C321" s="36">
        <f>IF(ISBLANK(B322), "", GSPC[[#This Row],[Adj Close]]/B322-1)</f>
        <v>1.5119071010659235E-2</v>
      </c>
      <c r="D32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48862.799808999989</v>
      </c>
      <c r="E32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22518.283346999997</v>
      </c>
      <c r="F321" s="11">
        <f>IF(ISBLANK(GSPC[[#This Row],[Long Exp.]]), "", (GSPC[[#This Row],[Long Exp.]]/D322-1)+(E322/GSPC[[#This Row],[Short Exp.]]-1))</f>
        <v>2.716619655727337E-3</v>
      </c>
      <c r="G321" s="37">
        <v>42849</v>
      </c>
      <c r="H321" s="35">
        <v>34.200713999999998</v>
      </c>
      <c r="I321" s="36">
        <f>IF(ISBLANK(H322), "", Long0[[#This Row],[Adj Close]]/H322-1)</f>
        <v>1.41186986922619E-2</v>
      </c>
      <c r="J321" s="29">
        <v>42849</v>
      </c>
      <c r="K321">
        <v>17.081726</v>
      </c>
      <c r="L321" s="33">
        <f>IF(ISBLANK(K322),"",Long1[[#This Row],[Adj Close]]/K322-1)</f>
        <v>2.0243820802126722E-2</v>
      </c>
      <c r="M321" s="37">
        <v>42849</v>
      </c>
      <c r="N321" s="35">
        <v>25.200071000000001</v>
      </c>
      <c r="O321" s="36">
        <f>IF(ISBLANK(N322),"",Long2[[#This Row],[Adj Close]]/N322-1)</f>
        <v>9.7488977940656252E-3</v>
      </c>
      <c r="P321" s="29">
        <v>42849</v>
      </c>
      <c r="Q321">
        <v>28.362428999999999</v>
      </c>
      <c r="R321" s="33">
        <f>IF(ISBLANK(Q322),"",Long3[[#This Row],[Adj Close]]/Q322-1)</f>
        <v>4.7458129316431119E-3</v>
      </c>
      <c r="S321" s="37">
        <v>42849</v>
      </c>
      <c r="T321" s="35">
        <v>27.597291999999999</v>
      </c>
      <c r="U321" s="36">
        <f>IF(ISBLANK(T322),"",Long4[[#This Row],[Adj Close]]/T322-1)</f>
        <v>1.9575818534640854E-2</v>
      </c>
      <c r="V321" s="29">
        <v>42849</v>
      </c>
      <c r="W321">
        <v>23.606493</v>
      </c>
      <c r="X321" s="33">
        <f>IF(ISBLANK(W322),"",Long5[[#This Row],[Adj Close]]/W322-1)</f>
        <v>4.1033025758877351E-2</v>
      </c>
      <c r="Y321" s="37">
        <v>42849</v>
      </c>
      <c r="Z321" s="35">
        <v>87.103820999999996</v>
      </c>
      <c r="AA321" s="36">
        <f>IF(ISBLANK(Z322),"",Long6[[#This Row],[Adj Close]]/Z322-1)</f>
        <v>4.9941045563778985E-2</v>
      </c>
      <c r="AH321" s="29">
        <v>42849</v>
      </c>
      <c r="AI321" s="44">
        <v>50.848385</v>
      </c>
      <c r="AJ321" s="33">
        <f>IF(ISBLANK(AI322),"",Short0[[#This Row],[Adj Close]]/AI322-1)</f>
        <v>2.8058435524778824E-2</v>
      </c>
      <c r="AK321" s="37">
        <v>42849</v>
      </c>
      <c r="AL321" s="39">
        <v>43.313862</v>
      </c>
      <c r="AM321" s="36">
        <f>IF(ISBLANK(AL322),"",Short1[[#This Row],[Adj Close]]/AL322-1)</f>
        <v>2.3104510621717145E-2</v>
      </c>
      <c r="AN321" s="29">
        <v>42849</v>
      </c>
      <c r="AO321" s="44">
        <v>47.038063000000001</v>
      </c>
      <c r="AP321" s="33">
        <f>IF(ISBLANK(AO322),"",Short2[[#This Row],[Adj Close]]/AO322-1)</f>
        <v>-2.903292527229584E-2</v>
      </c>
      <c r="AQ321" s="37">
        <v>42849</v>
      </c>
      <c r="AR321" s="39">
        <v>64.309997999999993</v>
      </c>
      <c r="AS321" s="36">
        <f>IF(ISBLANK(AR322),"",Short3[[#This Row],[Adj Close]]/AR322-1)</f>
        <v>2.9948735265034054E-2</v>
      </c>
    </row>
    <row r="322" spans="1:45" x14ac:dyDescent="0.25">
      <c r="A322" s="37">
        <v>42842</v>
      </c>
      <c r="B322" s="39">
        <v>2348.6899410000001</v>
      </c>
      <c r="C322" s="36">
        <f>IF(ISBLANK(B323), "", GSPC[[#This Row],[Adj Close]]/B323-1)</f>
        <v>8.4759185106249024E-3</v>
      </c>
      <c r="D32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48119.336176000004</v>
      </c>
      <c r="E32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22231.540173000001</v>
      </c>
      <c r="F322" s="11">
        <f>IF(ISBLANK(GSPC[[#This Row],[Long Exp.]]), "", (GSPC[[#This Row],[Long Exp.]]/D323-1)+(E323/GSPC[[#This Row],[Short Exp.]]-1))</f>
        <v>-3.2547255251616836E-2</v>
      </c>
      <c r="G322" s="37">
        <v>42842</v>
      </c>
      <c r="H322" s="35">
        <v>33.724567</v>
      </c>
      <c r="I322" s="36">
        <f>IF(ISBLANK(H323), "", Long0[[#This Row],[Adj Close]]/H323-1)</f>
        <v>-2.2298915687310239E-2</v>
      </c>
      <c r="J322" s="29">
        <v>42842</v>
      </c>
      <c r="K322">
        <v>16.742788000000001</v>
      </c>
      <c r="L322" s="33">
        <f>IF(ISBLANK(K323),"",Long1[[#This Row],[Adj Close]]/K323-1)</f>
        <v>7.6016796691561472E-2</v>
      </c>
      <c r="M322" s="37">
        <v>42842</v>
      </c>
      <c r="N322" s="35">
        <v>24.956769999999999</v>
      </c>
      <c r="O322" s="36">
        <f>IF(ISBLANK(N323),"",Long2[[#This Row],[Adj Close]]/N323-1)</f>
        <v>-2.8769197911708178E-2</v>
      </c>
      <c r="P322" s="29">
        <v>42842</v>
      </c>
      <c r="Q322">
        <v>28.228462</v>
      </c>
      <c r="R322" s="33">
        <f>IF(ISBLANK(Q323),"",Long3[[#This Row],[Adj Close]]/Q323-1)</f>
        <v>9.313110168470029E-3</v>
      </c>
      <c r="S322" s="37">
        <v>42842</v>
      </c>
      <c r="T322" s="35">
        <v>27.067425</v>
      </c>
      <c r="U322" s="36">
        <f>IF(ISBLANK(T323),"",Long4[[#This Row],[Adj Close]]/T323-1)</f>
        <v>5.8721945110820739E-2</v>
      </c>
      <c r="V322" s="29">
        <v>42842</v>
      </c>
      <c r="W322">
        <v>22.676027000000001</v>
      </c>
      <c r="X322" s="33">
        <f>IF(ISBLANK(W323),"",Long5[[#This Row],[Adj Close]]/W323-1)</f>
        <v>-2.8218314389198973E-3</v>
      </c>
      <c r="Y322" s="37">
        <v>42842</v>
      </c>
      <c r="Z322" s="35">
        <v>82.960678000000001</v>
      </c>
      <c r="AA322" s="36">
        <f>IF(ISBLANK(Z323),"",Long6[[#This Row],[Adj Close]]/Z323-1)</f>
        <v>5.0617318112255116E-2</v>
      </c>
      <c r="AH322" s="29">
        <v>42842</v>
      </c>
      <c r="AI322" s="44">
        <v>49.460597999999997</v>
      </c>
      <c r="AJ322" s="33">
        <f>IF(ISBLANK(AI323),"",Short0[[#This Row],[Adj Close]]/AI323-1)</f>
        <v>2.6475739230000572E-2</v>
      </c>
      <c r="AK322" s="37">
        <v>42842</v>
      </c>
      <c r="AL322" s="39">
        <v>42.335715999999998</v>
      </c>
      <c r="AM322" s="36">
        <f>IF(ISBLANK(AL323),"",Short1[[#This Row],[Adj Close]]/AL323-1)</f>
        <v>4.9098568596306347E-2</v>
      </c>
      <c r="AN322" s="29">
        <v>42842</v>
      </c>
      <c r="AO322" s="44">
        <v>48.44455</v>
      </c>
      <c r="AP322" s="33">
        <f>IF(ISBLANK(AO323),"",Short2[[#This Row],[Adj Close]]/AO323-1)</f>
        <v>4.2480012490975216E-3</v>
      </c>
      <c r="AQ322" s="37">
        <v>42842</v>
      </c>
      <c r="AR322" s="39">
        <v>62.439999</v>
      </c>
      <c r="AS322" s="36">
        <f>IF(ISBLANK(AR323),"",Short3[[#This Row],[Adj Close]]/AR323-1)</f>
        <v>4.9588113982581561E-2</v>
      </c>
    </row>
    <row r="323" spans="1:45" x14ac:dyDescent="0.25">
      <c r="A323" s="37">
        <v>42835</v>
      </c>
      <c r="B323" s="39">
        <v>2328.9499510000001</v>
      </c>
      <c r="C323" s="36">
        <f>IF(ISBLANK(B324), "", GSPC[[#This Row],[Adj Close]]/B324-1)</f>
        <v>-1.1288319264268654E-2</v>
      </c>
      <c r="D32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48323.261387000006</v>
      </c>
      <c r="E32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21601.782142</v>
      </c>
      <c r="F323" s="11">
        <f>IF(ISBLANK(GSPC[[#This Row],[Long Exp.]]), "", (GSPC[[#This Row],[Long Exp.]]/D324-1)+(E324/GSPC[[#This Row],[Short Exp.]]-1))</f>
        <v>-3.091473549911905E-2</v>
      </c>
      <c r="G323" s="37">
        <v>42835</v>
      </c>
      <c r="H323" s="35">
        <v>34.493740000000003</v>
      </c>
      <c r="I323" s="36">
        <f>IF(ISBLANK(H324), "", Long0[[#This Row],[Adj Close]]/H324-1)</f>
        <v>-4.8737263244959306E-2</v>
      </c>
      <c r="J323" s="29">
        <v>42835</v>
      </c>
      <c r="K323">
        <v>15.559969000000001</v>
      </c>
      <c r="L323" s="33">
        <f>IF(ISBLANK(K324),"",Long1[[#This Row],[Adj Close]]/K324-1)</f>
        <v>-4.8636070961863287E-2</v>
      </c>
      <c r="M323" s="37">
        <v>42835</v>
      </c>
      <c r="N323" s="35">
        <v>25.696024000000001</v>
      </c>
      <c r="O323" s="36">
        <f>IF(ISBLANK(N324),"",Long2[[#This Row],[Adj Close]]/N324-1)</f>
        <v>-4.8180237216110422E-2</v>
      </c>
      <c r="P323" s="29">
        <v>42835</v>
      </c>
      <c r="Q323">
        <v>27.967993</v>
      </c>
      <c r="R323" s="33">
        <f>IF(ISBLANK(Q324),"",Long3[[#This Row],[Adj Close]]/Q324-1)</f>
        <v>8.3177219743448827E-3</v>
      </c>
      <c r="S323" s="37">
        <v>42835</v>
      </c>
      <c r="T323" s="35">
        <v>25.566132</v>
      </c>
      <c r="U323" s="36">
        <f>IF(ISBLANK(T324),"",Long4[[#This Row],[Adj Close]]/T324-1)</f>
        <v>-5.1544841264669072E-3</v>
      </c>
      <c r="V323" s="29">
        <v>42835</v>
      </c>
      <c r="W323">
        <v>22.740196000000001</v>
      </c>
      <c r="X323" s="33">
        <f>IF(ISBLANK(W324),"",Long5[[#This Row],[Adj Close]]/W324-1)</f>
        <v>9.2558258169055385E-3</v>
      </c>
      <c r="Y323" s="37">
        <v>42835</v>
      </c>
      <c r="Z323" s="35">
        <v>78.963745000000003</v>
      </c>
      <c r="AA323" s="36">
        <f>IF(ISBLANK(Z324),"",Long6[[#This Row],[Adj Close]]/Z324-1)</f>
        <v>-4.0852614862685654E-2</v>
      </c>
      <c r="AH323" s="29">
        <v>42835</v>
      </c>
      <c r="AI323" s="44">
        <v>48.184868000000002</v>
      </c>
      <c r="AJ323" s="33">
        <f>IF(ISBLANK(AI324),"",Short0[[#This Row],[Adj Close]]/AI324-1)</f>
        <v>-5.3379140690935634E-3</v>
      </c>
      <c r="AK323" s="37">
        <v>42835</v>
      </c>
      <c r="AL323" s="39">
        <v>40.354374</v>
      </c>
      <c r="AM323" s="36">
        <f>IF(ISBLANK(AL324),"",Short1[[#This Row],[Adj Close]]/AL324-1)</f>
        <v>1.0368476576638752E-3</v>
      </c>
      <c r="AN323" s="29">
        <v>42835</v>
      </c>
      <c r="AO323" s="44">
        <v>48.239628000000003</v>
      </c>
      <c r="AP323" s="33">
        <f>IF(ISBLANK(AO324),"",Short2[[#This Row],[Adj Close]]/AO324-1)</f>
        <v>2.1902111318155226E-2</v>
      </c>
      <c r="AQ323" s="37">
        <v>42835</v>
      </c>
      <c r="AR323" s="39">
        <v>59.490001999999997</v>
      </c>
      <c r="AS323" s="36">
        <f>IF(ISBLANK(AR324),"",Short3[[#This Row],[Adj Close]]/AR324-1)</f>
        <v>-2.395404390559408E-2</v>
      </c>
    </row>
    <row r="324" spans="1:45" x14ac:dyDescent="0.25">
      <c r="A324" s="37">
        <v>42828</v>
      </c>
      <c r="B324" s="39">
        <v>2355.540039</v>
      </c>
      <c r="C324" s="36">
        <f>IF(ISBLANK(B325), "", GSPC[[#This Row],[Adj Close]]/B325-1)</f>
        <v>-3.038841711301532E-3</v>
      </c>
      <c r="D32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49919.387108000003</v>
      </c>
      <c r="E32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21624.665543999996</v>
      </c>
      <c r="F324" s="11">
        <f>IF(ISBLANK(GSPC[[#This Row],[Long Exp.]]), "", (GSPC[[#This Row],[Long Exp.]]/D325-1)+(E325/GSPC[[#This Row],[Short Exp.]]-1))</f>
        <v>1.8362371521716048E-2</v>
      </c>
      <c r="G324" s="37">
        <v>42828</v>
      </c>
      <c r="H324" s="35">
        <v>36.261001999999998</v>
      </c>
      <c r="I324" s="36">
        <f>IF(ISBLANK(H325), "", Long0[[#This Row],[Adj Close]]/H325-1)</f>
        <v>1.5644982003749863E-2</v>
      </c>
      <c r="J324" s="29">
        <v>42828</v>
      </c>
      <c r="K324">
        <v>16.355433000000001</v>
      </c>
      <c r="L324" s="33">
        <f>IF(ISBLANK(K325),"",Long1[[#This Row],[Adj Close]]/K325-1)</f>
        <v>-1.2528630175891453E-2</v>
      </c>
      <c r="M324" s="37">
        <v>42828</v>
      </c>
      <c r="N324" s="35">
        <v>26.996732999999999</v>
      </c>
      <c r="O324" s="36">
        <f>IF(ISBLANK(N325),"",Long2[[#This Row],[Adj Close]]/N325-1)</f>
        <v>-1.1309244300551802E-2</v>
      </c>
      <c r="P324" s="29">
        <v>42828</v>
      </c>
      <c r="Q324">
        <v>27.737282</v>
      </c>
      <c r="R324" s="33">
        <f>IF(ISBLANK(Q325),"",Long3[[#This Row],[Adj Close]]/Q325-1)</f>
        <v>-3.2093765861628265E-3</v>
      </c>
      <c r="S324" s="37">
        <v>42828</v>
      </c>
      <c r="T324" s="35">
        <v>25.698595000000001</v>
      </c>
      <c r="U324" s="36">
        <f>IF(ISBLANK(T325),"",Long4[[#This Row],[Adj Close]]/T325-1)</f>
        <v>-9.441693128610873E-3</v>
      </c>
      <c r="V324" s="29">
        <v>42828</v>
      </c>
      <c r="W324">
        <v>22.531647</v>
      </c>
      <c r="X324" s="33">
        <f>IF(ISBLANK(W325),"",Long5[[#This Row],[Adj Close]]/W325-1)</f>
        <v>-6.7185968362266646E-3</v>
      </c>
      <c r="Y324" s="37">
        <v>42828</v>
      </c>
      <c r="Z324" s="35">
        <v>82.327019000000007</v>
      </c>
      <c r="AA324" s="36">
        <f>IF(ISBLANK(Z325),"",Long6[[#This Row],[Adj Close]]/Z325-1)</f>
        <v>-1.9163847231495335E-2</v>
      </c>
      <c r="AH324" s="29">
        <v>42828</v>
      </c>
      <c r="AI324" s="44">
        <v>48.443455</v>
      </c>
      <c r="AJ324" s="33">
        <f>IF(ISBLANK(AI325),"",Short0[[#This Row],[Adj Close]]/AI325-1)</f>
        <v>-1.524446926621148E-2</v>
      </c>
      <c r="AK324" s="37">
        <v>42828</v>
      </c>
      <c r="AL324" s="39">
        <v>40.312576</v>
      </c>
      <c r="AM324" s="36">
        <f>IF(ISBLANK(AL325),"",Short1[[#This Row],[Adj Close]]/AL325-1)</f>
        <v>-1.892167667082767E-2</v>
      </c>
      <c r="AN324" s="29">
        <v>42828</v>
      </c>
      <c r="AO324" s="44">
        <v>47.205722999999999</v>
      </c>
      <c r="AP324" s="33">
        <f>IF(ISBLANK(AO325),"",Short2[[#This Row],[Adj Close]]/AO325-1)</f>
        <v>-9.9631769827566163E-3</v>
      </c>
      <c r="AQ324" s="37">
        <v>42828</v>
      </c>
      <c r="AR324" s="39">
        <v>60.950001</v>
      </c>
      <c r="AS324" s="36">
        <f>IF(ISBLANK(AR325),"",Short3[[#This Row],[Adj Close]]/AR325-1)</f>
        <v>-2.1512280919693594E-2</v>
      </c>
    </row>
    <row r="325" spans="1:45" x14ac:dyDescent="0.25">
      <c r="A325" s="37">
        <v>42821</v>
      </c>
      <c r="B325" s="39">
        <v>2362.719971</v>
      </c>
      <c r="C325" s="36">
        <f>IF(ISBLANK(B326), "", GSPC[[#This Row],[Adj Close]]/B326-1)</f>
        <v>7.9949449909550996E-3</v>
      </c>
      <c r="D32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49805.525770000007</v>
      </c>
      <c r="E32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21972.309136999997</v>
      </c>
      <c r="F325" s="11">
        <f>IF(ISBLANK(GSPC[[#This Row],[Long Exp.]]), "", (GSPC[[#This Row],[Long Exp.]]/D326-1)+(E326/GSPC[[#This Row],[Short Exp.]]-1))</f>
        <v>-5.2526252467321122E-2</v>
      </c>
      <c r="G325" s="37">
        <v>42821</v>
      </c>
      <c r="H325" s="35">
        <v>35.702438000000001</v>
      </c>
      <c r="I325" s="36">
        <f>IF(ISBLANK(H326), "", Long0[[#This Row],[Adj Close]]/H326-1)</f>
        <v>-4.8095541218714288E-2</v>
      </c>
      <c r="J325" s="29">
        <v>42821</v>
      </c>
      <c r="K325">
        <v>16.562944000000002</v>
      </c>
      <c r="L325" s="33">
        <f>IF(ISBLANK(K326),"",Long1[[#This Row],[Adj Close]]/K326-1)</f>
        <v>3.7927957166261184E-2</v>
      </c>
      <c r="M325" s="37">
        <v>42821</v>
      </c>
      <c r="N325" s="35">
        <v>27.305537999999999</v>
      </c>
      <c r="O325" s="36">
        <f>IF(ISBLANK(N326),"",Long2[[#This Row],[Adj Close]]/N326-1)</f>
        <v>1.4956608439797181E-2</v>
      </c>
      <c r="P325" s="29">
        <v>42821</v>
      </c>
      <c r="Q325">
        <v>27.826588000000001</v>
      </c>
      <c r="R325" s="33">
        <f>IF(ISBLANK(Q326),"",Long3[[#This Row],[Adj Close]]/Q326-1)</f>
        <v>-5.5851299916420682E-3</v>
      </c>
      <c r="S325" s="37">
        <v>42821</v>
      </c>
      <c r="T325" s="35">
        <v>25.943546000000001</v>
      </c>
      <c r="U325" s="36">
        <f>IF(ISBLANK(T326),"",Long4[[#This Row],[Adj Close]]/T326-1)</f>
        <v>-1.0033394023143738E-2</v>
      </c>
      <c r="V325" s="29">
        <v>42821</v>
      </c>
      <c r="W325">
        <v>22.684052000000001</v>
      </c>
      <c r="X325" s="33">
        <f>IF(ISBLANK(W326),"",Long5[[#This Row],[Adj Close]]/W326-1)</f>
        <v>5.5617965083714971E-2</v>
      </c>
      <c r="Y325" s="37">
        <v>42821</v>
      </c>
      <c r="Z325" s="35">
        <v>83.935547</v>
      </c>
      <c r="AA325" s="36">
        <f>IF(ISBLANK(Z326),"",Long6[[#This Row],[Adj Close]]/Z326-1)</f>
        <v>3.2374301760494495E-2</v>
      </c>
      <c r="AH325" s="29">
        <v>42821</v>
      </c>
      <c r="AI325" s="44">
        <v>49.193382</v>
      </c>
      <c r="AJ325" s="33">
        <f>IF(ISBLANK(AI326),"",Short0[[#This Row],[Adj Close]]/AI326-1)</f>
        <v>3.9296568609224147E-2</v>
      </c>
      <c r="AK325" s="37">
        <v>42821</v>
      </c>
      <c r="AL325" s="39">
        <v>41.090069</v>
      </c>
      <c r="AM325" s="36">
        <f>IF(ISBLANK(AL326),"",Short1[[#This Row],[Adj Close]]/AL326-1)</f>
        <v>0.10408215217252059</v>
      </c>
      <c r="AN325" s="29">
        <v>42821</v>
      </c>
      <c r="AO325" s="44">
        <v>47.680774999999997</v>
      </c>
      <c r="AP325" s="33">
        <f>IF(ISBLANK(AO326),"",Short2[[#This Row],[Adj Close]]/AO326-1)</f>
        <v>2.9392710580009584E-3</v>
      </c>
      <c r="AQ325" s="37">
        <v>42821</v>
      </c>
      <c r="AR325" s="39">
        <v>62.290000999999997</v>
      </c>
      <c r="AS325" s="36">
        <f>IF(ISBLANK(AR326),"",Short3[[#This Row],[Adj Close]]/AR326-1)</f>
        <v>2.2824284964719554E-2</v>
      </c>
    </row>
    <row r="326" spans="1:45" x14ac:dyDescent="0.25">
      <c r="A326" s="37">
        <v>42814</v>
      </c>
      <c r="B326" s="39">
        <v>2343.9799800000001</v>
      </c>
      <c r="C326" s="36">
        <f>IF(ISBLANK(B327), "", GSPC[[#This Row],[Adj Close]]/B327-1)</f>
        <v>-1.4409763481551541E-2</v>
      </c>
      <c r="D32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50674.088862999997</v>
      </c>
      <c r="E32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21194.795451999998</v>
      </c>
      <c r="F326" s="11">
        <f>IF(ISBLANK(GSPC[[#This Row],[Long Exp.]]), "", (GSPC[[#This Row],[Long Exp.]]/D327-1)+(E327/GSPC[[#This Row],[Short Exp.]]-1))</f>
        <v>1.2035323036019285E-2</v>
      </c>
      <c r="G326" s="37">
        <v>42814</v>
      </c>
      <c r="H326" s="35">
        <v>37.506324999999997</v>
      </c>
      <c r="I326" s="36">
        <f>IF(ISBLANK(H327), "", Long0[[#This Row],[Adj Close]]/H327-1)</f>
        <v>-2.5458272418507288E-2</v>
      </c>
      <c r="J326" s="29">
        <v>42814</v>
      </c>
      <c r="K326">
        <v>15.957701</v>
      </c>
      <c r="L326" s="33">
        <f>IF(ISBLANK(K327),"",Long1[[#This Row],[Adj Close]]/K327-1)</f>
        <v>-6.6936214382057879E-2</v>
      </c>
      <c r="M326" s="37">
        <v>42814</v>
      </c>
      <c r="N326" s="35">
        <v>26.903158000000001</v>
      </c>
      <c r="O326" s="36">
        <f>IF(ISBLANK(N327),"",Long2[[#This Row],[Adj Close]]/N327-1)</f>
        <v>-1.4398100011902781E-2</v>
      </c>
      <c r="P326" s="29">
        <v>42814</v>
      </c>
      <c r="Q326">
        <v>27.982876000000001</v>
      </c>
      <c r="R326" s="33">
        <f>IF(ISBLANK(Q327),"",Long3[[#This Row],[Adj Close]]/Q327-1)</f>
        <v>1.6491146229526965E-2</v>
      </c>
      <c r="S326" s="37">
        <v>42814</v>
      </c>
      <c r="T326" s="35">
        <v>26.206486000000002</v>
      </c>
      <c r="U326" s="36">
        <f>IF(ISBLANK(T327),"",Long4[[#This Row],[Adj Close]]/T327-1)</f>
        <v>-3.2362491571267804E-2</v>
      </c>
      <c r="V326" s="29">
        <v>42814</v>
      </c>
      <c r="W326">
        <v>21.488883999999999</v>
      </c>
      <c r="X326" s="33">
        <f>IF(ISBLANK(W327),"",Long5[[#This Row],[Adj Close]]/W327-1)</f>
        <v>5.2533648382095954E-3</v>
      </c>
      <c r="Y326" s="37">
        <v>42814</v>
      </c>
      <c r="Z326" s="35">
        <v>81.303405999999995</v>
      </c>
      <c r="AA326" s="36">
        <f>IF(ISBLANK(Z327),"",Long6[[#This Row],[Adj Close]]/Z327-1)</f>
        <v>-2.4209254347793752E-2</v>
      </c>
      <c r="AH326" s="29">
        <v>42814</v>
      </c>
      <c r="AI326" s="44">
        <v>47.333343999999997</v>
      </c>
      <c r="AJ326" s="33">
        <f>IF(ISBLANK(AI327),"",Short0[[#This Row],[Adj Close]]/AI327-1)</f>
        <v>-2.7112238199045402E-2</v>
      </c>
      <c r="AK326" s="37">
        <v>42814</v>
      </c>
      <c r="AL326" s="39">
        <v>37.216495999999999</v>
      </c>
      <c r="AM326" s="36">
        <f>IF(ISBLANK(AL327),"",Short1[[#This Row],[Adj Close]]/AL327-1)</f>
        <v>-1.9457693243314145E-2</v>
      </c>
      <c r="AN326" s="29">
        <v>42814</v>
      </c>
      <c r="AO326" s="44">
        <v>47.541038999999998</v>
      </c>
      <c r="AP326" s="33">
        <f>IF(ISBLANK(AO327),"",Short2[[#This Row],[Adj Close]]/AO327-1)</f>
        <v>-3.3882331146684708E-2</v>
      </c>
      <c r="AQ326" s="37">
        <v>42814</v>
      </c>
      <c r="AR326" s="39">
        <v>60.900002000000001</v>
      </c>
      <c r="AS326" s="36">
        <f>IF(ISBLANK(AR327),"",Short3[[#This Row],[Adj Close]]/AR327-1)</f>
        <v>-2.3568975846865126E-2</v>
      </c>
    </row>
    <row r="327" spans="1:45" x14ac:dyDescent="0.25">
      <c r="A327" s="37">
        <v>42807</v>
      </c>
      <c r="B327" s="39">
        <v>2378.25</v>
      </c>
      <c r="C327" s="36">
        <f>IF(ISBLANK(B328), "", GSPC[[#This Row],[Adj Close]]/B328-1)</f>
        <v>2.3813123858347218E-3</v>
      </c>
      <c r="D32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51480.286175999987</v>
      </c>
      <c r="E32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21781.798758999998</v>
      </c>
      <c r="F327" s="11">
        <f>IF(ISBLANK(GSPC[[#This Row],[Long Exp.]]), "", (GSPC[[#This Row],[Long Exp.]]/D328-1)+(E328/GSPC[[#This Row],[Short Exp.]]-1))</f>
        <v>-3.356546404674321E-2</v>
      </c>
      <c r="G327" s="37">
        <v>42807</v>
      </c>
      <c r="H327" s="35">
        <v>38.486114999999998</v>
      </c>
      <c r="I327" s="36">
        <f>IF(ISBLANK(H328), "", Long0[[#This Row],[Adj Close]]/H328-1)</f>
        <v>-3.1566665348954359E-2</v>
      </c>
      <c r="J327" s="29">
        <v>42807</v>
      </c>
      <c r="K327">
        <v>17.102475999999999</v>
      </c>
      <c r="L327" s="33">
        <f>IF(ISBLANK(K328),"",Long1[[#This Row],[Adj Close]]/K328-1)</f>
        <v>-1.1988106290067191E-2</v>
      </c>
      <c r="M327" s="37">
        <v>42807</v>
      </c>
      <c r="N327" s="35">
        <v>27.296171000000001</v>
      </c>
      <c r="O327" s="36">
        <f>IF(ISBLANK(N328),"",Long2[[#This Row],[Adj Close]]/N328-1)</f>
        <v>-6.8537704633797603E-4</v>
      </c>
      <c r="P327" s="29">
        <v>42807</v>
      </c>
      <c r="Q327">
        <v>27.528893</v>
      </c>
      <c r="R327" s="33">
        <f>IF(ISBLANK(Q328),"",Long3[[#This Row],[Adj Close]]/Q328-1)</f>
        <v>2.9500392501121242E-2</v>
      </c>
      <c r="S327" s="37">
        <v>42807</v>
      </c>
      <c r="T327" s="35">
        <v>27.082958000000001</v>
      </c>
      <c r="U327" s="36">
        <f>IF(ISBLANK(T328),"",Long4[[#This Row],[Adj Close]]/T328-1)</f>
        <v>3.5175891689618988E-2</v>
      </c>
      <c r="V327" s="29">
        <v>42807</v>
      </c>
      <c r="W327">
        <v>21.376584999999999</v>
      </c>
      <c r="X327" s="33">
        <f>IF(ISBLANK(W328),"",Long5[[#This Row],[Adj Close]]/W328-1)</f>
        <v>2.9752659467234155E-2</v>
      </c>
      <c r="Y327" s="37">
        <v>42807</v>
      </c>
      <c r="Z327" s="35">
        <v>83.320533999999995</v>
      </c>
      <c r="AA327" s="36">
        <f>IF(ISBLANK(Z328),"",Long6[[#This Row],[Adj Close]]/Z328-1)</f>
        <v>2.8880764696032735E-2</v>
      </c>
      <c r="AH327" s="29">
        <v>42807</v>
      </c>
      <c r="AI327" s="44">
        <v>48.652419999999999</v>
      </c>
      <c r="AJ327" s="33">
        <f>IF(ISBLANK(AI328),"",Short0[[#This Row],[Adj Close]]/AI328-1)</f>
        <v>5.4602704317701534E-2</v>
      </c>
      <c r="AK327" s="37">
        <v>42807</v>
      </c>
      <c r="AL327" s="39">
        <v>37.955013000000001</v>
      </c>
      <c r="AM327" s="36">
        <f>IF(ISBLANK(AL328),"",Short1[[#This Row],[Adj Close]]/AL328-1)</f>
        <v>2.0982219797773372E-2</v>
      </c>
      <c r="AN327" s="29">
        <v>42807</v>
      </c>
      <c r="AO327" s="44">
        <v>49.208331999999999</v>
      </c>
      <c r="AP327" s="33">
        <f>IF(ISBLANK(AO328),"",Short2[[#This Row],[Adj Close]]/AO328-1)</f>
        <v>2.0864101459789897E-3</v>
      </c>
      <c r="AQ327" s="37">
        <v>42807</v>
      </c>
      <c r="AR327" s="39">
        <v>62.369999</v>
      </c>
      <c r="AS327" s="36">
        <f>IF(ISBLANK(AR328),"",Short3[[#This Row],[Adj Close]]/AR328-1)</f>
        <v>2.6835642843739071E-2</v>
      </c>
    </row>
    <row r="328" spans="1:45" x14ac:dyDescent="0.25">
      <c r="A328" s="37">
        <v>42800</v>
      </c>
      <c r="B328" s="39">
        <v>2372.6000979999999</v>
      </c>
      <c r="C328" s="36">
        <f>IF(ISBLANK(B329), "", GSPC[[#This Row],[Adj Close]]/B329-1)</f>
        <v>-4.4143889034192751E-3</v>
      </c>
      <c r="D32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51759.921025000003</v>
      </c>
      <c r="E32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21168.359532999999</v>
      </c>
      <c r="F328" s="11">
        <f>IF(ISBLANK(GSPC[[#This Row],[Long Exp.]]), "", (GSPC[[#This Row],[Long Exp.]]/D329-1)+(E329/GSPC[[#This Row],[Short Exp.]]-1))</f>
        <v>-4.0112465082767335E-2</v>
      </c>
      <c r="G328" s="37">
        <v>42800</v>
      </c>
      <c r="H328" s="35">
        <v>39.740592999999997</v>
      </c>
      <c r="I328" s="36">
        <f>IF(ISBLANK(H329), "", Long0[[#This Row],[Adj Close]]/H329-1)</f>
        <v>-3.9398039811450403E-2</v>
      </c>
      <c r="J328" s="29">
        <v>42800</v>
      </c>
      <c r="K328">
        <v>17.309989999999999</v>
      </c>
      <c r="L328" s="33">
        <f>IF(ISBLANK(K329),"",Long1[[#This Row],[Adj Close]]/K329-1)</f>
        <v>-3.9531752871100001E-2</v>
      </c>
      <c r="M328" s="37">
        <v>42800</v>
      </c>
      <c r="N328" s="35">
        <v>27.314892</v>
      </c>
      <c r="O328" s="36">
        <f>IF(ISBLANK(N329),"",Long2[[#This Row],[Adj Close]]/N329-1)</f>
        <v>-2.5587394935859709E-2</v>
      </c>
      <c r="P328" s="29">
        <v>42800</v>
      </c>
      <c r="Q328">
        <v>26.740051000000001</v>
      </c>
      <c r="R328" s="33">
        <f>IF(ISBLANK(Q329),"",Long3[[#This Row],[Adj Close]]/Q329-1)</f>
        <v>-9.8148490607441463E-3</v>
      </c>
      <c r="S328" s="37">
        <v>42800</v>
      </c>
      <c r="T328" s="35">
        <v>26.162662999999998</v>
      </c>
      <c r="U328" s="36">
        <f>IF(ISBLANK(T329),"",Long4[[#This Row],[Adj Close]]/T329-1)</f>
        <v>-4.6325804642666779E-2</v>
      </c>
      <c r="V328" s="29">
        <v>42800</v>
      </c>
      <c r="W328">
        <v>20.758951</v>
      </c>
      <c r="X328" s="33">
        <f>IF(ISBLANK(W329),"",Long5[[#This Row],[Adj Close]]/W329-1)</f>
        <v>-4.2323224197725606E-3</v>
      </c>
      <c r="Y328" s="37">
        <v>42800</v>
      </c>
      <c r="Z328" s="35">
        <v>80.981719999999996</v>
      </c>
      <c r="AA328" s="36">
        <f>IF(ISBLANK(Z329),"",Long6[[#This Row],[Adj Close]]/Z329-1)</f>
        <v>-1.0125051749448333E-2</v>
      </c>
      <c r="AH328" s="29">
        <v>42800</v>
      </c>
      <c r="AI328" s="44">
        <v>46.133411000000002</v>
      </c>
      <c r="AJ328" s="33">
        <f>IF(ISBLANK(AI329),"",Short0[[#This Row],[Adj Close]]/AI329-1)</f>
        <v>6.87208685077767E-3</v>
      </c>
      <c r="AK328" s="37">
        <v>42800</v>
      </c>
      <c r="AL328" s="39">
        <v>37.174999</v>
      </c>
      <c r="AM328" s="36">
        <f>IF(ISBLANK(AL329),"",Short1[[#This Row],[Adj Close]]/AL329-1)</f>
        <v>3.3594662035729694E-3</v>
      </c>
      <c r="AN328" s="29">
        <v>42800</v>
      </c>
      <c r="AO328" s="44">
        <v>49.105877</v>
      </c>
      <c r="AP328" s="33">
        <f>IF(ISBLANK(AO329),"",Short2[[#This Row],[Adj Close]]/AO329-1)</f>
        <v>5.6513069987550457E-2</v>
      </c>
      <c r="AQ328" s="37">
        <v>42800</v>
      </c>
      <c r="AR328" s="39">
        <v>60.740001999999997</v>
      </c>
      <c r="AS328" s="36">
        <f>IF(ISBLANK(AR329),"",Short3[[#This Row],[Adj Close]]/AR329-1)</f>
        <v>-3.0796171399271488E-2</v>
      </c>
    </row>
    <row r="329" spans="1:45" x14ac:dyDescent="0.25">
      <c r="A329" s="37">
        <v>42793</v>
      </c>
      <c r="B329" s="39">
        <v>2383.1201169999999</v>
      </c>
      <c r="C329" s="36">
        <f>IF(ISBLANK(B330), "", GSPC[[#This Row],[Adj Close]]/B330-1)</f>
        <v>6.6657211948502049E-3</v>
      </c>
      <c r="D32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53314.605299000003</v>
      </c>
      <c r="E32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20936.525878</v>
      </c>
      <c r="F329" s="11">
        <f>IF(ISBLANK(GSPC[[#This Row],[Long Exp.]]), "", (GSPC[[#This Row],[Long Exp.]]/D330-1)+(E330/GSPC[[#This Row],[Short Exp.]]-1))</f>
        <v>9.8272675761884587E-3</v>
      </c>
      <c r="G329" s="37">
        <v>42793</v>
      </c>
      <c r="H329" s="35">
        <v>41.370510000000003</v>
      </c>
      <c r="I329" s="36">
        <f>IF(ISBLANK(H330), "", Long0[[#This Row],[Adj Close]]/H330-1)</f>
        <v>7.1631949189781663E-2</v>
      </c>
      <c r="J329" s="29">
        <v>42793</v>
      </c>
      <c r="K329">
        <v>18.022449000000002</v>
      </c>
      <c r="L329" s="33">
        <f>IF(ISBLANK(K330),"",Long1[[#This Row],[Adj Close]]/K330-1)</f>
        <v>3.3928616299270242E-2</v>
      </c>
      <c r="M329" s="37">
        <v>42793</v>
      </c>
      <c r="N329" s="35">
        <v>28.032162</v>
      </c>
      <c r="O329" s="36">
        <f>IF(ISBLANK(N330),"",Long2[[#This Row],[Adj Close]]/N330-1)</f>
        <v>-3.8192281311211662E-2</v>
      </c>
      <c r="P329" s="29">
        <v>42793</v>
      </c>
      <c r="Q329">
        <v>27.005102000000001</v>
      </c>
      <c r="R329" s="33">
        <f>IF(ISBLANK(Q330),"",Long3[[#This Row],[Adj Close]]/Q330-1)</f>
        <v>-4.0725001502828206E-3</v>
      </c>
      <c r="S329" s="37">
        <v>42793</v>
      </c>
      <c r="T329" s="35">
        <v>27.433544000000001</v>
      </c>
      <c r="U329" s="36">
        <f>IF(ISBLANK(T330),"",Long4[[#This Row],[Adj Close]]/T330-1)</f>
        <v>1.9543912081848358E-2</v>
      </c>
      <c r="V329" s="29">
        <v>42793</v>
      </c>
      <c r="W329">
        <v>20.847183000000001</v>
      </c>
      <c r="X329" s="33">
        <f>IF(ISBLANK(W330),"",Long5[[#This Row],[Adj Close]]/W330-1)</f>
        <v>-2.9861997486700487E-2</v>
      </c>
      <c r="Y329" s="37">
        <v>42793</v>
      </c>
      <c r="Z329" s="35">
        <v>81.810051000000001</v>
      </c>
      <c r="AA329" s="36">
        <f>IF(ISBLANK(Z330),"",Long6[[#This Row],[Adj Close]]/Z330-1)</f>
        <v>3.6419841469542913E-2</v>
      </c>
      <c r="AH329" s="29">
        <v>42793</v>
      </c>
      <c r="AI329" s="44">
        <v>45.818542000000001</v>
      </c>
      <c r="AJ329" s="33">
        <f>IF(ISBLANK(AI330),"",Short0[[#This Row],[Adj Close]]/AI330-1)</f>
        <v>3.2010646400233655E-2</v>
      </c>
      <c r="AK329" s="37">
        <v>42793</v>
      </c>
      <c r="AL329" s="39">
        <v>37.050528999999997</v>
      </c>
      <c r="AM329" s="36">
        <f>IF(ISBLANK(AL330),"",Short1[[#This Row],[Adj Close]]/AL330-1)</f>
        <v>-1.9973916072240638E-2</v>
      </c>
      <c r="AN329" s="29">
        <v>42793</v>
      </c>
      <c r="AO329" s="44">
        <v>46.479194999999997</v>
      </c>
      <c r="AP329" s="33">
        <f>IF(ISBLANK(AO330),"",Short2[[#This Row],[Adj Close]]/AO330-1)</f>
        <v>5.207668323187975E-2</v>
      </c>
      <c r="AQ329" s="37">
        <v>42793</v>
      </c>
      <c r="AR329" s="39">
        <v>62.669998</v>
      </c>
      <c r="AS329" s="36">
        <f>IF(ISBLANK(AR330),"",Short3[[#This Row],[Adj Close]]/AR330-1)</f>
        <v>-2.0700796507974184E-3</v>
      </c>
    </row>
    <row r="330" spans="1:45" x14ac:dyDescent="0.25">
      <c r="A330" s="37">
        <v>42786</v>
      </c>
      <c r="B330" s="39">
        <v>2367.3400879999999</v>
      </c>
      <c r="C330" s="36">
        <f>IF(ISBLANK(B331), "", GSPC[[#This Row],[Adj Close]]/B331-1)</f>
        <v>6.8817845682969114E-3</v>
      </c>
      <c r="D33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51757.374610999999</v>
      </c>
      <c r="E33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20512.354812999998</v>
      </c>
      <c r="F330" s="11">
        <f>IF(ISBLANK(GSPC[[#This Row],[Long Exp.]]), "", (GSPC[[#This Row],[Long Exp.]]/D331-1)+(E331/GSPC[[#This Row],[Short Exp.]]-1))</f>
        <v>1.6487937249947127E-3</v>
      </c>
      <c r="G330" s="37">
        <v>42786</v>
      </c>
      <c r="H330" s="35">
        <v>38.605148</v>
      </c>
      <c r="I330" s="36">
        <f>IF(ISBLANK(H331), "", Long0[[#This Row],[Adj Close]]/H331-1)</f>
        <v>2.615985317633962E-3</v>
      </c>
      <c r="J330" s="29">
        <v>42786</v>
      </c>
      <c r="K330">
        <v>17.431038000000001</v>
      </c>
      <c r="L330" s="33">
        <f>IF(ISBLANK(K331),"",Long1[[#This Row],[Adj Close]]/K331-1)</f>
        <v>2.3974016223999195E-2</v>
      </c>
      <c r="M330" s="37">
        <v>42786</v>
      </c>
      <c r="N330" s="35">
        <v>29.145287</v>
      </c>
      <c r="O330" s="36">
        <f>IF(ISBLANK(N331),"",Long2[[#This Row],[Adj Close]]/N331-1)</f>
        <v>-6.4602393336196218E-2</v>
      </c>
      <c r="P330" s="29">
        <v>42786</v>
      </c>
      <c r="Q330">
        <v>27.11553</v>
      </c>
      <c r="R330" s="33">
        <f>IF(ISBLANK(Q331),"",Long3[[#This Row],[Adj Close]]/Q331-1)</f>
        <v>3.3679411254553093E-2</v>
      </c>
      <c r="S330" s="37">
        <v>42786</v>
      </c>
      <c r="T330" s="35">
        <v>26.907662999999999</v>
      </c>
      <c r="U330" s="36">
        <f>IF(ISBLANK(T331),"",Long4[[#This Row],[Adj Close]]/T331-1)</f>
        <v>2.3333303161838348E-2</v>
      </c>
      <c r="V330" s="29">
        <v>42786</v>
      </c>
      <c r="W330">
        <v>21.488883999999999</v>
      </c>
      <c r="X330" s="33">
        <f>IF(ISBLANK(W331),"",Long5[[#This Row],[Adj Close]]/W331-1)</f>
        <v>-5.535992611994689E-2</v>
      </c>
      <c r="Y330" s="37">
        <v>42786</v>
      </c>
      <c r="Z330" s="35">
        <v>78.935242000000002</v>
      </c>
      <c r="AA330" s="36">
        <f>IF(ISBLANK(Z331),"",Long6[[#This Row],[Adj Close]]/Z331-1)</f>
        <v>0.12266134507714899</v>
      </c>
      <c r="AH330" s="29">
        <v>42786</v>
      </c>
      <c r="AI330" s="44">
        <v>44.397354</v>
      </c>
      <c r="AJ330" s="33">
        <f>IF(ISBLANK(AI331),"",Short0[[#This Row],[Adj Close]]/AI331-1)</f>
        <v>2.6909855102066338E-3</v>
      </c>
      <c r="AK330" s="37">
        <v>42786</v>
      </c>
      <c r="AL330" s="39">
        <v>37.805655999999999</v>
      </c>
      <c r="AM330" s="36">
        <f>IF(ISBLANK(AL331),"",Short1[[#This Row],[Adj Close]]/AL331-1)</f>
        <v>7.0735265462025243E-3</v>
      </c>
      <c r="AN330" s="29">
        <v>42786</v>
      </c>
      <c r="AO330" s="44">
        <v>44.178524000000003</v>
      </c>
      <c r="AP330" s="33">
        <f>IF(ISBLANK(AO331),"",Short2[[#This Row],[Adj Close]]/AO331-1)</f>
        <v>2.0878164334108495E-2</v>
      </c>
      <c r="AQ330" s="37">
        <v>42786</v>
      </c>
      <c r="AR330" s="39">
        <v>62.799999</v>
      </c>
      <c r="AS330" s="36">
        <f>IF(ISBLANK(AR331),"",Short3[[#This Row],[Adj Close]]/AR331-1)</f>
        <v>-2.4390304906463878E-2</v>
      </c>
    </row>
    <row r="331" spans="1:45" x14ac:dyDescent="0.25">
      <c r="A331" s="37">
        <v>42779</v>
      </c>
      <c r="B331" s="39">
        <v>2351.1599120000001</v>
      </c>
      <c r="C331" s="36">
        <f>IF(ISBLANK(B332), "", GSPC[[#This Row],[Adj Close]]/B332-1)</f>
        <v>1.5137434703394348E-2</v>
      </c>
      <c r="D33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51582.163122999998</v>
      </c>
      <c r="E33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20476.500203</v>
      </c>
      <c r="F331" s="11">
        <f>IF(ISBLANK(GSPC[[#This Row],[Long Exp.]]), "", (GSPC[[#This Row],[Long Exp.]]/D332-1)+(E332/GSPC[[#This Row],[Short Exp.]]-1))</f>
        <v>4.1947913651609769E-2</v>
      </c>
      <c r="G331" s="37">
        <v>42779</v>
      </c>
      <c r="H331" s="35">
        <v>38.504421000000001</v>
      </c>
      <c r="I331" s="36">
        <f>IF(ISBLANK(H332), "", Long0[[#This Row],[Adj Close]]/H332-1)</f>
        <v>6.9702032456089524E-2</v>
      </c>
      <c r="J331" s="29">
        <v>42779</v>
      </c>
      <c r="K331">
        <v>17.022929999999999</v>
      </c>
      <c r="L331" s="33">
        <f>IF(ISBLANK(K332),"",Long1[[#This Row],[Adj Close]]/K332-1)</f>
        <v>4.7233997133828698E-2</v>
      </c>
      <c r="M331" s="37">
        <v>42779</v>
      </c>
      <c r="N331" s="35">
        <v>31.158180000000002</v>
      </c>
      <c r="O331" s="36">
        <f>IF(ISBLANK(N332),"",Long2[[#This Row],[Adj Close]]/N332-1)</f>
        <v>2.2215456629910424E-2</v>
      </c>
      <c r="P331" s="29">
        <v>42779</v>
      </c>
      <c r="Q331">
        <v>26.232050000000001</v>
      </c>
      <c r="R331" s="33">
        <f>IF(ISBLANK(Q332),"",Long3[[#This Row],[Adj Close]]/Q332-1)</f>
        <v>3.6620663408188925E-3</v>
      </c>
      <c r="S331" s="37">
        <v>42779</v>
      </c>
      <c r="T331" s="35">
        <v>26.294134</v>
      </c>
      <c r="U331" s="36">
        <f>IF(ISBLANK(T332),"",Long4[[#This Row],[Adj Close]]/T332-1)</f>
        <v>0</v>
      </c>
      <c r="V331" s="29">
        <v>42779</v>
      </c>
      <c r="W331">
        <v>22.748224</v>
      </c>
      <c r="X331" s="33">
        <f>IF(ISBLANK(W332),"",Long5[[#This Row],[Adj Close]]/W332-1)</f>
        <v>-3.1751248840458213E-2</v>
      </c>
      <c r="Y331" s="37">
        <v>42779</v>
      </c>
      <c r="Z331" s="35">
        <v>70.310822000000002</v>
      </c>
      <c r="AA331" s="36">
        <f>IF(ISBLANK(Z332),"",Long6[[#This Row],[Adj Close]]/Z332-1)</f>
        <v>0.12910772771019108</v>
      </c>
      <c r="AH331" s="29">
        <v>42779</v>
      </c>
      <c r="AI331" s="44">
        <v>44.278202</v>
      </c>
      <c r="AJ331" s="33">
        <f>IF(ISBLANK(AI332),"",Short0[[#This Row],[Adj Close]]/AI332-1)</f>
        <v>-1.3462395872665289E-2</v>
      </c>
      <c r="AK331" s="37">
        <v>42779</v>
      </c>
      <c r="AL331" s="39">
        <v>37.540115</v>
      </c>
      <c r="AM331" s="36">
        <f>IF(ISBLANK(AL332),"",Short1[[#This Row],[Adj Close]]/AL332-1)</f>
        <v>1.2533448025636051E-2</v>
      </c>
      <c r="AN331" s="29">
        <v>42779</v>
      </c>
      <c r="AO331" s="44">
        <v>43.275021000000002</v>
      </c>
      <c r="AP331" s="33">
        <f>IF(ISBLANK(AO332),"",Short2[[#This Row],[Adj Close]]/AO332-1)</f>
        <v>-7.4771395319265244E-3</v>
      </c>
      <c r="AQ331" s="37">
        <v>42779</v>
      </c>
      <c r="AR331" s="39">
        <v>64.370002999999997</v>
      </c>
      <c r="AS331" s="36">
        <f>IF(ISBLANK(AR332),"",Short3[[#This Row],[Adj Close]]/AR332-1)</f>
        <v>2.7454125220937708E-2</v>
      </c>
    </row>
    <row r="332" spans="1:45" x14ac:dyDescent="0.25">
      <c r="A332" s="37">
        <v>42772</v>
      </c>
      <c r="B332" s="39">
        <v>2316.1000979999999</v>
      </c>
      <c r="C332" s="36">
        <f>IF(ISBLANK(B333), "", GSPC[[#This Row],[Adj Close]]/B333-1)</f>
        <v>8.1309367178021841E-3</v>
      </c>
      <c r="D33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49432.867503000001</v>
      </c>
      <c r="E33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20445.147267</v>
      </c>
      <c r="F332" s="11">
        <f>IF(ISBLANK(GSPC[[#This Row],[Long Exp.]]), "", (GSPC[[#This Row],[Long Exp.]]/D333-1)+(E333/GSPC[[#This Row],[Short Exp.]]-1))</f>
        <v>-1.5364228126288459E-2</v>
      </c>
      <c r="G332" s="37">
        <v>42772</v>
      </c>
      <c r="H332" s="35">
        <v>35.995463999999998</v>
      </c>
      <c r="I332" s="36">
        <f>IF(ISBLANK(H333), "", Long0[[#This Row],[Adj Close]]/H333-1)</f>
        <v>2.5506710485507789E-3</v>
      </c>
      <c r="J332" s="29">
        <v>42772</v>
      </c>
      <c r="K332">
        <v>16.255134999999999</v>
      </c>
      <c r="L332" s="33">
        <f>IF(ISBLANK(K333),"",Long1[[#This Row],[Adj Close]]/K333-1)</f>
        <v>1.4461463359896953E-2</v>
      </c>
      <c r="M332" s="37">
        <v>42772</v>
      </c>
      <c r="N332" s="35">
        <v>30.481030000000001</v>
      </c>
      <c r="O332" s="36">
        <f>IF(ISBLANK(N333),"",Long2[[#This Row],[Adj Close]]/N333-1)</f>
        <v>3.1711149865162769E-2</v>
      </c>
      <c r="P332" s="29">
        <v>42772</v>
      </c>
      <c r="Q332">
        <v>26.136337000000001</v>
      </c>
      <c r="R332" s="33">
        <f>IF(ISBLANK(Q333),"",Long3[[#This Row],[Adj Close]]/Q333-1)</f>
        <v>1.1277864000214244E-3</v>
      </c>
      <c r="S332" s="37">
        <v>42772</v>
      </c>
      <c r="T332" s="35">
        <v>26.294134</v>
      </c>
      <c r="U332" s="36">
        <f>IF(ISBLANK(T333),"",Long4[[#This Row],[Adj Close]]/T333-1)</f>
        <v>1.6694278403024398E-3</v>
      </c>
      <c r="V332" s="29">
        <v>42772</v>
      </c>
      <c r="W332">
        <v>23.494194</v>
      </c>
      <c r="X332" s="33">
        <f>IF(ISBLANK(W333),"",Long5[[#This Row],[Adj Close]]/W333-1)</f>
        <v>1.9491860361577684E-2</v>
      </c>
      <c r="Y332" s="37">
        <v>42772</v>
      </c>
      <c r="Z332" s="35">
        <v>62.271137000000003</v>
      </c>
      <c r="AA332" s="36">
        <f>IF(ISBLANK(Z333),"",Long6[[#This Row],[Adj Close]]/Z333-1)</f>
        <v>-1.540828645843173E-2</v>
      </c>
      <c r="AH332" s="29">
        <v>42772</v>
      </c>
      <c r="AI332" s="44">
        <v>44.882427</v>
      </c>
      <c r="AJ332" s="33">
        <f>IF(ISBLANK(AI333),"",Short0[[#This Row],[Adj Close]]/AI333-1)</f>
        <v>1.7950223111373509E-2</v>
      </c>
      <c r="AK332" s="37">
        <v>42772</v>
      </c>
      <c r="AL332" s="39">
        <v>37.075431999999999</v>
      </c>
      <c r="AM332" s="36">
        <f>IF(ISBLANK(AL333),"",Short1[[#This Row],[Adj Close]]/AL333-1)</f>
        <v>-1.1175767769263656E-3</v>
      </c>
      <c r="AN332" s="29">
        <v>42772</v>
      </c>
      <c r="AO332" s="44">
        <v>43.601031999999996</v>
      </c>
      <c r="AP332" s="33">
        <f>IF(ISBLANK(AO333),"",Short2[[#This Row],[Adj Close]]/AO333-1)</f>
        <v>3.6996076133022804E-2</v>
      </c>
      <c r="AQ332" s="37">
        <v>42772</v>
      </c>
      <c r="AR332" s="39">
        <v>62.650002000000001</v>
      </c>
      <c r="AS332" s="36">
        <f>IF(ISBLANK(AR333),"",Short3[[#This Row],[Adj Close]]/AR333-1)</f>
        <v>3.416969183989127E-2</v>
      </c>
    </row>
    <row r="333" spans="1:45" x14ac:dyDescent="0.25">
      <c r="A333" s="37">
        <v>42765</v>
      </c>
      <c r="B333" s="39">
        <v>2297.419922</v>
      </c>
      <c r="C333" s="36">
        <f>IF(ISBLANK(B334), "", GSPC[[#This Row],[Adj Close]]/B334-1)</f>
        <v>1.1896949349115005E-3</v>
      </c>
      <c r="D33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49083.019863999994</v>
      </c>
      <c r="E33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19985.297068</v>
      </c>
      <c r="F333" s="11">
        <f>IF(ISBLANK(GSPC[[#This Row],[Long Exp.]]), "", (GSPC[[#This Row],[Long Exp.]]/D334-1)+(E334/GSPC[[#This Row],[Short Exp.]]-1))</f>
        <v>3.8083792557885965E-2</v>
      </c>
      <c r="G333" s="37">
        <v>42765</v>
      </c>
      <c r="H333" s="35">
        <v>35.903885000000002</v>
      </c>
      <c r="I333" s="36">
        <f>IF(ISBLANK(H334), "", Long0[[#This Row],[Adj Close]]/H334-1)</f>
        <v>6.9558079313717158E-2</v>
      </c>
      <c r="J333" s="29">
        <v>42765</v>
      </c>
      <c r="K333">
        <v>16.023413000000001</v>
      </c>
      <c r="L333" s="33">
        <f>IF(ISBLANK(K334),"",Long1[[#This Row],[Adj Close]]/K334-1)</f>
        <v>2.1585578736038613E-4</v>
      </c>
      <c r="M333" s="37">
        <v>42765</v>
      </c>
      <c r="N333" s="35">
        <v>29.544150999999999</v>
      </c>
      <c r="O333" s="36">
        <f>IF(ISBLANK(N334),"",Long2[[#This Row],[Adj Close]]/N334-1)</f>
        <v>1.3685368752759164E-2</v>
      </c>
      <c r="P333" s="29">
        <v>42765</v>
      </c>
      <c r="Q333">
        <v>26.106894</v>
      </c>
      <c r="R333" s="33">
        <f>IF(ISBLANK(Q334),"",Long3[[#This Row],[Adj Close]]/Q334-1)</f>
        <v>3.4724589812294981E-2</v>
      </c>
      <c r="S333" s="37">
        <v>42765</v>
      </c>
      <c r="T333" s="35">
        <v>26.250311</v>
      </c>
      <c r="U333" s="36">
        <f>IF(ISBLANK(T334),"",Long4[[#This Row],[Adj Close]]/T334-1)</f>
        <v>-9.9174171529454735E-3</v>
      </c>
      <c r="V333" s="29">
        <v>42765</v>
      </c>
      <c r="W333">
        <v>23.045003999999999</v>
      </c>
      <c r="X333" s="33">
        <f>IF(ISBLANK(W334),"",Long5[[#This Row],[Adj Close]]/W334-1)</f>
        <v>2.0241327651386198E-2</v>
      </c>
      <c r="Y333" s="37">
        <v>42765</v>
      </c>
      <c r="Z333" s="35">
        <v>63.245643999999999</v>
      </c>
      <c r="AA333" s="36">
        <f>IF(ISBLANK(Z334),"",Long6[[#This Row],[Adj Close]]/Z334-1)</f>
        <v>2.3165963934910216E-3</v>
      </c>
      <c r="AH333" s="29">
        <v>42765</v>
      </c>
      <c r="AI333" s="44">
        <v>44.090983999999999</v>
      </c>
      <c r="AJ333" s="33">
        <f>IF(ISBLANK(AI334),"",Short0[[#This Row],[Adj Close]]/AI334-1)</f>
        <v>-2.8319608938775387E-2</v>
      </c>
      <c r="AK333" s="37">
        <v>42765</v>
      </c>
      <c r="AL333" s="39">
        <v>37.116912999999997</v>
      </c>
      <c r="AM333" s="36">
        <f>IF(ISBLANK(AL334),"",Short1[[#This Row],[Adj Close]]/AL334-1)</f>
        <v>2.898542608682253E-2</v>
      </c>
      <c r="AN333" s="29">
        <v>42765</v>
      </c>
      <c r="AO333" s="44">
        <v>42.045513</v>
      </c>
      <c r="AP333" s="33">
        <f>IF(ISBLANK(AO334),"",Short2[[#This Row],[Adj Close]]/AO334-1)</f>
        <v>-1.3343969861657423E-2</v>
      </c>
      <c r="AQ333" s="37">
        <v>42765</v>
      </c>
      <c r="AR333" s="39">
        <v>60.580002</v>
      </c>
      <c r="AS333" s="36">
        <f>IF(ISBLANK(AR334),"",Short3[[#This Row],[Adj Close]]/AR334-1)</f>
        <v>5.7058121496106784E-2</v>
      </c>
    </row>
    <row r="334" spans="1:45" x14ac:dyDescent="0.25">
      <c r="A334" s="37">
        <v>42758</v>
      </c>
      <c r="B334" s="39">
        <v>2294.6899410000001</v>
      </c>
      <c r="C334" s="36">
        <f>IF(ISBLANK(B335), "", GSPC[[#This Row],[Adj Close]]/B335-1)</f>
        <v>1.029356688108618E-2</v>
      </c>
      <c r="D33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47149.741187</v>
      </c>
      <c r="E33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19926.956756</v>
      </c>
      <c r="F334" s="11">
        <f>IF(ISBLANK(GSPC[[#This Row],[Long Exp.]]), "", (GSPC[[#This Row],[Long Exp.]]/D335-1)+(E335/GSPC[[#This Row],[Short Exp.]]-1))</f>
        <v>-5.4045703655483113E-3</v>
      </c>
      <c r="G334" s="37">
        <v>42758</v>
      </c>
      <c r="H334" s="35">
        <v>33.568897</v>
      </c>
      <c r="I334" s="36">
        <f>IF(ISBLANK(H335), "", Long0[[#This Row],[Adj Close]]/H335-1)</f>
        <v>-1.1060081797475196E-2</v>
      </c>
      <c r="J334" s="29">
        <v>42758</v>
      </c>
      <c r="K334">
        <v>16.019955</v>
      </c>
      <c r="L334" s="33">
        <f>IF(ISBLANK(K335),"",Long1[[#This Row],[Adj Close]]/K335-1)</f>
        <v>7.2470488903313424E-2</v>
      </c>
      <c r="M334" s="37">
        <v>42758</v>
      </c>
      <c r="N334" s="35">
        <v>29.145287</v>
      </c>
      <c r="O334" s="36">
        <f>IF(ISBLANK(N335),"",Long2[[#This Row],[Adj Close]]/N335-1)</f>
        <v>4.4756194334565347E-3</v>
      </c>
      <c r="P334" s="29">
        <v>42758</v>
      </c>
      <c r="Q334">
        <v>25.230765999999999</v>
      </c>
      <c r="R334" s="33">
        <f>IF(ISBLANK(Q335),"",Long3[[#This Row],[Adj Close]]/Q335-1)</f>
        <v>-3.7794819313077266E-3</v>
      </c>
      <c r="S334" s="37">
        <v>42758</v>
      </c>
      <c r="T334" s="35">
        <v>26.513254</v>
      </c>
      <c r="U334" s="36">
        <f>IF(ISBLANK(T335),"",Long4[[#This Row],[Adj Close]]/T335-1)</f>
        <v>1.0016757515749042E-2</v>
      </c>
      <c r="V334" s="29">
        <v>42758</v>
      </c>
      <c r="W334">
        <v>22.587796999999998</v>
      </c>
      <c r="X334" s="33">
        <f>IF(ISBLANK(W335),"",Long5[[#This Row],[Adj Close]]/W335-1)</f>
        <v>-7.4022757269488482E-3</v>
      </c>
      <c r="Y334" s="37">
        <v>42758</v>
      </c>
      <c r="Z334" s="35">
        <v>63.099468000000002</v>
      </c>
      <c r="AA334" s="36">
        <f>IF(ISBLANK(Z335),"",Long6[[#This Row],[Adj Close]]/Z335-1)</f>
        <v>9.65284381574123E-2</v>
      </c>
      <c r="AH334" s="29">
        <v>42758</v>
      </c>
      <c r="AI334" s="44">
        <v>45.376015000000002</v>
      </c>
      <c r="AJ334" s="33">
        <f>IF(ISBLANK(AI335),"",Short0[[#This Row],[Adj Close]]/AI335-1)</f>
        <v>-4.3415868552532655E-2</v>
      </c>
      <c r="AK334" s="37">
        <v>42758</v>
      </c>
      <c r="AL334" s="39">
        <v>36.071368999999997</v>
      </c>
      <c r="AM334" s="36">
        <f>IF(ISBLANK(AL335),"",Short1[[#This Row],[Adj Close]]/AL335-1)</f>
        <v>2.5369029778161689E-3</v>
      </c>
      <c r="AN334" s="29">
        <v>42758</v>
      </c>
      <c r="AO334" s="44">
        <v>42.614154999999997</v>
      </c>
      <c r="AP334" s="33">
        <f>IF(ISBLANK(AO335),"",Short2[[#This Row],[Adj Close]]/AO335-1)</f>
        <v>4.4241607037242447E-2</v>
      </c>
      <c r="AQ334" s="37">
        <v>42758</v>
      </c>
      <c r="AR334" s="39">
        <v>57.310001</v>
      </c>
      <c r="AS334" s="36">
        <f>IF(ISBLANK(AR335),"",Short3[[#This Row],[Adj Close]]/AR335-1)</f>
        <v>6.5637821971696209E-2</v>
      </c>
    </row>
    <row r="335" spans="1:45" x14ac:dyDescent="0.25">
      <c r="A335" s="37">
        <v>42751</v>
      </c>
      <c r="B335" s="39">
        <v>2271.3100589999999</v>
      </c>
      <c r="C335" s="36">
        <f>IF(ISBLANK(B336), "", GSPC[[#This Row],[Adj Close]]/B336-1)</f>
        <v>-1.4638950148757601E-3</v>
      </c>
      <c r="D33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47065.320834999991</v>
      </c>
      <c r="E33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19783.517436000002</v>
      </c>
      <c r="F335" s="11">
        <f>IF(ISBLANK(GSPC[[#This Row],[Long Exp.]]), "", (GSPC[[#This Row],[Long Exp.]]/D336-1)+(E336/GSPC[[#This Row],[Short Exp.]]-1))</f>
        <v>1.4328829352299843E-2</v>
      </c>
      <c r="G335" s="37">
        <v>42751</v>
      </c>
      <c r="H335" s="35">
        <v>33.944324000000002</v>
      </c>
      <c r="I335" s="36">
        <f>IF(ISBLANK(H336), "", Long0[[#This Row],[Adj Close]]/H336-1)</f>
        <v>9.2566240604912142E-3</v>
      </c>
      <c r="J335" s="29">
        <v>42751</v>
      </c>
      <c r="K335">
        <v>14.937431999999999</v>
      </c>
      <c r="L335" s="33">
        <f>IF(ISBLANK(K336),"",Long1[[#This Row],[Adj Close]]/K336-1)</f>
        <v>-4.17128651379296E-2</v>
      </c>
      <c r="M335" s="37">
        <v>42751</v>
      </c>
      <c r="N335" s="35">
        <v>29.015425</v>
      </c>
      <c r="O335" s="36">
        <f>IF(ISBLANK(N336),"",Long2[[#This Row],[Adj Close]]/N336-1)</f>
        <v>9.6013491013202668E-4</v>
      </c>
      <c r="P335" s="29">
        <v>42751</v>
      </c>
      <c r="Q335">
        <v>25.326487</v>
      </c>
      <c r="R335" s="33">
        <f>IF(ISBLANK(Q336),"",Long3[[#This Row],[Adj Close]]/Q336-1)</f>
        <v>1.1646033015897395E-3</v>
      </c>
      <c r="S335" s="37">
        <v>42751</v>
      </c>
      <c r="T335" s="35">
        <v>26.250311</v>
      </c>
      <c r="U335" s="36">
        <f>IF(ISBLANK(T336),"",Long4[[#This Row],[Adj Close]]/T336-1)</f>
        <v>-1.9639945841444129E-2</v>
      </c>
      <c r="V335" s="29">
        <v>42751</v>
      </c>
      <c r="W335">
        <v>22.756245</v>
      </c>
      <c r="X335" s="33">
        <f>IF(ISBLANK(W336),"",Long5[[#This Row],[Adj Close]]/W336-1)</f>
        <v>-1.6978324294391611E-2</v>
      </c>
      <c r="Y335" s="37">
        <v>42751</v>
      </c>
      <c r="Z335" s="35">
        <v>57.544761999999999</v>
      </c>
      <c r="AA335" s="36">
        <f>IF(ISBLANK(Z336),"",Long6[[#This Row],[Adj Close]]/Z336-1)</f>
        <v>1.4604851606748737E-2</v>
      </c>
      <c r="AH335" s="29">
        <v>42751</v>
      </c>
      <c r="AI335" s="44">
        <v>47.435467000000003</v>
      </c>
      <c r="AJ335" s="33">
        <f>IF(ISBLANK(AI336),"",Short0[[#This Row],[Adj Close]]/AI336-1)</f>
        <v>8.3212306571787131E-3</v>
      </c>
      <c r="AK335" s="37">
        <v>42751</v>
      </c>
      <c r="AL335" s="39">
        <v>35.980091000000002</v>
      </c>
      <c r="AM335" s="36">
        <f>IF(ISBLANK(AL336),"",Short1[[#This Row],[Adj Close]]/AL336-1)</f>
        <v>-1.0723287025511952E-2</v>
      </c>
      <c r="AN335" s="29">
        <v>42751</v>
      </c>
      <c r="AO335" s="44">
        <v>40.808712</v>
      </c>
      <c r="AP335" s="33">
        <f>IF(ISBLANK(AO336),"",Short2[[#This Row],[Adj Close]]/AO336-1)</f>
        <v>-1.372009164644572E-2</v>
      </c>
      <c r="AQ335" s="37">
        <v>42751</v>
      </c>
      <c r="AR335" s="39">
        <v>53.779998999999997</v>
      </c>
      <c r="AS335" s="36">
        <f>IF(ISBLANK(AR336),"",Short3[[#This Row],[Adj Close]]/AR336-1)</f>
        <v>-4.6791901694147597E-2</v>
      </c>
    </row>
    <row r="336" spans="1:45" x14ac:dyDescent="0.25">
      <c r="A336" s="37">
        <v>42744</v>
      </c>
      <c r="B336" s="39">
        <v>2274.639893</v>
      </c>
      <c r="C336" s="36">
        <f>IF(ISBLANK(B337), "", GSPC[[#This Row],[Adj Close]]/B337-1)</f>
        <v>-1.0277152283086899E-3</v>
      </c>
      <c r="D33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46942.656845999998</v>
      </c>
      <c r="E33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20015.296558999999</v>
      </c>
      <c r="F336" s="11">
        <f>IF(ISBLANK(GSPC[[#This Row],[Long Exp.]]), "", (GSPC[[#This Row],[Long Exp.]]/D337-1)+(E337/GSPC[[#This Row],[Short Exp.]]-1))</f>
        <v>-2.6580141124669776E-2</v>
      </c>
      <c r="G336" s="37">
        <v>42744</v>
      </c>
      <c r="H336" s="35">
        <v>33.632995999999999</v>
      </c>
      <c r="I336" s="36">
        <f>IF(ISBLANK(H337), "", Long0[[#This Row],[Adj Close]]/H337-1)</f>
        <v>-4.5974054280857657E-2</v>
      </c>
      <c r="J336" s="29">
        <v>42744</v>
      </c>
      <c r="K336">
        <v>15.587637000000001</v>
      </c>
      <c r="L336" s="33">
        <f>IF(ISBLANK(K337),"",Long1[[#This Row],[Adj Close]]/K337-1)</f>
        <v>3.1822346080268016E-2</v>
      </c>
      <c r="M336" s="37">
        <v>42744</v>
      </c>
      <c r="N336" s="35">
        <v>28.987593</v>
      </c>
      <c r="O336" s="36">
        <f>IF(ISBLANK(N337),"",Long2[[#This Row],[Adj Close]]/N337-1)</f>
        <v>1.4610413077331685E-2</v>
      </c>
      <c r="P336" s="29">
        <v>42744</v>
      </c>
      <c r="Q336">
        <v>25.297025999999999</v>
      </c>
      <c r="R336" s="33">
        <f>IF(ISBLANK(Q337),"",Long3[[#This Row],[Adj Close]]/Q337-1)</f>
        <v>-5.7874297342157544E-3</v>
      </c>
      <c r="S336" s="37">
        <v>42744</v>
      </c>
      <c r="T336" s="35">
        <v>26.776194</v>
      </c>
      <c r="U336" s="36">
        <f>IF(ISBLANK(T337),"",Long4[[#This Row],[Adj Close]]/T337-1)</f>
        <v>-1.1326827741637402E-2</v>
      </c>
      <c r="V336" s="29">
        <v>42744</v>
      </c>
      <c r="W336">
        <v>23.149280999999998</v>
      </c>
      <c r="X336" s="33">
        <f>IF(ISBLANK(W337),"",Long5[[#This Row],[Adj Close]]/W337-1)</f>
        <v>2.0870234455091952E-2</v>
      </c>
      <c r="Y336" s="37">
        <v>42744</v>
      </c>
      <c r="Z336" s="35">
        <v>56.716427000000003</v>
      </c>
      <c r="AA336" s="36">
        <f>IF(ISBLANK(Z337),"",Long6[[#This Row],[Adj Close]]/Z337-1)</f>
        <v>1.2174033373580251E-2</v>
      </c>
      <c r="AH336" s="29">
        <v>42744</v>
      </c>
      <c r="AI336" s="44">
        <v>47.044002999999996</v>
      </c>
      <c r="AJ336" s="33">
        <f>IF(ISBLANK(AI337),"",Short0[[#This Row],[Adj Close]]/AI337-1)</f>
        <v>-3.4252857960193062E-3</v>
      </c>
      <c r="AK336" s="37">
        <v>42744</v>
      </c>
      <c r="AL336" s="39">
        <v>36.370097999999999</v>
      </c>
      <c r="AM336" s="36">
        <f>IF(ISBLANK(AL337),"",Short1[[#This Row],[Adj Close]]/AL337-1)</f>
        <v>2.4783549926872039E-2</v>
      </c>
      <c r="AN336" s="29">
        <v>42744</v>
      </c>
      <c r="AO336" s="44">
        <v>41.376399999999997</v>
      </c>
      <c r="AP336" s="33">
        <f>IF(ISBLANK(AO337),"",Short2[[#This Row],[Adj Close]]/AO337-1)</f>
        <v>1.7623962018713524E-2</v>
      </c>
      <c r="AQ336" s="37">
        <v>42744</v>
      </c>
      <c r="AR336" s="39">
        <v>56.419998</v>
      </c>
      <c r="AS336" s="36">
        <f>IF(ISBLANK(AR337),"",Short3[[#This Row],[Adj Close]]/AR337-1)</f>
        <v>4.4507745932267362E-3</v>
      </c>
    </row>
    <row r="337" spans="1:45" x14ac:dyDescent="0.25">
      <c r="A337" s="37">
        <v>42737</v>
      </c>
      <c r="B337" s="39">
        <v>2276.9799800000001</v>
      </c>
      <c r="C337" s="36">
        <f>IF(ISBLANK(B338), "", GSPC[[#This Row],[Adj Close]]/B338-1)</f>
        <v>1.7040106069184269E-2</v>
      </c>
      <c r="D33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47838.066658999996</v>
      </c>
      <c r="E33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19857.9238</v>
      </c>
      <c r="F337" s="11">
        <f>IF(ISBLANK(GSPC[[#This Row],[Long Exp.]]), "", (GSPC[[#This Row],[Long Exp.]]/D338-1)+(E338/GSPC[[#This Row],[Short Exp.]]-1))</f>
        <v>-2.1565852878927982E-2</v>
      </c>
      <c r="G337" s="37">
        <v>42737</v>
      </c>
      <c r="H337" s="35">
        <v>35.253754000000001</v>
      </c>
      <c r="I337" s="36">
        <f>IF(ISBLANK(H338), "", Long0[[#This Row],[Adj Close]]/H338-1)</f>
        <v>9.174176937916112E-3</v>
      </c>
      <c r="J337" s="29">
        <v>42737</v>
      </c>
      <c r="K337">
        <v>15.1069</v>
      </c>
      <c r="L337" s="33">
        <f>IF(ISBLANK(K338),"",Long1[[#This Row],[Adj Close]]/K338-1)</f>
        <v>1.2048189542532617E-2</v>
      </c>
      <c r="M337" s="37">
        <v>42737</v>
      </c>
      <c r="N337" s="35">
        <v>28.570170999999998</v>
      </c>
      <c r="O337" s="36">
        <f>IF(ISBLANK(N338),"",Long2[[#This Row],[Adj Close]]/N338-1)</f>
        <v>5.0119279898154012E-2</v>
      </c>
      <c r="P337" s="29">
        <v>42737</v>
      </c>
      <c r="Q337">
        <v>25.444282999999999</v>
      </c>
      <c r="R337" s="33">
        <f>IF(ISBLANK(Q338),"",Long3[[#This Row],[Adj Close]]/Q338-1)</f>
        <v>1.4978100268062233E-2</v>
      </c>
      <c r="S337" s="37">
        <v>42737</v>
      </c>
      <c r="T337" s="35">
        <v>27.082958000000001</v>
      </c>
      <c r="U337" s="36">
        <f>IF(ISBLANK(T338),"",Long4[[#This Row],[Adj Close]]/T338-1)</f>
        <v>1.3114812724409619E-2</v>
      </c>
      <c r="V337" s="29">
        <v>42737</v>
      </c>
      <c r="W337">
        <v>22.676027000000001</v>
      </c>
      <c r="X337" s="33">
        <f>IF(ISBLANK(W338),"",Long5[[#This Row],[Adj Close]]/W338-1)</f>
        <v>-4.4609793546893539E-2</v>
      </c>
      <c r="Y337" s="37">
        <v>42737</v>
      </c>
      <c r="Z337" s="35">
        <v>56.034264</v>
      </c>
      <c r="AA337" s="36">
        <f>IF(ISBLANK(Z338),"",Long6[[#This Row],[Adj Close]]/Z338-1)</f>
        <v>2.1314243373367958E-2</v>
      </c>
      <c r="AH337" s="29">
        <v>42737</v>
      </c>
      <c r="AI337" s="44">
        <v>47.205696000000003</v>
      </c>
      <c r="AJ337" s="33">
        <f>IF(ISBLANK(AI338),"",Short0[[#This Row],[Adj Close]]/AI338-1)</f>
        <v>3.8569534290770147E-2</v>
      </c>
      <c r="AK337" s="37">
        <v>42737</v>
      </c>
      <c r="AL337" s="39">
        <v>35.490516999999997</v>
      </c>
      <c r="AM337" s="36">
        <f>IF(ISBLANK(AL338),"",Short1[[#This Row],[Adj Close]]/AL338-1)</f>
        <v>2.343936842350125E-3</v>
      </c>
      <c r="AN337" s="29">
        <v>42737</v>
      </c>
      <c r="AO337" s="44">
        <v>40.659813</v>
      </c>
      <c r="AP337" s="33">
        <f>IF(ISBLANK(AO338),"",Short2[[#This Row],[Adj Close]]/AO338-1)</f>
        <v>1.7702982243879672E-2</v>
      </c>
      <c r="AQ337" s="37">
        <v>42737</v>
      </c>
      <c r="AR337" s="39">
        <v>56.169998</v>
      </c>
      <c r="AS337" s="36">
        <f>IF(ISBLANK(AR338),"",Short3[[#This Row],[Adj Close]]/AR338-1)</f>
        <v>9.8142635458743355E-2</v>
      </c>
    </row>
    <row r="338" spans="1:45" x14ac:dyDescent="0.25">
      <c r="A338" s="37">
        <v>42730</v>
      </c>
      <c r="B338" s="39">
        <v>2238.830078</v>
      </c>
      <c r="C338" s="36">
        <f>IF(ISBLANK(B339), "", GSPC[[#This Row],[Adj Close]]/B339-1)</f>
        <v>-1.1025740271843332E-2</v>
      </c>
      <c r="D33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47090.949817000001</v>
      </c>
      <c r="E33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19114.616795999998</v>
      </c>
      <c r="F338" s="11">
        <f>IF(ISBLANK(GSPC[[#This Row],[Long Exp.]]), "", (GSPC[[#This Row],[Long Exp.]]/D339-1)+(E339/GSPC[[#This Row],[Short Exp.]]-1))</f>
        <v>1.7723039480153302E-2</v>
      </c>
      <c r="G338" s="37">
        <v>42730</v>
      </c>
      <c r="H338" s="35">
        <v>34.93327</v>
      </c>
      <c r="I338" s="36">
        <f>IF(ISBLANK(H339), "", Long0[[#This Row],[Adj Close]]/H339-1)</f>
        <v>1.7333530975969236E-2</v>
      </c>
      <c r="J338" s="29">
        <v>42730</v>
      </c>
      <c r="K338">
        <v>14.927056</v>
      </c>
      <c r="L338" s="33">
        <f>IF(ISBLANK(K339),"",Long1[[#This Row],[Adj Close]]/K339-1)</f>
        <v>-1.8867939410212142E-2</v>
      </c>
      <c r="M338" s="37">
        <v>42730</v>
      </c>
      <c r="N338" s="35">
        <v>27.206596000000001</v>
      </c>
      <c r="O338" s="36">
        <f>IF(ISBLANK(N339),"",Long2[[#This Row],[Adj Close]]/N339-1)</f>
        <v>5.1406761575001347E-3</v>
      </c>
      <c r="P338" s="29">
        <v>42730</v>
      </c>
      <c r="Q338">
        <v>25.0688</v>
      </c>
      <c r="R338" s="33">
        <f>IF(ISBLANK(Q339),"",Long3[[#This Row],[Adj Close]]/Q339-1)</f>
        <v>-6.9993065299041035E-3</v>
      </c>
      <c r="S338" s="37">
        <v>42730</v>
      </c>
      <c r="T338" s="35">
        <v>26.732368000000001</v>
      </c>
      <c r="U338" s="36">
        <f>IF(ISBLANK(T339),"",Long4[[#This Row],[Adj Close]]/T339-1)</f>
        <v>-1.1345296363955426E-2</v>
      </c>
      <c r="V338" s="29">
        <v>42730</v>
      </c>
      <c r="W338">
        <v>23.734832999999998</v>
      </c>
      <c r="X338" s="33">
        <f>IF(ISBLANK(W339),"",Long5[[#This Row],[Adj Close]]/W339-1)</f>
        <v>-1.0127154908811109E-3</v>
      </c>
      <c r="Y338" s="37">
        <v>42730</v>
      </c>
      <c r="Z338" s="35">
        <v>54.864860999999998</v>
      </c>
      <c r="AA338" s="36">
        <f>IF(ISBLANK(Z339),"",Long6[[#This Row],[Adj Close]]/Z339-1)</f>
        <v>-2.8472890624080094E-2</v>
      </c>
      <c r="AH338" s="29">
        <v>42730</v>
      </c>
      <c r="AI338" s="44">
        <v>45.45261</v>
      </c>
      <c r="AJ338" s="33">
        <f>IF(ISBLANK(AI339),"",Short0[[#This Row],[Adj Close]]/AI339-1)</f>
        <v>-2.8908800335132323E-3</v>
      </c>
      <c r="AK338" s="37">
        <v>42730</v>
      </c>
      <c r="AL338" s="39">
        <v>35.407524000000002</v>
      </c>
      <c r="AM338" s="36">
        <f>IF(ISBLANK(AL339),"",Short1[[#This Row],[Adj Close]]/AL339-1)</f>
        <v>-4.6906489227957815E-2</v>
      </c>
      <c r="AN338" s="29">
        <v>42730</v>
      </c>
      <c r="AO338" s="44">
        <v>39.952534</v>
      </c>
      <c r="AP338" s="33">
        <f>IF(ISBLANK(AO339),"",Short2[[#This Row],[Adj Close]]/AO339-1)</f>
        <v>8.6938848624344978E-3</v>
      </c>
      <c r="AQ338" s="37">
        <v>42730</v>
      </c>
      <c r="AR338" s="39">
        <v>51.150002000000001</v>
      </c>
      <c r="AS338" s="36">
        <f>IF(ISBLANK(AR339),"",Short3[[#This Row],[Adj Close]]/AR339-1)</f>
        <v>-2.7011565531672055E-2</v>
      </c>
    </row>
    <row r="339" spans="1:45" x14ac:dyDescent="0.25">
      <c r="A339" s="37">
        <v>42723</v>
      </c>
      <c r="B339" s="39">
        <v>2263.790039</v>
      </c>
      <c r="C339" s="36">
        <f>IF(ISBLANK(B340), "", GSPC[[#This Row],[Adj Close]]/B340-1)</f>
        <v>2.5331237861303535E-3</v>
      </c>
      <c r="D33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46860.637956000006</v>
      </c>
      <c r="E33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19359.440897</v>
      </c>
      <c r="F339" s="11">
        <f>IF(ISBLANK(GSPC[[#This Row],[Long Exp.]]), "", (GSPC[[#This Row],[Long Exp.]]/D340-1)+(E340/GSPC[[#This Row],[Short Exp.]]-1))</f>
        <v>3.1198069527009653E-2</v>
      </c>
      <c r="G339" s="37">
        <v>42723</v>
      </c>
      <c r="H339" s="35">
        <v>34.338070000000002</v>
      </c>
      <c r="I339" s="36">
        <f>IF(ISBLANK(H340), "", Long0[[#This Row],[Adj Close]]/H340-1)</f>
        <v>-8.4612405522760392E-3</v>
      </c>
      <c r="J339" s="29">
        <v>42723</v>
      </c>
      <c r="K339">
        <v>15.214115</v>
      </c>
      <c r="L339" s="33">
        <f>IF(ISBLANK(K340),"",Long1[[#This Row],[Adj Close]]/K340-1)</f>
        <v>-3.1270608186688476E-2</v>
      </c>
      <c r="M339" s="37">
        <v>42723</v>
      </c>
      <c r="N339" s="35">
        <v>27.067450999999998</v>
      </c>
      <c r="O339" s="36">
        <f>IF(ISBLANK(N340),"",Long2[[#This Row],[Adj Close]]/N340-1)</f>
        <v>-1.2855458838049616E-2</v>
      </c>
      <c r="P339" s="29">
        <v>42723</v>
      </c>
      <c r="Q339">
        <v>25.245501000000001</v>
      </c>
      <c r="R339" s="33">
        <f>IF(ISBLANK(Q340),"",Long3[[#This Row],[Adj Close]]/Q340-1)</f>
        <v>-9.8180019241586036E-3</v>
      </c>
      <c r="S339" s="37">
        <v>42723</v>
      </c>
      <c r="T339" s="35">
        <v>27.039135000000002</v>
      </c>
      <c r="U339" s="36">
        <f>IF(ISBLANK(T340),"",Long4[[#This Row],[Adj Close]]/T340-1)</f>
        <v>-2.5276428948471263E-2</v>
      </c>
      <c r="V339" s="29">
        <v>42723</v>
      </c>
      <c r="W339">
        <v>23.758894000000002</v>
      </c>
      <c r="X339" s="33">
        <f>IF(ISBLANK(W340),"",Long5[[#This Row],[Adj Close]]/W340-1)</f>
        <v>-7.754614454383324E-2</v>
      </c>
      <c r="Y339" s="37">
        <v>42723</v>
      </c>
      <c r="Z339" s="35">
        <v>56.472805000000001</v>
      </c>
      <c r="AA339" s="36">
        <f>IF(ISBLANK(Z340),"",Long6[[#This Row],[Adj Close]]/Z340-1)</f>
        <v>1.4886205223987314E-2</v>
      </c>
      <c r="AH339" s="29">
        <v>42723</v>
      </c>
      <c r="AI339" s="44">
        <v>45.584389000000002</v>
      </c>
      <c r="AJ339" s="33">
        <f>IF(ISBLANK(AI340),"",Short0[[#This Row],[Adj Close]]/AI340-1)</f>
        <v>-4.8412518504120761E-2</v>
      </c>
      <c r="AK339" s="37">
        <v>42723</v>
      </c>
      <c r="AL339" s="39">
        <v>37.150105000000003</v>
      </c>
      <c r="AM339" s="36">
        <f>IF(ISBLANK(AL340),"",Short1[[#This Row],[Adj Close]]/AL340-1)</f>
        <v>-4.7446809541720092E-2</v>
      </c>
      <c r="AN339" s="29">
        <v>42723</v>
      </c>
      <c r="AO339" s="44">
        <v>39.608184999999999</v>
      </c>
      <c r="AP339" s="33">
        <f>IF(ISBLANK(AO340),"",Short2[[#This Row],[Adj Close]]/AO340-1)</f>
        <v>-1.9806459204720017E-2</v>
      </c>
      <c r="AQ339" s="37">
        <v>42723</v>
      </c>
      <c r="AR339" s="39">
        <v>52.57</v>
      </c>
      <c r="AS339" s="36">
        <f>IF(ISBLANK(AR340),"",Short3[[#This Row],[Adj Close]]/AR340-1)</f>
        <v>-5.1254286229922341E-2</v>
      </c>
    </row>
    <row r="340" spans="1:45" x14ac:dyDescent="0.25">
      <c r="A340" s="37">
        <v>42716</v>
      </c>
      <c r="B340" s="39">
        <v>2258.070068</v>
      </c>
      <c r="C340" s="36">
        <f>IF(ISBLANK(B341), "", GSPC[[#This Row],[Adj Close]]/B341-1)</f>
        <v>-6.4613480735464801E-4</v>
      </c>
      <c r="D34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47463.867915000003</v>
      </c>
      <c r="E34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20209.461971000001</v>
      </c>
      <c r="F340" s="11">
        <f>IF(ISBLANK(GSPC[[#This Row],[Long Exp.]]), "", (GSPC[[#This Row],[Long Exp.]]/D341-1)+(E341/GSPC[[#This Row],[Short Exp.]]-1))</f>
        <v>1.8011223116623398E-2</v>
      </c>
      <c r="G340" s="37">
        <v>42716</v>
      </c>
      <c r="H340" s="35">
        <v>34.631092000000002</v>
      </c>
      <c r="I340" s="36">
        <f>IF(ISBLANK(H341), "", Long0[[#This Row],[Adj Close]]/H341-1)</f>
        <v>3.588069292041407E-2</v>
      </c>
      <c r="J340" s="29">
        <v>42716</v>
      </c>
      <c r="K340">
        <v>15.705227000000001</v>
      </c>
      <c r="L340" s="33">
        <f>IF(ISBLANK(K341),"",Long1[[#This Row],[Adj Close]]/K341-1)</f>
        <v>-5.8274544050767596E-2</v>
      </c>
      <c r="M340" s="37">
        <v>42716</v>
      </c>
      <c r="N340" s="35">
        <v>27.419947000000001</v>
      </c>
      <c r="O340" s="36">
        <f>IF(ISBLANK(N341),"",Long2[[#This Row],[Adj Close]]/N341-1)</f>
        <v>-5.9197907366635327E-2</v>
      </c>
      <c r="P340" s="29">
        <v>42716</v>
      </c>
      <c r="Q340">
        <v>25.495819000000001</v>
      </c>
      <c r="R340" s="33">
        <f>IF(ISBLANK(Q341),"",Long3[[#This Row],[Adj Close]]/Q341-1)</f>
        <v>4.5432345478315206E-2</v>
      </c>
      <c r="S340" s="37">
        <v>42716</v>
      </c>
      <c r="T340" s="35">
        <v>27.740310999999998</v>
      </c>
      <c r="U340" s="36">
        <f>IF(ISBLANK(T341),"",Long4[[#This Row],[Adj Close]]/T341-1)</f>
        <v>3.2626422730331894E-2</v>
      </c>
      <c r="V340" s="29">
        <v>42716</v>
      </c>
      <c r="W340">
        <v>25.756187000000001</v>
      </c>
      <c r="X340" s="33">
        <f>IF(ISBLANK(W341),"",Long5[[#This Row],[Adj Close]]/W341-1)</f>
        <v>-1.6840098310695661E-2</v>
      </c>
      <c r="Y340" s="37">
        <v>42716</v>
      </c>
      <c r="Z340" s="35">
        <v>55.644469999999998</v>
      </c>
      <c r="AA340" s="36">
        <f>IF(ISBLANK(Z341),"",Long6[[#This Row],[Adj Close]]/Z341-1)</f>
        <v>-7.679864133727754E-2</v>
      </c>
      <c r="AH340" s="29">
        <v>42716</v>
      </c>
      <c r="AI340" s="44">
        <v>47.903519000000003</v>
      </c>
      <c r="AJ340" s="33">
        <f>IF(ISBLANK(AI341),"",Short0[[#This Row],[Adj Close]]/AI341-1)</f>
        <v>3.0177045393148028E-2</v>
      </c>
      <c r="AK340" s="37">
        <v>42716</v>
      </c>
      <c r="AL340" s="39">
        <v>39.000557000000001</v>
      </c>
      <c r="AM340" s="36">
        <f>IF(ISBLANK(AL341),"",Short1[[#This Row],[Adj Close]]/AL341-1)</f>
        <v>-3.5045627834389248E-2</v>
      </c>
      <c r="AN340" s="29">
        <v>42716</v>
      </c>
      <c r="AO340" s="44">
        <v>40.408535000000001</v>
      </c>
      <c r="AP340" s="33">
        <f>IF(ISBLANK(AO341),"",Short2[[#This Row],[Adj Close]]/AO341-1)</f>
        <v>-3.1452218794271292E-2</v>
      </c>
      <c r="AQ340" s="37">
        <v>42716</v>
      </c>
      <c r="AR340" s="39">
        <v>55.41</v>
      </c>
      <c r="AS340" s="36">
        <f>IF(ISBLANK(AR341),"",Short3[[#This Row],[Adj Close]]/AR341-1)</f>
        <v>-2.4815205913410798E-2</v>
      </c>
    </row>
    <row r="341" spans="1:45" x14ac:dyDescent="0.25">
      <c r="A341" s="37">
        <v>42709</v>
      </c>
      <c r="B341" s="39">
        <v>2259.530029</v>
      </c>
      <c r="C341" s="36">
        <f>IF(ISBLANK(B342), "", GSPC[[#This Row],[Adj Close]]/B342-1)</f>
        <v>3.0831031506521889E-2</v>
      </c>
      <c r="D34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46988.063916000006</v>
      </c>
      <c r="E34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20368.816856000001</v>
      </c>
      <c r="F341" s="11">
        <f>IF(ISBLANK(GSPC[[#This Row],[Long Exp.]]), "", (GSPC[[#This Row],[Long Exp.]]/D342-1)+(E342/GSPC[[#This Row],[Short Exp.]]-1))</f>
        <v>3.9694974826640195E-2</v>
      </c>
      <c r="G341" s="37">
        <v>42709</v>
      </c>
      <c r="H341" s="35">
        <v>33.431545</v>
      </c>
      <c r="I341" s="36">
        <f>IF(ISBLANK(H342), "", Long0[[#This Row],[Adj Close]]/H342-1)</f>
        <v>1.4448194057671726E-2</v>
      </c>
      <c r="J341" s="29">
        <v>42709</v>
      </c>
      <c r="K341">
        <v>16.677076</v>
      </c>
      <c r="L341" s="33">
        <f>IF(ISBLANK(K342),"",Long1[[#This Row],[Adj Close]]/K342-1)</f>
        <v>7.2508843157502501E-2</v>
      </c>
      <c r="M341" s="37">
        <v>42709</v>
      </c>
      <c r="N341" s="35">
        <v>29.145287</v>
      </c>
      <c r="O341" s="36">
        <f>IF(ISBLANK(N342),"",Long2[[#This Row],[Adj Close]]/N342-1)</f>
        <v>0.10128848539315527</v>
      </c>
      <c r="P341" s="29">
        <v>42709</v>
      </c>
      <c r="Q341">
        <v>24.387823000000001</v>
      </c>
      <c r="R341" s="33">
        <f>IF(ISBLANK(Q342),"",Long3[[#This Row],[Adj Close]]/Q342-1)</f>
        <v>5.0988074771354253E-3</v>
      </c>
      <c r="S341" s="37">
        <v>42709</v>
      </c>
      <c r="T341" s="35">
        <v>26.86384</v>
      </c>
      <c r="U341" s="36">
        <f>IF(ISBLANK(T342),"",Long4[[#This Row],[Adj Close]]/T342-1)</f>
        <v>7.9225307341407092E-2</v>
      </c>
      <c r="V341" s="29">
        <v>42709</v>
      </c>
      <c r="W341">
        <v>26.197353</v>
      </c>
      <c r="X341" s="33">
        <f>IF(ISBLANK(W342),"",Long5[[#This Row],[Adj Close]]/W342-1)</f>
        <v>5.9357769417351269E-2</v>
      </c>
      <c r="Y341" s="37">
        <v>42709</v>
      </c>
      <c r="Z341" s="35">
        <v>60.273384</v>
      </c>
      <c r="AA341" s="36">
        <f>IF(ISBLANK(Z342),"",Long6[[#This Row],[Adj Close]]/Z342-1)</f>
        <v>0.14962845548907433</v>
      </c>
      <c r="AH341" s="29">
        <v>42709</v>
      </c>
      <c r="AI341" s="44">
        <v>46.500278000000002</v>
      </c>
      <c r="AJ341" s="33">
        <f>IF(ISBLANK(AI342),"",Short0[[#This Row],[Adj Close]]/AI342-1)</f>
        <v>-9.2638198181462683E-2</v>
      </c>
      <c r="AK341" s="37">
        <v>42709</v>
      </c>
      <c r="AL341" s="39">
        <v>40.416995999999997</v>
      </c>
      <c r="AM341" s="36">
        <f>IF(ISBLANK(AL342),"",Short1[[#This Row],[Adj Close]]/AL342-1)</f>
        <v>7.2914327290056313E-2</v>
      </c>
      <c r="AN341" s="29">
        <v>42709</v>
      </c>
      <c r="AO341" s="44">
        <v>41.720745000000001</v>
      </c>
      <c r="AP341" s="33">
        <f>IF(ISBLANK(AO342),"",Short2[[#This Row],[Adj Close]]/AO342-1)</f>
        <v>6.7127025366194859E-2</v>
      </c>
      <c r="AQ341" s="37">
        <v>42709</v>
      </c>
      <c r="AR341" s="39">
        <v>56.82</v>
      </c>
      <c r="AS341" s="36">
        <f>IF(ISBLANK(AR342),"",Short3[[#This Row],[Adj Close]]/AR342-1)</f>
        <v>5.8494783904619929E-2</v>
      </c>
    </row>
    <row r="342" spans="1:45" x14ac:dyDescent="0.25">
      <c r="A342" s="37">
        <v>42702</v>
      </c>
      <c r="B342" s="39">
        <v>2191.9499510000001</v>
      </c>
      <c r="C342" s="36">
        <f>IF(ISBLANK(B343), "", GSPC[[#This Row],[Adj Close]]/B343-1)</f>
        <v>-9.6686678801231052E-3</v>
      </c>
      <c r="D34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45156.225971</v>
      </c>
      <c r="E34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20351.061353999998</v>
      </c>
      <c r="F342" s="11">
        <f>IF(ISBLANK(GSPC[[#This Row],[Long Exp.]]), "", (GSPC[[#This Row],[Long Exp.]]/D343-1)+(E343/GSPC[[#This Row],[Short Exp.]]-1))</f>
        <v>3.947004053679759E-2</v>
      </c>
      <c r="G342" s="37">
        <v>42702</v>
      </c>
      <c r="H342" s="35">
        <v>32.955399</v>
      </c>
      <c r="I342" s="36">
        <f>IF(ISBLANK(H343), "", Long0[[#This Row],[Adj Close]]/H343-1)</f>
        <v>-1.8811117755174189E-2</v>
      </c>
      <c r="J342" s="29">
        <v>42702</v>
      </c>
      <c r="K342">
        <v>15.549593</v>
      </c>
      <c r="L342" s="33">
        <f>IF(ISBLANK(K343),"",Long1[[#This Row],[Adj Close]]/K343-1)</f>
        <v>-7.067121337530291E-3</v>
      </c>
      <c r="M342" s="37">
        <v>42702</v>
      </c>
      <c r="N342" s="35">
        <v>26.464715999999999</v>
      </c>
      <c r="O342" s="36">
        <f>IF(ISBLANK(N343),"",Long2[[#This Row],[Adj Close]]/N343-1)</f>
        <v>5.0674372250560262E-2</v>
      </c>
      <c r="P342" s="29">
        <v>42702</v>
      </c>
      <c r="Q342">
        <v>24.264105000000001</v>
      </c>
      <c r="R342" s="33">
        <f>IF(ISBLANK(Q343),"",Long3[[#This Row],[Adj Close]]/Q343-1)</f>
        <v>6.0021732362058877E-4</v>
      </c>
      <c r="S342" s="37">
        <v>42702</v>
      </c>
      <c r="T342" s="35">
        <v>24.891781000000002</v>
      </c>
      <c r="U342" s="36">
        <f>IF(ISBLANK(T343),"",Long4[[#This Row],[Adj Close]]/T343-1)</f>
        <v>-1.7572867707214002E-3</v>
      </c>
      <c r="V342" s="29">
        <v>42702</v>
      </c>
      <c r="W342">
        <v>24.729467</v>
      </c>
      <c r="X342" s="33">
        <f>IF(ISBLANK(W343),"",Long5[[#This Row],[Adj Close]]/W343-1)</f>
        <v>-2.5908324614046796E-2</v>
      </c>
      <c r="Y342" s="37">
        <v>42702</v>
      </c>
      <c r="Z342" s="35">
        <v>52.428576999999997</v>
      </c>
      <c r="AA342" s="36">
        <f>IF(ISBLANK(Z343),"",Long6[[#This Row],[Adj Close]]/Z343-1)</f>
        <v>-6.27179724782716E-2</v>
      </c>
      <c r="AH342" s="29">
        <v>42702</v>
      </c>
      <c r="AI342" s="44">
        <v>51.247779999999999</v>
      </c>
      <c r="AJ342" s="33">
        <f>IF(ISBLANK(AI343),"",Short0[[#This Row],[Adj Close]]/AI343-1)</f>
        <v>-2.9439814414035981E-2</v>
      </c>
      <c r="AK342" s="37">
        <v>42702</v>
      </c>
      <c r="AL342" s="39">
        <v>37.670292000000003</v>
      </c>
      <c r="AM342" s="36">
        <f>IF(ISBLANK(AL343),"",Short1[[#This Row],[Adj Close]]/AL343-1)</f>
        <v>-1.9536399175261288E-2</v>
      </c>
      <c r="AN342" s="29">
        <v>42702</v>
      </c>
      <c r="AO342" s="44">
        <v>39.096325</v>
      </c>
      <c r="AP342" s="33">
        <f>IF(ISBLANK(AO343),"",Short2[[#This Row],[Adj Close]]/AO343-1)</f>
        <v>-5.1264856835635086E-2</v>
      </c>
      <c r="AQ342" s="37">
        <v>42702</v>
      </c>
      <c r="AR342" s="39">
        <v>53.68</v>
      </c>
      <c r="AS342" s="36">
        <f>IF(ISBLANK(AR343),"",Short3[[#This Row],[Adj Close]]/AR343-1)</f>
        <v>-7.9718872630931914E-2</v>
      </c>
    </row>
    <row r="343" spans="1:45" x14ac:dyDescent="0.25">
      <c r="A343" s="37">
        <v>42695</v>
      </c>
      <c r="B343" s="39">
        <v>2213.3500979999999</v>
      </c>
      <c r="C343" s="36">
        <f>IF(ISBLANK(B344), "", GSPC[[#This Row],[Adj Close]]/B344-1)</f>
        <v>1.4414133284103237E-2</v>
      </c>
      <c r="D34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45396.947545000003</v>
      </c>
      <c r="E34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21262.231982999998</v>
      </c>
      <c r="F343" s="11">
        <f>IF(ISBLANK(GSPC[[#This Row],[Long Exp.]]), "", (GSPC[[#This Row],[Long Exp.]]/D344-1)+(E344/GSPC[[#This Row],[Short Exp.]]-1))</f>
        <v>-1.2853029094685442E-2</v>
      </c>
      <c r="G343" s="37">
        <v>42695</v>
      </c>
      <c r="H343" s="35">
        <v>33.587212000000001</v>
      </c>
      <c r="I343" s="36">
        <f>IF(ISBLANK(H344), "", Long0[[#This Row],[Adj Close]]/H344-1)</f>
        <v>5.7582116464012234E-3</v>
      </c>
      <c r="J343" s="29">
        <v>42695</v>
      </c>
      <c r="K343">
        <v>15.660266</v>
      </c>
      <c r="L343" s="33">
        <f>IF(ISBLANK(K344),"",Long1[[#This Row],[Adj Close]]/K344-1)</f>
        <v>7.1715946171209133E-2</v>
      </c>
      <c r="M343" s="37">
        <v>42695</v>
      </c>
      <c r="N343" s="35">
        <v>25.188313999999998</v>
      </c>
      <c r="O343" s="36">
        <f>IF(ISBLANK(N344),"",Long2[[#This Row],[Adj Close]]/N344-1)</f>
        <v>-2.9370202522226552E-2</v>
      </c>
      <c r="P343" s="29">
        <v>42695</v>
      </c>
      <c r="Q343">
        <v>24.249549999999999</v>
      </c>
      <c r="R343" s="33">
        <f>IF(ISBLANK(Q344),"",Long3[[#This Row],[Adj Close]]/Q344-1)</f>
        <v>1.4616395710247865E-2</v>
      </c>
      <c r="S343" s="37">
        <v>42695</v>
      </c>
      <c r="T343" s="35">
        <v>24.935600000000001</v>
      </c>
      <c r="U343" s="36">
        <f>IF(ISBLANK(T344),"",Long4[[#This Row],[Adj Close]]/T344-1)</f>
        <v>4.4036513560487656E-2</v>
      </c>
      <c r="V343" s="29">
        <v>42695</v>
      </c>
      <c r="W343">
        <v>25.387207</v>
      </c>
      <c r="X343" s="33">
        <f>IF(ISBLANK(W344),"",Long5[[#This Row],[Adj Close]]/W344-1)</f>
        <v>6.8895651212850018E-2</v>
      </c>
      <c r="Y343" s="37">
        <v>42695</v>
      </c>
      <c r="Z343" s="35">
        <v>55.936821000000002</v>
      </c>
      <c r="AA343" s="36">
        <f>IF(ISBLANK(Z344),"",Long6[[#This Row],[Adj Close]]/Z344-1)</f>
        <v>-1.2048186600051025E-2</v>
      </c>
      <c r="AH343" s="29">
        <v>42695</v>
      </c>
      <c r="AI343" s="44">
        <v>52.802269000000003</v>
      </c>
      <c r="AJ343" s="33">
        <f>IF(ISBLANK(AI344),"",Short0[[#This Row],[Adj Close]]/AI344-1)</f>
        <v>3.7134803306605235E-2</v>
      </c>
      <c r="AK343" s="37">
        <v>42695</v>
      </c>
      <c r="AL343" s="39">
        <v>38.420898000000001</v>
      </c>
      <c r="AM343" s="36">
        <f>IF(ISBLANK(AL344),"",Short1[[#This Row],[Adj Close]]/AL344-1)</f>
        <v>3.9964647441953938E-2</v>
      </c>
      <c r="AN343" s="29">
        <v>42695</v>
      </c>
      <c r="AO343" s="44">
        <v>41.208893000000003</v>
      </c>
      <c r="AP343" s="33">
        <f>IF(ISBLANK(AO344),"",Short2[[#This Row],[Adj Close]]/AO344-1)</f>
        <v>1.8633585357781035E-2</v>
      </c>
      <c r="AQ343" s="37">
        <v>42695</v>
      </c>
      <c r="AR343" s="39">
        <v>58.330002</v>
      </c>
      <c r="AS343" s="36">
        <f>IF(ISBLANK(AR344),"",Short3[[#This Row],[Adj Close]]/AR344-1)</f>
        <v>-2.5885086408064639E-2</v>
      </c>
    </row>
    <row r="344" spans="1:45" x14ac:dyDescent="0.25">
      <c r="A344" s="37">
        <v>42688</v>
      </c>
      <c r="B344" s="39">
        <v>2181.8999020000001</v>
      </c>
      <c r="C344" s="36">
        <f>IF(ISBLANK(B345), "", GSPC[[#This Row],[Adj Close]]/B345-1)</f>
        <v>8.062071840440499E-3</v>
      </c>
      <c r="D34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45086.255239999991</v>
      </c>
      <c r="E34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20842.428479000002</v>
      </c>
      <c r="F344" s="11">
        <f>IF(ISBLANK(GSPC[[#This Row],[Long Exp.]]), "", (GSPC[[#This Row],[Long Exp.]]/D345-1)+(E345/GSPC[[#This Row],[Short Exp.]]-1))</f>
        <v>-7.3359634092137527E-2</v>
      </c>
      <c r="G344" s="37">
        <v>42688</v>
      </c>
      <c r="H344" s="35">
        <v>33.394917</v>
      </c>
      <c r="I344" s="36">
        <f>IF(ISBLANK(H345), "", Long0[[#This Row],[Adj Close]]/H345-1)</f>
        <v>-3.849202813040431E-2</v>
      </c>
      <c r="J344" s="29">
        <v>42688</v>
      </c>
      <c r="K344">
        <v>14.612329000000001</v>
      </c>
      <c r="L344" s="33">
        <f>IF(ISBLANK(K345),"",Long1[[#This Row],[Adj Close]]/K345-1)</f>
        <v>5.4141712643053008E-2</v>
      </c>
      <c r="M344" s="37">
        <v>42688</v>
      </c>
      <c r="N344" s="35">
        <v>25.950485</v>
      </c>
      <c r="O344" s="36">
        <f>IF(ISBLANK(N345),"",Long2[[#This Row],[Adj Close]]/N345-1)</f>
        <v>3.1010712895025216E-2</v>
      </c>
      <c r="P344" s="29">
        <v>42688</v>
      </c>
      <c r="Q344">
        <v>23.900214999999999</v>
      </c>
      <c r="R344" s="33">
        <f>IF(ISBLANK(Q345),"",Long3[[#This Row],[Adj Close]]/Q345-1)</f>
        <v>-9.3515953648020123E-3</v>
      </c>
      <c r="S344" s="37">
        <v>42688</v>
      </c>
      <c r="T344" s="35">
        <v>23.883838999999998</v>
      </c>
      <c r="U344" s="36">
        <f>IF(ISBLANK(T345),"",Long4[[#This Row],[Adj Close]]/T345-1)</f>
        <v>1.1131838992552989E-2</v>
      </c>
      <c r="V344" s="29">
        <v>42688</v>
      </c>
      <c r="W344">
        <v>23.750875000000001</v>
      </c>
      <c r="X344" s="33">
        <f>IF(ISBLANK(W345),"",Long5[[#This Row],[Adj Close]]/W345-1)</f>
        <v>9.7479480546749153E-2</v>
      </c>
      <c r="Y344" s="37">
        <v>42688</v>
      </c>
      <c r="Z344" s="35">
        <v>56.618977000000001</v>
      </c>
      <c r="AA344" s="36">
        <f>IF(ISBLANK(Z345),"",Long6[[#This Row],[Adj Close]]/Z345-1)</f>
        <v>-7.5576814081031785E-2</v>
      </c>
      <c r="AH344" s="29">
        <v>42688</v>
      </c>
      <c r="AI344" s="44">
        <v>50.911673999999998</v>
      </c>
      <c r="AJ344" s="33">
        <f>IF(ISBLANK(AI345),"",Short0[[#This Row],[Adj Close]]/AI345-1)</f>
        <v>4.4655277350652556E-2</v>
      </c>
      <c r="AK344" s="37">
        <v>42688</v>
      </c>
      <c r="AL344" s="39">
        <v>36.944426999999997</v>
      </c>
      <c r="AM344" s="36">
        <f>IF(ISBLANK(AL345),"",Short1[[#This Row],[Adj Close]]/AL345-1)</f>
        <v>0.16762216481802672</v>
      </c>
      <c r="AN344" s="29">
        <v>42688</v>
      </c>
      <c r="AO344" s="44">
        <v>40.455069999999999</v>
      </c>
      <c r="AP344" s="33">
        <f>IF(ISBLANK(AO345),"",Short2[[#This Row],[Adj Close]]/AO345-1)</f>
        <v>5.3818280103814953E-2</v>
      </c>
      <c r="AQ344" s="37">
        <v>42688</v>
      </c>
      <c r="AR344" s="39">
        <v>59.880001</v>
      </c>
      <c r="AS344" s="36">
        <f>IF(ISBLANK(AR345),"",Short3[[#This Row],[Adj Close]]/AR345-1)</f>
        <v>3.3304572332966798E-2</v>
      </c>
    </row>
    <row r="345" spans="1:45" x14ac:dyDescent="0.25">
      <c r="A345" s="37">
        <v>42681</v>
      </c>
      <c r="B345" s="39">
        <v>2164.4499510000001</v>
      </c>
      <c r="C345" s="36">
        <f>IF(ISBLANK(B346), "", GSPC[[#This Row],[Adj Close]]/B346-1)</f>
        <v>3.8015913055507111E-2</v>
      </c>
      <c r="D34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45748.335115000002</v>
      </c>
      <c r="E34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19615.071719</v>
      </c>
      <c r="F345" s="11">
        <f>IF(ISBLANK(GSPC[[#This Row],[Long Exp.]]), "", (GSPC[[#This Row],[Long Exp.]]/D346-1)+(E346/GSPC[[#This Row],[Short Exp.]]-1))</f>
        <v>7.1933558902856243E-2</v>
      </c>
      <c r="G345" s="37">
        <v>42681</v>
      </c>
      <c r="H345" s="35">
        <v>34.731814999999997</v>
      </c>
      <c r="I345" s="36">
        <f>IF(ISBLANK(H346), "", Long0[[#This Row],[Adj Close]]/H346-1)</f>
        <v>8.3714183994630487E-2</v>
      </c>
      <c r="J345" s="29">
        <v>42681</v>
      </c>
      <c r="K345">
        <v>13.861826000000001</v>
      </c>
      <c r="L345" s="33">
        <f>IF(ISBLANK(K346),"",Long1[[#This Row],[Adj Close]]/K346-1)</f>
        <v>0.15570931486554151</v>
      </c>
      <c r="M345" s="37">
        <v>42681</v>
      </c>
      <c r="N345" s="35">
        <v>25.169947000000001</v>
      </c>
      <c r="O345" s="36">
        <f>IF(ISBLANK(N346),"",Long2[[#This Row],[Adj Close]]/N346-1)</f>
        <v>0.11877554226169074</v>
      </c>
      <c r="P345" s="29">
        <v>42681</v>
      </c>
      <c r="Q345">
        <v>24.125830000000001</v>
      </c>
      <c r="R345" s="33">
        <f>IF(ISBLANK(Q346),"",Long3[[#This Row],[Adj Close]]/Q346-1)</f>
        <v>-2.5573130088680784E-2</v>
      </c>
      <c r="S345" s="37">
        <v>42681</v>
      </c>
      <c r="T345" s="35">
        <v>23.620895000000001</v>
      </c>
      <c r="U345" s="36">
        <f>IF(ISBLANK(T346),"",Long4[[#This Row],[Adj Close]]/T346-1)</f>
        <v>1.5065807677929755E-2</v>
      </c>
      <c r="V345" s="29">
        <v>42681</v>
      </c>
      <c r="W345">
        <v>21.641293000000001</v>
      </c>
      <c r="X345" s="33">
        <f>IF(ISBLANK(W346),"",Long5[[#This Row],[Adj Close]]/W346-1)</f>
        <v>2.3132378469985504E-2</v>
      </c>
      <c r="Y345" s="37">
        <v>42681</v>
      </c>
      <c r="Z345" s="35">
        <v>61.247897999999999</v>
      </c>
      <c r="AA345" s="36">
        <f>IF(ISBLANK(Z346),"",Long6[[#This Row],[Adj Close]]/Z346-1)</f>
        <v>0.17476643978542827</v>
      </c>
      <c r="AH345" s="29">
        <v>42681</v>
      </c>
      <c r="AI345" s="44">
        <v>48.735382000000001</v>
      </c>
      <c r="AJ345" s="33">
        <f>IF(ISBLANK(AI346),"",Short0[[#This Row],[Adj Close]]/AI346-1)</f>
        <v>-1.8280447732319183E-2</v>
      </c>
      <c r="AK345" s="37">
        <v>42681</v>
      </c>
      <c r="AL345" s="39">
        <v>31.640737999999999</v>
      </c>
      <c r="AM345" s="36">
        <f>IF(ISBLANK(AL346),"",Short1[[#This Row],[Adj Close]]/AL346-1)</f>
        <v>4.4517699001966893E-3</v>
      </c>
      <c r="AN345" s="29">
        <v>42681</v>
      </c>
      <c r="AO345" s="44">
        <v>38.389037999999999</v>
      </c>
      <c r="AP345" s="33">
        <f>IF(ISBLANK(AO346),"",Short2[[#This Row],[Adj Close]]/AO346-1)</f>
        <v>-3.6231495677513381E-3</v>
      </c>
      <c r="AQ345" s="37">
        <v>42681</v>
      </c>
      <c r="AR345" s="39">
        <v>57.950001</v>
      </c>
      <c r="AS345" s="36">
        <f>IF(ISBLANK(AR346),"",Short3[[#This Row],[Adj Close]]/AR346-1)</f>
        <v>5.3782443681165137E-3</v>
      </c>
    </row>
    <row r="346" spans="1:45" x14ac:dyDescent="0.25">
      <c r="A346" s="37">
        <v>42674</v>
      </c>
      <c r="B346" s="39">
        <v>2085.179932</v>
      </c>
      <c r="C346" s="36">
        <f>IF(ISBLANK(B347), "", GSPC[[#This Row],[Adj Close]]/B347-1)</f>
        <v>-1.9389478842873342E-2</v>
      </c>
      <c r="D34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42941.506034999999</v>
      </c>
      <c r="E34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19743.933869</v>
      </c>
      <c r="F346" s="11">
        <f>IF(ISBLANK(GSPC[[#This Row],[Long Exp.]]), "", (GSPC[[#This Row],[Long Exp.]]/D347-1)+(E347/GSPC[[#This Row],[Short Exp.]]-1))</f>
        <v>-1.6845890841065247E-2</v>
      </c>
      <c r="G346" s="37">
        <v>42674</v>
      </c>
      <c r="H346" s="35">
        <v>32.048870000000001</v>
      </c>
      <c r="I346" s="36">
        <f>IF(ISBLANK(H347), "", Long0[[#This Row],[Adj Close]]/H347-1)</f>
        <v>-5.8886615683048982E-2</v>
      </c>
      <c r="J346" s="29">
        <v>42674</v>
      </c>
      <c r="K346">
        <v>11.994215000000001</v>
      </c>
      <c r="L346" s="33">
        <f>IF(ISBLANK(K347),"",Long1[[#This Row],[Adj Close]]/K347-1)</f>
        <v>5.3143084932175677E-2</v>
      </c>
      <c r="M346" s="37">
        <v>42674</v>
      </c>
      <c r="N346" s="35">
        <v>22.497762999999999</v>
      </c>
      <c r="O346" s="36">
        <f>IF(ISBLANK(N347),"",Long2[[#This Row],[Adj Close]]/N347-1)</f>
        <v>2.9844284420738054E-2</v>
      </c>
      <c r="P346" s="29">
        <v>42674</v>
      </c>
      <c r="Q346">
        <v>24.758994999999999</v>
      </c>
      <c r="R346" s="33">
        <f>IF(ISBLANK(Q347),"",Long3[[#This Row],[Adj Close]]/Q347-1)</f>
        <v>6.210963292251126E-3</v>
      </c>
      <c r="S346" s="37">
        <v>42674</v>
      </c>
      <c r="T346" s="35">
        <v>23.270309000000001</v>
      </c>
      <c r="U346" s="36">
        <f>IF(ISBLANK(T347),"",Long4[[#This Row],[Adj Close]]/T347-1)</f>
        <v>-4.4963874504255763E-2</v>
      </c>
      <c r="V346" s="29">
        <v>42674</v>
      </c>
      <c r="W346">
        <v>21.151997000000001</v>
      </c>
      <c r="X346" s="33">
        <f>IF(ISBLANK(W347),"",Long5[[#This Row],[Adj Close]]/W347-1)</f>
        <v>-6.4051925482445649E-3</v>
      </c>
      <c r="Y346" s="37">
        <v>42674</v>
      </c>
      <c r="Z346" s="35">
        <v>52.136234000000002</v>
      </c>
      <c r="AA346" s="36">
        <f>IF(ISBLANK(Z347),"",Long6[[#This Row],[Adj Close]]/Z347-1)</f>
        <v>7.4081279998523319E-2</v>
      </c>
      <c r="AH346" s="29">
        <v>42674</v>
      </c>
      <c r="AI346" s="44">
        <v>49.642876000000001</v>
      </c>
      <c r="AJ346" s="33">
        <f>IF(ISBLANK(AI347),"",Short0[[#This Row],[Adj Close]]/AI347-1)</f>
        <v>2.3030326310869098E-2</v>
      </c>
      <c r="AK346" s="37">
        <v>42674</v>
      </c>
      <c r="AL346" s="39">
        <v>31.500505</v>
      </c>
      <c r="AM346" s="36">
        <f>IF(ISBLANK(AL347),"",Short1[[#This Row],[Adj Close]]/AL347-1)</f>
        <v>-1.5214350479093697E-2</v>
      </c>
      <c r="AN346" s="29">
        <v>42674</v>
      </c>
      <c r="AO346" s="44">
        <v>38.528632999999999</v>
      </c>
      <c r="AP346" s="33">
        <f>IF(ISBLANK(AO347),"",Short2[[#This Row],[Adj Close]]/AO347-1)</f>
        <v>1.4511029284192123E-3</v>
      </c>
      <c r="AQ346" s="37">
        <v>42674</v>
      </c>
      <c r="AR346" s="39">
        <v>57.639999000000003</v>
      </c>
      <c r="AS346" s="36">
        <f>IF(ISBLANK(AR347),"",Short3[[#This Row],[Adj Close]]/AR347-1)</f>
        <v>-5.4306840782496368E-2</v>
      </c>
    </row>
    <row r="347" spans="1:45" x14ac:dyDescent="0.25">
      <c r="A347" s="37">
        <v>42667</v>
      </c>
      <c r="B347" s="39">
        <v>2126.4099120000001</v>
      </c>
      <c r="C347" s="36">
        <f>IF(ISBLANK(B348), "", GSPC[[#This Row],[Adj Close]]/B348-1)</f>
        <v>-6.8887895375466801E-3</v>
      </c>
      <c r="D34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43898.130938000002</v>
      </c>
      <c r="E34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19841.588097</v>
      </c>
      <c r="F347" s="11">
        <f>IF(ISBLANK(GSPC[[#This Row],[Long Exp.]]), "", (GSPC[[#This Row],[Long Exp.]]/D348-1)+(E348/GSPC[[#This Row],[Short Exp.]]-1))</f>
        <v>-1.265636943533055E-2</v>
      </c>
      <c r="G347" s="37">
        <v>42667</v>
      </c>
      <c r="H347" s="35">
        <v>34.054206999999998</v>
      </c>
      <c r="I347" s="36">
        <f>IF(ISBLANK(H348), "", Long0[[#This Row],[Adj Close]]/H348-1)</f>
        <v>4.5919075943900989E-3</v>
      </c>
      <c r="J347" s="29">
        <v>42667</v>
      </c>
      <c r="K347">
        <v>11.38897</v>
      </c>
      <c r="L347" s="33">
        <f>IF(ISBLANK(K348),"",Long1[[#This Row],[Adj Close]]/K348-1)</f>
        <v>-3.6007079852156232E-2</v>
      </c>
      <c r="M347" s="37">
        <v>42667</v>
      </c>
      <c r="N347" s="35">
        <v>21.845790999999998</v>
      </c>
      <c r="O347" s="36">
        <f>IF(ISBLANK(N348),"",Long2[[#This Row],[Adj Close]]/N348-1)</f>
        <v>-2.1390259106945364E-2</v>
      </c>
      <c r="P347" s="29">
        <v>42667</v>
      </c>
      <c r="Q347">
        <v>24.606166999999999</v>
      </c>
      <c r="R347" s="33">
        <f>IF(ISBLANK(Q348),"",Long3[[#This Row],[Adj Close]]/Q348-1)</f>
        <v>1.470612856733422E-2</v>
      </c>
      <c r="S347" s="37">
        <v>42667</v>
      </c>
      <c r="T347" s="35">
        <v>24.365894000000001</v>
      </c>
      <c r="U347" s="36">
        <f>IF(ISBLANK(T348),"",Long4[[#This Row],[Adj Close]]/T348-1)</f>
        <v>-2.1126933424329919E-2</v>
      </c>
      <c r="V347" s="29">
        <v>42667</v>
      </c>
      <c r="W347">
        <v>21.288353000000001</v>
      </c>
      <c r="X347" s="33">
        <f>IF(ISBLANK(W348),"",Long5[[#This Row],[Adj Close]]/W348-1)</f>
        <v>-8.7031342593184235E-2</v>
      </c>
      <c r="Y347" s="37">
        <v>42667</v>
      </c>
      <c r="Z347" s="35">
        <v>48.540306000000001</v>
      </c>
      <c r="AA347" s="36">
        <f>IF(ISBLANK(Z348),"",Long6[[#This Row],[Adj Close]]/Z348-1)</f>
        <v>4.4364814741508773E-3</v>
      </c>
      <c r="AH347" s="29">
        <v>42667</v>
      </c>
      <c r="AI347" s="44">
        <v>48.525322000000003</v>
      </c>
      <c r="AJ347" s="33">
        <f>IF(ISBLANK(AI348),"",Short0[[#This Row],[Adj Close]]/AI348-1)</f>
        <v>1.0321934215351325E-2</v>
      </c>
      <c r="AK347" s="37">
        <v>42667</v>
      </c>
      <c r="AL347" s="39">
        <v>31.987169000000002</v>
      </c>
      <c r="AM347" s="36">
        <f>IF(ISBLANK(AL348),"",Short1[[#This Row],[Adj Close]]/AL348-1)</f>
        <v>-1.7232278705763049E-2</v>
      </c>
      <c r="AN347" s="29">
        <v>42667</v>
      </c>
      <c r="AO347" s="44">
        <v>38.472805000000001</v>
      </c>
      <c r="AP347" s="33">
        <f>IF(ISBLANK(AO348),"",Short2[[#This Row],[Adj Close]]/AO348-1)</f>
        <v>2.9114636335678679E-3</v>
      </c>
      <c r="AQ347" s="37">
        <v>42667</v>
      </c>
      <c r="AR347" s="39">
        <v>60.950001</v>
      </c>
      <c r="AS347" s="36">
        <f>IF(ISBLANK(AR348),"",Short3[[#This Row],[Adj Close]]/AR348-1)</f>
        <v>3.4453548352123109E-2</v>
      </c>
    </row>
    <row r="348" spans="1:45" x14ac:dyDescent="0.25">
      <c r="A348" s="37">
        <v>42660</v>
      </c>
      <c r="B348" s="39">
        <v>2141.1599120000001</v>
      </c>
      <c r="C348" s="36">
        <f>IF(ISBLANK(B349), "", GSPC[[#This Row],[Adj Close]]/B349-1)</f>
        <v>3.8349783292386252E-3</v>
      </c>
      <c r="D34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44032.493223999998</v>
      </c>
      <c r="E34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19651.010942000001</v>
      </c>
      <c r="F348" s="11">
        <f>IF(ISBLANK(GSPC[[#This Row],[Long Exp.]]), "", (GSPC[[#This Row],[Long Exp.]]/D349-1)+(E349/GSPC[[#This Row],[Short Exp.]]-1))</f>
        <v>1.4212378320641594E-2</v>
      </c>
      <c r="G348" s="37">
        <v>42660</v>
      </c>
      <c r="H348">
        <v>33.898547999999998</v>
      </c>
      <c r="I348" s="36">
        <f>IF(ISBLANK(H349), "", Long0[[#This Row],[Adj Close]]/H349-1)</f>
        <v>1.4524695322041481E-2</v>
      </c>
      <c r="J348" s="29">
        <v>42660</v>
      </c>
      <c r="K348">
        <v>11.814371</v>
      </c>
      <c r="L348" s="33">
        <f>IF(ISBLANK(K349),"",Long1[[#This Row],[Adj Close]]/K349-1)</f>
        <v>-1.4615020728702133E-3</v>
      </c>
      <c r="M348" s="37">
        <v>42660</v>
      </c>
      <c r="N348" s="35">
        <v>22.323291999999999</v>
      </c>
      <c r="O348" s="36">
        <f>IF(ISBLANK(N349),"",Long2[[#This Row],[Adj Close]]/N349-1)</f>
        <v>5.0107928307586258E-2</v>
      </c>
      <c r="P348" s="29">
        <v>42660</v>
      </c>
      <c r="Q348">
        <v>24.249549999999999</v>
      </c>
      <c r="R348" s="33">
        <f>IF(ISBLANK(Q349),"",Long3[[#This Row],[Adj Close]]/Q349-1)</f>
        <v>1.2150919886955824E-2</v>
      </c>
      <c r="S348" s="37">
        <v>42660</v>
      </c>
      <c r="T348" s="35">
        <v>24.891781000000002</v>
      </c>
      <c r="U348" s="36">
        <f>IF(ISBLANK(T349),"",Long4[[#This Row],[Adj Close]]/T349-1)</f>
        <v>5.6657473301162664E-3</v>
      </c>
      <c r="V348" s="29">
        <v>42660</v>
      </c>
      <c r="W348">
        <v>23.317726</v>
      </c>
      <c r="X348" s="33">
        <f>IF(ISBLANK(W349),"",Long5[[#This Row],[Adj Close]]/W349-1)</f>
        <v>2.3591430246810541E-2</v>
      </c>
      <c r="Y348" s="37">
        <v>42660</v>
      </c>
      <c r="Z348" s="35">
        <v>48.325909000000003</v>
      </c>
      <c r="AA348" s="36">
        <f>IF(ISBLANK(Z349),"",Long6[[#This Row],[Adj Close]]/Z349-1)</f>
        <v>7.5172192555781336E-3</v>
      </c>
      <c r="AH348" s="29">
        <v>42660</v>
      </c>
      <c r="AI348" s="44">
        <v>48.029564000000001</v>
      </c>
      <c r="AJ348" s="33">
        <f>IF(ISBLANK(AI349),"",Short0[[#This Row],[Adj Close]]/AI349-1)</f>
        <v>-9.8735244703640479E-3</v>
      </c>
      <c r="AK348" s="37">
        <v>42660</v>
      </c>
      <c r="AL348" s="39">
        <v>32.548045999999999</v>
      </c>
      <c r="AM348" s="36">
        <f>IF(ISBLANK(AL349),"",Short1[[#This Row],[Adj Close]]/AL349-1)</f>
        <v>3.8154679639970102E-3</v>
      </c>
      <c r="AN348" s="29">
        <v>42660</v>
      </c>
      <c r="AO348" s="44">
        <v>38.361117999999998</v>
      </c>
      <c r="AP348" s="33">
        <f>IF(ISBLANK(AO349),"",Short2[[#This Row],[Adj Close]]/AO349-1)</f>
        <v>-3.3850407102489211E-3</v>
      </c>
      <c r="AQ348" s="37">
        <v>42660</v>
      </c>
      <c r="AR348" s="39">
        <v>58.919998</v>
      </c>
      <c r="AS348" s="36">
        <f>IF(ISBLANK(AR349),"",Short3[[#This Row],[Adj Close]]/AR349-1)</f>
        <v>3.8970182312999091E-2</v>
      </c>
    </row>
    <row r="349" spans="1:45" x14ac:dyDescent="0.25">
      <c r="A349" s="37">
        <v>42653</v>
      </c>
      <c r="B349" s="39">
        <v>2132.9799800000001</v>
      </c>
      <c r="C349" s="36">
        <f>IF(ISBLANK(B350), "", GSPC[[#This Row],[Adj Close]]/B350-1)</f>
        <v>-9.639051183703895E-3</v>
      </c>
      <c r="D34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43243.46587900001</v>
      </c>
      <c r="E34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19571.742987000001</v>
      </c>
      <c r="F349" s="11">
        <f>IF(ISBLANK(GSPC[[#This Row],[Long Exp.]]), "", (GSPC[[#This Row],[Long Exp.]]/D350-1)+(E350/GSPC[[#This Row],[Short Exp.]]-1))</f>
        <v>1.4945951234102806E-2</v>
      </c>
      <c r="G349" s="37">
        <v>42653</v>
      </c>
      <c r="H349">
        <v>33.413231000000003</v>
      </c>
      <c r="I349" s="36">
        <f>IF(ISBLANK(H350), "", Long0[[#This Row],[Adj Close]]/H350-1)</f>
        <v>1.5303128317135206E-2</v>
      </c>
      <c r="J349" s="29">
        <v>42653</v>
      </c>
      <c r="K349">
        <v>11.831663000000001</v>
      </c>
      <c r="L349" s="33">
        <f>IF(ISBLANK(K350),"",Long1[[#This Row],[Adj Close]]/K350-1)</f>
        <v>-6.5555900690530522E-2</v>
      </c>
      <c r="M349" s="37">
        <v>42653</v>
      </c>
      <c r="N349" s="35">
        <v>21.258092999999999</v>
      </c>
      <c r="O349" s="36">
        <f>IF(ISBLANK(N350),"",Long2[[#This Row],[Adj Close]]/N350-1)</f>
        <v>-5.8177300603875048E-2</v>
      </c>
      <c r="P349" s="29">
        <v>42653</v>
      </c>
      <c r="Q349">
        <v>23.958432999999999</v>
      </c>
      <c r="R349" s="33">
        <f>IF(ISBLANK(Q350),"",Long3[[#This Row],[Adj Close]]/Q350-1)</f>
        <v>2.077506862242795E-2</v>
      </c>
      <c r="S349" s="37">
        <v>42653</v>
      </c>
      <c r="T349" s="35">
        <v>24.751545</v>
      </c>
      <c r="U349" s="36">
        <f>IF(ISBLANK(T350),"",Long4[[#This Row],[Adj Close]]/T350-1)</f>
        <v>-5.6338274870729732E-3</v>
      </c>
      <c r="V349" s="29">
        <v>42653</v>
      </c>
      <c r="W349">
        <v>22.780306</v>
      </c>
      <c r="X349" s="33">
        <f>IF(ISBLANK(W350),"",Long5[[#This Row],[Adj Close]]/W350-1)</f>
        <v>2.4161801364014135E-2</v>
      </c>
      <c r="Y349" s="37">
        <v>42653</v>
      </c>
      <c r="Z349" s="35">
        <v>47.965342999999997</v>
      </c>
      <c r="AA349" s="36">
        <f>IF(ISBLANK(Z350),"",Long6[[#This Row],[Adj Close]]/Z350-1)</f>
        <v>-6.3011603922004333E-2</v>
      </c>
      <c r="AH349" s="29">
        <v>42653</v>
      </c>
      <c r="AI349" s="44">
        <v>48.508513999999998</v>
      </c>
      <c r="AJ349" s="33">
        <f>IF(ISBLANK(AI350),"",Short0[[#This Row],[Adj Close]]/AI350-1)</f>
        <v>-1.1134042206075612E-2</v>
      </c>
      <c r="AK349" s="37">
        <v>42653</v>
      </c>
      <c r="AL349" s="39">
        <v>32.424332</v>
      </c>
      <c r="AM349" s="36">
        <f>IF(ISBLANK(AL350),"",Short1[[#This Row],[Adj Close]]/AL350-1)</f>
        <v>1.0540032811048761E-2</v>
      </c>
      <c r="AN349" s="29">
        <v>42653</v>
      </c>
      <c r="AO349" s="44">
        <v>38.491413000000001</v>
      </c>
      <c r="AP349" s="33">
        <f>IF(ISBLANK(AO350),"",Short2[[#This Row],[Adj Close]]/AO350-1)</f>
        <v>-3.3913484650549552E-3</v>
      </c>
      <c r="AQ349" s="37">
        <v>42653</v>
      </c>
      <c r="AR349" s="39">
        <v>56.709999000000003</v>
      </c>
      <c r="AS349" s="36">
        <f>IF(ISBLANK(AR350),"",Short3[[#This Row],[Adj Close]]/AR350-1)</f>
        <v>-5.4045069990907857E-2</v>
      </c>
    </row>
    <row r="350" spans="1:45" x14ac:dyDescent="0.25">
      <c r="A350" s="37">
        <v>42646</v>
      </c>
      <c r="B350" s="39">
        <v>2153.73999</v>
      </c>
      <c r="C350" s="36">
        <f>IF(ISBLANK(B351), "", GSPC[[#This Row],[Adj Close]]/B351-1)</f>
        <v>-6.7012087359856753E-3</v>
      </c>
      <c r="D35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43281.881306000003</v>
      </c>
      <c r="E35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19881.632471999998</v>
      </c>
      <c r="F350" s="11">
        <f>IF(ISBLANK(GSPC[[#This Row],[Long Exp.]]), "", (GSPC[[#This Row],[Long Exp.]]/D351-1)+(E351/GSPC[[#This Row],[Short Exp.]]-1))</f>
        <v>-5.542302740593319E-2</v>
      </c>
      <c r="G350" s="37">
        <v>42646</v>
      </c>
      <c r="H350">
        <v>32.909610999999998</v>
      </c>
      <c r="I350" s="36">
        <f>IF(ISBLANK(H351), "", Long0[[#This Row],[Adj Close]]/H351-1)</f>
        <v>-5.7187672464214523E-2</v>
      </c>
      <c r="J350" s="29">
        <v>42646</v>
      </c>
      <c r="K350">
        <v>12.661713000000001</v>
      </c>
      <c r="L350" s="33">
        <f>IF(ISBLANK(K351),"",Long1[[#This Row],[Adj Close]]/K351-1)</f>
        <v>-1.6361962470383684E-3</v>
      </c>
      <c r="M350" s="37">
        <v>42646</v>
      </c>
      <c r="N350" s="35">
        <v>22.571225999999999</v>
      </c>
      <c r="O350" s="36">
        <f>IF(ISBLANK(N351),"",Long2[[#This Row],[Adj Close]]/N351-1)</f>
        <v>4.9061421006133532E-3</v>
      </c>
      <c r="P350" s="29">
        <v>42646</v>
      </c>
      <c r="Q350">
        <v>23.470825000000001</v>
      </c>
      <c r="R350" s="33">
        <f>IF(ISBLANK(Q351),"",Long3[[#This Row],[Adj Close]]/Q351-1)</f>
        <v>-6.7110365231936475E-2</v>
      </c>
      <c r="S350" s="37">
        <v>42646</v>
      </c>
      <c r="T350" s="35">
        <v>24.891781000000002</v>
      </c>
      <c r="U350" s="36">
        <f>IF(ISBLANK(T351),"",Long4[[#This Row],[Adj Close]]/T351-1)</f>
        <v>-1.3632689384724728E-2</v>
      </c>
      <c r="V350" s="29">
        <v>42646</v>
      </c>
      <c r="W350">
        <v>22.242878000000001</v>
      </c>
      <c r="X350" s="33">
        <f>IF(ISBLANK(W351),"",Long5[[#This Row],[Adj Close]]/W351-1)</f>
        <v>-5.3583878764123405E-2</v>
      </c>
      <c r="Y350" s="37">
        <v>42646</v>
      </c>
      <c r="Z350" s="35">
        <v>51.190967999999998</v>
      </c>
      <c r="AA350" s="36">
        <f>IF(ISBLANK(Z351),"",Long6[[#This Row],[Adj Close]]/Z351-1)</f>
        <v>-5.3683943919328292E-2</v>
      </c>
      <c r="AH350" s="29">
        <v>42646</v>
      </c>
      <c r="AI350" s="44">
        <v>49.054690999999998</v>
      </c>
      <c r="AJ350" s="33">
        <f>IF(ISBLANK(AI351),"",Short0[[#This Row],[Adj Close]]/AI351-1)</f>
        <v>1.4598752260084336E-2</v>
      </c>
      <c r="AK350" s="37">
        <v>42646</v>
      </c>
      <c r="AL350" s="39">
        <v>32.086143</v>
      </c>
      <c r="AM350" s="36">
        <f>IF(ISBLANK(AL351),"",Short1[[#This Row],[Adj Close]]/AL351-1)</f>
        <v>1.8857868150865986E-2</v>
      </c>
      <c r="AN350" s="29">
        <v>42646</v>
      </c>
      <c r="AO350" s="44">
        <v>38.622394999999997</v>
      </c>
      <c r="AP350" s="33">
        <f>IF(ISBLANK(AO351),"",Short2[[#This Row],[Adj Close]]/AO351-1)</f>
        <v>-1.8894782634782947E-2</v>
      </c>
      <c r="AQ350" s="37">
        <v>42646</v>
      </c>
      <c r="AR350" s="39">
        <v>59.950001</v>
      </c>
      <c r="AS350" s="36">
        <f>IF(ISBLANK(AR351),"",Short3[[#This Row],[Adj Close]]/AR351-1)</f>
        <v>2.164282549420582E-2</v>
      </c>
    </row>
    <row r="351" spans="1:45" x14ac:dyDescent="0.25">
      <c r="A351" s="37">
        <v>42639</v>
      </c>
      <c r="B351" s="39">
        <v>2168.2700199999999</v>
      </c>
      <c r="C351" s="36">
        <f>IF(ISBLANK(B352), "", GSPC[[#This Row],[Adj Close]]/B352-1)</f>
        <v>1.6538530217153902E-3</v>
      </c>
      <c r="D35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45399.289735999992</v>
      </c>
      <c r="E35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19707.005224</v>
      </c>
      <c r="F351" s="11">
        <f>IF(ISBLANK(GSPC[[#This Row],[Long Exp.]]), "", (GSPC[[#This Row],[Long Exp.]]/D352-1)+(E352/GSPC[[#This Row],[Short Exp.]]-1))</f>
        <v>-6.3210222785834214E-2</v>
      </c>
      <c r="G351" s="37">
        <v>42639</v>
      </c>
      <c r="H351">
        <v>34.905791999999998</v>
      </c>
      <c r="I351" s="36">
        <f>IF(ISBLANK(H352), "", Long0[[#This Row],[Adj Close]]/H352-1)</f>
        <v>-9.3675831363811857E-2</v>
      </c>
      <c r="J351" s="29">
        <v>42639</v>
      </c>
      <c r="K351">
        <v>12.682464</v>
      </c>
      <c r="L351" s="33">
        <f>IF(ISBLANK(K352),"",Long1[[#This Row],[Adj Close]]/K352-1)</f>
        <v>3.822198587522907E-2</v>
      </c>
      <c r="M351" s="37">
        <v>42639</v>
      </c>
      <c r="N351" s="35">
        <v>22.461029</v>
      </c>
      <c r="O351" s="36">
        <f>IF(ISBLANK(N352),"",Long2[[#This Row],[Adj Close]]/N352-1)</f>
        <v>-1.4504763506019147E-2</v>
      </c>
      <c r="P351" s="29">
        <v>42639</v>
      </c>
      <c r="Q351">
        <v>25.159272999999999</v>
      </c>
      <c r="R351" s="33">
        <f>IF(ISBLANK(Q352),"",Long3[[#This Row],[Adj Close]]/Q352-1)</f>
        <v>-3.1652261051462793E-2</v>
      </c>
      <c r="S351" s="37">
        <v>42639</v>
      </c>
      <c r="T351" s="35">
        <v>25.235813</v>
      </c>
      <c r="U351" s="36">
        <f>IF(ISBLANK(T352),"",Long4[[#This Row],[Adj Close]]/T352-1)</f>
        <v>-7.531622874009325E-3</v>
      </c>
      <c r="V351" s="29">
        <v>42639</v>
      </c>
      <c r="W351">
        <v>23.502217999999999</v>
      </c>
      <c r="X351" s="33">
        <f>IF(ISBLANK(W352),"",Long5[[#This Row],[Adj Close]]/W352-1)</f>
        <v>-1.2137498659681167E-2</v>
      </c>
      <c r="Y351" s="37">
        <v>42639</v>
      </c>
      <c r="Z351" s="35">
        <v>54.095001000000003</v>
      </c>
      <c r="AA351" s="36">
        <f>IF(ISBLANK(Z352),"",Long6[[#This Row],[Adj Close]]/Z352-1)</f>
        <v>-5.6273488815100747E-2</v>
      </c>
      <c r="AH351" s="29">
        <v>42639</v>
      </c>
      <c r="AI351" s="44">
        <v>48.348858</v>
      </c>
      <c r="AJ351" s="33">
        <f>IF(ISBLANK(AI352),"",Short0[[#This Row],[Adj Close]]/AI352-1)</f>
        <v>1.5542387429981153E-2</v>
      </c>
      <c r="AK351" s="37">
        <v>42639</v>
      </c>
      <c r="AL351" s="39">
        <v>31.492266000000001</v>
      </c>
      <c r="AM351" s="36">
        <f>IF(ISBLANK(AL352),"",Short1[[#This Row],[Adj Close]]/AL352-1)</f>
        <v>5.0014451640425506E-3</v>
      </c>
      <c r="AN351" s="29">
        <v>42639</v>
      </c>
      <c r="AO351" s="44">
        <v>39.366211</v>
      </c>
      <c r="AP351" s="33">
        <f>IF(ISBLANK(AO352),"",Short2[[#This Row],[Adj Close]]/AO352-1)</f>
        <v>-1.7861497308352181E-2</v>
      </c>
      <c r="AQ351" s="37">
        <v>42639</v>
      </c>
      <c r="AR351" s="39">
        <v>58.68</v>
      </c>
      <c r="AS351" s="36">
        <f>IF(ISBLANK(AR352),"",Short3[[#This Row],[Adj Close]]/AR352-1)</f>
        <v>9.1143247080198719E-3</v>
      </c>
    </row>
    <row r="352" spans="1:45" x14ac:dyDescent="0.25">
      <c r="A352" s="37">
        <v>42632</v>
      </c>
      <c r="B352" s="39">
        <v>2164.6899410000001</v>
      </c>
      <c r="C352" s="36">
        <f>IF(ISBLANK(B353), "", GSPC[[#This Row],[Adj Close]]/B353-1)</f>
        <v>1.1934605195611958E-2</v>
      </c>
      <c r="D35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48229.482169999996</v>
      </c>
      <c r="E35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19617.763412</v>
      </c>
      <c r="F352" s="11">
        <f>IF(ISBLANK(GSPC[[#This Row],[Long Exp.]]), "", (GSPC[[#This Row],[Long Exp.]]/D353-1)+(E353/GSPC[[#This Row],[Short Exp.]]-1))</f>
        <v>1.9045823070211743E-2</v>
      </c>
      <c r="G352" s="37">
        <v>42632</v>
      </c>
      <c r="H352">
        <v>38.513584000000002</v>
      </c>
      <c r="I352" s="36">
        <f>IF(ISBLANK(H353), "", Long0[[#This Row],[Adj Close]]/H353-1)</f>
        <v>6.4608722807375507E-3</v>
      </c>
      <c r="J352" s="29">
        <v>42632</v>
      </c>
      <c r="K352">
        <v>12.215560999999999</v>
      </c>
      <c r="L352" s="33">
        <f>IF(ISBLANK(K353),"",Long1[[#This Row],[Adj Close]]/K353-1)</f>
        <v>2.3174958316853456E-2</v>
      </c>
      <c r="M352" s="37">
        <v>42632</v>
      </c>
      <c r="N352" s="35">
        <v>22.791616000000001</v>
      </c>
      <c r="O352" s="36">
        <f>IF(ISBLANK(N353),"",Long2[[#This Row],[Adj Close]]/N353-1)</f>
        <v>-2.8190870417438951E-2</v>
      </c>
      <c r="P352" s="29">
        <v>42632</v>
      </c>
      <c r="Q352">
        <v>25.981650999999999</v>
      </c>
      <c r="R352" s="33">
        <f>IF(ISBLANK(Q353),"",Long3[[#This Row],[Adj Close]]/Q353-1)</f>
        <v>1.7383345106767534E-2</v>
      </c>
      <c r="S352" s="37">
        <v>42632</v>
      </c>
      <c r="T352" s="35">
        <v>25.427322</v>
      </c>
      <c r="U352" s="36">
        <f>IF(ISBLANK(T353),"",Long4[[#This Row],[Adj Close]]/T353-1)</f>
        <v>3.4348502324885066E-2</v>
      </c>
      <c r="V352" s="29">
        <v>42632</v>
      </c>
      <c r="W352">
        <v>23.790980999999999</v>
      </c>
      <c r="X352" s="33">
        <f>IF(ISBLANK(W353),"",Long5[[#This Row],[Adj Close]]/W353-1)</f>
        <v>2.7044931278588091E-3</v>
      </c>
      <c r="Y352" s="37">
        <v>42632</v>
      </c>
      <c r="Z352" s="35">
        <v>57.320633000000001</v>
      </c>
      <c r="AA352" s="36">
        <f>IF(ISBLANK(Z353),"",Long6[[#This Row],[Adj Close]]/Z353-1)</f>
        <v>-5.1748908398367988E-2</v>
      </c>
      <c r="AH352" s="29">
        <v>42632</v>
      </c>
      <c r="AI352" s="44">
        <v>47.608902</v>
      </c>
      <c r="AJ352" s="33">
        <f>IF(ISBLANK(AI353),"",Short0[[#This Row],[Adj Close]]/AI353-1)</f>
        <v>-1.594932623631995E-2</v>
      </c>
      <c r="AK352" s="37">
        <v>42632</v>
      </c>
      <c r="AL352" s="39">
        <v>31.335543000000001</v>
      </c>
      <c r="AM352" s="36">
        <f>IF(ISBLANK(AL353),"",Short1[[#This Row],[Adj Close]]/AL353-1)</f>
        <v>-2.6292294510443792E-4</v>
      </c>
      <c r="AN352" s="29">
        <v>42632</v>
      </c>
      <c r="AO352" s="44">
        <v>40.082138</v>
      </c>
      <c r="AP352" s="33">
        <f>IF(ISBLANK(AO353),"",Short2[[#This Row],[Adj Close]]/AO353-1)</f>
        <v>-2.7739881411453338E-2</v>
      </c>
      <c r="AQ352" s="37">
        <v>42632</v>
      </c>
      <c r="AR352" s="39">
        <v>58.150002000000001</v>
      </c>
      <c r="AS352" s="36">
        <f>IF(ISBLANK(AR353),"",Short3[[#This Row],[Adj Close]]/AR353-1)</f>
        <v>-1.5408042407584754E-2</v>
      </c>
    </row>
    <row r="353" spans="1:45" x14ac:dyDescent="0.25">
      <c r="A353" s="37">
        <v>42625</v>
      </c>
      <c r="B353" s="39">
        <v>2139.1599120000001</v>
      </c>
      <c r="C353" s="36">
        <f>IF(ISBLANK(B354), "", GSPC[[#This Row],[Adj Close]]/B354-1)</f>
        <v>5.33405364449413E-3</v>
      </c>
      <c r="D35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48117.325421999994</v>
      </c>
      <c r="E35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19945.672788</v>
      </c>
      <c r="F353" s="11">
        <f>IF(ISBLANK(GSPC[[#This Row],[Long Exp.]]), "", (GSPC[[#This Row],[Long Exp.]]/D354-1)+(E354/GSPC[[#This Row],[Short Exp.]]-1))</f>
        <v>1.5670578817295611E-2</v>
      </c>
      <c r="G353" s="37">
        <v>42625</v>
      </c>
      <c r="H353">
        <v>38.266350000000003</v>
      </c>
      <c r="I353" s="36">
        <f>IF(ISBLANK(H354), "", Long0[[#This Row],[Adj Close]]/H354-1)</f>
        <v>4.7631221413598768E-2</v>
      </c>
      <c r="J353" s="29">
        <v>42625</v>
      </c>
      <c r="K353">
        <v>11.938878000000001</v>
      </c>
      <c r="L353" s="33">
        <f>IF(ISBLANK(K354),"",Long1[[#This Row],[Adj Close]]/K354-1)</f>
        <v>4.7647980363441755E-2</v>
      </c>
      <c r="M353" s="37">
        <v>42625</v>
      </c>
      <c r="N353" s="35">
        <v>23.452770000000001</v>
      </c>
      <c r="O353" s="36">
        <f>IF(ISBLANK(N354),"",Long2[[#This Row],[Adj Close]]/N354-1)</f>
        <v>-4.5523672531112225E-2</v>
      </c>
      <c r="P353" s="29">
        <v>42625</v>
      </c>
      <c r="Q353">
        <v>25.53772</v>
      </c>
      <c r="R353" s="33">
        <f>IF(ISBLANK(Q354),"",Long3[[#This Row],[Adj Close]]/Q354-1)</f>
        <v>5.4764991710847255E-2</v>
      </c>
      <c r="S353" s="37">
        <v>42625</v>
      </c>
      <c r="T353" s="35">
        <v>24.582934999999999</v>
      </c>
      <c r="U353" s="36">
        <f>IF(ISBLANK(T354),"",Long4[[#This Row],[Adj Close]]/T354-1)</f>
        <v>8.9318800702982148E-3</v>
      </c>
      <c r="V353" s="29">
        <v>42625</v>
      </c>
      <c r="W353">
        <v>23.726811999999999</v>
      </c>
      <c r="X353" s="33">
        <f>IF(ISBLANK(W354),"",Long5[[#This Row],[Adj Close]]/W354-1)</f>
        <v>4.073200127292731E-3</v>
      </c>
      <c r="Y353" s="37">
        <v>42625</v>
      </c>
      <c r="Z353" s="35">
        <v>60.448791999999997</v>
      </c>
      <c r="AA353" s="36">
        <f>IF(ISBLANK(Z354),"",Long6[[#This Row],[Adj Close]]/Z354-1)</f>
        <v>6.9482584777871281E-2</v>
      </c>
      <c r="AH353" s="29">
        <v>42625</v>
      </c>
      <c r="AI353" s="44">
        <v>48.380538999999999</v>
      </c>
      <c r="AJ353" s="33">
        <f>IF(ISBLANK(AI354),"",Short0[[#This Row],[Adj Close]]/AI354-1)</f>
        <v>4.7987229514595997E-2</v>
      </c>
      <c r="AK353" s="37">
        <v>42625</v>
      </c>
      <c r="AL353" s="39">
        <v>31.343783999999999</v>
      </c>
      <c r="AM353" s="36">
        <f>IF(ISBLANK(AL354),"",Short1[[#This Row],[Adj Close]]/AL354-1)</f>
        <v>3.8314891831846554E-2</v>
      </c>
      <c r="AN353" s="29">
        <v>42625</v>
      </c>
      <c r="AO353" s="44">
        <v>41.225735</v>
      </c>
      <c r="AP353" s="33">
        <f>IF(ISBLANK(AO354),"",Short2[[#This Row],[Adj Close]]/AO354-1)</f>
        <v>-1.8592396872682881E-2</v>
      </c>
      <c r="AQ353" s="37">
        <v>42625</v>
      </c>
      <c r="AR353" s="39">
        <v>59.060001</v>
      </c>
      <c r="AS353" s="36">
        <f>IF(ISBLANK(AR354),"",Short3[[#This Row],[Adj Close]]/AR354-1)</f>
        <v>-9.724983395791198E-3</v>
      </c>
    </row>
    <row r="354" spans="1:45" x14ac:dyDescent="0.25">
      <c r="A354" s="37">
        <v>42618</v>
      </c>
      <c r="B354" s="39">
        <v>2127.8100589999999</v>
      </c>
      <c r="C354" s="36">
        <f>IF(ISBLANK(B355), "", GSPC[[#This Row],[Adj Close]]/B355-1)</f>
        <v>-2.3931376195482357E-2</v>
      </c>
      <c r="D35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46608.764407000002</v>
      </c>
      <c r="E35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19612.662074</v>
      </c>
      <c r="F354" s="11">
        <f>IF(ISBLANK(GSPC[[#This Row],[Long Exp.]]), "", (GSPC[[#This Row],[Long Exp.]]/D355-1)+(E355/GSPC[[#This Row],[Short Exp.]]-1))</f>
        <v>-2.4730563583115206E-2</v>
      </c>
      <c r="G354" s="37">
        <v>42618</v>
      </c>
      <c r="H354">
        <v>36.526546000000003</v>
      </c>
      <c r="I354" s="36">
        <f>IF(ISBLANK(H355), "", Long0[[#This Row],[Adj Close]]/H355-1)</f>
        <v>-2.0015954183797424E-3</v>
      </c>
      <c r="J354" s="29">
        <v>42618</v>
      </c>
      <c r="K354">
        <v>11.395887</v>
      </c>
      <c r="L354" s="33">
        <f>IF(ISBLANK(K355),"",Long1[[#This Row],[Adj Close]]/K355-1)</f>
        <v>-7.9094494278385441E-2</v>
      </c>
      <c r="M354" s="37">
        <v>42618</v>
      </c>
      <c r="N354" s="35">
        <v>24.571348</v>
      </c>
      <c r="O354" s="36">
        <f>IF(ISBLANK(N355),"",Long2[[#This Row],[Adj Close]]/N355-1)</f>
        <v>-8.4096193623892312E-2</v>
      </c>
      <c r="P354" s="29">
        <v>42618</v>
      </c>
      <c r="Q354">
        <v>24.211763000000001</v>
      </c>
      <c r="R354" s="33">
        <f>IF(ISBLANK(Q355),"",Long3[[#This Row],[Adj Close]]/Q355-1)</f>
        <v>-3.9965761668651956E-2</v>
      </c>
      <c r="S354" s="37">
        <v>42618</v>
      </c>
      <c r="T354" s="35">
        <v>24.365307000000001</v>
      </c>
      <c r="U354" s="36">
        <f>IF(ISBLANK(T355),"",Long4[[#This Row],[Adj Close]]/T355-1)</f>
        <v>-2.71117557997822E-2</v>
      </c>
      <c r="V354" s="29">
        <v>42618</v>
      </c>
      <c r="W354">
        <v>23.630559999999999</v>
      </c>
      <c r="X354" s="33">
        <f>IF(ISBLANK(W355),"",Long5[[#This Row],[Adj Close]]/W355-1)</f>
        <v>-5.8484909819096376E-2</v>
      </c>
      <c r="Y354" s="37">
        <v>42618</v>
      </c>
      <c r="Z354" s="35">
        <v>56.521529999999998</v>
      </c>
      <c r="AA354" s="36">
        <f>IF(ISBLANK(Z355),"",Long6[[#This Row],[Adj Close]]/Z355-1)</f>
        <v>9.925248793228203E-3</v>
      </c>
      <c r="AH354" s="29">
        <v>42618</v>
      </c>
      <c r="AI354" s="44">
        <v>46.165199000000001</v>
      </c>
      <c r="AJ354" s="33">
        <f>IF(ISBLANK(AI355),"",Short0[[#This Row],[Adj Close]]/AI355-1)</f>
        <v>3.1707671645950564E-2</v>
      </c>
      <c r="AK354" s="37">
        <v>42618</v>
      </c>
      <c r="AL354" s="39">
        <v>30.187166000000001</v>
      </c>
      <c r="AM354" s="36">
        <f>IF(ISBLANK(AL355),"",Short1[[#This Row],[Adj Close]]/AL355-1)</f>
        <v>-4.8516353060490625E-2</v>
      </c>
      <c r="AN354" s="29">
        <v>42618</v>
      </c>
      <c r="AO354" s="44">
        <v>42.006740999999998</v>
      </c>
      <c r="AP354" s="33">
        <f>IF(ISBLANK(AO355),"",Short2[[#This Row],[Adj Close]]/AO355-1)</f>
        <v>-2.9639389856623399E-2</v>
      </c>
      <c r="AQ354" s="37">
        <v>42618</v>
      </c>
      <c r="AR354" s="39">
        <v>59.639999000000003</v>
      </c>
      <c r="AS354" s="36">
        <f>IF(ISBLANK(AR355),"",Short3[[#This Row],[Adj Close]]/AR355-1)</f>
        <v>4.2094629434157316E-3</v>
      </c>
    </row>
    <row r="355" spans="1:45" x14ac:dyDescent="0.25">
      <c r="A355" s="37">
        <v>42611</v>
      </c>
      <c r="B355" s="39">
        <v>2179.9799800000001</v>
      </c>
      <c r="C355" s="36">
        <f>IF(ISBLANK(B356), "", GSPC[[#This Row],[Adj Close]]/B356-1)</f>
        <v>5.0436786796448363E-3</v>
      </c>
      <c r="D35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47899.586969999989</v>
      </c>
      <c r="E35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19656.161933999996</v>
      </c>
      <c r="F355" s="11">
        <f>IF(ISBLANK(GSPC[[#This Row],[Long Exp.]]), "", (GSPC[[#This Row],[Long Exp.]]/D356-1)+(E356/GSPC[[#This Row],[Short Exp.]]-1))</f>
        <v>-5.0903902367683052E-2</v>
      </c>
      <c r="G355" s="37">
        <v>42611</v>
      </c>
      <c r="H355">
        <v>36.599803999999999</v>
      </c>
      <c r="I355" s="36">
        <f>IF(ISBLANK(H356), "", Long0[[#This Row],[Adj Close]]/H356-1)</f>
        <v>-7.1113188738045063E-2</v>
      </c>
      <c r="J355" s="29">
        <v>42611</v>
      </c>
      <c r="K355">
        <v>12.374654</v>
      </c>
      <c r="L355" s="33">
        <f>IF(ISBLANK(K356),"",Long1[[#This Row],[Adj Close]]/K356-1)</f>
        <v>-9.1387585630821055E-3</v>
      </c>
      <c r="M355" s="37">
        <v>42611</v>
      </c>
      <c r="N355" s="35">
        <v>26.827432999999999</v>
      </c>
      <c r="O355" s="36">
        <f>IF(ISBLANK(N356),"",Long2[[#This Row],[Adj Close]]/N356-1)</f>
        <v>6.8478330914589547E-2</v>
      </c>
      <c r="P355" s="29">
        <v>42611</v>
      </c>
      <c r="Q355">
        <v>25.219687</v>
      </c>
      <c r="R355" s="33">
        <f>IF(ISBLANK(Q356),"",Long3[[#This Row],[Adj Close]]/Q356-1)</f>
        <v>1.0675178671715857E-2</v>
      </c>
      <c r="S355" s="37">
        <v>42611</v>
      </c>
      <c r="T355" s="35">
        <v>25.044301999999998</v>
      </c>
      <c r="U355" s="36">
        <f>IF(ISBLANK(T356),"",Long4[[#This Row],[Adj Close]]/T356-1)</f>
        <v>7.3528145928443145E-3</v>
      </c>
      <c r="V355" s="29">
        <v>42611</v>
      </c>
      <c r="W355">
        <v>25.09844</v>
      </c>
      <c r="X355" s="33">
        <f>IF(ISBLANK(W356),"",Long5[[#This Row],[Adj Close]]/W356-1)</f>
        <v>2.6238123877584396E-2</v>
      </c>
      <c r="Y355" s="37">
        <v>42611</v>
      </c>
      <c r="Z355" s="35">
        <v>55.966053000000002</v>
      </c>
      <c r="AA355" s="36">
        <f>IF(ISBLANK(Z356),"",Long6[[#This Row],[Adj Close]]/Z356-1)</f>
        <v>-2.9734720958498939E-2</v>
      </c>
      <c r="AH355" s="29">
        <v>42611</v>
      </c>
      <c r="AI355" s="44">
        <v>44.746395</v>
      </c>
      <c r="AJ355" s="33">
        <f>IF(ISBLANK(AI356),"",Short0[[#This Row],[Adj Close]]/AI356-1)</f>
        <v>7.1527813331952794E-2</v>
      </c>
      <c r="AK355" s="37">
        <v>42611</v>
      </c>
      <c r="AL355" s="39">
        <v>31.726416</v>
      </c>
      <c r="AM355" s="36">
        <f>IF(ISBLANK(AL356),"",Short1[[#This Row],[Adj Close]]/AL356-1)</f>
        <v>-1.8490139847079257E-2</v>
      </c>
      <c r="AN355" s="29">
        <v>42611</v>
      </c>
      <c r="AO355" s="44">
        <v>43.289825</v>
      </c>
      <c r="AP355" s="33">
        <f>IF(ISBLANK(AO356),"",Short2[[#This Row],[Adj Close]]/AO356-1)</f>
        <v>5.1816405861340176E-3</v>
      </c>
      <c r="AQ355" s="37">
        <v>42611</v>
      </c>
      <c r="AR355" s="39">
        <v>59.389999000000003</v>
      </c>
      <c r="AS355" s="36">
        <f>IF(ISBLANK(AR356),"",Short3[[#This Row],[Adj Close]]/AR356-1)</f>
        <v>1.4866695146958264E-2</v>
      </c>
    </row>
    <row r="356" spans="1:45" x14ac:dyDescent="0.25">
      <c r="A356" s="37">
        <v>42604</v>
      </c>
      <c r="B356" s="39">
        <v>2169.040039</v>
      </c>
      <c r="C356" s="36">
        <f>IF(ISBLANK(B357), "", GSPC[[#This Row],[Adj Close]]/B357-1)</f>
        <v>-6.7907326010633318E-3</v>
      </c>
      <c r="D35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49095.60729</v>
      </c>
      <c r="E35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19134.431239999998</v>
      </c>
      <c r="F356" s="11">
        <f>IF(ISBLANK(GSPC[[#This Row],[Long Exp.]]), "", (GSPC[[#This Row],[Long Exp.]]/D357-1)+(E357/GSPC[[#This Row],[Short Exp.]]-1))</f>
        <v>-5.9218352806222563E-2</v>
      </c>
      <c r="G356" s="37">
        <v>42604</v>
      </c>
      <c r="H356">
        <v>39.401791000000003</v>
      </c>
      <c r="I356" s="36">
        <f>IF(ISBLANK(H357), "", Long0[[#This Row],[Adj Close]]/H357-1)</f>
        <v>-0.11570076216172065</v>
      </c>
      <c r="J356" s="29">
        <v>42604</v>
      </c>
      <c r="K356">
        <v>12.488785999999999</v>
      </c>
      <c r="L356" s="33">
        <f>IF(ISBLANK(K357),"",Long1[[#This Row],[Adj Close]]/K357-1)</f>
        <v>-2.0612964533567757E-2</v>
      </c>
      <c r="M356" s="37">
        <v>42604</v>
      </c>
      <c r="N356" s="35">
        <v>25.108073999999998</v>
      </c>
      <c r="O356" s="36">
        <f>IF(ISBLANK(N357),"",Long2[[#This Row],[Adj Close]]/N357-1)</f>
        <v>-1.674393057139234E-2</v>
      </c>
      <c r="P356" s="29">
        <v>42604</v>
      </c>
      <c r="Q356">
        <v>24.953306000000001</v>
      </c>
      <c r="R356" s="33">
        <f>IF(ISBLANK(Q357),"",Long3[[#This Row],[Adj Close]]/Q357-1)</f>
        <v>-1.3940559044154144E-2</v>
      </c>
      <c r="S356" s="37">
        <v>42604</v>
      </c>
      <c r="T356" s="35">
        <v>24.861499999999999</v>
      </c>
      <c r="U356" s="36">
        <f>IF(ISBLANK(T357),"",Long4[[#This Row],[Adj Close]]/T357-1)</f>
        <v>-7.9889974023329424E-3</v>
      </c>
      <c r="V356" s="29">
        <v>42604</v>
      </c>
      <c r="W356">
        <v>24.456741000000001</v>
      </c>
      <c r="X356" s="33">
        <f>IF(ISBLANK(W357),"",Long5[[#This Row],[Adj Close]]/W357-1)</f>
        <v>-1.6768976254178614E-2</v>
      </c>
      <c r="Y356" s="37">
        <v>42604</v>
      </c>
      <c r="Z356" s="35">
        <v>57.681187000000001</v>
      </c>
      <c r="AA356" s="36">
        <f>IF(ISBLANK(Z357),"",Long6[[#This Row],[Adj Close]]/Z357-1)</f>
        <v>-4.9919743918450332E-2</v>
      </c>
      <c r="AH356" s="29">
        <v>42604</v>
      </c>
      <c r="AI356" s="44">
        <v>41.759433999999999</v>
      </c>
      <c r="AJ356" s="33">
        <f>IF(ISBLANK(AI357),"",Short0[[#This Row],[Adj Close]]/AI357-1)</f>
        <v>-3.6008346397182533E-2</v>
      </c>
      <c r="AK356" s="37">
        <v>42604</v>
      </c>
      <c r="AL356" s="39">
        <v>32.324092999999998</v>
      </c>
      <c r="AM356" s="36">
        <f>IF(ISBLANK(AL357),"",Short1[[#This Row],[Adj Close]]/AL357-1)</f>
        <v>0.21141449437307003</v>
      </c>
      <c r="AN356" s="29">
        <v>42604</v>
      </c>
      <c r="AO356" s="44">
        <v>43.066668999999997</v>
      </c>
      <c r="AP356" s="33">
        <f>IF(ISBLANK(AO357),"",Short2[[#This Row],[Adj Close]]/AO357-1)</f>
        <v>-3.8710939567238034E-3</v>
      </c>
      <c r="AQ356" s="37">
        <v>42604</v>
      </c>
      <c r="AR356" s="39">
        <v>58.52</v>
      </c>
      <c r="AS356" s="36">
        <f>IF(ISBLANK(AR357),"",Short3[[#This Row],[Adj Close]]/AR357-1)</f>
        <v>-9.6774207489208064E-2</v>
      </c>
    </row>
    <row r="357" spans="1:45" x14ac:dyDescent="0.25">
      <c r="A357" s="37">
        <v>42597</v>
      </c>
      <c r="B357" s="39">
        <v>2183.8701169999999</v>
      </c>
      <c r="C357" s="36">
        <f>IF(ISBLANK(B358), "", GSPC[[#This Row],[Adj Close]]/B358-1)</f>
        <v>-8.2384558944714747E-5</v>
      </c>
      <c r="D35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52810.052229000001</v>
      </c>
      <c r="E35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19347.160047000001</v>
      </c>
      <c r="F357" s="11">
        <f>IF(ISBLANK(GSPC[[#This Row],[Long Exp.]]), "", (GSPC[[#This Row],[Long Exp.]]/D358-1)+(E358/GSPC[[#This Row],[Short Exp.]]-1))</f>
        <v>5.9065099787301012E-3</v>
      </c>
      <c r="G357" s="37">
        <v>42597</v>
      </c>
      <c r="H357">
        <v>44.557079000000002</v>
      </c>
      <c r="I357" s="36">
        <f>IF(ISBLANK(H358), "", Long0[[#This Row],[Adj Close]]/H358-1)</f>
        <v>4.1271067572248299E-3</v>
      </c>
      <c r="J357" s="29">
        <v>42597</v>
      </c>
      <c r="K357">
        <v>12.751635</v>
      </c>
      <c r="L357" s="33">
        <f>IF(ISBLANK(K358),"",Long1[[#This Row],[Adj Close]]/K358-1)</f>
        <v>1.8508275576675226E-2</v>
      </c>
      <c r="M357" s="37">
        <v>42597</v>
      </c>
      <c r="N357" s="35">
        <v>25.535640999999998</v>
      </c>
      <c r="O357" s="36">
        <f>IF(ISBLANK(N358),"",Long2[[#This Row],[Adj Close]]/N358-1)</f>
        <v>3.2744603473639167E-2</v>
      </c>
      <c r="P357" s="29">
        <v>42597</v>
      </c>
      <c r="Q357">
        <v>25.306087000000002</v>
      </c>
      <c r="R357" s="33">
        <f>IF(ISBLANK(Q358),"",Long3[[#This Row],[Adj Close]]/Q358-1)</f>
        <v>-3.0611888803682374E-2</v>
      </c>
      <c r="S357" s="37">
        <v>42597</v>
      </c>
      <c r="T357" s="35">
        <v>25.061717999999999</v>
      </c>
      <c r="U357" s="36">
        <f>IF(ISBLANK(T358),"",Long4[[#This Row],[Adj Close]]/T358-1)</f>
        <v>-1.841093582892106E-2</v>
      </c>
      <c r="V357" s="29">
        <v>42597</v>
      </c>
      <c r="W357">
        <v>24.873850000000001</v>
      </c>
      <c r="X357" s="33">
        <f>IF(ISBLANK(W358),"",Long5[[#This Row],[Adj Close]]/W358-1)</f>
        <v>-4.6432799903944999E-2</v>
      </c>
      <c r="Y357" s="37">
        <v>42597</v>
      </c>
      <c r="Z357" s="35">
        <v>60.711910000000003</v>
      </c>
      <c r="AA357" s="36">
        <f>IF(ISBLANK(Z358),"",Long6[[#This Row],[Adj Close]]/Z358-1)</f>
        <v>4.4250561544370237E-2</v>
      </c>
      <c r="AH357" s="29">
        <v>42597</v>
      </c>
      <c r="AI357" s="44">
        <v>43.319290000000002</v>
      </c>
      <c r="AJ357" s="33">
        <f>IF(ISBLANK(AI358),"",Short0[[#This Row],[Adj Close]]/AI358-1)</f>
        <v>7.9152659761434485E-3</v>
      </c>
      <c r="AK357" s="37">
        <v>42597</v>
      </c>
      <c r="AL357" s="39">
        <v>26.682933999999999</v>
      </c>
      <c r="AM357" s="36">
        <f>IF(ISBLANK(AL358),"",Short1[[#This Row],[Adj Close]]/AL358-1)</f>
        <v>-6.5385718051081176E-2</v>
      </c>
      <c r="AN357" s="29">
        <v>42597</v>
      </c>
      <c r="AO357" s="44">
        <v>43.234031999999999</v>
      </c>
      <c r="AP357" s="33">
        <f>IF(ISBLANK(AO358),"",Short2[[#This Row],[Adj Close]]/AO358-1)</f>
        <v>-5.3476614943434031E-3</v>
      </c>
      <c r="AQ357" s="37">
        <v>42597</v>
      </c>
      <c r="AR357" s="39">
        <v>64.790001000000004</v>
      </c>
      <c r="AS357" s="36">
        <f>IF(ISBLANK(AR358),"",Short3[[#This Row],[Adj Close]]/AR358-1)</f>
        <v>8.7186357441086937E-3</v>
      </c>
    </row>
    <row r="358" spans="1:45" x14ac:dyDescent="0.25">
      <c r="A358" s="37">
        <v>42590</v>
      </c>
      <c r="B358" s="39">
        <v>2184.0500489999999</v>
      </c>
      <c r="C358" s="36">
        <f>IF(ISBLANK(B359), "", GSPC[[#This Row],[Adj Close]]/B359-1)</f>
        <v>5.4054155160709882E-4</v>
      </c>
      <c r="D35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52778.853256000002</v>
      </c>
      <c r="E35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19449.997624</v>
      </c>
      <c r="F358" s="11">
        <f>IF(ISBLANK(GSPC[[#This Row],[Long Exp.]]), "", (GSPC[[#This Row],[Long Exp.]]/D359-1)+(E359/GSPC[[#This Row],[Short Exp.]]-1))</f>
        <v>-3.6303532425705387E-2</v>
      </c>
      <c r="G358" s="37">
        <v>42590</v>
      </c>
      <c r="H358">
        <v>44.373942999999997</v>
      </c>
      <c r="I358" s="36">
        <f>IF(ISBLANK(H359), "", Long0[[#This Row],[Adj Close]]/H359-1)</f>
        <v>0</v>
      </c>
      <c r="J358" s="29">
        <v>42590</v>
      </c>
      <c r="K358">
        <v>12.519913000000001</v>
      </c>
      <c r="L358" s="33">
        <f>IF(ISBLANK(K359),"",Long1[[#This Row],[Adj Close]]/K359-1)</f>
        <v>-1.6036902330609837E-2</v>
      </c>
      <c r="M358" s="37">
        <v>42590</v>
      </c>
      <c r="N358" s="35">
        <v>24.725998000000001</v>
      </c>
      <c r="O358" s="36">
        <f>IF(ISBLANK(N359),"",Long2[[#This Row],[Adj Close]]/N359-1)</f>
        <v>-3.3005242649341016E-3</v>
      </c>
      <c r="P358" s="29">
        <v>42590</v>
      </c>
      <c r="Q358">
        <v>26.105217</v>
      </c>
      <c r="R358" s="33">
        <f>IF(ISBLANK(Q359),"",Long3[[#This Row],[Adj Close]]/Q359-1)</f>
        <v>-1.3601791122535345E-2</v>
      </c>
      <c r="S358" s="37">
        <v>42590</v>
      </c>
      <c r="T358" s="35">
        <v>25.531782</v>
      </c>
      <c r="U358" s="36">
        <f>IF(ISBLANK(T359),"",Long4[[#This Row],[Adj Close]]/T359-1)</f>
        <v>-3.0092757384133417E-2</v>
      </c>
      <c r="V358" s="29">
        <v>42590</v>
      </c>
      <c r="W358">
        <v>26.085052000000001</v>
      </c>
      <c r="X358" s="33">
        <f>IF(ISBLANK(W359),"",Long5[[#This Row],[Adj Close]]/W359-1)</f>
        <v>9.1275004936561155E-2</v>
      </c>
      <c r="Y358" s="37">
        <v>42590</v>
      </c>
      <c r="Z358" s="35">
        <v>58.139217000000002</v>
      </c>
      <c r="AA358" s="36">
        <f>IF(ISBLANK(Z359),"",Long6[[#This Row],[Adj Close]]/Z359-1)</f>
        <v>-7.6756532464259619E-2</v>
      </c>
      <c r="AH358" s="29">
        <v>42590</v>
      </c>
      <c r="AI358" s="44">
        <v>42.979098999999998</v>
      </c>
      <c r="AJ358" s="33">
        <f>IF(ISBLANK(AI359),"",Short0[[#This Row],[Adj Close]]/AI359-1)</f>
        <v>3.8700325193969931E-2</v>
      </c>
      <c r="AK358" s="37">
        <v>42590</v>
      </c>
      <c r="AL358" s="39">
        <v>28.549675000000001</v>
      </c>
      <c r="AM358" s="36">
        <f>IF(ISBLANK(AL359),"",Short1[[#This Row],[Adj Close]]/AL359-1)</f>
        <v>1.8102024398566785E-2</v>
      </c>
      <c r="AN358" s="29">
        <v>42590</v>
      </c>
      <c r="AO358" s="44">
        <v>43.466476</v>
      </c>
      <c r="AP358" s="33">
        <f>IF(ISBLANK(AO359),"",Short2[[#This Row],[Adj Close]]/AO359-1)</f>
        <v>-1.0683253417682614E-3</v>
      </c>
      <c r="AQ358" s="37">
        <v>42590</v>
      </c>
      <c r="AR358" s="39">
        <v>64.230002999999996</v>
      </c>
      <c r="AS358" s="36">
        <f>IF(ISBLANK(AR359),"",Short3[[#This Row],[Adj Close]]/AR359-1)</f>
        <v>6.8008049019089523E-2</v>
      </c>
    </row>
    <row r="359" spans="1:45" x14ac:dyDescent="0.25">
      <c r="A359" s="37">
        <v>42583</v>
      </c>
      <c r="B359" s="39">
        <v>2182.8701169999999</v>
      </c>
      <c r="C359" s="36">
        <f>IF(ISBLANK(B360), "", GSPC[[#This Row],[Adj Close]]/B360-1)</f>
        <v>4.2648226822079582E-3</v>
      </c>
      <c r="D35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53066.148618999992</v>
      </c>
      <c r="E35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18849.194544999998</v>
      </c>
      <c r="F359" s="11">
        <f>IF(ISBLANK(GSPC[[#This Row],[Long Exp.]]), "", (GSPC[[#This Row],[Long Exp.]]/D360-1)+(E360/GSPC[[#This Row],[Short Exp.]]-1))</f>
        <v>3.3118794414549013E-2</v>
      </c>
      <c r="G359" s="37">
        <v>42583</v>
      </c>
      <c r="H359">
        <v>44.373942999999997</v>
      </c>
      <c r="I359" s="36">
        <f>IF(ISBLANK(H360), "", Long0[[#This Row],[Adj Close]]/H360-1)</f>
        <v>3.5691321577573598E-2</v>
      </c>
      <c r="J359" s="29">
        <v>42583</v>
      </c>
      <c r="K359">
        <v>12.723966000000001</v>
      </c>
      <c r="L359" s="33">
        <f>IF(ISBLANK(K360),"",Long1[[#This Row],[Adj Close]]/K360-1)</f>
        <v>0.24206609129034451</v>
      </c>
      <c r="M359" s="37">
        <v>42583</v>
      </c>
      <c r="N359" s="35">
        <v>24.807877000000001</v>
      </c>
      <c r="O359" s="36">
        <f>IF(ISBLANK(N360),"",Long2[[#This Row],[Adj Close]]/N360-1)</f>
        <v>1.0000265448016021E-2</v>
      </c>
      <c r="P359" s="29">
        <v>42583</v>
      </c>
      <c r="Q359">
        <v>26.465191000000001</v>
      </c>
      <c r="R359" s="33">
        <f>IF(ISBLANK(Q360),"",Long3[[#This Row],[Adj Close]]/Q360-1)</f>
        <v>-2.5192181983537787E-2</v>
      </c>
      <c r="S359" s="37">
        <v>42583</v>
      </c>
      <c r="T359" s="35">
        <v>26.323941999999999</v>
      </c>
      <c r="U359" s="36">
        <f>IF(ISBLANK(T360),"",Long4[[#This Row],[Adj Close]]/T360-1)</f>
        <v>5.9565554624862349E-2</v>
      </c>
      <c r="V359" s="29">
        <v>42583</v>
      </c>
      <c r="W359">
        <v>23.903279999999999</v>
      </c>
      <c r="X359" s="33">
        <f>IF(ISBLANK(W360),"",Long5[[#This Row],[Adj Close]]/W360-1)</f>
        <v>0.1461541065573746</v>
      </c>
      <c r="Y359" s="37">
        <v>42583</v>
      </c>
      <c r="Z359" s="35">
        <v>62.972790000000003</v>
      </c>
      <c r="AA359" s="36">
        <f>IF(ISBLANK(Z360),"",Long6[[#This Row],[Adj Close]]/Z360-1)</f>
        <v>-8.7803134127268145E-2</v>
      </c>
      <c r="AH359" s="29">
        <v>42583</v>
      </c>
      <c r="AI359" s="44">
        <v>41.377766000000001</v>
      </c>
      <c r="AJ359" s="33">
        <f>IF(ISBLANK(AI360),"",Short0[[#This Row],[Adj Close]]/AI360-1)</f>
        <v>-1.5399689950754691E-2</v>
      </c>
      <c r="AK359" s="37">
        <v>42583</v>
      </c>
      <c r="AL359" s="39">
        <v>28.042057</v>
      </c>
      <c r="AM359" s="36">
        <f>IF(ISBLANK(AL360),"",Short1[[#This Row],[Adj Close]]/AL360-1)</f>
        <v>1.9345237229747791E-2</v>
      </c>
      <c r="AN359" s="29">
        <v>42583</v>
      </c>
      <c r="AO359" s="44">
        <v>43.512962000000002</v>
      </c>
      <c r="AP359" s="33">
        <f>IF(ISBLANK(AO360),"",Short2[[#This Row],[Adj Close]]/AO360-1)</f>
        <v>0</v>
      </c>
      <c r="AQ359" s="37">
        <v>42583</v>
      </c>
      <c r="AR359" s="39">
        <v>60.139999000000003</v>
      </c>
      <c r="AS359" s="36">
        <f>IF(ISBLANK(AR360),"",Short3[[#This Row],[Adj Close]]/AR360-1)</f>
        <v>-3.8375471084498236E-2</v>
      </c>
    </row>
    <row r="360" spans="1:45" x14ac:dyDescent="0.25">
      <c r="A360" s="37">
        <v>42576</v>
      </c>
      <c r="B360" s="39">
        <v>2173.6000979999999</v>
      </c>
      <c r="C360" s="36">
        <f>IF(ISBLANK(B361), "", GSPC[[#This Row],[Adj Close]]/B361-1)</f>
        <v>-6.5743046345778655E-4</v>
      </c>
      <c r="D36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51983.590016000002</v>
      </c>
      <c r="E36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19080.922544000001</v>
      </c>
      <c r="F360" s="11">
        <f>IF(ISBLANK(GSPC[[#This Row],[Long Exp.]]), "", (GSPC[[#This Row],[Long Exp.]]/D361-1)+(E361/GSPC[[#This Row],[Short Exp.]]-1))</f>
        <v>-3.4862019575412462E-2</v>
      </c>
      <c r="G360" s="37">
        <v>42576</v>
      </c>
      <c r="H360">
        <v>42.844757000000001</v>
      </c>
      <c r="I360" s="36">
        <f>IF(ISBLANK(H361), "", Long0[[#This Row],[Adj Close]]/H361-1)</f>
        <v>4.2928518157199225E-3</v>
      </c>
      <c r="J360" s="29">
        <v>42576</v>
      </c>
      <c r="K360">
        <v>10.244194</v>
      </c>
      <c r="L360" s="33">
        <f>IF(ISBLANK(K361),"",Long1[[#This Row],[Adj Close]]/K361-1)</f>
        <v>3.0260876141635418E-2</v>
      </c>
      <c r="M360" s="37">
        <v>42576</v>
      </c>
      <c r="N360" s="35">
        <v>24.562248</v>
      </c>
      <c r="O360" s="36">
        <f>IF(ISBLANK(N361),"",Long2[[#This Row],[Adj Close]]/N361-1)</f>
        <v>-4.5261947437618022E-2</v>
      </c>
      <c r="P360" s="29">
        <v>42576</v>
      </c>
      <c r="Q360">
        <v>27.149137</v>
      </c>
      <c r="R360" s="33">
        <f>IF(ISBLANK(Q361),"",Long3[[#This Row],[Adj Close]]/Q361-1)</f>
        <v>2.6527215062066567E-4</v>
      </c>
      <c r="S360" s="37">
        <v>42576</v>
      </c>
      <c r="T360" s="35">
        <v>24.844090000000001</v>
      </c>
      <c r="U360" s="36">
        <f>IF(ISBLANK(T361),"",Long4[[#This Row],[Adj Close]]/T361-1)</f>
        <v>-1.1087923534175204E-2</v>
      </c>
      <c r="V360" s="29">
        <v>42576</v>
      </c>
      <c r="W360">
        <v>20.855205999999999</v>
      </c>
      <c r="X360" s="33">
        <f>IF(ISBLANK(W361),"",Long5[[#This Row],[Adj Close]]/W361-1)</f>
        <v>-5.7971172260296244E-2</v>
      </c>
      <c r="Y360" s="37">
        <v>42576</v>
      </c>
      <c r="Z360" s="35">
        <v>69.034210000000002</v>
      </c>
      <c r="AA360" s="36">
        <f>IF(ISBLANK(Z361),"",Long6[[#This Row],[Adj Close]]/Z361-1)</f>
        <v>3.3104621540571477E-2</v>
      </c>
      <c r="AH360" s="29">
        <v>42576</v>
      </c>
      <c r="AI360" s="44">
        <v>42.024937000000001</v>
      </c>
      <c r="AJ360" s="33">
        <f>IF(ISBLANK(AI361),"",Short0[[#This Row],[Adj Close]]/AI361-1)</f>
        <v>7.0371975258617381E-2</v>
      </c>
      <c r="AK360" s="37">
        <v>42576</v>
      </c>
      <c r="AL360" s="39">
        <v>27.509872000000001</v>
      </c>
      <c r="AM360" s="36">
        <f>IF(ISBLANK(AL361),"",Short1[[#This Row],[Adj Close]]/AL361-1)</f>
        <v>4.5426322163585775E-2</v>
      </c>
      <c r="AN360" s="29">
        <v>42576</v>
      </c>
      <c r="AO360" s="44">
        <v>43.512962000000002</v>
      </c>
      <c r="AP360" s="33">
        <f>IF(ISBLANK(AO361),"",Short2[[#This Row],[Adj Close]]/AO361-1)</f>
        <v>-3.8817127956650932E-2</v>
      </c>
      <c r="AQ360" s="37">
        <v>42576</v>
      </c>
      <c r="AR360" s="39">
        <v>62.540000999999997</v>
      </c>
      <c r="AS360" s="36">
        <f>IF(ISBLANK(AR361),"",Short3[[#This Row],[Adj Close]]/AR361-1)</f>
        <v>5.2861934247072861E-2</v>
      </c>
    </row>
    <row r="361" spans="1:45" x14ac:dyDescent="0.25">
      <c r="A361" s="37">
        <v>42569</v>
      </c>
      <c r="B361" s="39">
        <v>2175.030029</v>
      </c>
      <c r="C361" s="36">
        <f>IF(ISBLANK(B362), "", GSPC[[#This Row],[Adj Close]]/B362-1)</f>
        <v>6.1478434323638531E-3</v>
      </c>
      <c r="D36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52210.707224999991</v>
      </c>
      <c r="E36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18498.725293</v>
      </c>
      <c r="F361" s="11">
        <f>IF(ISBLANK(GSPC[[#This Row],[Long Exp.]]), "", (GSPC[[#This Row],[Long Exp.]]/D362-1)+(E362/GSPC[[#This Row],[Short Exp.]]-1))</f>
        <v>3.1731174545204244E-3</v>
      </c>
      <c r="G361" s="37">
        <v>42569</v>
      </c>
      <c r="H361">
        <v>42.661617</v>
      </c>
      <c r="I361" s="36">
        <f>IF(ISBLANK(H362), "", Long0[[#This Row],[Adj Close]]/H362-1)</f>
        <v>2.5082476244926433E-2</v>
      </c>
      <c r="J361" s="29">
        <v>42569</v>
      </c>
      <c r="K361">
        <v>9.9433009999999999</v>
      </c>
      <c r="L361" s="33">
        <f>IF(ISBLANK(K362),"",Long1[[#This Row],[Adj Close]]/K362-1)</f>
        <v>0.13546602943329367</v>
      </c>
      <c r="M361" s="37">
        <v>42569</v>
      </c>
      <c r="N361" s="35">
        <v>25.726687999999999</v>
      </c>
      <c r="O361" s="36">
        <f>IF(ISBLANK(N362),"",Long2[[#This Row],[Adj Close]]/N362-1)</f>
        <v>-1.4290489935407269E-2</v>
      </c>
      <c r="P361" s="29">
        <v>42569</v>
      </c>
      <c r="Q361">
        <v>27.141936999999999</v>
      </c>
      <c r="R361" s="33">
        <f>IF(ISBLANK(Q362),"",Long3[[#This Row],[Adj Close]]/Q362-1)</f>
        <v>1.4804545356824628E-2</v>
      </c>
      <c r="S361" s="37">
        <v>42569</v>
      </c>
      <c r="T361" s="35">
        <v>25.122648000000002</v>
      </c>
      <c r="U361" s="36">
        <f>IF(ISBLANK(T362),"",Long4[[#This Row],[Adj Close]]/T362-1)</f>
        <v>1.6197130200974463E-2</v>
      </c>
      <c r="V361" s="29">
        <v>42569</v>
      </c>
      <c r="W361">
        <v>22.138607</v>
      </c>
      <c r="X361" s="33">
        <f>IF(ISBLANK(W362),"",Long5[[#This Row],[Adj Close]]/W362-1)</f>
        <v>7.2677920447641986E-2</v>
      </c>
      <c r="Y361" s="37">
        <v>42569</v>
      </c>
      <c r="Z361" s="35">
        <v>66.822090000000003</v>
      </c>
      <c r="AA361" s="36">
        <f>IF(ISBLANK(Z362),"",Long6[[#This Row],[Adj Close]]/Z362-1)</f>
        <v>-1.3381215182799777E-2</v>
      </c>
      <c r="AH361" s="29">
        <v>42569</v>
      </c>
      <c r="AI361" s="44">
        <v>39.261992999999997</v>
      </c>
      <c r="AJ361" s="33">
        <f>IF(ISBLANK(AI362),"",Short0[[#This Row],[Adj Close]]/AI362-1)</f>
        <v>2.468581898463218E-2</v>
      </c>
      <c r="AK361" s="37">
        <v>42569</v>
      </c>
      <c r="AL361" s="39">
        <v>26.314501</v>
      </c>
      <c r="AM361" s="36">
        <f>IF(ISBLANK(AL362),"",Short1[[#This Row],[Adj Close]]/AL362-1)</f>
        <v>2.4219364819376921E-2</v>
      </c>
      <c r="AN361" s="29">
        <v>42569</v>
      </c>
      <c r="AO361" s="44">
        <v>45.270221999999997</v>
      </c>
      <c r="AP361" s="33">
        <f>IF(ISBLANK(AO362),"",Short2[[#This Row],[Adj Close]]/AO362-1)</f>
        <v>8.2209825579693252E-4</v>
      </c>
      <c r="AQ361" s="37">
        <v>42569</v>
      </c>
      <c r="AR361" s="39">
        <v>59.400002000000001</v>
      </c>
      <c r="AS361" s="36">
        <f>IF(ISBLANK(AR362),"",Short3[[#This Row],[Adj Close]]/AR362-1)</f>
        <v>1.1752733976370777E-2</v>
      </c>
    </row>
    <row r="362" spans="1:45" x14ac:dyDescent="0.25">
      <c r="A362" s="37">
        <v>42562</v>
      </c>
      <c r="B362" s="39">
        <v>2161.73999</v>
      </c>
      <c r="C362" s="36">
        <f>IF(ISBLANK(B363), "", GSPC[[#This Row],[Adj Close]]/B363-1)</f>
        <v>1.4949100645575752E-2</v>
      </c>
      <c r="D36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51309.593781000003</v>
      </c>
      <c r="E36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18232.544131000002</v>
      </c>
      <c r="F362" s="11">
        <f>IF(ISBLANK(GSPC[[#This Row],[Long Exp.]]), "", (GSPC[[#This Row],[Long Exp.]]/D363-1)+(E363/GSPC[[#This Row],[Short Exp.]]-1))</f>
        <v>6.8195948470999301E-3</v>
      </c>
      <c r="G362" s="37">
        <v>42562</v>
      </c>
      <c r="H362">
        <v>41.617741000000002</v>
      </c>
      <c r="I362" s="36">
        <f>IF(ISBLANK(H363), "", Long0[[#This Row],[Adj Close]]/H363-1)</f>
        <v>2.0431085655888248E-2</v>
      </c>
      <c r="J362" s="29">
        <v>42562</v>
      </c>
      <c r="K362">
        <v>8.7570219999999992</v>
      </c>
      <c r="L362" s="33">
        <f>IF(ISBLANK(K363),"",Long1[[#This Row],[Adj Close]]/K363-1)</f>
        <v>1.2800086232938934E-2</v>
      </c>
      <c r="M362" s="37">
        <v>42562</v>
      </c>
      <c r="N362" s="35">
        <v>26.099665000000002</v>
      </c>
      <c r="O362" s="36">
        <f>IF(ISBLANK(N363),"",Long2[[#This Row],[Adj Close]]/N363-1)</f>
        <v>0.12598122865973949</v>
      </c>
      <c r="P362" s="29">
        <v>42562</v>
      </c>
      <c r="Q362">
        <v>26.745975000000001</v>
      </c>
      <c r="R362" s="33">
        <f>IF(ISBLANK(Q363),"",Long3[[#This Row],[Adj Close]]/Q363-1)</f>
        <v>-8.2751591457335127E-3</v>
      </c>
      <c r="S362" s="37">
        <v>42562</v>
      </c>
      <c r="T362" s="35">
        <v>24.722218999999999</v>
      </c>
      <c r="U362" s="36">
        <f>IF(ISBLANK(T363),"",Long4[[#This Row],[Adj Close]]/T363-1)</f>
        <v>2.3792296488815312E-2</v>
      </c>
      <c r="V362" s="29">
        <v>42562</v>
      </c>
      <c r="W362">
        <v>20.638634</v>
      </c>
      <c r="X362" s="33">
        <f>IF(ISBLANK(W363),"",Long5[[#This Row],[Adj Close]]/W363-1)</f>
        <v>0.11782310340147273</v>
      </c>
      <c r="Y362" s="37">
        <v>42562</v>
      </c>
      <c r="Z362" s="35">
        <v>67.728378000000006</v>
      </c>
      <c r="AA362" s="36">
        <f>IF(ISBLANK(Z363),"",Long6[[#This Row],[Adj Close]]/Z363-1)</f>
        <v>-1.6834424550352778E-2</v>
      </c>
      <c r="AH362" s="29">
        <v>42562</v>
      </c>
      <c r="AI362" s="44">
        <v>38.316127999999999</v>
      </c>
      <c r="AJ362" s="33">
        <f>IF(ISBLANK(AI363),"",Short0[[#This Row],[Adj Close]]/AI363-1)</f>
        <v>4.6453835811570032E-2</v>
      </c>
      <c r="AK362" s="37">
        <v>42562</v>
      </c>
      <c r="AL362" s="39">
        <v>25.692250999999999</v>
      </c>
      <c r="AM362" s="36">
        <f>IF(ISBLANK(AL363),"",Short1[[#This Row],[Adj Close]]/AL363-1)</f>
        <v>1.3893184326324137E-2</v>
      </c>
      <c r="AN362" s="29">
        <v>42562</v>
      </c>
      <c r="AO362" s="44">
        <v>45.233035999999998</v>
      </c>
      <c r="AP362" s="33">
        <f>IF(ISBLANK(AO363),"",Short2[[#This Row],[Adj Close]]/AO363-1)</f>
        <v>-9.518928721331199E-3</v>
      </c>
      <c r="AQ362" s="37">
        <v>42562</v>
      </c>
      <c r="AR362" s="39">
        <v>58.709999000000003</v>
      </c>
      <c r="AS362" s="36">
        <f>IF(ISBLANK(AR363),"",Short3[[#This Row],[Adj Close]]/AR363-1)</f>
        <v>3.6729612630591379E-2</v>
      </c>
    </row>
    <row r="363" spans="1:45" x14ac:dyDescent="0.25">
      <c r="A363" s="37">
        <v>42555</v>
      </c>
      <c r="B363" s="39">
        <v>2129.8999020000001</v>
      </c>
      <c r="C363" s="36">
        <f>IF(ISBLANK(B364), "", GSPC[[#This Row],[Adj Close]]/B364-1)</f>
        <v>1.2815307842768631E-2</v>
      </c>
      <c r="D36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49848.19958</v>
      </c>
      <c r="E36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17822.361198000002</v>
      </c>
      <c r="F363" s="11">
        <f>IF(ISBLANK(GSPC[[#This Row],[Long Exp.]]), "", (GSPC[[#This Row],[Long Exp.]]/D364-1)+(E364/GSPC[[#This Row],[Short Exp.]]-1))</f>
        <v>-2.1379959788769054E-2</v>
      </c>
      <c r="G363" s="37">
        <v>42555</v>
      </c>
      <c r="H363">
        <v>40.784469999999999</v>
      </c>
      <c r="I363" s="36">
        <f>IF(ISBLANK(H364), "", Long0[[#This Row],[Adj Close]]/H364-1)</f>
        <v>2.4379030742746277E-2</v>
      </c>
      <c r="J363" s="29">
        <v>42555</v>
      </c>
      <c r="K363">
        <v>8.6463479999999997</v>
      </c>
      <c r="L363" s="33">
        <f>IF(ISBLANK(K364),"",Long1[[#This Row],[Adj Close]]/K364-1)</f>
        <v>-7.0286360920824742E-2</v>
      </c>
      <c r="M363" s="37">
        <v>42555</v>
      </c>
      <c r="N363" s="35">
        <v>23.179485</v>
      </c>
      <c r="O363" s="36">
        <f>IF(ISBLANK(N364),"",Long2[[#This Row],[Adj Close]]/N364-1)</f>
        <v>-4.1023469961978476E-2</v>
      </c>
      <c r="P363" s="29">
        <v>42555</v>
      </c>
      <c r="Q363">
        <v>26.969149000000002</v>
      </c>
      <c r="R363" s="33">
        <f>IF(ISBLANK(Q364),"",Long3[[#This Row],[Adj Close]]/Q364-1)</f>
        <v>-3.723649561498954E-3</v>
      </c>
      <c r="S363" s="37">
        <v>42555</v>
      </c>
      <c r="T363" s="35">
        <v>24.147690000000001</v>
      </c>
      <c r="U363" s="36">
        <f>IF(ISBLANK(T364),"",Long4[[#This Row],[Adj Close]]/T364-1)</f>
        <v>2.5129494943611608E-2</v>
      </c>
      <c r="V363" s="29">
        <v>42555</v>
      </c>
      <c r="W363">
        <v>18.463238</v>
      </c>
      <c r="X363" s="33">
        <f>IF(ISBLANK(W364),"",Long5[[#This Row],[Adj Close]]/W364-1)</f>
        <v>-9.3893426888379539E-2</v>
      </c>
      <c r="Y363" s="37">
        <v>42555</v>
      </c>
      <c r="Z363" s="35">
        <v>68.888069000000002</v>
      </c>
      <c r="AA363" s="36">
        <f>IF(ISBLANK(Z364),"",Long6[[#This Row],[Adj Close]]/Z364-1)</f>
        <v>3.7727490545365727E-2</v>
      </c>
      <c r="AH363" s="29">
        <v>42555</v>
      </c>
      <c r="AI363" s="44">
        <v>36.615211000000002</v>
      </c>
      <c r="AJ363" s="33">
        <f>IF(ISBLANK(AI364),"",Short0[[#This Row],[Adj Close]]/AI364-1)</f>
        <v>9.6088064843782295E-3</v>
      </c>
      <c r="AK363" s="37">
        <v>42555</v>
      </c>
      <c r="AL363" s="39">
        <v>25.340195000000001</v>
      </c>
      <c r="AM363" s="36">
        <f>IF(ISBLANK(AL364),"",Short1[[#This Row],[Adj Close]]/AL364-1)</f>
        <v>-1.3073904889487786E-2</v>
      </c>
      <c r="AN363" s="29">
        <v>42555</v>
      </c>
      <c r="AO363" s="44">
        <v>45.667743999999999</v>
      </c>
      <c r="AP363" s="33">
        <f>IF(ISBLANK(AO364),"",Short2[[#This Row],[Adj Close]]/AO364-1)</f>
        <v>5.9026077353119488E-2</v>
      </c>
      <c r="AQ363" s="37">
        <v>42555</v>
      </c>
      <c r="AR363" s="39">
        <v>56.630001</v>
      </c>
      <c r="AS363" s="36">
        <f>IF(ISBLANK(AR364),"",Short3[[#This Row],[Adj Close]]/AR364-1)</f>
        <v>3.7939882002568259E-2</v>
      </c>
    </row>
    <row r="364" spans="1:45" x14ac:dyDescent="0.25">
      <c r="A364" s="37">
        <v>42548</v>
      </c>
      <c r="B364" s="39">
        <v>2102.9499510000001</v>
      </c>
      <c r="C364" s="36">
        <f>IF(ISBLANK(B365), "", GSPC[[#This Row],[Adj Close]]/B365-1)</f>
        <v>3.2168250821523081E-2</v>
      </c>
      <c r="D36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49580.193840000007</v>
      </c>
      <c r="E36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17344.981057999998</v>
      </c>
      <c r="F364" s="11">
        <f>IF(ISBLANK(GSPC[[#This Row],[Long Exp.]]), "", (GSPC[[#This Row],[Long Exp.]]/D365-1)+(E365/GSPC[[#This Row],[Short Exp.]]-1))</f>
        <v>-1.7944429150073216E-2</v>
      </c>
      <c r="G364" s="37">
        <v>42548</v>
      </c>
      <c r="H364">
        <v>39.813847000000003</v>
      </c>
      <c r="I364" s="36">
        <f>IF(ISBLANK(H365), "", Long0[[#This Row],[Adj Close]]/H365-1)</f>
        <v>-1.836608644237403E-3</v>
      </c>
      <c r="J364" s="29">
        <v>42548</v>
      </c>
      <c r="K364">
        <v>9.3000120000000006</v>
      </c>
      <c r="L364" s="33">
        <f>IF(ISBLANK(K365),"",Long1[[#This Row],[Adj Close]]/K365-1)</f>
        <v>9.2201410135897888E-2</v>
      </c>
      <c r="M364" s="37">
        <v>42548</v>
      </c>
      <c r="N364" s="35">
        <v>24.171066</v>
      </c>
      <c r="O364" s="36">
        <f>IF(ISBLANK(N365),"",Long2[[#This Row],[Adj Close]]/N365-1)</f>
        <v>-1.2634897352258534E-2</v>
      </c>
      <c r="P364" s="29">
        <v>42548</v>
      </c>
      <c r="Q364">
        <v>27.069948</v>
      </c>
      <c r="R364" s="33">
        <f>IF(ISBLANK(Q365),"",Long3[[#This Row],[Adj Close]]/Q365-1)</f>
        <v>1.1296468498876333E-2</v>
      </c>
      <c r="S364" s="37">
        <v>42548</v>
      </c>
      <c r="T364" s="35">
        <v>23.555745999999999</v>
      </c>
      <c r="U364" s="36">
        <f>IF(ISBLANK(T365),"",Long4[[#This Row],[Adj Close]]/T365-1)</f>
        <v>2.2289324365189378E-2</v>
      </c>
      <c r="V364" s="29">
        <v>42548</v>
      </c>
      <c r="W364">
        <v>20.376453000000001</v>
      </c>
      <c r="X364" s="33">
        <f>IF(ISBLANK(W365),"",Long5[[#This Row],[Adj Close]]/W365-1)</f>
        <v>4.0014717902279395E-2</v>
      </c>
      <c r="Y364" s="37">
        <v>42548</v>
      </c>
      <c r="Z364" s="35">
        <v>66.383583000000002</v>
      </c>
      <c r="AA364" s="36">
        <f>IF(ISBLANK(Z365),"",Long6[[#This Row],[Adj Close]]/Z365-1)</f>
        <v>4.1749833718206508E-2</v>
      </c>
      <c r="AH364" s="29">
        <v>42548</v>
      </c>
      <c r="AI364" s="44">
        <v>36.266731</v>
      </c>
      <c r="AJ364" s="33">
        <f>IF(ISBLANK(AI365),"",Short0[[#This Row],[Adj Close]]/AI365-1)</f>
        <v>2.4950192030860574E-2</v>
      </c>
      <c r="AK364" s="37">
        <v>42548</v>
      </c>
      <c r="AL364" s="39">
        <v>25.675878999999998</v>
      </c>
      <c r="AM364" s="36">
        <f>IF(ISBLANK(AL365),"",Short1[[#This Row],[Adj Close]]/AL365-1)</f>
        <v>4.0132677091160085E-2</v>
      </c>
      <c r="AN364" s="29">
        <v>42548</v>
      </c>
      <c r="AO364" s="44">
        <v>43.122397999999997</v>
      </c>
      <c r="AP364" s="33">
        <f>IF(ISBLANK(AO365),"",Short2[[#This Row],[Adj Close]]/AO365-1)</f>
        <v>3.7782270947572361E-2</v>
      </c>
      <c r="AQ364" s="37">
        <v>42548</v>
      </c>
      <c r="AR364" s="39">
        <v>54.560001</v>
      </c>
      <c r="AS364" s="36">
        <f>IF(ISBLANK(AR365),"",Short3[[#This Row],[Adj Close]]/AR365-1)</f>
        <v>-4.7427763589931171E-3</v>
      </c>
    </row>
    <row r="365" spans="1:45" x14ac:dyDescent="0.25">
      <c r="A365" s="37">
        <v>42541</v>
      </c>
      <c r="B365" s="39">
        <v>2037.410034</v>
      </c>
      <c r="C365" s="36">
        <f>IF(ISBLANK(B366), "", GSPC[[#This Row],[Adj Close]]/B366-1)</f>
        <v>-1.6323682406208295E-2</v>
      </c>
      <c r="D36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49324.052976000006</v>
      </c>
      <c r="E36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16943.662415999999</v>
      </c>
      <c r="F365" s="11">
        <f>IF(ISBLANK(GSPC[[#This Row],[Long Exp.]]), "", (GSPC[[#This Row],[Long Exp.]]/D366-1)+(E366/GSPC[[#This Row],[Short Exp.]]-1))</f>
        <v>2.1595447794805378E-2</v>
      </c>
      <c r="G365" s="37">
        <v>42541</v>
      </c>
      <c r="H365">
        <v>39.887104000000001</v>
      </c>
      <c r="I365" s="36">
        <f>IF(ISBLANK(H366), "", Long0[[#This Row],[Adj Close]]/H366-1)</f>
        <v>-3.2215092212892982E-2</v>
      </c>
      <c r="J365" s="29">
        <v>42541</v>
      </c>
      <c r="K365">
        <v>8.5149240000000006</v>
      </c>
      <c r="L365" s="33">
        <f>IF(ISBLANK(K366),"",Long1[[#This Row],[Adj Close]]/K366-1)</f>
        <v>-8.7472172475407284E-2</v>
      </c>
      <c r="M365" s="37">
        <v>42541</v>
      </c>
      <c r="N365" s="35">
        <v>24.480373</v>
      </c>
      <c r="O365" s="36">
        <f>IF(ISBLANK(N366),"",Long2[[#This Row],[Adj Close]]/N366-1)</f>
        <v>6.357343661603343E-3</v>
      </c>
      <c r="P365" s="29">
        <v>42541</v>
      </c>
      <c r="Q365">
        <v>26.767569000000002</v>
      </c>
      <c r="R365" s="33">
        <f>IF(ISBLANK(Q366),"",Long3[[#This Row],[Adj Close]]/Q366-1)</f>
        <v>-4.7643225924274613E-2</v>
      </c>
      <c r="S365" s="37">
        <v>42541</v>
      </c>
      <c r="T365" s="35">
        <v>23.042152000000002</v>
      </c>
      <c r="U365" s="36">
        <f>IF(ISBLANK(T366),"",Long4[[#This Row],[Adj Close]]/T366-1)</f>
        <v>-2.1079908020693594E-2</v>
      </c>
      <c r="V365" s="29">
        <v>42541</v>
      </c>
      <c r="W365">
        <v>19.592466000000002</v>
      </c>
      <c r="X365" s="33">
        <f>IF(ISBLANK(W366),"",Long5[[#This Row],[Adj Close]]/W366-1)</f>
        <v>-1.0174619292314779E-2</v>
      </c>
      <c r="Y365" s="37">
        <v>42541</v>
      </c>
      <c r="Z365" s="35">
        <v>63.723151999999999</v>
      </c>
      <c r="AA365" s="36">
        <f>IF(ISBLANK(Z366),"",Long6[[#This Row],[Adj Close]]/Z366-1)</f>
        <v>-5.1494103471307895E-2</v>
      </c>
      <c r="AH365" s="29">
        <v>42541</v>
      </c>
      <c r="AI365" s="44">
        <v>35.383896</v>
      </c>
      <c r="AJ365" s="33">
        <f>IF(ISBLANK(AI366),"",Short0[[#This Row],[Adj Close]]/AI366-1)</f>
        <v>-7.772523168624712E-2</v>
      </c>
      <c r="AK365" s="37">
        <v>42541</v>
      </c>
      <c r="AL365" s="39">
        <v>24.685196000000001</v>
      </c>
      <c r="AM365" s="36">
        <f>IF(ISBLANK(AL366),"",Short1[[#This Row],[Adj Close]]/AL366-1)</f>
        <v>-4.9504180223108873E-3</v>
      </c>
      <c r="AN365" s="29">
        <v>42541</v>
      </c>
      <c r="AO365" s="44">
        <v>41.552452000000002</v>
      </c>
      <c r="AP365" s="33">
        <f>IF(ISBLANK(AO366),"",Short2[[#This Row],[Adj Close]]/AO366-1)</f>
        <v>-3.1818440344790089E-2</v>
      </c>
      <c r="AQ365" s="37">
        <v>42541</v>
      </c>
      <c r="AR365" s="39">
        <v>54.82</v>
      </c>
      <c r="AS365" s="36">
        <f>IF(ISBLANK(AR366),"",Short3[[#This Row],[Adj Close]]/AR366-1)</f>
        <v>-5.3848792783030563E-2</v>
      </c>
    </row>
    <row r="366" spans="1:45" x14ac:dyDescent="0.25">
      <c r="A366" s="37">
        <v>42534</v>
      </c>
      <c r="B366" s="39">
        <v>2071.219971</v>
      </c>
      <c r="C366" s="36">
        <f>IF(ISBLANK(B367), "", GSPC[[#This Row],[Adj Close]]/B367-1)</f>
        <v>-1.1855565984829508E-2</v>
      </c>
      <c r="D36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50886.83978599999</v>
      </c>
      <c r="E36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17829.925566999998</v>
      </c>
      <c r="F366" s="11">
        <f>IF(ISBLANK(GSPC[[#This Row],[Long Exp.]]), "", (GSPC[[#This Row],[Long Exp.]]/D367-1)+(E367/GSPC[[#This Row],[Short Exp.]]-1))</f>
        <v>-1.0135359262667509E-2</v>
      </c>
      <c r="G366" s="37">
        <v>42534</v>
      </c>
      <c r="H366">
        <v>41.214843999999999</v>
      </c>
      <c r="I366" s="36">
        <f>IF(ISBLANK(H367), "", Long0[[#This Row],[Adj Close]]/H367-1)</f>
        <v>1.0779316132304873E-2</v>
      </c>
      <c r="J366" s="29">
        <v>42534</v>
      </c>
      <c r="K366">
        <v>9.3311390000000003</v>
      </c>
      <c r="L366" s="33">
        <f>IF(ISBLANK(K367),"",Long1[[#This Row],[Adj Close]]/K367-1)</f>
        <v>-6.8691813442915528E-2</v>
      </c>
      <c r="M366" s="37">
        <v>42534</v>
      </c>
      <c r="N366" s="35">
        <v>24.325726</v>
      </c>
      <c r="O366" s="36">
        <f>IF(ISBLANK(N367),"",Long2[[#This Row],[Adj Close]]/N367-1)</f>
        <v>-8.5279943395057956E-3</v>
      </c>
      <c r="P366" s="29">
        <v>42534</v>
      </c>
      <c r="Q366">
        <v>28.106660999999999</v>
      </c>
      <c r="R366" s="33">
        <f>IF(ISBLANK(Q367),"",Long3[[#This Row],[Adj Close]]/Q367-1)</f>
        <v>2.587847170338442E-3</v>
      </c>
      <c r="S366" s="37">
        <v>42534</v>
      </c>
      <c r="T366" s="35">
        <v>23.538338</v>
      </c>
      <c r="U366" s="36">
        <f>IF(ISBLANK(T367),"",Long4[[#This Row],[Adj Close]]/T367-1)</f>
        <v>-2.0644678490186807E-2</v>
      </c>
      <c r="V366" s="29">
        <v>42534</v>
      </c>
      <c r="W366">
        <v>19.793861</v>
      </c>
      <c r="X366" s="33">
        <f>IF(ISBLANK(W367),"",Long5[[#This Row],[Adj Close]]/W367-1)</f>
        <v>-5.7803174965458393E-3</v>
      </c>
      <c r="Y366" s="37">
        <v>42534</v>
      </c>
      <c r="Z366" s="35">
        <v>67.182663000000005</v>
      </c>
      <c r="AA366" s="36">
        <f>IF(ISBLANK(Z367),"",Long6[[#This Row],[Adj Close]]/Z367-1)</f>
        <v>2.0346253822491889E-3</v>
      </c>
      <c r="AH366" s="29">
        <v>42534</v>
      </c>
      <c r="AI366" s="44">
        <v>38.365893999999997</v>
      </c>
      <c r="AJ366" s="33">
        <f>IF(ISBLANK(AI367),"",Short0[[#This Row],[Adj Close]]/AI367-1)</f>
        <v>1.535101387045934E-2</v>
      </c>
      <c r="AK366" s="37">
        <v>42534</v>
      </c>
      <c r="AL366" s="39">
        <v>24.808005999999999</v>
      </c>
      <c r="AM366" s="36">
        <f>IF(ISBLANK(AL367),"",Short1[[#This Row],[Adj Close]]/AL367-1)</f>
        <v>3.88759271383321E-2</v>
      </c>
      <c r="AN366" s="29">
        <v>42534</v>
      </c>
      <c r="AO366" s="44">
        <v>42.918036999999998</v>
      </c>
      <c r="AP366" s="33">
        <f>IF(ISBLANK(AO367),"",Short2[[#This Row],[Adj Close]]/AO367-1)</f>
        <v>-1.5345211508222656E-2</v>
      </c>
      <c r="AQ366" s="37">
        <v>42534</v>
      </c>
      <c r="AR366" s="39">
        <v>57.939999</v>
      </c>
      <c r="AS366" s="36">
        <f>IF(ISBLANK(AR367),"",Short3[[#This Row],[Adj Close]]/AR367-1)</f>
        <v>3.1878841250976286E-2</v>
      </c>
    </row>
    <row r="367" spans="1:45" x14ac:dyDescent="0.25">
      <c r="A367" s="37">
        <v>42527</v>
      </c>
      <c r="B367" s="39">
        <v>2096.070068</v>
      </c>
      <c r="C367" s="36">
        <f>IF(ISBLANK(B368), "", GSPC[[#This Row],[Adj Close]]/B368-1)</f>
        <v>-1.4576587303054556E-3</v>
      </c>
      <c r="D36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50741.732223999999</v>
      </c>
      <c r="E36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17598.224124999997</v>
      </c>
      <c r="F367" s="11">
        <f>IF(ISBLANK(GSPC[[#This Row],[Long Exp.]]), "", (GSPC[[#This Row],[Long Exp.]]/D368-1)+(E368/GSPC[[#This Row],[Short Exp.]]-1))</f>
        <v>1.8869892744591388E-2</v>
      </c>
      <c r="G367" s="37">
        <v>42527</v>
      </c>
      <c r="H367">
        <v>40.775314000000002</v>
      </c>
      <c r="I367" s="36">
        <f>IF(ISBLANK(H368), "", Long0[[#This Row],[Adj Close]]/H368-1)</f>
        <v>2.2457352432936339E-4</v>
      </c>
      <c r="J367" s="29">
        <v>42527</v>
      </c>
      <c r="K367">
        <v>10.019389</v>
      </c>
      <c r="L367" s="33">
        <f>IF(ISBLANK(K368),"",Long1[[#This Row],[Adj Close]]/K368-1)</f>
        <v>3.0594158334836807E-2</v>
      </c>
      <c r="M367" s="37">
        <v>42527</v>
      </c>
      <c r="N367">
        <v>24.534960000000002</v>
      </c>
      <c r="O367" s="36">
        <f>IF(ISBLANK(N368),"",Long2[[#This Row],[Adj Close]]/N368-1)</f>
        <v>2.1042158851613646E-2</v>
      </c>
      <c r="P367" s="29">
        <v>42527</v>
      </c>
      <c r="Q367">
        <v>28.034113000000001</v>
      </c>
      <c r="R367" s="33">
        <f>IF(ISBLANK(Q368),"",Long3[[#This Row],[Adj Close]]/Q368-1)</f>
        <v>5.0896057552352048E-4</v>
      </c>
      <c r="S367" s="37">
        <v>42527</v>
      </c>
      <c r="T367" s="35">
        <v>24.034523</v>
      </c>
      <c r="U367" s="36">
        <f>IF(ISBLANK(T368),"",Long4[[#This Row],[Adj Close]]/T368-1)</f>
        <v>1.3211041862992934E-2</v>
      </c>
      <c r="V367" s="29">
        <v>42527</v>
      </c>
      <c r="W367">
        <v>19.908940999999999</v>
      </c>
      <c r="X367" s="33">
        <f>IF(ISBLANK(W368),"",Long5[[#This Row],[Adj Close]]/W368-1)</f>
        <v>-2.6722936251996621E-2</v>
      </c>
      <c r="Y367" s="37">
        <v>42527</v>
      </c>
      <c r="Z367" s="35">
        <v>67.046249000000003</v>
      </c>
      <c r="AA367" s="36">
        <f>IF(ISBLANK(Z368),"",Long6[[#This Row],[Adj Close]]/Z368-1)</f>
        <v>3.0621813061000314E-3</v>
      </c>
      <c r="AH367" s="29">
        <v>42527</v>
      </c>
      <c r="AI367" s="44">
        <v>37.785843</v>
      </c>
      <c r="AJ367" s="33">
        <f>IF(ISBLANK(AI368),"",Short0[[#This Row],[Adj Close]]/AI368-1)</f>
        <v>-1.0695223428392686E-2</v>
      </c>
      <c r="AK367" s="37">
        <v>42527</v>
      </c>
      <c r="AL367" s="39">
        <v>23.879662</v>
      </c>
      <c r="AM367" s="36">
        <f>IF(ISBLANK(AL368),"",Short1[[#This Row],[Adj Close]]/AL368-1)</f>
        <v>-8.9953604888466487E-2</v>
      </c>
      <c r="AN367" s="29">
        <v>42527</v>
      </c>
      <c r="AO367" s="44">
        <v>43.586886999999997</v>
      </c>
      <c r="AP367" s="33">
        <f>IF(ISBLANK(AO368),"",Short2[[#This Row],[Adj Close]]/AO368-1)</f>
        <v>2.6471479187457847E-2</v>
      </c>
      <c r="AQ367" s="37">
        <v>42527</v>
      </c>
      <c r="AR367" s="39">
        <v>56.150002000000001</v>
      </c>
      <c r="AS367" s="36">
        <f>IF(ISBLANK(AR368),"",Short3[[#This Row],[Adj Close]]/AR368-1)</f>
        <v>-2.8546661393540784E-2</v>
      </c>
    </row>
    <row r="368" spans="1:45" x14ac:dyDescent="0.25">
      <c r="A368" s="37">
        <v>42520</v>
      </c>
      <c r="B368" s="39">
        <v>2099.1298830000001</v>
      </c>
      <c r="C368" s="36">
        <f>IF(ISBLANK(B369), "", GSPC[[#This Row],[Adj Close]]/B369-1)</f>
        <v>3.3264412659717024E-5</v>
      </c>
      <c r="D36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50567.817188000001</v>
      </c>
      <c r="E36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17869.776148999998</v>
      </c>
      <c r="F368" s="11">
        <f>IF(ISBLANK(GSPC[[#This Row],[Long Exp.]]), "", (GSPC[[#This Row],[Long Exp.]]/D369-1)+(E369/GSPC[[#This Row],[Short Exp.]]-1))</f>
        <v>1.4968824566036876E-2</v>
      </c>
      <c r="G368" s="37">
        <v>42520</v>
      </c>
      <c r="H368">
        <v>40.766159000000002</v>
      </c>
      <c r="I368" s="36">
        <f>IF(ISBLANK(H369), "", Long0[[#This Row],[Adj Close]]/H369-1)</f>
        <v>3.3906161677276003E-2</v>
      </c>
      <c r="J368" s="29">
        <v>42520</v>
      </c>
      <c r="K368">
        <v>9.7219540000000002</v>
      </c>
      <c r="L368" s="33">
        <f>IF(ISBLANK(K369),"",Long1[[#This Row],[Adj Close]]/K369-1)</f>
        <v>-4.2574987158114364E-2</v>
      </c>
      <c r="M368" s="37">
        <v>42520</v>
      </c>
      <c r="N368">
        <v>24.029330999999999</v>
      </c>
      <c r="O368" s="36">
        <f>IF(ISBLANK(N369),"",Long2[[#This Row],[Adj Close]]/N369-1)</f>
        <v>3.9314832408736899E-2</v>
      </c>
      <c r="P368" s="29">
        <v>42520</v>
      </c>
      <c r="Q368">
        <v>28.019852</v>
      </c>
      <c r="R368" s="33">
        <f>IF(ISBLANK(Q369),"",Long3[[#This Row],[Adj Close]]/Q369-1)</f>
        <v>1.6028827812735846E-2</v>
      </c>
      <c r="S368" s="37">
        <v>42520</v>
      </c>
      <c r="T368" s="35">
        <v>23.721142</v>
      </c>
      <c r="U368" s="36">
        <f>IF(ISBLANK(T369),"",Long4[[#This Row],[Adj Close]]/T369-1)</f>
        <v>-3.6562626702717482E-3</v>
      </c>
      <c r="V368" s="29">
        <v>42520</v>
      </c>
      <c r="W368">
        <v>20.455573999999999</v>
      </c>
      <c r="X368" s="33">
        <f>IF(ISBLANK(W369),"",Long5[[#This Row],[Adj Close]]/W369-1)</f>
        <v>1.8625052622919469E-2</v>
      </c>
      <c r="Y368" s="37">
        <v>42520</v>
      </c>
      <c r="Z368" s="35">
        <v>66.841567999999995</v>
      </c>
      <c r="AA368" s="36">
        <f>IF(ISBLANK(Z369),"",Long6[[#This Row],[Adj Close]]/Z369-1)</f>
        <v>1.1950546755378655E-2</v>
      </c>
      <c r="AH368" s="29">
        <v>42520</v>
      </c>
      <c r="AI368" s="44">
        <v>38.194339999999997</v>
      </c>
      <c r="AJ368" s="33">
        <f>IF(ISBLANK(AI369),"",Short0[[#This Row],[Adj Close]]/AI369-1)</f>
        <v>1.2124075332693662E-2</v>
      </c>
      <c r="AK368" s="37">
        <v>42520</v>
      </c>
      <c r="AL368" s="39">
        <v>26.240048999999999</v>
      </c>
      <c r="AM368" s="36">
        <f>IF(ISBLANK(AL369),"",Short1[[#This Row],[Adj Close]]/AL369-1)</f>
        <v>9.9906129553839484E-3</v>
      </c>
      <c r="AN368" s="29">
        <v>42520</v>
      </c>
      <c r="AO368" s="44">
        <v>42.462833000000003</v>
      </c>
      <c r="AP368" s="33">
        <f>IF(ISBLANK(AO369),"",Short2[[#This Row],[Adj Close]]/AO369-1)</f>
        <v>-6.5593170685041002E-4</v>
      </c>
      <c r="AQ368" s="37">
        <v>42520</v>
      </c>
      <c r="AR368" s="39">
        <v>57.799999</v>
      </c>
      <c r="AS368" s="36">
        <f>IF(ISBLANK(AR369),"",Short3[[#This Row],[Adj Close]]/AR369-1)</f>
        <v>2.5914075257365887E-2</v>
      </c>
    </row>
    <row r="369" spans="1:45" x14ac:dyDescent="0.25">
      <c r="A369" s="37">
        <v>42513</v>
      </c>
      <c r="B369" s="39">
        <v>2099.0600589999999</v>
      </c>
      <c r="C369" s="36">
        <f>IF(ISBLANK(B370), "", GSPC[[#This Row],[Adj Close]]/B370-1)</f>
        <v>2.2774221101657055E-2</v>
      </c>
      <c r="D36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49273.948389999998</v>
      </c>
      <c r="E36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17668.028976000001</v>
      </c>
      <c r="F369" s="11">
        <f>IF(ISBLANK(GSPC[[#This Row],[Long Exp.]]), "", (GSPC[[#This Row],[Long Exp.]]/D370-1)+(E370/GSPC[[#This Row],[Short Exp.]]-1))</f>
        <v>5.7781299488069982E-3</v>
      </c>
      <c r="G369" s="37">
        <v>42513</v>
      </c>
      <c r="H369">
        <v>39.429264000000003</v>
      </c>
      <c r="I369" s="36">
        <f>IF(ISBLANK(H370), "", Long0[[#This Row],[Adj Close]]/H370-1)</f>
        <v>3.7340618373363332E-2</v>
      </c>
      <c r="J369" s="29">
        <v>42513</v>
      </c>
      <c r="K369">
        <v>10.154272000000001</v>
      </c>
      <c r="L369" s="33">
        <f>IF(ISBLANK(K370),"",Long1[[#This Row],[Adj Close]]/K370-1)</f>
        <v>8.3394842137360925E-2</v>
      </c>
      <c r="M369" s="37">
        <v>42513</v>
      </c>
      <c r="N369">
        <v>23.120358</v>
      </c>
      <c r="O369" s="36">
        <f>IF(ISBLANK(N370),"",Long2[[#This Row],[Adj Close]]/N370-1)</f>
        <v>-9.6373812579174656E-3</v>
      </c>
      <c r="P369" s="29">
        <v>42513</v>
      </c>
      <c r="Q369">
        <v>27.577812000000002</v>
      </c>
      <c r="R369" s="33">
        <f>IF(ISBLANK(Q370),"",Long3[[#This Row],[Adj Close]]/Q370-1)</f>
        <v>1.8967301486613186E-2</v>
      </c>
      <c r="S369" s="37">
        <v>42513</v>
      </c>
      <c r="T369" s="35">
        <v>23.808191000000001</v>
      </c>
      <c r="U369" s="36">
        <f>IF(ISBLANK(T370),"",Long4[[#This Row],[Adj Close]]/T370-1)</f>
        <v>3.8344696097769138E-2</v>
      </c>
      <c r="V369" s="29">
        <v>42513</v>
      </c>
      <c r="W369">
        <v>20.081554000000001</v>
      </c>
      <c r="X369" s="33">
        <f>IF(ISBLANK(W370),"",Long5[[#This Row],[Adj Close]]/W370-1)</f>
        <v>8.0494948915591058E-2</v>
      </c>
      <c r="Y369" s="37">
        <v>42513</v>
      </c>
      <c r="Z369" s="35">
        <v>66.052207999999993</v>
      </c>
      <c r="AA369" s="36">
        <f>IF(ISBLANK(Z370),"",Long6[[#This Row],[Adj Close]]/Z370-1)</f>
        <v>0.2015597598008616</v>
      </c>
      <c r="AH369" s="29">
        <v>42513</v>
      </c>
      <c r="AI369" s="44">
        <v>37.736815999999997</v>
      </c>
      <c r="AJ369" s="33">
        <f>IF(ISBLANK(AI370),"",Short0[[#This Row],[Adj Close]]/AI370-1)</f>
        <v>2.667236362830061E-2</v>
      </c>
      <c r="AK369" s="37">
        <v>42513</v>
      </c>
      <c r="AL369" s="39">
        <v>25.980488000000001</v>
      </c>
      <c r="AM369" s="36">
        <f>IF(ISBLANK(AL370),"",Short1[[#This Row],[Adj Close]]/AL370-1)</f>
        <v>-9.5854167356029807E-3</v>
      </c>
      <c r="AN369" s="29">
        <v>42513</v>
      </c>
      <c r="AO369" s="44">
        <v>42.490704000000001</v>
      </c>
      <c r="AP369" s="33">
        <f>IF(ISBLANK(AO370),"",Short2[[#This Row],[Adj Close]]/AO370-1)</f>
        <v>3.2272546922314183E-2</v>
      </c>
      <c r="AQ369" s="37">
        <v>42513</v>
      </c>
      <c r="AR369" s="39">
        <v>56.34</v>
      </c>
      <c r="AS369" s="36">
        <f>IF(ISBLANK(AR370),"",Short3[[#This Row],[Adj Close]]/AR370-1)</f>
        <v>6.6035991146111472E-2</v>
      </c>
    </row>
    <row r="370" spans="1:45" x14ac:dyDescent="0.25">
      <c r="A370" s="37">
        <v>42506</v>
      </c>
      <c r="B370" s="39">
        <v>2052.320068</v>
      </c>
      <c r="C370" s="36">
        <f>IF(ISBLANK(B371), "", GSPC[[#This Row],[Adj Close]]/B371-1)</f>
        <v>2.7900201024377846E-3</v>
      </c>
      <c r="D37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47524.776456999993</v>
      </c>
      <c r="E37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17119.836959</v>
      </c>
      <c r="F370" s="11">
        <f>IF(ISBLANK(GSPC[[#This Row],[Long Exp.]]), "", (GSPC[[#This Row],[Long Exp.]]/D371-1)+(E371/GSPC[[#This Row],[Short Exp.]]-1))</f>
        <v>-4.707707600348443E-3</v>
      </c>
      <c r="G370" s="37">
        <v>42506</v>
      </c>
      <c r="H370">
        <v>38.009948999999999</v>
      </c>
      <c r="I370" s="36">
        <f>IF(ISBLANK(H371), "", Long0[[#This Row],[Adj Close]]/H371-1)</f>
        <v>6.0009857184605053E-2</v>
      </c>
      <c r="J370" s="29">
        <v>42506</v>
      </c>
      <c r="K370">
        <v>9.3726420000000008</v>
      </c>
      <c r="L370" s="33">
        <f>IF(ISBLANK(K371),"",Long1[[#This Row],[Adj Close]]/K371-1)</f>
        <v>4.2307768442034543E-2</v>
      </c>
      <c r="M370" s="37">
        <v>42506</v>
      </c>
      <c r="N370">
        <v>23.345345999999999</v>
      </c>
      <c r="O370" s="36">
        <f>IF(ISBLANK(N371),"",Long2[[#This Row],[Adj Close]]/N371-1)</f>
        <v>4.428344809992657E-2</v>
      </c>
      <c r="P370" s="29">
        <v>42506</v>
      </c>
      <c r="Q370">
        <v>27.064471999999999</v>
      </c>
      <c r="R370" s="33">
        <f>IF(ISBLANK(Q371),"",Long3[[#This Row],[Adj Close]]/Q371-1)</f>
        <v>-2.3913591748160101E-2</v>
      </c>
      <c r="S370" s="37">
        <v>42506</v>
      </c>
      <c r="T370" s="35">
        <v>22.928985999999998</v>
      </c>
      <c r="U370" s="36">
        <f>IF(ISBLANK(T371),"",Long4[[#This Row],[Adj Close]]/T371-1)</f>
        <v>-1.0890051533915091E-2</v>
      </c>
      <c r="V370" s="29">
        <v>42506</v>
      </c>
      <c r="W370">
        <v>18.585514</v>
      </c>
      <c r="X370" s="33">
        <f>IF(ISBLANK(W371),"",Long5[[#This Row],[Adj Close]]/W371-1)</f>
        <v>-5.0058306062984448E-3</v>
      </c>
      <c r="Y370" s="37">
        <v>42506</v>
      </c>
      <c r="Z370" s="35">
        <v>54.972054</v>
      </c>
      <c r="AA370" s="36">
        <f>IF(ISBLANK(Z371),"",Long6[[#This Row],[Adj Close]]/Z371-1)</f>
        <v>6.7360265054270396E-2</v>
      </c>
      <c r="AH370" s="29">
        <v>42506</v>
      </c>
      <c r="AI370" s="44">
        <v>36.756435000000003</v>
      </c>
      <c r="AJ370" s="33">
        <f>IF(ISBLANK(AI371),"",Short0[[#This Row],[Adj Close]]/AI371-1)</f>
        <v>2.2279648995322532E-3</v>
      </c>
      <c r="AK370" s="37">
        <v>42506</v>
      </c>
      <c r="AL370" s="39">
        <v>26.231932</v>
      </c>
      <c r="AM370" s="36">
        <f>IF(ISBLANK(AL371),"",Short1[[#This Row],[Adj Close]]/AL371-1)</f>
        <v>4.4910681853389312E-2</v>
      </c>
      <c r="AN370" s="29">
        <v>42506</v>
      </c>
      <c r="AO370" s="44">
        <v>41.162292000000001</v>
      </c>
      <c r="AP370" s="33">
        <f>IF(ISBLANK(AO371),"",Short2[[#This Row],[Adj Close]]/AO371-1)</f>
        <v>1.6517665147449234E-2</v>
      </c>
      <c r="AQ370" s="37">
        <v>42506</v>
      </c>
      <c r="AR370" s="39">
        <v>52.849997999999999</v>
      </c>
      <c r="AS370" s="36">
        <f>IF(ISBLANK(AR371),"",Short3[[#This Row],[Adj Close]]/AR371-1)</f>
        <v>0.13412017743005045</v>
      </c>
    </row>
    <row r="371" spans="1:45" x14ac:dyDescent="0.25">
      <c r="A371" s="37">
        <v>42499</v>
      </c>
      <c r="B371" s="39">
        <v>2046.6099850000001</v>
      </c>
      <c r="C371" s="36">
        <f>IF(ISBLANK(B372), "", GSPC[[#This Row],[Adj Close]]/B372-1)</f>
        <v>-5.11871265334507E-3</v>
      </c>
      <c r="D37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45989.213952999999</v>
      </c>
      <c r="E37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16467.616875000003</v>
      </c>
      <c r="F371" s="11">
        <f>IF(ISBLANK(GSPC[[#This Row],[Long Exp.]]), "", (GSPC[[#This Row],[Long Exp.]]/D372-1)+(E372/GSPC[[#This Row],[Short Exp.]]-1))</f>
        <v>-2.5422750763804958E-3</v>
      </c>
      <c r="G371" s="37">
        <v>42499</v>
      </c>
      <c r="H371">
        <v>35.858108999999999</v>
      </c>
      <c r="I371" s="36">
        <f>IF(ISBLANK(H372), "", Long0[[#This Row],[Adj Close]]/H372-1)</f>
        <v>-1.2358019322502023E-2</v>
      </c>
      <c r="J371" s="29">
        <v>42499</v>
      </c>
      <c r="K371">
        <v>8.9922020000000007</v>
      </c>
      <c r="L371" s="33">
        <f>IF(ISBLANK(K372),"",Long1[[#This Row],[Adj Close]]/K372-1)</f>
        <v>-1.8867928645630583E-2</v>
      </c>
      <c r="M371" s="37">
        <v>42499</v>
      </c>
      <c r="N371">
        <v>22.355373</v>
      </c>
      <c r="O371" s="36">
        <f>IF(ISBLANK(N372),"",Long2[[#This Row],[Adj Close]]/N372-1)</f>
        <v>-4.424782960661755E-2</v>
      </c>
      <c r="P371" s="29">
        <v>42499</v>
      </c>
      <c r="Q371">
        <v>27.727537000000002</v>
      </c>
      <c r="R371" s="33">
        <f>IF(ISBLANK(Q372),"",Long3[[#This Row],[Adj Close]]/Q372-1)</f>
        <v>1.5404761898658581E-2</v>
      </c>
      <c r="S371" s="37">
        <v>42499</v>
      </c>
      <c r="T371" s="35">
        <v>23.181432999999998</v>
      </c>
      <c r="U371" s="36">
        <f>IF(ISBLANK(T372),"",Long4[[#This Row],[Adj Close]]/T372-1)</f>
        <v>-5.1975715065890271E-2</v>
      </c>
      <c r="V371" s="29">
        <v>42499</v>
      </c>
      <c r="W371">
        <v>18.679017999999999</v>
      </c>
      <c r="X371" s="33">
        <f>IF(ISBLANK(W372),"",Long5[[#This Row],[Adj Close]]/W372-1)</f>
        <v>-1.5377020849877132E-3</v>
      </c>
      <c r="Y371" s="37">
        <v>42499</v>
      </c>
      <c r="Z371" s="35">
        <v>51.502811000000001</v>
      </c>
      <c r="AA371" s="36">
        <f>IF(ISBLANK(Z372),"",Long6[[#This Row],[Adj Close]]/Z372-1)</f>
        <v>-5.320671310762104E-2</v>
      </c>
      <c r="AH371" s="29">
        <v>42499</v>
      </c>
      <c r="AI371" s="44">
        <v>36.674725000000002</v>
      </c>
      <c r="AJ371" s="33">
        <f>IF(ISBLANK(AI372),"",Short0[[#This Row],[Adj Close]]/AI372-1)</f>
        <v>-1.3189935414377851E-2</v>
      </c>
      <c r="AK371" s="37">
        <v>42499</v>
      </c>
      <c r="AL371" s="39">
        <v>25.104472999999999</v>
      </c>
      <c r="AM371" s="36">
        <f>IF(ISBLANK(AL372),"",Short1[[#This Row],[Adj Close]]/AL372-1)</f>
        <v>-3.2207596811341443E-2</v>
      </c>
      <c r="AN371" s="29">
        <v>42499</v>
      </c>
      <c r="AO371" s="44">
        <v>40.493434999999998</v>
      </c>
      <c r="AP371" s="33">
        <f>IF(ISBLANK(AO372),"",Short2[[#This Row],[Adj Close]]/AO372-1)</f>
        <v>-5.9295238533846328E-3</v>
      </c>
      <c r="AQ371" s="37">
        <v>42499</v>
      </c>
      <c r="AR371" s="39">
        <v>46.599997999999999</v>
      </c>
      <c r="AS371" s="36">
        <f>IF(ISBLANK(AR372),"",Short3[[#This Row],[Adj Close]]/AR372-1)</f>
        <v>-4.4862848860012239E-3</v>
      </c>
    </row>
    <row r="372" spans="1:45" x14ac:dyDescent="0.25">
      <c r="A372" s="37">
        <v>42492</v>
      </c>
      <c r="B372" s="39">
        <v>2057.139893</v>
      </c>
      <c r="C372" s="36">
        <f>IF(ISBLANK(B373), "", GSPC[[#This Row],[Adj Close]]/B373-1)</f>
        <v>-3.9510752948226369E-3</v>
      </c>
      <c r="D37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46676.459800000004</v>
      </c>
      <c r="E37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16668.214381000002</v>
      </c>
      <c r="F372" s="11">
        <f>IF(ISBLANK(GSPC[[#This Row],[Long Exp.]]), "", (GSPC[[#This Row],[Long Exp.]]/D373-1)+(E373/GSPC[[#This Row],[Short Exp.]]-1))</f>
        <v>-4.0816617848991044E-3</v>
      </c>
      <c r="G372" s="37">
        <v>42492</v>
      </c>
      <c r="H372">
        <v>36.306789000000002</v>
      </c>
      <c r="I372" s="36">
        <f>IF(ISBLANK(H373), "", Long0[[#This Row],[Adj Close]]/H373-1)</f>
        <v>-4.9388516336031363E-2</v>
      </c>
      <c r="J372" s="29">
        <v>42492</v>
      </c>
      <c r="K372">
        <v>9.1651290000000003</v>
      </c>
      <c r="L372" s="33">
        <f>IF(ISBLANK(K373),"",Long1[[#This Row],[Adj Close]]/K373-1)</f>
        <v>-0.12076980149151406</v>
      </c>
      <c r="M372" s="37">
        <v>42492</v>
      </c>
      <c r="N372">
        <v>23.390345</v>
      </c>
      <c r="O372" s="36">
        <f>IF(ISBLANK(N373),"",Long2[[#This Row],[Adj Close]]/N373-1)</f>
        <v>-7.1454068777442648E-2</v>
      </c>
      <c r="P372" s="29">
        <v>42492</v>
      </c>
      <c r="Q372">
        <v>27.306881000000001</v>
      </c>
      <c r="R372" s="33">
        <f>IF(ISBLANK(Q373),"",Long3[[#This Row],[Adj Close]]/Q373-1)</f>
        <v>1.7534748532706423E-2</v>
      </c>
      <c r="S372" s="37">
        <v>42492</v>
      </c>
      <c r="T372" s="35">
        <v>24.452362000000001</v>
      </c>
      <c r="U372" s="36">
        <f>IF(ISBLANK(T373),"",Long4[[#This Row],[Adj Close]]/T373-1)</f>
        <v>1.0795326070915712E-2</v>
      </c>
      <c r="V372" s="29">
        <v>42492</v>
      </c>
      <c r="W372">
        <v>18.707785000000001</v>
      </c>
      <c r="X372" s="33">
        <f>IF(ISBLANK(W373),"",Long5[[#This Row],[Adj Close]]/W373-1)</f>
        <v>4.2903007511964963E-2</v>
      </c>
      <c r="Y372" s="37">
        <v>42492</v>
      </c>
      <c r="Z372" s="35">
        <v>54.397101999999997</v>
      </c>
      <c r="AA372" s="36">
        <f>IF(ISBLANK(Z373),"",Long6[[#This Row],[Adj Close]]/Z373-1)</f>
        <v>-4.2702747573645783E-2</v>
      </c>
      <c r="AH372" s="29">
        <v>42492</v>
      </c>
      <c r="AI372" s="44">
        <v>37.164928000000003</v>
      </c>
      <c r="AJ372" s="33">
        <f>IF(ISBLANK(AI373),"",Short0[[#This Row],[Adj Close]]/AI373-1)</f>
        <v>7.530290285044261E-3</v>
      </c>
      <c r="AK372" s="37">
        <v>42492</v>
      </c>
      <c r="AL372" s="39">
        <v>25.939935999999999</v>
      </c>
      <c r="AM372" s="36">
        <f>IF(ISBLANK(AL373),"",Short1[[#This Row],[Adj Close]]/AL373-1)</f>
        <v>-3.1172837715125468E-3</v>
      </c>
      <c r="AN372" s="29">
        <v>42492</v>
      </c>
      <c r="AO372" s="44">
        <v>40.734974000000001</v>
      </c>
      <c r="AP372" s="33">
        <f>IF(ISBLANK(AO373),"",Short2[[#This Row],[Adj Close]]/AO373-1)</f>
        <v>-3.1403564304001597E-2</v>
      </c>
      <c r="AQ372" s="37">
        <v>42492</v>
      </c>
      <c r="AR372" s="39">
        <v>46.810001</v>
      </c>
      <c r="AS372" s="36">
        <f>IF(ISBLANK(AR373),"",Short3[[#This Row],[Adj Close]]/AR373-1)</f>
        <v>-9.9461312043093497E-2</v>
      </c>
    </row>
    <row r="373" spans="1:45" x14ac:dyDescent="0.25">
      <c r="A373" s="37">
        <v>42485</v>
      </c>
      <c r="B373" s="39">
        <v>2065.3000489999999</v>
      </c>
      <c r="C373" s="36">
        <f>IF(ISBLANK(B374), "", GSPC[[#This Row],[Adj Close]]/B374-1)</f>
        <v>-1.2564677430437876E-2</v>
      </c>
      <c r="D37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48309.574305000002</v>
      </c>
      <c r="E37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17163.652579000001</v>
      </c>
      <c r="F373" s="11">
        <f>IF(ISBLANK(GSPC[[#This Row],[Long Exp.]]), "", (GSPC[[#This Row],[Long Exp.]]/D374-1)+(E374/GSPC[[#This Row],[Short Exp.]]-1))</f>
        <v>-4.38910590168895E-2</v>
      </c>
      <c r="G373" s="37">
        <v>42485</v>
      </c>
      <c r="H373">
        <v>38.193089000000001</v>
      </c>
      <c r="I373" s="36">
        <f>IF(ISBLANK(H374), "", Long0[[#This Row],[Adj Close]]/H374-1)</f>
        <v>-0.13626012610124993</v>
      </c>
      <c r="J373" s="29">
        <v>42485</v>
      </c>
      <c r="K373">
        <v>10.424037999999999</v>
      </c>
      <c r="L373" s="33">
        <f>IF(ISBLANK(K374),"",Long1[[#This Row],[Adj Close]]/K374-1)</f>
        <v>-0.10537247446085463</v>
      </c>
      <c r="M373" s="37">
        <v>42485</v>
      </c>
      <c r="N373">
        <v>25.190294000000002</v>
      </c>
      <c r="O373" s="36">
        <f>IF(ISBLANK(N374),"",Long2[[#This Row],[Adj Close]]/N374-1)</f>
        <v>-1.9614830271776684E-2</v>
      </c>
      <c r="P373" s="29">
        <v>42485</v>
      </c>
      <c r="Q373">
        <v>26.836313000000001</v>
      </c>
      <c r="R373" s="33">
        <f>IF(ISBLANK(Q374),"",Long3[[#This Row],[Adj Close]]/Q374-1)</f>
        <v>3.0950116864108868E-2</v>
      </c>
      <c r="S373" s="37">
        <v>42485</v>
      </c>
      <c r="T373" s="35">
        <v>24.191210000000002</v>
      </c>
      <c r="U373" s="36">
        <f>IF(ISBLANK(T374),"",Long4[[#This Row],[Adj Close]]/T374-1)</f>
        <v>-3.9428549547348979E-3</v>
      </c>
      <c r="V373" s="29">
        <v>42485</v>
      </c>
      <c r="W373">
        <v>17.938182999999999</v>
      </c>
      <c r="X373" s="33">
        <f>IF(ISBLANK(W374),"",Long5[[#This Row],[Adj Close]]/W374-1)</f>
        <v>1.5059083667561479E-2</v>
      </c>
      <c r="Y373" s="37">
        <v>42485</v>
      </c>
      <c r="Z373" s="35">
        <v>56.823627000000002</v>
      </c>
      <c r="AA373" s="36">
        <f>IF(ISBLANK(Z374),"",Long6[[#This Row],[Adj Close]]/Z374-1)</f>
        <v>-5.9516149792996687E-2</v>
      </c>
      <c r="AH373" s="29">
        <v>42485</v>
      </c>
      <c r="AI373" s="44">
        <v>36.887157000000002</v>
      </c>
      <c r="AJ373" s="33">
        <f>IF(ISBLANK(AI374),"",Short0[[#This Row],[Adj Close]]/AI374-1)</f>
        <v>-3.6697045735529454E-2</v>
      </c>
      <c r="AK373" s="37">
        <v>42485</v>
      </c>
      <c r="AL373" s="39">
        <v>26.021051</v>
      </c>
      <c r="AM373" s="36">
        <f>IF(ISBLANK(AL374),"",Short1[[#This Row],[Adj Close]]/AL374-1)</f>
        <v>-3.4316704607110449E-2</v>
      </c>
      <c r="AN373" s="29">
        <v>42485</v>
      </c>
      <c r="AO373" s="44">
        <v>42.055672000000001</v>
      </c>
      <c r="AP373" s="33">
        <f>IF(ISBLANK(AO374),"",Short2[[#This Row],[Adj Close]]/AO374-1)</f>
        <v>-4.2679382297575064E-2</v>
      </c>
      <c r="AQ373" s="37">
        <v>42485</v>
      </c>
      <c r="AR373" s="39">
        <v>51.98</v>
      </c>
      <c r="AS373" s="36">
        <f>IF(ISBLANK(AR374),"",Short3[[#This Row],[Adj Close]]/AR374-1)</f>
        <v>3.2812004771047842E-3</v>
      </c>
    </row>
    <row r="374" spans="1:45" x14ac:dyDescent="0.25">
      <c r="A374" s="37">
        <v>42478</v>
      </c>
      <c r="B374" s="39">
        <v>2091.580078</v>
      </c>
      <c r="C374" s="36">
        <f>IF(ISBLANK(B375), "", GSPC[[#This Row],[Adj Close]]/B375-1)</f>
        <v>5.2145632082447602E-3</v>
      </c>
      <c r="D37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52190.441460999995</v>
      </c>
      <c r="E37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17686.606269</v>
      </c>
      <c r="F374" s="11">
        <f>IF(ISBLANK(GSPC[[#This Row],[Long Exp.]]), "", (GSPC[[#This Row],[Long Exp.]]/D375-1)+(E375/GSPC[[#This Row],[Short Exp.]]-1))</f>
        <v>5.0230256738237333E-2</v>
      </c>
      <c r="G374" s="37">
        <v>42478</v>
      </c>
      <c r="H374">
        <v>44.218277</v>
      </c>
      <c r="I374" s="36">
        <f>IF(ISBLANK(H375), "", Long0[[#This Row],[Adj Close]]/H375-1)</f>
        <v>2.9856954002751346E-2</v>
      </c>
      <c r="J374" s="29">
        <v>42478</v>
      </c>
      <c r="K374">
        <v>11.651819</v>
      </c>
      <c r="L374" s="33">
        <f>IF(ISBLANK(K375),"",Long1[[#This Row],[Adj Close]]/K375-1)</f>
        <v>4.4327328746300187E-2</v>
      </c>
      <c r="M374" s="37">
        <v>42478</v>
      </c>
      <c r="N374">
        <v>25.694282999999999</v>
      </c>
      <c r="O374" s="36">
        <f>IF(ISBLANK(N375),"",Long2[[#This Row],[Adj Close]]/N375-1)</f>
        <v>9.3450798064748763E-2</v>
      </c>
      <c r="P374" s="29">
        <v>42478</v>
      </c>
      <c r="Q374">
        <v>26.030660999999998</v>
      </c>
      <c r="R374" s="33">
        <f>IF(ISBLANK(Q375),"",Long3[[#This Row],[Adj Close]]/Q375-1)</f>
        <v>-2.7437339674146299E-2</v>
      </c>
      <c r="S374" s="37">
        <v>42478</v>
      </c>
      <c r="T374" s="35">
        <v>24.28697</v>
      </c>
      <c r="U374" s="36">
        <f>IF(ISBLANK(T375),"",Long4[[#This Row],[Adj Close]]/T375-1)</f>
        <v>1.4914671550565695E-2</v>
      </c>
      <c r="V374" s="29">
        <v>42478</v>
      </c>
      <c r="W374">
        <v>17.672058</v>
      </c>
      <c r="X374" s="33">
        <f>IF(ISBLANK(W375),"",Long5[[#This Row],[Adj Close]]/W375-1)</f>
        <v>-6.8713464834780913E-3</v>
      </c>
      <c r="Y374" s="37">
        <v>42478</v>
      </c>
      <c r="Z374" s="35">
        <v>60.419567000000001</v>
      </c>
      <c r="AA374" s="36">
        <f>IF(ISBLANK(Z375),"",Long6[[#This Row],[Adj Close]]/Z375-1)</f>
        <v>7.0811583166395131E-2</v>
      </c>
      <c r="AH374" s="29">
        <v>42478</v>
      </c>
      <c r="AI374" s="44">
        <v>38.292374000000002</v>
      </c>
      <c r="AJ374" s="33">
        <f>IF(ISBLANK(AI375),"",Short0[[#This Row],[Adj Close]]/AI375-1)</f>
        <v>-7.9897988181951485E-2</v>
      </c>
      <c r="AK374" s="37">
        <v>42478</v>
      </c>
      <c r="AL374" s="39">
        <v>26.945740000000001</v>
      </c>
      <c r="AM374" s="36">
        <f>IF(ISBLANK(AL375),"",Short1[[#This Row],[Adj Close]]/AL375-1)</f>
        <v>2.530881228817794E-2</v>
      </c>
      <c r="AN374" s="29">
        <v>42478</v>
      </c>
      <c r="AO374" s="44">
        <v>43.930602999999998</v>
      </c>
      <c r="AP374" s="33">
        <f>IF(ISBLANK(AO375),"",Short2[[#This Row],[Adj Close]]/AO375-1)</f>
        <v>-1.2312159212464979E-2</v>
      </c>
      <c r="AQ374" s="37">
        <v>42478</v>
      </c>
      <c r="AR374" s="39">
        <v>51.810001</v>
      </c>
      <c r="AS374" s="36">
        <f>IF(ISBLANK(AR375),"",Short3[[#This Row],[Adj Close]]/AR375-1)</f>
        <v>3.8901183856049348E-2</v>
      </c>
    </row>
    <row r="375" spans="1:45" x14ac:dyDescent="0.25">
      <c r="A375" s="37">
        <v>42471</v>
      </c>
      <c r="B375" s="39">
        <v>2080.7299800000001</v>
      </c>
      <c r="C375" s="36">
        <f>IF(ISBLANK(B376), "", GSPC[[#This Row],[Adj Close]]/B376-1)</f>
        <v>1.6179920095877209E-2</v>
      </c>
      <c r="D37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50798.611617999988</v>
      </c>
      <c r="E37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18090.414175999998</v>
      </c>
      <c r="F375" s="11">
        <f>IF(ISBLANK(GSPC[[#This Row],[Long Exp.]]), "", (GSPC[[#This Row],[Long Exp.]]/D376-1)+(E376/GSPC[[#This Row],[Short Exp.]]-1))</f>
        <v>-1.295466483860841E-2</v>
      </c>
      <c r="G375" s="37">
        <v>42471</v>
      </c>
      <c r="H375">
        <v>42.936329000000001</v>
      </c>
      <c r="I375" s="36">
        <f>IF(ISBLANK(H376), "", Long0[[#This Row],[Adj Close]]/H376-1)</f>
        <v>-2.3402164344693555E-3</v>
      </c>
      <c r="J375" s="29">
        <v>42471</v>
      </c>
      <c r="K375">
        <v>11.157247999999999</v>
      </c>
      <c r="L375" s="33">
        <f>IF(ISBLANK(K376),"",Long1[[#This Row],[Adj Close]]/K376-1)</f>
        <v>0.13153276534497538</v>
      </c>
      <c r="M375" s="37">
        <v>42471</v>
      </c>
      <c r="N375">
        <v>23.498343999999999</v>
      </c>
      <c r="O375" s="36">
        <f>IF(ISBLANK(N376),"",Long2[[#This Row],[Adj Close]]/N376-1)</f>
        <v>4.6073619836734192E-2</v>
      </c>
      <c r="P375" s="29">
        <v>42471</v>
      </c>
      <c r="Q375">
        <v>26.765021999999998</v>
      </c>
      <c r="R375" s="33">
        <f>IF(ISBLANK(Q376),"",Long3[[#This Row],[Adj Close]]/Q376-1)</f>
        <v>3.7433426819706295E-3</v>
      </c>
      <c r="S375" s="37">
        <v>42471</v>
      </c>
      <c r="T375" s="35">
        <v>23.930060999999998</v>
      </c>
      <c r="U375" s="36">
        <f>IF(ISBLANK(T376),"",Long4[[#This Row],[Adj Close]]/T376-1)</f>
        <v>6.2225433978093658E-3</v>
      </c>
      <c r="V375" s="29">
        <v>42471</v>
      </c>
      <c r="W375">
        <v>17.794329000000001</v>
      </c>
      <c r="X375" s="33">
        <f>IF(ISBLANK(W376),"",Long5[[#This Row],[Adj Close]]/W376-1)</f>
        <v>2.0205883533330748E-2</v>
      </c>
      <c r="Y375" s="37">
        <v>42471</v>
      </c>
      <c r="Z375" s="35">
        <v>56.424087999999998</v>
      </c>
      <c r="AA375" s="36">
        <f>IF(ISBLANK(Z376),"",Long6[[#This Row],[Adj Close]]/Z376-1)</f>
        <v>6.3947171854485063E-2</v>
      </c>
      <c r="AH375" s="29">
        <v>42471</v>
      </c>
      <c r="AI375" s="44">
        <v>41.617531</v>
      </c>
      <c r="AJ375" s="33">
        <f>IF(ISBLANK(AI376),"",Short0[[#This Row],[Adj Close]]/AI376-1)</f>
        <v>2.9506842656319865E-2</v>
      </c>
      <c r="AK375" s="37">
        <v>42471</v>
      </c>
      <c r="AL375" s="39">
        <v>26.280608999999998</v>
      </c>
      <c r="AM375" s="36">
        <f>IF(ISBLANK(AL376),"",Short1[[#This Row],[Adj Close]]/AL376-1)</f>
        <v>7.6054753867391467E-2</v>
      </c>
      <c r="AN375" s="29">
        <v>42471</v>
      </c>
      <c r="AO375" s="44">
        <v>44.478225999999999</v>
      </c>
      <c r="AP375" s="33">
        <f>IF(ISBLANK(AO376),"",Short2[[#This Row],[Adj Close]]/AO376-1)</f>
        <v>6.9343825911487578E-3</v>
      </c>
      <c r="AQ375" s="37">
        <v>42471</v>
      </c>
      <c r="AR375" s="39">
        <v>49.869999</v>
      </c>
      <c r="AS375" s="36">
        <f>IF(ISBLANK(AR376),"",Short3[[#This Row],[Adj Close]]/AR376-1)</f>
        <v>7.6782579236913673E-3</v>
      </c>
    </row>
    <row r="376" spans="1:45" x14ac:dyDescent="0.25">
      <c r="A376" s="37">
        <v>42464</v>
      </c>
      <c r="B376" s="39">
        <v>2047.599976</v>
      </c>
      <c r="C376" s="36">
        <f>IF(ISBLANK(B377), "", GSPC[[#This Row],[Adj Close]]/B377-1)</f>
        <v>-1.2147961987142408E-2</v>
      </c>
      <c r="D37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50257.308227000009</v>
      </c>
      <c r="E37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17661.213578999999</v>
      </c>
      <c r="F376" s="11">
        <f>IF(ISBLANK(GSPC[[#This Row],[Long Exp.]]), "", (GSPC[[#This Row],[Long Exp.]]/D377-1)+(E377/GSPC[[#This Row],[Short Exp.]]-1))</f>
        <v>2.9132966636619129E-3</v>
      </c>
      <c r="G376" s="37">
        <v>42464</v>
      </c>
      <c r="H376">
        <v>43.037044999999999</v>
      </c>
      <c r="I376" s="36">
        <f>IF(ISBLANK(H377), "", Long0[[#This Row],[Adj Close]]/H377-1)</f>
        <v>-1.0526363465978017E-2</v>
      </c>
      <c r="J376" s="29">
        <v>42464</v>
      </c>
      <c r="K376">
        <v>9.8602959999999999</v>
      </c>
      <c r="L376" s="33">
        <f>IF(ISBLANK(K377),"",Long1[[#This Row],[Adj Close]]/K377-1)</f>
        <v>-4.8397843460160961E-2</v>
      </c>
      <c r="M376" s="37">
        <v>42464</v>
      </c>
      <c r="N376">
        <v>22.463374999999999</v>
      </c>
      <c r="O376" s="36">
        <f>IF(ISBLANK(N377),"",Long2[[#This Row],[Adj Close]]/N377-1)</f>
        <v>-7.0044596791804747E-2</v>
      </c>
      <c r="P376" s="29">
        <v>42464</v>
      </c>
      <c r="Q376">
        <v>26.665205</v>
      </c>
      <c r="R376" s="33">
        <f>IF(ISBLANK(Q377),"",Long3[[#This Row],[Adj Close]]/Q377-1)</f>
        <v>-2.0686008125397337E-2</v>
      </c>
      <c r="S376" s="37">
        <v>42464</v>
      </c>
      <c r="T376" s="35">
        <v>23.782076</v>
      </c>
      <c r="U376" s="36">
        <f>IF(ISBLANK(T377),"",Long4[[#This Row],[Adj Close]]/T377-1)</f>
        <v>-2.5999169837114811E-2</v>
      </c>
      <c r="V376" s="29">
        <v>42464</v>
      </c>
      <c r="W376">
        <v>17.4419</v>
      </c>
      <c r="X376" s="33">
        <f>IF(ISBLANK(W377),"",Long5[[#This Row],[Adj Close]]/W377-1)</f>
        <v>-1.2357216316564168E-3</v>
      </c>
      <c r="Y376" s="37">
        <v>42464</v>
      </c>
      <c r="Z376" s="35">
        <v>53.032791000000003</v>
      </c>
      <c r="AA376" s="36">
        <f>IF(ISBLANK(Z377),"",Long6[[#This Row],[Adj Close]]/Z377-1)</f>
        <v>-9.1040847837898786E-3</v>
      </c>
      <c r="AH376" s="29">
        <v>42464</v>
      </c>
      <c r="AI376" s="44">
        <v>40.424725000000002</v>
      </c>
      <c r="AJ376" s="33">
        <f>IF(ISBLANK(AI377),"",Short0[[#This Row],[Adj Close]]/AI377-1)</f>
        <v>-4.3310101881008256E-2</v>
      </c>
      <c r="AK376" s="37">
        <v>42464</v>
      </c>
      <c r="AL376" s="39">
        <v>24.423114999999999</v>
      </c>
      <c r="AM376" s="36">
        <f>IF(ISBLANK(AL377),"",Short1[[#This Row],[Adj Close]]/AL377-1)</f>
        <v>-6.2577916630587094E-2</v>
      </c>
      <c r="AN376" s="29">
        <v>42464</v>
      </c>
      <c r="AO376" s="44">
        <v>44.171920999999998</v>
      </c>
      <c r="AP376" s="33">
        <f>IF(ISBLANK(AO377),"",Short2[[#This Row],[Adj Close]]/AO377-1)</f>
        <v>2.9504579233579076E-3</v>
      </c>
      <c r="AQ376" s="37">
        <v>42464</v>
      </c>
      <c r="AR376" s="39">
        <v>49.490001999999997</v>
      </c>
      <c r="AS376" s="36">
        <f>IF(ISBLANK(AR377),"",Short3[[#This Row],[Adj Close]]/AR377-1)</f>
        <v>6.0661141541862307E-4</v>
      </c>
    </row>
    <row r="377" spans="1:45" x14ac:dyDescent="0.25">
      <c r="A377" s="37">
        <v>42457</v>
      </c>
      <c r="B377" s="39">
        <v>2072.780029</v>
      </c>
      <c r="C377" s="36">
        <f>IF(ISBLANK(B378), "", GSPC[[#This Row],[Adj Close]]/B378-1)</f>
        <v>1.8094879548315568E-2</v>
      </c>
      <c r="D37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51360.399023999998</v>
      </c>
      <c r="E37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18091.983901</v>
      </c>
      <c r="F377" s="11">
        <f>IF(ISBLANK(GSPC[[#This Row],[Long Exp.]]), "", (GSPC[[#This Row],[Long Exp.]]/D378-1)+(E378/GSPC[[#This Row],[Short Exp.]]-1))</f>
        <v>1.6197333547724568E-2</v>
      </c>
      <c r="G377" s="37">
        <v>42457</v>
      </c>
      <c r="H377">
        <v>43.494888000000003</v>
      </c>
      <c r="I377" s="36">
        <f>IF(ISBLANK(H378), "", Long0[[#This Row],[Adj Close]]/H378-1)</f>
        <v>3.5309438947244143E-2</v>
      </c>
      <c r="J377" s="29">
        <v>42457</v>
      </c>
      <c r="K377">
        <v>10.361784</v>
      </c>
      <c r="L377" s="33">
        <f>IF(ISBLANK(K378),"",Long1[[#This Row],[Adj Close]]/K378-1)</f>
        <v>-6.4042522729869655E-2</v>
      </c>
      <c r="M377" s="37">
        <v>42457</v>
      </c>
      <c r="N377">
        <v>24.155325000000001</v>
      </c>
      <c r="O377" s="36">
        <f>IF(ISBLANK(N378),"",Long2[[#This Row],[Adj Close]]/N378-1)</f>
        <v>-1.5407332999148315E-2</v>
      </c>
      <c r="P377" s="29">
        <v>42457</v>
      </c>
      <c r="Q377">
        <v>27.228452999999998</v>
      </c>
      <c r="R377" s="33">
        <f>IF(ISBLANK(Q378),"",Long3[[#This Row],[Adj Close]]/Q378-1)</f>
        <v>2.6888701945723348E-2</v>
      </c>
      <c r="S377" s="37">
        <v>42457</v>
      </c>
      <c r="T377" s="35">
        <v>24.416895</v>
      </c>
      <c r="U377" s="36">
        <f>IF(ISBLANK(T378),"",Long4[[#This Row],[Adj Close]]/T378-1)</f>
        <v>2.9154399998550184E-2</v>
      </c>
      <c r="V377" s="29">
        <v>42457</v>
      </c>
      <c r="W377">
        <v>17.463480000000001</v>
      </c>
      <c r="X377" s="33">
        <f>IF(ISBLANK(W378),"",Long5[[#This Row],[Adj Close]]/W378-1)</f>
        <v>0.10363682037719046</v>
      </c>
      <c r="Y377" s="37">
        <v>42457</v>
      </c>
      <c r="Z377" s="35">
        <v>53.520041999999997</v>
      </c>
      <c r="AA377" s="36">
        <f>IF(ISBLANK(Z378),"",Long6[[#This Row],[Adj Close]]/Z378-1)</f>
        <v>6.2693401062378751E-2</v>
      </c>
      <c r="AH377" s="29">
        <v>42457</v>
      </c>
      <c r="AI377" s="44">
        <v>42.254784000000001</v>
      </c>
      <c r="AJ377" s="33">
        <f>IF(ISBLANK(AI378),"",Short0[[#This Row],[Adj Close]]/AI378-1)</f>
        <v>-1.4293781331848776E-2</v>
      </c>
      <c r="AK377" s="37">
        <v>42457</v>
      </c>
      <c r="AL377" s="39">
        <v>26.053488000000002</v>
      </c>
      <c r="AM377" s="36">
        <f>IF(ISBLANK(AL378),"",Short1[[#This Row],[Adj Close]]/AL378-1)</f>
        <v>2.6525775527016959E-2</v>
      </c>
      <c r="AN377" s="29">
        <v>42457</v>
      </c>
      <c r="AO377" s="44">
        <v>44.041977000000003</v>
      </c>
      <c r="AP377" s="33">
        <f>IF(ISBLANK(AO378),"",Short2[[#This Row],[Adj Close]]/AO378-1)</f>
        <v>2.3732346639737889E-2</v>
      </c>
      <c r="AQ377" s="37">
        <v>42457</v>
      </c>
      <c r="AR377" s="39">
        <v>49.459999000000003</v>
      </c>
      <c r="AS377" s="36">
        <f>IF(ISBLANK(AR378),"",Short3[[#This Row],[Adj Close]]/AR378-1)</f>
        <v>3.5377831274858718E-2</v>
      </c>
    </row>
    <row r="378" spans="1:45" x14ac:dyDescent="0.25">
      <c r="A378" s="37">
        <v>42450</v>
      </c>
      <c r="B378" s="39">
        <v>2035.9399410000001</v>
      </c>
      <c r="C378" s="36">
        <f>IF(ISBLANK(B379), "", GSPC[[#This Row],[Adj Close]]/B379-1)</f>
        <v>-6.655088594201275E-3</v>
      </c>
      <c r="D37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49981.972456999996</v>
      </c>
      <c r="E37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17886.076476999999</v>
      </c>
      <c r="F378" s="11">
        <f>IF(ISBLANK(GSPC[[#This Row],[Long Exp.]]), "", (GSPC[[#This Row],[Long Exp.]]/D379-1)+(E379/GSPC[[#This Row],[Short Exp.]]-1))</f>
        <v>9.5158252994326231E-3</v>
      </c>
      <c r="G378" s="37">
        <v>42450</v>
      </c>
      <c r="H378">
        <v>42.011485999999998</v>
      </c>
      <c r="I378" s="36">
        <f>IF(ISBLANK(H379), "", Long0[[#This Row],[Adj Close]]/H379-1)</f>
        <v>1.8424097180548493E-2</v>
      </c>
      <c r="J378" s="29">
        <v>42450</v>
      </c>
      <c r="K378">
        <v>11.070785000000001</v>
      </c>
      <c r="L378" s="33">
        <f>IF(ISBLANK(K379),"",Long1[[#This Row],[Adj Close]]/K379-1)</f>
        <v>7.5543012328240788E-3</v>
      </c>
      <c r="M378" s="37">
        <v>42450</v>
      </c>
      <c r="N378">
        <v>24.533318000000001</v>
      </c>
      <c r="O378" s="36">
        <f>IF(ISBLANK(N379),"",Long2[[#This Row],[Adj Close]]/N379-1)</f>
        <v>-8.2772390973098742E-2</v>
      </c>
      <c r="P378" s="29">
        <v>42450</v>
      </c>
      <c r="Q378">
        <v>26.515485999999999</v>
      </c>
      <c r="R378" s="33">
        <f>IF(ISBLANK(Q379),"",Long3[[#This Row],[Adj Close]]/Q379-1)</f>
        <v>3.508031739565487E-3</v>
      </c>
      <c r="S378" s="37">
        <v>42450</v>
      </c>
      <c r="T378" s="35">
        <v>23.725200999999998</v>
      </c>
      <c r="U378" s="36">
        <f>IF(ISBLANK(T379),"",Long4[[#This Row],[Adj Close]]/T379-1)</f>
        <v>4.3924493188285396E-3</v>
      </c>
      <c r="V378" s="29">
        <v>42450</v>
      </c>
      <c r="W378">
        <v>15.823575</v>
      </c>
      <c r="X378" s="33">
        <f>IF(ISBLANK(W379),"",Long5[[#This Row],[Adj Close]]/W379-1)</f>
        <v>-4.5553313467795009E-2</v>
      </c>
      <c r="Y378" s="37">
        <v>42450</v>
      </c>
      <c r="Z378" s="35">
        <v>50.362636999999999</v>
      </c>
      <c r="AA378" s="36">
        <f>IF(ISBLANK(Z379),"",Long6[[#This Row],[Adj Close]]/Z379-1)</f>
        <v>-1.7490350703634028E-2</v>
      </c>
      <c r="AH378" s="29">
        <v>42450</v>
      </c>
      <c r="AI378" s="44">
        <v>42.867522999999998</v>
      </c>
      <c r="AJ378" s="33">
        <f>IF(ISBLANK(AI379),"",Short0[[#This Row],[Adj Close]]/AI379-1)</f>
        <v>-8.2457780686248094E-3</v>
      </c>
      <c r="AK378" s="37">
        <v>42450</v>
      </c>
      <c r="AL378" s="39">
        <v>25.380257</v>
      </c>
      <c r="AM378" s="36">
        <f>IF(ISBLANK(AL379),"",Short1[[#This Row],[Adj Close]]/AL379-1)</f>
        <v>-1.6356035203090591E-2</v>
      </c>
      <c r="AN378" s="29">
        <v>42450</v>
      </c>
      <c r="AO378" s="44">
        <v>43.020988000000003</v>
      </c>
      <c r="AP378" s="33">
        <f>IF(ISBLANK(AO379),"",Short2[[#This Row],[Adj Close]]/AO379-1)</f>
        <v>-2.7486308544652172E-2</v>
      </c>
      <c r="AQ378" s="37">
        <v>42450</v>
      </c>
      <c r="AR378" s="39">
        <v>47.77</v>
      </c>
      <c r="AS378" s="36">
        <f>IF(ISBLANK(AR379),"",Short3[[#This Row],[Adj Close]]/AR379-1)</f>
        <v>2.0942211932251098E-4</v>
      </c>
    </row>
    <row r="379" spans="1:45" x14ac:dyDescent="0.25">
      <c r="A379" s="37">
        <v>42443</v>
      </c>
      <c r="B379" s="39">
        <v>2049.580078</v>
      </c>
      <c r="C379" s="36">
        <f>IF(ISBLANK(B380), "", GSPC[[#This Row],[Adj Close]]/B380-1)</f>
        <v>1.3544789460506967E-2</v>
      </c>
      <c r="D37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50176.855371000012</v>
      </c>
      <c r="E37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18125.745353999999</v>
      </c>
      <c r="F379" s="11">
        <f>IF(ISBLANK(GSPC[[#This Row],[Long Exp.]]), "", (GSPC[[#This Row],[Long Exp.]]/D380-1)+(E380/GSPC[[#This Row],[Short Exp.]]-1))</f>
        <v>-4.5727800088513959E-2</v>
      </c>
      <c r="G379" s="37">
        <v>42443</v>
      </c>
      <c r="H379">
        <v>41.251465000000003</v>
      </c>
      <c r="I379" s="36">
        <f>IF(ISBLANK(H380), "", Long0[[#This Row],[Adj Close]]/H380-1)</f>
        <v>-7.3045197025616626E-2</v>
      </c>
      <c r="J379" s="29">
        <v>42443</v>
      </c>
      <c r="K379">
        <v>10.987780000000001</v>
      </c>
      <c r="L379" s="33">
        <f>IF(ISBLANK(K380),"",Long1[[#This Row],[Adj Close]]/K380-1)</f>
        <v>0.16076003203880163</v>
      </c>
      <c r="M379" s="37">
        <v>42443</v>
      </c>
      <c r="N379">
        <v>26.747252</v>
      </c>
      <c r="O379" s="36">
        <f>IF(ISBLANK(N380),"",Long2[[#This Row],[Adj Close]]/N380-1)</f>
        <v>3.5540016428642796E-2</v>
      </c>
      <c r="P379" s="29">
        <v>42443</v>
      </c>
      <c r="Q379">
        <v>26.422794</v>
      </c>
      <c r="R379" s="33">
        <f>IF(ISBLANK(Q380),"",Long3[[#This Row],[Adj Close]]/Q380-1)</f>
        <v>2.4471739434207107E-2</v>
      </c>
      <c r="S379" s="37">
        <v>42443</v>
      </c>
      <c r="T379" s="35">
        <v>23.621445000000001</v>
      </c>
      <c r="U379" s="36">
        <f>IF(ISBLANK(T380),"",Long4[[#This Row],[Adj Close]]/T380-1)</f>
        <v>-2.0788604964894986E-2</v>
      </c>
      <c r="V379" s="29">
        <v>42443</v>
      </c>
      <c r="W379">
        <v>16.578793999999998</v>
      </c>
      <c r="X379" s="33">
        <f>IF(ISBLANK(W380),"",Long5[[#This Row],[Adj Close]]/W380-1)</f>
        <v>-3.0290307631486213E-2</v>
      </c>
      <c r="Y379" s="37">
        <v>42443</v>
      </c>
      <c r="Z379" s="35">
        <v>51.259177999999999</v>
      </c>
      <c r="AA379" s="36">
        <f>IF(ISBLANK(Z380),"",Long6[[#This Row],[Adj Close]]/Z380-1)</f>
        <v>1.2122383789022306E-2</v>
      </c>
      <c r="AH379" s="29">
        <v>42443</v>
      </c>
      <c r="AI379" s="44">
        <v>43.223937999999997</v>
      </c>
      <c r="AJ379" s="33">
        <f>IF(ISBLANK(AI380),"",Short0[[#This Row],[Adj Close]]/AI380-1)</f>
        <v>3.9550049077107019E-2</v>
      </c>
      <c r="AK379" s="37">
        <v>42443</v>
      </c>
      <c r="AL379" s="39">
        <v>25.80228</v>
      </c>
      <c r="AM379" s="36">
        <f>IF(ISBLANK(AL380),"",Short1[[#This Row],[Adj Close]]/AL380-1)</f>
        <v>-4.6893357455882301E-2</v>
      </c>
      <c r="AN379" s="29">
        <v>42443</v>
      </c>
      <c r="AO379" s="44">
        <v>44.236896999999999</v>
      </c>
      <c r="AP379" s="33">
        <f>IF(ISBLANK(AO380),"",Short2[[#This Row],[Adj Close]]/AO380-1)</f>
        <v>3.1155456703141571E-2</v>
      </c>
      <c r="AQ379" s="37">
        <v>42443</v>
      </c>
      <c r="AR379" s="39">
        <v>47.759998000000003</v>
      </c>
      <c r="AS379" s="36">
        <f>IF(ISBLANK(AR380),"",Short3[[#This Row],[Adj Close]]/AR380-1)</f>
        <v>-3.9625233793008086E-3</v>
      </c>
    </row>
    <row r="380" spans="1:45" x14ac:dyDescent="0.25">
      <c r="A380" s="37">
        <v>42436</v>
      </c>
      <c r="B380" s="39">
        <v>2022.1899410000001</v>
      </c>
      <c r="C380" s="36">
        <f>IF(ISBLANK(B381), "", GSPC[[#This Row],[Adj Close]]/B381-1)</f>
        <v>1.110003105565549E-2</v>
      </c>
      <c r="D38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51699.241907999989</v>
      </c>
      <c r="E38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17830.643352999999</v>
      </c>
      <c r="F380" s="11">
        <f>IF(ISBLANK(GSPC[[#This Row],[Long Exp.]]), "", (GSPC[[#This Row],[Long Exp.]]/D381-1)+(E381/GSPC[[#This Row],[Short Exp.]]-1))</f>
        <v>3.3592566991844541E-2</v>
      </c>
      <c r="G380" s="37">
        <v>42436</v>
      </c>
      <c r="H380">
        <v>44.502132000000003</v>
      </c>
      <c r="I380" s="36">
        <f>IF(ISBLANK(H381), "", Long0[[#This Row],[Adj Close]]/H381-1)</f>
        <v>8.5305670111465171E-2</v>
      </c>
      <c r="J380" s="29">
        <v>42436</v>
      </c>
      <c r="K380">
        <v>9.4660220000000006</v>
      </c>
      <c r="L380" s="33">
        <f>IF(ISBLANK(K381),"",Long1[[#This Row],[Adj Close]]/K381-1)</f>
        <v>0.12218112810119486</v>
      </c>
      <c r="M380" s="37">
        <v>42436</v>
      </c>
      <c r="N380">
        <v>25.829279</v>
      </c>
      <c r="O380" s="36">
        <f>IF(ISBLANK(N381),"",Long2[[#This Row],[Adj Close]]/N381-1)</f>
        <v>-2.0626752673937987E-2</v>
      </c>
      <c r="P380" s="29">
        <v>42436</v>
      </c>
      <c r="Q380">
        <v>25.791627999999999</v>
      </c>
      <c r="R380" s="33">
        <f>IF(ISBLANK(Q381),"",Long3[[#This Row],[Adj Close]]/Q381-1)</f>
        <v>2.4951156947393027E-2</v>
      </c>
      <c r="S380" s="37">
        <v>42436</v>
      </c>
      <c r="T380" s="35">
        <v>24.122927000000001</v>
      </c>
      <c r="U380" s="36">
        <f>IF(ISBLANK(T381),"",Long4[[#This Row],[Adj Close]]/T381-1)</f>
        <v>-2.8213125354279445E-2</v>
      </c>
      <c r="V380" s="29">
        <v>42436</v>
      </c>
      <c r="W380">
        <v>17.096657</v>
      </c>
      <c r="X380" s="33">
        <f>IF(ISBLANK(W381),"",Long5[[#This Row],[Adj Close]]/W381-1)</f>
        <v>-9.1360808160346307E-2</v>
      </c>
      <c r="Y380" s="37">
        <v>42436</v>
      </c>
      <c r="Z380" s="35">
        <v>50.645237000000002</v>
      </c>
      <c r="AA380" s="36">
        <f>IF(ISBLANK(Z381),"",Long6[[#This Row],[Adj Close]]/Z381-1)</f>
        <v>6.5177360296948539E-2</v>
      </c>
      <c r="AH380" s="29">
        <v>42436</v>
      </c>
      <c r="AI380" s="44">
        <v>41.579467999999999</v>
      </c>
      <c r="AJ380" s="33">
        <f>IF(ISBLANK(AI381),"",Short0[[#This Row],[Adj Close]]/AI381-1)</f>
        <v>-4.2469959809428026E-3</v>
      </c>
      <c r="AK380" s="37">
        <v>42436</v>
      </c>
      <c r="AL380" s="39">
        <v>27.071766</v>
      </c>
      <c r="AM380" s="36">
        <f>IF(ISBLANK(AL381),"",Short1[[#This Row],[Adj Close]]/AL381-1)</f>
        <v>1.6383697172707823E-2</v>
      </c>
      <c r="AN380" s="29">
        <v>42436</v>
      </c>
      <c r="AO380" s="44">
        <v>42.900317999999999</v>
      </c>
      <c r="AP380" s="33">
        <f>IF(ISBLANK(AO381),"",Short2[[#This Row],[Adj Close]]/AO381-1)</f>
        <v>1.8510132996731876E-2</v>
      </c>
      <c r="AQ380" s="37">
        <v>42436</v>
      </c>
      <c r="AR380" s="39">
        <v>47.950001</v>
      </c>
      <c r="AS380" s="36">
        <f>IF(ISBLANK(AR381),"",Short3[[#This Row],[Adj Close]]/AR381-1)</f>
        <v>3.675677837837843E-2</v>
      </c>
    </row>
    <row r="381" spans="1:45" x14ac:dyDescent="0.25">
      <c r="A381" s="37">
        <v>42429</v>
      </c>
      <c r="B381" s="39">
        <v>1999.98999</v>
      </c>
      <c r="C381" s="36">
        <f>IF(ISBLANK(B382), "", GSPC[[#This Row],[Adj Close]]/B382-1)</f>
        <v>2.6662529038544269E-2</v>
      </c>
      <c r="D38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49409.479618999998</v>
      </c>
      <c r="E38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17603.302588999999</v>
      </c>
      <c r="F381" s="11">
        <f>IF(ISBLANK(GSPC[[#This Row],[Long Exp.]]), "", (GSPC[[#This Row],[Long Exp.]]/D382-1)+(E382/GSPC[[#This Row],[Short Exp.]]-1))</f>
        <v>-7.3143936183772018E-2</v>
      </c>
      <c r="G381" s="37">
        <v>42429</v>
      </c>
      <c r="H381">
        <v>41.004238000000001</v>
      </c>
      <c r="I381" s="36">
        <f>IF(ISBLANK(H382), "", Long0[[#This Row],[Adj Close]]/H382-1)</f>
        <v>-5.0063587036283441E-2</v>
      </c>
      <c r="J381" s="29">
        <v>42429</v>
      </c>
      <c r="K381">
        <v>8.435378</v>
      </c>
      <c r="L381" s="33">
        <f>IF(ISBLANK(K382),"",Long1[[#This Row],[Adj Close]]/K382-1)</f>
        <v>-2.4790032887438862E-2</v>
      </c>
      <c r="M381" s="37">
        <v>42429</v>
      </c>
      <c r="N381">
        <v>26.373273999999999</v>
      </c>
      <c r="O381" s="36">
        <f>IF(ISBLANK(N382),"",Long2[[#This Row],[Adj Close]]/N382-1)</f>
        <v>0.10402704258369688</v>
      </c>
      <c r="P381" s="29">
        <v>42429</v>
      </c>
      <c r="Q381">
        <v>25.163762999999999</v>
      </c>
      <c r="R381" s="33">
        <f>IF(ISBLANK(Q382),"",Long3[[#This Row],[Adj Close]]/Q382-1)</f>
        <v>2.4411294831188979E-2</v>
      </c>
      <c r="S381" s="37">
        <v>42429</v>
      </c>
      <c r="T381" s="35">
        <v>24.823269</v>
      </c>
      <c r="U381" s="36">
        <f>IF(ISBLANK(T382),"",Long4[[#This Row],[Adj Close]]/T382-1)</f>
        <v>2.3529501991475854E-2</v>
      </c>
      <c r="V381" s="29">
        <v>42429</v>
      </c>
      <c r="W381">
        <v>18.815671999999999</v>
      </c>
      <c r="X381" s="33">
        <f>IF(ISBLANK(W382),"",Long5[[#This Row],[Adj Close]]/W382-1)</f>
        <v>0.14086336898290353</v>
      </c>
      <c r="Y381" s="37">
        <v>42429</v>
      </c>
      <c r="Z381" s="35">
        <v>47.546295000000001</v>
      </c>
      <c r="AA381" s="36">
        <f>IF(ISBLANK(Z382),"",Long6[[#This Row],[Adj Close]]/Z382-1)</f>
        <v>0.10911539020670191</v>
      </c>
      <c r="AH381" s="29">
        <v>42429</v>
      </c>
      <c r="AI381" s="44">
        <v>41.756808999999997</v>
      </c>
      <c r="AJ381" s="33">
        <f>IF(ISBLANK(AI382),"",Short0[[#This Row],[Adj Close]]/AI382-1)</f>
        <v>8.0968193859745297E-2</v>
      </c>
      <c r="AK381" s="37">
        <v>42429</v>
      </c>
      <c r="AL381" s="39">
        <v>26.635380000000001</v>
      </c>
      <c r="AM381" s="36">
        <f>IF(ISBLANK(AL382),"",Short1[[#This Row],[Adj Close]]/AL382-1)</f>
        <v>3.4514580524401817E-2</v>
      </c>
      <c r="AN381" s="29">
        <v>42429</v>
      </c>
      <c r="AO381" s="44">
        <v>42.120659000000003</v>
      </c>
      <c r="AP381" s="33">
        <f>IF(ISBLANK(AO382),"",Short2[[#This Row],[Adj Close]]/AO382-1)</f>
        <v>7.433731679576927E-2</v>
      </c>
      <c r="AQ381" s="37">
        <v>42429</v>
      </c>
      <c r="AR381" s="39">
        <v>46.25</v>
      </c>
      <c r="AS381" s="36">
        <f>IF(ISBLANK(AR382),"",Short3[[#This Row],[Adj Close]]/AR382-1)</f>
        <v>0.11418940564632152</v>
      </c>
    </row>
    <row r="382" spans="1:45" x14ac:dyDescent="0.25">
      <c r="A382" s="37">
        <v>42422</v>
      </c>
      <c r="B382" s="39">
        <v>1948.0500489999999</v>
      </c>
      <c r="C382" s="36">
        <f>IF(ISBLANK(B383), "", GSPC[[#This Row],[Adj Close]]/B383-1)</f>
        <v>1.5783885295637345E-2</v>
      </c>
      <c r="D38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49426.527511000008</v>
      </c>
      <c r="E38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16321.799370000001</v>
      </c>
      <c r="F382" s="11">
        <f>IF(ISBLANK(GSPC[[#This Row],[Long Exp.]]), "", (GSPC[[#This Row],[Long Exp.]]/D383-1)+(E383/GSPC[[#This Row],[Short Exp.]]-1))</f>
        <v>-4.7828723310194055E-2</v>
      </c>
      <c r="G382" s="37">
        <v>42422</v>
      </c>
      <c r="H382">
        <v>43.165244999999999</v>
      </c>
      <c r="I382" s="36">
        <f>IF(ISBLANK(H383), "", Long0[[#This Row],[Adj Close]]/H383-1)</f>
        <v>3.9700133540432336E-2</v>
      </c>
      <c r="J382" s="29">
        <v>42422</v>
      </c>
      <c r="K382">
        <v>8.6498069999999991</v>
      </c>
      <c r="L382" s="33">
        <f>IF(ISBLANK(K383),"",Long1[[#This Row],[Adj Close]]/K383-1)</f>
        <v>-3.844675783135898E-2</v>
      </c>
      <c r="M382" s="37">
        <v>42422</v>
      </c>
      <c r="N382">
        <v>23.888249999999999</v>
      </c>
      <c r="O382" s="36">
        <f>IF(ISBLANK(N383),"",Long2[[#This Row],[Adj Close]]/N383-1)</f>
        <v>9.9180188018214599E-2</v>
      </c>
      <c r="P382" s="29">
        <v>42422</v>
      </c>
      <c r="Q382">
        <v>24.564121</v>
      </c>
      <c r="R382" s="33">
        <f>IF(ISBLANK(Q383),"",Long3[[#This Row],[Adj Close]]/Q383-1)</f>
        <v>-3.9713236735674395E-2</v>
      </c>
      <c r="S382" s="37">
        <v>42422</v>
      </c>
      <c r="T382" s="35">
        <v>24.252617000000001</v>
      </c>
      <c r="U382" s="36">
        <f>IF(ISBLANK(T383),"",Long4[[#This Row],[Adj Close]]/T383-1)</f>
        <v>3.9273796983980036E-2</v>
      </c>
      <c r="V382" s="29">
        <v>42422</v>
      </c>
      <c r="W382">
        <v>16.492484999999999</v>
      </c>
      <c r="X382" s="33">
        <f>IF(ISBLANK(W383),"",Long5[[#This Row],[Adj Close]]/W383-1)</f>
        <v>-2.1758243726212045E-3</v>
      </c>
      <c r="Y382" s="37">
        <v>42422</v>
      </c>
      <c r="Z382" s="35">
        <v>42.868664000000003</v>
      </c>
      <c r="AA382" s="36">
        <f>IF(ISBLANK(Z383),"",Long6[[#This Row],[Adj Close]]/Z383-1)</f>
        <v>-7.2332271116713698E-2</v>
      </c>
      <c r="AH382" s="29">
        <v>42422</v>
      </c>
      <c r="AI382" s="44">
        <v>38.629081999999997</v>
      </c>
      <c r="AJ382" s="33">
        <f>IF(ISBLANK(AI383),"",Short0[[#This Row],[Adj Close]]/AI383-1)</f>
        <v>4.491931681373007E-2</v>
      </c>
      <c r="AK382" s="37">
        <v>42422</v>
      </c>
      <c r="AL382" s="39">
        <v>25.746742000000001</v>
      </c>
      <c r="AM382" s="36">
        <f>IF(ISBLANK(AL383),"",Short1[[#This Row],[Adj Close]]/AL383-1)</f>
        <v>8.3472350957830788E-2</v>
      </c>
      <c r="AN382" s="29">
        <v>42422</v>
      </c>
      <c r="AO382" s="44">
        <v>39.206176999999997</v>
      </c>
      <c r="AP382" s="33">
        <f>IF(ISBLANK(AO383),"",Short2[[#This Row],[Adj Close]]/AO383-1)</f>
        <v>5.6792487820498394E-2</v>
      </c>
      <c r="AQ382" s="37">
        <v>42422</v>
      </c>
      <c r="AR382" s="39">
        <v>41.509998000000003</v>
      </c>
      <c r="AS382" s="36">
        <f>IF(ISBLANK(AR383),"",Short3[[#This Row],[Adj Close]]/AR383-1)</f>
        <v>0.19144655568312285</v>
      </c>
    </row>
    <row r="383" spans="1:45" x14ac:dyDescent="0.25">
      <c r="A383" s="37">
        <v>42415</v>
      </c>
      <c r="B383" s="39">
        <v>1917.780029</v>
      </c>
      <c r="C383" s="36">
        <f>IF(ISBLANK(B384), "", GSPC[[#This Row],[Adj Close]]/B384-1)</f>
        <v>2.8421582801067213E-2</v>
      </c>
      <c r="D38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48220.999963000002</v>
      </c>
      <c r="E38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15133.102696999998</v>
      </c>
      <c r="F383" s="11">
        <f>IF(ISBLANK(GSPC[[#This Row],[Long Exp.]]), "", (GSPC[[#This Row],[Long Exp.]]/D384-1)+(E384/GSPC[[#This Row],[Short Exp.]]-1))</f>
        <v>2.1300888067108503E-2</v>
      </c>
      <c r="G383" s="37">
        <v>42415</v>
      </c>
      <c r="H383">
        <v>41.517014000000003</v>
      </c>
      <c r="I383" s="36">
        <f>IF(ISBLANK(H384), "", Long0[[#This Row],[Adj Close]]/H384-1)</f>
        <v>8.3910949475856533E-2</v>
      </c>
      <c r="J383" s="29">
        <v>42415</v>
      </c>
      <c r="K383">
        <v>8.9956610000000001</v>
      </c>
      <c r="L383" s="33">
        <f>IF(ISBLANK(K384),"",Long1[[#This Row],[Adj Close]]/K384-1)</f>
        <v>0.12208805554869495</v>
      </c>
      <c r="M383" s="37">
        <v>42415</v>
      </c>
      <c r="N383">
        <v>21.732787999999999</v>
      </c>
      <c r="O383" s="36">
        <f>IF(ISBLANK(N384),"",Long2[[#This Row],[Adj Close]]/N384-1)</f>
        <v>6.5037040696151793E-2</v>
      </c>
      <c r="P383" s="29">
        <v>42415</v>
      </c>
      <c r="Q383">
        <v>25.579985000000001</v>
      </c>
      <c r="R383" s="33">
        <f>IF(ISBLANK(Q384),"",Long3[[#This Row],[Adj Close]]/Q384-1)</f>
        <v>1.4549432700748044E-2</v>
      </c>
      <c r="S383" s="37">
        <v>42415</v>
      </c>
      <c r="T383" s="35">
        <v>23.336119</v>
      </c>
      <c r="U383" s="36">
        <f>IF(ISBLANK(T384),"",Long4[[#This Row],[Adj Close]]/T384-1)</f>
        <v>7.273463192279439E-2</v>
      </c>
      <c r="V383" s="29">
        <v>42415</v>
      </c>
      <c r="W383">
        <v>16.528448000000001</v>
      </c>
      <c r="X383" s="33">
        <f>IF(ISBLANK(W384),"",Long5[[#This Row],[Adj Close]]/W384-1)</f>
        <v>3.0955650273494006E-2</v>
      </c>
      <c r="Y383" s="37">
        <v>42415</v>
      </c>
      <c r="Z383" s="35">
        <v>46.211227000000001</v>
      </c>
      <c r="AA383" s="36">
        <f>IF(ISBLANK(Z384),"",Long6[[#This Row],[Adj Close]]/Z384-1)</f>
        <v>5.6124740355278702E-2</v>
      </c>
      <c r="AH383" s="29">
        <v>42415</v>
      </c>
      <c r="AI383" s="44">
        <v>36.968482999999999</v>
      </c>
      <c r="AJ383" s="33">
        <f>IF(ISBLANK(AI384),"",Short0[[#This Row],[Adj Close]]/AI384-1)</f>
        <v>4.0145290935117872E-2</v>
      </c>
      <c r="AK383" s="37">
        <v>42415</v>
      </c>
      <c r="AL383" s="39">
        <v>23.763173999999999</v>
      </c>
      <c r="AM383" s="36">
        <f>IF(ISBLANK(AL384),"",Short1[[#This Row],[Adj Close]]/AL384-1)</f>
        <v>6.5078399872494419E-2</v>
      </c>
      <c r="AN383" s="29">
        <v>42415</v>
      </c>
      <c r="AO383" s="44">
        <v>37.099220000000003</v>
      </c>
      <c r="AP383" s="33">
        <f>IF(ISBLANK(AO384),"",Short2[[#This Row],[Adj Close]]/AO384-1)</f>
        <v>6.8012892320854501E-3</v>
      </c>
      <c r="AQ383" s="37">
        <v>42415</v>
      </c>
      <c r="AR383" s="39">
        <v>34.840000000000003</v>
      </c>
      <c r="AS383" s="36">
        <f>IF(ISBLANK(AR384),"",Short3[[#This Row],[Adj Close]]/AR384-1)</f>
        <v>0.11238825031928501</v>
      </c>
    </row>
    <row r="384" spans="1:45" x14ac:dyDescent="0.25">
      <c r="A384" s="37">
        <v>42408</v>
      </c>
      <c r="B384" s="39">
        <v>1864.780029</v>
      </c>
      <c r="C384" s="36">
        <f>IF(ISBLANK(B385), "", GSPC[[#This Row],[Adj Close]]/B385-1)</f>
        <v>-8.1221348379113545E-3</v>
      </c>
      <c r="D38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45302.150051000004</v>
      </c>
      <c r="E38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14480.414599</v>
      </c>
      <c r="F384" s="11">
        <f>IF(ISBLANK(GSPC[[#This Row],[Long Exp.]]), "", (GSPC[[#This Row],[Long Exp.]]/D385-1)+(E385/GSPC[[#This Row],[Short Exp.]]-1))</f>
        <v>-0.1175105198253128</v>
      </c>
      <c r="G384" s="37">
        <v>42408</v>
      </c>
      <c r="H384">
        <v>38.302975000000004</v>
      </c>
      <c r="I384" s="36">
        <f>IF(ISBLANK(H385), "", Long0[[#This Row],[Adj Close]]/H385-1)</f>
        <v>-0.18602844097494231</v>
      </c>
      <c r="J384" s="29">
        <v>42408</v>
      </c>
      <c r="K384">
        <v>8.0168940000000006</v>
      </c>
      <c r="L384" s="33">
        <f>IF(ISBLANK(K385),"",Long1[[#This Row],[Adj Close]]/K385-1)</f>
        <v>-4.2148759836863059E-2</v>
      </c>
      <c r="M384" s="37">
        <v>42408</v>
      </c>
      <c r="N384">
        <v>20.405664000000002</v>
      </c>
      <c r="O384" s="36">
        <f>IF(ISBLANK(N385),"",Long2[[#This Row],[Adj Close]]/N385-1)</f>
        <v>-7.8439352940506968E-2</v>
      </c>
      <c r="P384" s="29">
        <v>42408</v>
      </c>
      <c r="Q384">
        <v>25.213148</v>
      </c>
      <c r="R384" s="33">
        <f>IF(ISBLANK(Q385),"",Long3[[#This Row],[Adj Close]]/Q385-1)</f>
        <v>-1.161503303816025E-2</v>
      </c>
      <c r="S384" s="37">
        <v>42408</v>
      </c>
      <c r="T384" s="35">
        <v>21.75386</v>
      </c>
      <c r="U384" s="36">
        <f>IF(ISBLANK(T385),"",Long4[[#This Row],[Adj Close]]/T385-1)</f>
        <v>-2.5184232134730311E-2</v>
      </c>
      <c r="V384" s="29">
        <v>42408</v>
      </c>
      <c r="W384">
        <v>16.032162</v>
      </c>
      <c r="X384" s="33">
        <f>IF(ISBLANK(W385),"",Long5[[#This Row],[Adj Close]]/W385-1)</f>
        <v>-4.5804719766891155E-2</v>
      </c>
      <c r="Y384" s="37">
        <v>42408</v>
      </c>
      <c r="Z384" s="35">
        <v>43.755462999999999</v>
      </c>
      <c r="AA384" s="36">
        <f>IF(ISBLANK(Z385),"",Long6[[#This Row],[Adj Close]]/Z385-1)</f>
        <v>-1.1448504851735986E-2</v>
      </c>
      <c r="AH384" s="29">
        <v>42408</v>
      </c>
      <c r="AI384" s="44">
        <v>35.541652999999997</v>
      </c>
      <c r="AJ384" s="33">
        <f>IF(ISBLANK(AI385),"",Short0[[#This Row],[Adj Close]]/AI385-1)</f>
        <v>5.0261914983449341E-2</v>
      </c>
      <c r="AK384" s="37">
        <v>42408</v>
      </c>
      <c r="AL384" s="39">
        <v>22.311197</v>
      </c>
      <c r="AM384" s="36">
        <f>IF(ISBLANK(AL385),"",Short1[[#This Row],[Adj Close]]/AL385-1)</f>
        <v>-2.836645695627471E-3</v>
      </c>
      <c r="AN384" s="29">
        <v>42408</v>
      </c>
      <c r="AO384" s="44">
        <v>36.848602</v>
      </c>
      <c r="AP384" s="33">
        <f>IF(ISBLANK(AO385),"",Short2[[#This Row],[Adj Close]]/AO385-1)</f>
        <v>4.3006685571129744E-3</v>
      </c>
      <c r="AQ384" s="37">
        <v>42408</v>
      </c>
      <c r="AR384" s="39">
        <v>31.32</v>
      </c>
      <c r="AS384" s="36">
        <f>IF(ISBLANK(AR385),"",Short3[[#This Row],[Adj Close]]/AR385-1)</f>
        <v>-0.13552304719845421</v>
      </c>
    </row>
    <row r="385" spans="1:45" x14ac:dyDescent="0.25">
      <c r="A385" s="37">
        <v>42401</v>
      </c>
      <c r="B385" s="39">
        <v>1880.0500489999999</v>
      </c>
      <c r="C385" s="36">
        <f>IF(ISBLANK(B386), "", GSPC[[#This Row],[Adj Close]]/B386-1)</f>
        <v>-3.1021905181946141E-2</v>
      </c>
      <c r="D38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51610.755229000009</v>
      </c>
      <c r="E38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14548.817074000002</v>
      </c>
      <c r="F385" s="11">
        <f>IF(ISBLANK(GSPC[[#This Row],[Long Exp.]]), "", (GSPC[[#This Row],[Long Exp.]]/D386-1)+(E386/GSPC[[#This Row],[Short Exp.]]-1))</f>
        <v>8.6751284707971665E-2</v>
      </c>
      <c r="G385" s="37">
        <v>42401</v>
      </c>
      <c r="H385">
        <v>47.056896000000002</v>
      </c>
      <c r="I385" s="36">
        <f>IF(ISBLANK(H386), "", Long0[[#This Row],[Adj Close]]/H386-1)</f>
        <v>-2.4672480991465684E-2</v>
      </c>
      <c r="J385" s="29">
        <v>42401</v>
      </c>
      <c r="K385">
        <v>8.3696649999999995</v>
      </c>
      <c r="L385" s="33">
        <f>IF(ISBLANK(K386),"",Long1[[#This Row],[Adj Close]]/K386-1)</f>
        <v>5.9080989659058281E-2</v>
      </c>
      <c r="M385" s="37">
        <v>42401</v>
      </c>
      <c r="N385">
        <v>22.142507999999999</v>
      </c>
      <c r="O385" s="36">
        <f>IF(ISBLANK(N386),"",Long2[[#This Row],[Adj Close]]/N386-1)</f>
        <v>3.1535221074328046E-2</v>
      </c>
      <c r="P385" s="29">
        <v>42401</v>
      </c>
      <c r="Q385">
        <v>25.509440999999999</v>
      </c>
      <c r="R385" s="33">
        <f>IF(ISBLANK(Q386),"",Long3[[#This Row],[Adj Close]]/Q386-1)</f>
        <v>3.137465159514008E-2</v>
      </c>
      <c r="S385" s="37">
        <v>42401</v>
      </c>
      <c r="T385" s="35">
        <v>22.315867999999998</v>
      </c>
      <c r="U385" s="36">
        <f>IF(ISBLANK(T386),"",Long4[[#This Row],[Adj Close]]/T386-1)</f>
        <v>-3.3695249425316876E-2</v>
      </c>
      <c r="V385" s="29">
        <v>42401</v>
      </c>
      <c r="W385">
        <v>16.801762</v>
      </c>
      <c r="X385" s="33">
        <f>IF(ISBLANK(W386),"",Long5[[#This Row],[Adj Close]]/W386-1)</f>
        <v>-3.7098371004341435E-2</v>
      </c>
      <c r="Y385" s="37">
        <v>42401</v>
      </c>
      <c r="Z385" s="35">
        <v>44.262199000000003</v>
      </c>
      <c r="AA385" s="36">
        <f>IF(ISBLANK(Z386),"",Long6[[#This Row],[Adj Close]]/Z386-1)</f>
        <v>-7.4949312833924364E-2</v>
      </c>
      <c r="AH385" s="29">
        <v>42401</v>
      </c>
      <c r="AI385" s="44">
        <v>33.840752000000002</v>
      </c>
      <c r="AJ385" s="33">
        <f>IF(ISBLANK(AI386),"",Short0[[#This Row],[Adj Close]]/AI386-1)</f>
        <v>-6.9179521711386527E-2</v>
      </c>
      <c r="AK385" s="37">
        <v>42401</v>
      </c>
      <c r="AL385" s="39">
        <v>22.374666000000001</v>
      </c>
      <c r="AM385" s="36">
        <f>IF(ISBLANK(AL386),"",Short1[[#This Row],[Adj Close]]/AL386-1)</f>
        <v>9.6667729521329182E-3</v>
      </c>
      <c r="AN385" s="29">
        <v>42401</v>
      </c>
      <c r="AO385" s="44">
        <v>36.690807</v>
      </c>
      <c r="AP385" s="33">
        <f>IF(ISBLANK(AO386),"",Short2[[#This Row],[Adj Close]]/AO386-1)</f>
        <v>-6.1234416584606488E-2</v>
      </c>
      <c r="AQ385" s="37">
        <v>42401</v>
      </c>
      <c r="AR385" s="39">
        <v>36.229999999999997</v>
      </c>
      <c r="AS385" s="36">
        <f>IF(ISBLANK(AR386),"",Short3[[#This Row],[Adj Close]]/AR386-1)</f>
        <v>-0.21732557318372059</v>
      </c>
    </row>
    <row r="386" spans="1:45" x14ac:dyDescent="0.25">
      <c r="A386" s="37">
        <v>42394</v>
      </c>
      <c r="B386" s="39">
        <v>1940.23999</v>
      </c>
      <c r="C386" s="36">
        <f>IF(ISBLANK(B387), "", GSPC[[#This Row],[Adj Close]]/B387-1)</f>
        <v>1.7483856301005574E-2</v>
      </c>
      <c r="D38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52129.981944999992</v>
      </c>
      <c r="E38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15955.855240000001</v>
      </c>
      <c r="F386" s="11">
        <f>IF(ISBLANK(GSPC[[#This Row],[Long Exp.]]), "", (GSPC[[#This Row],[Long Exp.]]/D387-1)+(E387/GSPC[[#This Row],[Short Exp.]]-1))</f>
        <v>-3.1241129995793093E-2</v>
      </c>
      <c r="G386" s="37">
        <v>42394</v>
      </c>
      <c r="H386">
        <v>48.247275999999999</v>
      </c>
      <c r="I386" s="36">
        <f>IF(ISBLANK(H387), "", Long0[[#This Row],[Adj Close]]/H387-1)</f>
        <v>-7.908189251878639E-3</v>
      </c>
      <c r="J386" s="29">
        <v>42394</v>
      </c>
      <c r="K386">
        <v>7.9027620000000001</v>
      </c>
      <c r="L386" s="33">
        <f>IF(ISBLANK(K387),"",Long1[[#This Row],[Adj Close]]/K387-1)</f>
        <v>7.0759077642600587E-2</v>
      </c>
      <c r="M386" s="37">
        <v>42394</v>
      </c>
      <c r="N386">
        <v>21.465585999999998</v>
      </c>
      <c r="O386" s="36">
        <f>IF(ISBLANK(N387),"",Long2[[#This Row],[Adj Close]]/N387-1)</f>
        <v>1.0482272863531872E-2</v>
      </c>
      <c r="P386" s="29">
        <v>42394</v>
      </c>
      <c r="Q386">
        <v>24.733438</v>
      </c>
      <c r="R386" s="33">
        <f>IF(ISBLANK(Q387),"",Long3[[#This Row],[Adj Close]]/Q387-1)</f>
        <v>3.0873516981144933E-2</v>
      </c>
      <c r="S386" s="37">
        <v>42394</v>
      </c>
      <c r="T386" s="35">
        <v>23.094027000000001</v>
      </c>
      <c r="U386" s="36">
        <f>IF(ISBLANK(T387),"",Long4[[#This Row],[Adj Close]]/T387-1)</f>
        <v>3.7452273367288846E-4</v>
      </c>
      <c r="V386" s="29">
        <v>42394</v>
      </c>
      <c r="W386">
        <v>17.449095</v>
      </c>
      <c r="X386" s="33">
        <f>IF(ISBLANK(W387),"",Long5[[#This Row],[Adj Close]]/W387-1)</f>
        <v>-5.6030702395025833E-2</v>
      </c>
      <c r="Y386" s="37">
        <v>42394</v>
      </c>
      <c r="Z386" s="35">
        <v>47.848404000000002</v>
      </c>
      <c r="AA386" s="36">
        <f>IF(ISBLANK(Z387),"",Long6[[#This Row],[Adj Close]]/Z387-1)</f>
        <v>6.3461403398033633E-2</v>
      </c>
      <c r="AH386" s="29">
        <v>42394</v>
      </c>
      <c r="AI386" s="44">
        <v>36.355831000000002</v>
      </c>
      <c r="AJ386" s="33">
        <f>IF(ISBLANK(AI387),"",Short0[[#This Row],[Adj Close]]/AI387-1)</f>
        <v>0.15552117199810467</v>
      </c>
      <c r="AK386" s="37">
        <v>42394</v>
      </c>
      <c r="AL386" s="39">
        <v>22.160446</v>
      </c>
      <c r="AM386" s="36">
        <f>IF(ISBLANK(AL387),"",Short1[[#This Row],[Adj Close]]/AL387-1)</f>
        <v>2.4202253319774325E-2</v>
      </c>
      <c r="AN386" s="29">
        <v>42394</v>
      </c>
      <c r="AO386" s="44">
        <v>39.084099000000002</v>
      </c>
      <c r="AP386" s="33">
        <f>IF(ISBLANK(AO387),"",Short2[[#This Row],[Adj Close]]/AO387-1)</f>
        <v>-1.4214965578714933E-3</v>
      </c>
      <c r="AQ386" s="37">
        <v>42394</v>
      </c>
      <c r="AR386" s="39">
        <v>46.290000999999997</v>
      </c>
      <c r="AS386" s="36">
        <f>IF(ISBLANK(AR387),"",Short3[[#This Row],[Adj Close]]/AR387-1)</f>
        <v>-7.8439159864622798E-2</v>
      </c>
    </row>
    <row r="387" spans="1:45" x14ac:dyDescent="0.25">
      <c r="A387" s="37">
        <v>42387</v>
      </c>
      <c r="B387" s="39">
        <v>1906.900024</v>
      </c>
      <c r="C387" s="36">
        <f>IF(ISBLANK(B388), "", GSPC[[#This Row],[Adj Close]]/B388-1)</f>
        <v>1.4130534864488453E-2</v>
      </c>
      <c r="D38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51957.102134999994</v>
      </c>
      <c r="E38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15404.285470999999</v>
      </c>
      <c r="F387" s="11">
        <f>IF(ISBLANK(GSPC[[#This Row],[Long Exp.]]), "", (GSPC[[#This Row],[Long Exp.]]/D388-1)+(E388/GSPC[[#This Row],[Short Exp.]]-1))</f>
        <v>2.7492445562491086E-2</v>
      </c>
      <c r="G387" s="37">
        <v>42387</v>
      </c>
      <c r="H387">
        <v>48.631866000000002</v>
      </c>
      <c r="I387" s="36">
        <f>IF(ISBLANK(H388), "", Long0[[#This Row],[Adj Close]]/H388-1)</f>
        <v>6.8396713102463647E-2</v>
      </c>
      <c r="J387" s="29">
        <v>42387</v>
      </c>
      <c r="K387">
        <v>7.3805230000000002</v>
      </c>
      <c r="L387" s="33">
        <f>IF(ISBLANK(K388),"",Long1[[#This Row],[Adj Close]]/K388-1)</f>
        <v>-5.5918693898403538E-3</v>
      </c>
      <c r="M387" s="37">
        <v>42387</v>
      </c>
      <c r="N387">
        <v>21.242912</v>
      </c>
      <c r="O387" s="36">
        <f>IF(ISBLANK(N388),"",Long2[[#This Row],[Adj Close]]/N388-1)</f>
        <v>-6.3604084365817326E-2</v>
      </c>
      <c r="P387" s="29">
        <v>42387</v>
      </c>
      <c r="Q387">
        <v>23.992699000000002</v>
      </c>
      <c r="R387" s="33">
        <f>IF(ISBLANK(Q388),"",Long3[[#This Row],[Adj Close]]/Q388-1)</f>
        <v>2.1628016795565808E-2</v>
      </c>
      <c r="S387" s="37">
        <v>42387</v>
      </c>
      <c r="T387" s="35">
        <v>23.085381000000002</v>
      </c>
      <c r="U387" s="36">
        <f>IF(ISBLANK(T388),"",Long4[[#This Row],[Adj Close]]/T388-1)</f>
        <v>3.6088449839784875E-2</v>
      </c>
      <c r="V387" s="29">
        <v>42387</v>
      </c>
      <c r="W387">
        <v>18.484812000000002</v>
      </c>
      <c r="X387" s="33">
        <f>IF(ISBLANK(W388),"",Long5[[#This Row],[Adj Close]]/W388-1)</f>
        <v>5.8048199751457918E-2</v>
      </c>
      <c r="Y387" s="37">
        <v>42387</v>
      </c>
      <c r="Z387" s="35">
        <v>44.993079999999999</v>
      </c>
      <c r="AA387" s="36">
        <f>IF(ISBLANK(Z388),"",Long6[[#This Row],[Adj Close]]/Z388-1)</f>
        <v>2.2364713812578874E-2</v>
      </c>
      <c r="AH387" s="29">
        <v>42387</v>
      </c>
      <c r="AI387" s="44">
        <v>31.462713000000001</v>
      </c>
      <c r="AJ387" s="33">
        <f>IF(ISBLANK(AI388),"",Short0[[#This Row],[Adj Close]]/AI388-1)</f>
        <v>8.0062951068748944E-3</v>
      </c>
      <c r="AK387" s="37">
        <v>42387</v>
      </c>
      <c r="AL387" s="39">
        <v>21.636787000000002</v>
      </c>
      <c r="AM387" s="36">
        <f>IF(ISBLANK(AL388),"",Short1[[#This Row],[Adj Close]]/AL388-1)</f>
        <v>5.9019975791541057E-3</v>
      </c>
      <c r="AN387" s="29">
        <v>42387</v>
      </c>
      <c r="AO387" s="44">
        <v>39.139735999999999</v>
      </c>
      <c r="AP387" s="33">
        <f>IF(ISBLANK(AO388),"",Short2[[#This Row],[Adj Close]]/AO388-1)</f>
        <v>3.1777375842918287E-2</v>
      </c>
      <c r="AQ387" s="37">
        <v>42387</v>
      </c>
      <c r="AR387" s="39">
        <v>50.23</v>
      </c>
      <c r="AS387" s="36">
        <f>IF(ISBLANK(AR388),"",Short3[[#This Row],[Adj Close]]/AR388-1)</f>
        <v>-4.9524564183834885E-3</v>
      </c>
    </row>
    <row r="388" spans="1:45" x14ac:dyDescent="0.25">
      <c r="A388" s="37">
        <v>42380</v>
      </c>
      <c r="B388" s="39">
        <v>1880.329956</v>
      </c>
      <c r="C388" s="36">
        <f>IF(ISBLANK(B389), "", GSPC[[#This Row],[Adj Close]]/B389-1)</f>
        <v>-2.1695848852942179E-2</v>
      </c>
      <c r="D38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50009.52048900001</v>
      </c>
      <c r="E38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15227.879106</v>
      </c>
      <c r="F388" s="11">
        <f>IF(ISBLANK(GSPC[[#This Row],[Long Exp.]]), "", (GSPC[[#This Row],[Long Exp.]]/D389-1)+(E389/GSPC[[#This Row],[Short Exp.]]-1))</f>
        <v>3.1350881879787185E-2</v>
      </c>
      <c r="G388" s="37">
        <v>42380</v>
      </c>
      <c r="H388">
        <v>45.518546999999998</v>
      </c>
      <c r="I388" s="36">
        <f>IF(ISBLANK(H389), "", Long0[[#This Row],[Adj Close]]/H389-1)</f>
        <v>5.8681640850510863E-3</v>
      </c>
      <c r="J388" s="29">
        <v>42380</v>
      </c>
      <c r="K388">
        <v>7.4220259999999998</v>
      </c>
      <c r="L388" s="33">
        <f>IF(ISBLANK(K389),"",Long1[[#This Row],[Adj Close]]/K389-1)</f>
        <v>-7.6989179595239765E-2</v>
      </c>
      <c r="M388" s="37">
        <v>42380</v>
      </c>
      <c r="N388">
        <v>22.685822999999999</v>
      </c>
      <c r="O388" s="36">
        <f>IF(ISBLANK(N389),"",Long2[[#This Row],[Adj Close]]/N389-1)</f>
        <v>2.2480734475555542E-2</v>
      </c>
      <c r="P388" s="29">
        <v>42380</v>
      </c>
      <c r="Q388">
        <v>23.484770000000001</v>
      </c>
      <c r="R388" s="33">
        <f>IF(ISBLANK(Q389),"",Long3[[#This Row],[Adj Close]]/Q389-1)</f>
        <v>-2.9946115332216694E-3</v>
      </c>
      <c r="S388" s="37">
        <v>42380</v>
      </c>
      <c r="T388" s="35">
        <v>22.281283999999999</v>
      </c>
      <c r="U388" s="36">
        <f>IF(ISBLANK(T389),"",Long4[[#This Row],[Adj Close]]/T389-1)</f>
        <v>1.8979736276899084E-2</v>
      </c>
      <c r="V388" s="29">
        <v>42380</v>
      </c>
      <c r="W388">
        <v>17.470670999999999</v>
      </c>
      <c r="X388" s="33">
        <f>IF(ISBLANK(W389),"",Long5[[#This Row],[Adj Close]]/W389-1)</f>
        <v>0.10308832664202638</v>
      </c>
      <c r="Y388" s="37">
        <v>42380</v>
      </c>
      <c r="Z388" s="35">
        <v>44.008834999999998</v>
      </c>
      <c r="AA388" s="36">
        <f>IF(ISBLANK(Z389),"",Long6[[#This Row],[Adj Close]]/Z389-1)</f>
        <v>-0.10075649610801773</v>
      </c>
      <c r="AH388" s="29">
        <v>42380</v>
      </c>
      <c r="AI388" s="44">
        <v>31.212814000000002</v>
      </c>
      <c r="AJ388" s="33">
        <f>IF(ISBLANK(AI389),"",Short0[[#This Row],[Adj Close]]/AI389-1)</f>
        <v>-7.4339073702278657E-3</v>
      </c>
      <c r="AK388" s="37">
        <v>42380</v>
      </c>
      <c r="AL388" s="39">
        <v>21.509836</v>
      </c>
      <c r="AM388" s="36">
        <f>IF(ISBLANK(AL389),"",Short1[[#This Row],[Adj Close]]/AL389-1)</f>
        <v>-6.3557706791631197E-2</v>
      </c>
      <c r="AN388" s="29">
        <v>42380</v>
      </c>
      <c r="AO388" s="44">
        <v>37.934283999999998</v>
      </c>
      <c r="AP388" s="33">
        <f>IF(ISBLANK(AO389),"",Short2[[#This Row],[Adj Close]]/AO389-1)</f>
        <v>-2.8497135709129373E-2</v>
      </c>
      <c r="AQ388" s="37">
        <v>42380</v>
      </c>
      <c r="AR388" s="39">
        <v>50.48</v>
      </c>
      <c r="AS388" s="36">
        <f>IF(ISBLANK(AR389),"",Short3[[#This Row],[Adj Close]]/AR389-1)</f>
        <v>-2.9417382404052561E-2</v>
      </c>
    </row>
    <row r="389" spans="1:45" x14ac:dyDescent="0.25">
      <c r="A389" s="37">
        <v>42373</v>
      </c>
      <c r="B389" s="39">
        <v>1922.030029</v>
      </c>
      <c r="C389" s="36">
        <f>IF(ISBLANK(B390), "", GSPC[[#This Row],[Adj Close]]/B390-1)</f>
        <v>-5.9644566630639551E-2</v>
      </c>
      <c r="D38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49806.733907999995</v>
      </c>
      <c r="E38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15643.286705000002</v>
      </c>
      <c r="F389" s="11">
        <f>IF(ISBLANK(GSPC[[#This Row],[Long Exp.]]), "", (GSPC[[#This Row],[Long Exp.]]/D390-1)+(E390/GSPC[[#This Row],[Short Exp.]]-1))</f>
        <v>5.0602973596484802E-2</v>
      </c>
      <c r="G389" s="37">
        <v>42373</v>
      </c>
      <c r="H389">
        <v>45.252994999999999</v>
      </c>
      <c r="I389" s="36">
        <f>IF(ISBLANK(H390), "", Long0[[#This Row],[Adj Close]]/H390-1)</f>
        <v>-8.599973327096877E-2</v>
      </c>
      <c r="J389" s="29">
        <v>42373</v>
      </c>
      <c r="K389">
        <v>8.0411040000000007</v>
      </c>
      <c r="L389" s="33">
        <f>IF(ISBLANK(K390),"",Long1[[#This Row],[Adj Close]]/K390-1)</f>
        <v>-0.14678901418852086</v>
      </c>
      <c r="M389" s="37">
        <v>42373</v>
      </c>
      <c r="N389">
        <v>22.187042000000002</v>
      </c>
      <c r="O389" s="36">
        <f>IF(ISBLANK(N390),"",Long2[[#This Row],[Adj Close]]/N390-1)</f>
        <v>-9.7136597354489429E-2</v>
      </c>
      <c r="P389" s="29">
        <v>42373</v>
      </c>
      <c r="Q389">
        <v>23.555309000000001</v>
      </c>
      <c r="R389" s="33">
        <f>IF(ISBLANK(Q390),"",Long3[[#This Row],[Adj Close]]/Q390-1)</f>
        <v>-2.1682235926197779E-2</v>
      </c>
      <c r="S389" s="37">
        <v>42373</v>
      </c>
      <c r="T389" s="35">
        <v>21.866268000000002</v>
      </c>
      <c r="U389" s="36">
        <f>IF(ISBLANK(T390),"",Long4[[#This Row],[Adj Close]]/T390-1)</f>
        <v>-9.3873001471806328E-2</v>
      </c>
      <c r="V389" s="29">
        <v>42373</v>
      </c>
      <c r="W389">
        <v>15.837961999999999</v>
      </c>
      <c r="X389" s="33">
        <f>IF(ISBLANK(W390),"",Long5[[#This Row],[Adj Close]]/W390-1)</f>
        <v>-3.4634034723757146E-2</v>
      </c>
      <c r="Y389" s="37">
        <v>42373</v>
      </c>
      <c r="Z389" s="35">
        <v>48.939841999999999</v>
      </c>
      <c r="AA389" s="36">
        <f>IF(ISBLANK(Z390),"",Long6[[#This Row],[Adj Close]]/Z390-1)</f>
        <v>-7.7516706162298887E-2</v>
      </c>
      <c r="AH389" s="29">
        <v>42373</v>
      </c>
      <c r="AI389" s="44">
        <v>31.446584999999999</v>
      </c>
      <c r="AJ389" s="33">
        <f>IF(ISBLANK(AI390),"",Short0[[#This Row],[Adj Close]]/AI390-1)</f>
        <v>-0.11017337629186719</v>
      </c>
      <c r="AK389" s="37">
        <v>42373</v>
      </c>
      <c r="AL389" s="39">
        <v>22.969740000000002</v>
      </c>
      <c r="AM389" s="36">
        <f>IF(ISBLANK(AL390),"",Short1[[#This Row],[Adj Close]]/AL390-1)</f>
        <v>-4.9261124319186389E-2</v>
      </c>
      <c r="AN389" s="29">
        <v>42373</v>
      </c>
      <c r="AO389" s="44">
        <v>39.047012000000002</v>
      </c>
      <c r="AP389" s="33">
        <f>IF(ISBLANK(AO390),"",Short2[[#This Row],[Adj Close]]/AO390-1)</f>
        <v>-0.13903070061187084</v>
      </c>
      <c r="AQ389" s="37">
        <v>42373</v>
      </c>
      <c r="AR389" s="39">
        <v>52.009998000000003</v>
      </c>
      <c r="AS389" s="36">
        <f>IF(ISBLANK(AR390),"",Short3[[#This Row],[Adj Close]]/AR390-1)</f>
        <v>-0.11562664316227433</v>
      </c>
    </row>
    <row r="390" spans="1:45" x14ac:dyDescent="0.25">
      <c r="A390" s="37">
        <v>42366</v>
      </c>
      <c r="B390" s="39">
        <v>2043.9399410000001</v>
      </c>
      <c r="C390" s="36">
        <f>IF(ISBLANK(B391), "", GSPC[[#This Row],[Adj Close]]/B391-1)</f>
        <v>-8.2727471180003009E-3</v>
      </c>
      <c r="D39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53918.641257999996</v>
      </c>
      <c r="E39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17627.861395</v>
      </c>
      <c r="F390" s="11">
        <f>IF(ISBLANK(GSPC[[#This Row],[Long Exp.]]), "", (GSPC[[#This Row],[Long Exp.]]/D391-1)+(E391/GSPC[[#This Row],[Short Exp.]]-1))</f>
        <v>-2.2179503694099267E-2</v>
      </c>
      <c r="G390" s="37">
        <v>42366</v>
      </c>
      <c r="H390">
        <v>49.510921000000003</v>
      </c>
      <c r="I390" s="36">
        <f>IF(ISBLANK(H391), "", Long0[[#This Row],[Adj Close]]/H391-1)</f>
        <v>-1.3681188684298795E-2</v>
      </c>
      <c r="J390" s="29">
        <v>42366</v>
      </c>
      <c r="K390">
        <v>9.4245199999999993</v>
      </c>
      <c r="L390" s="33">
        <f>IF(ISBLANK(K391),"",Long1[[#This Row],[Adj Close]]/K391-1)</f>
        <v>-2.2246097577650947E-2</v>
      </c>
      <c r="M390" s="37">
        <v>42366</v>
      </c>
      <c r="N390">
        <v>24.574085</v>
      </c>
      <c r="O390" s="36">
        <f>IF(ISBLANK(N391),"",Long2[[#This Row],[Adj Close]]/N391-1)</f>
        <v>-7.2604960780201733E-2</v>
      </c>
      <c r="P390" s="29">
        <v>42366</v>
      </c>
      <c r="Q390">
        <v>24.077359999999999</v>
      </c>
      <c r="R390" s="33">
        <f>IF(ISBLANK(Q391),"",Long3[[#This Row],[Adj Close]]/Q391-1)</f>
        <v>-3.7942718840912049E-3</v>
      </c>
      <c r="S390" s="37">
        <v>42366</v>
      </c>
      <c r="T390" s="35">
        <v>24.131571000000001</v>
      </c>
      <c r="U390" s="36">
        <f>IF(ISBLANK(T391),"",Long4[[#This Row],[Adj Close]]/T391-1)</f>
        <v>-1.0283847124442302E-2</v>
      </c>
      <c r="V390" s="29">
        <v>42366</v>
      </c>
      <c r="W390">
        <v>16.406174</v>
      </c>
      <c r="X390" s="33">
        <f>IF(ISBLANK(W391),"",Long5[[#This Row],[Adj Close]]/W391-1)</f>
        <v>1.1081348846851968E-2</v>
      </c>
      <c r="Y390" s="37">
        <v>42366</v>
      </c>
      <c r="Z390" s="35">
        <v>53.052280000000003</v>
      </c>
      <c r="AA390" s="36">
        <f>IF(ISBLANK(Z391),"",Long6[[#This Row],[Adj Close]]/Z391-1)</f>
        <v>3.4194820557755357E-2</v>
      </c>
      <c r="AH390" s="29">
        <v>42366</v>
      </c>
      <c r="AI390" s="44">
        <v>35.340125999999998</v>
      </c>
      <c r="AJ390" s="33">
        <f>IF(ISBLANK(AI391),"",Short0[[#This Row],[Adj Close]]/AI391-1)</f>
        <v>-1.1722318563882728E-2</v>
      </c>
      <c r="AK390" s="37">
        <v>42366</v>
      </c>
      <c r="AL390" s="39">
        <v>24.159883000000001</v>
      </c>
      <c r="AM390" s="36">
        <f>IF(ISBLANK(AL391),"",Short1[[#This Row],[Adj Close]]/AL391-1)</f>
        <v>-1.639410243725159E-3</v>
      </c>
      <c r="AN390" s="29">
        <v>42366</v>
      </c>
      <c r="AO390" s="44">
        <v>45.352386000000003</v>
      </c>
      <c r="AP390" s="33">
        <f>IF(ISBLANK(AO391),"",Short2[[#This Row],[Adj Close]]/AO391-1)</f>
        <v>6.1361856373998158E-4</v>
      </c>
      <c r="AQ390" s="37">
        <v>42366</v>
      </c>
      <c r="AR390" s="39">
        <v>58.810001</v>
      </c>
      <c r="AS390" s="36">
        <f>IF(ISBLANK(AR391),"",Short3[[#This Row],[Adj Close]]/AR391-1)</f>
        <v>3.5752061214372466E-2</v>
      </c>
    </row>
    <row r="391" spans="1:45" x14ac:dyDescent="0.25">
      <c r="A391" s="37">
        <v>42359</v>
      </c>
      <c r="B391" s="39">
        <v>2060.98999</v>
      </c>
      <c r="C391" s="36">
        <f>IF(ISBLANK(B392), "", GSPC[[#This Row],[Adj Close]]/B392-1)</f>
        <v>2.7643259776859441E-2</v>
      </c>
      <c r="D39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54888.513590000002</v>
      </c>
      <c r="E39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17548.366015</v>
      </c>
      <c r="F391" s="11">
        <f>IF(ISBLANK(GSPC[[#This Row],[Long Exp.]]), "", (GSPC[[#This Row],[Long Exp.]]/D392-1)+(E392/GSPC[[#This Row],[Short Exp.]]-1))</f>
        <v>-2.400448881694317E-2</v>
      </c>
      <c r="G391" s="37">
        <v>42359</v>
      </c>
      <c r="H391">
        <v>50.197685</v>
      </c>
      <c r="I391" s="36">
        <f>IF(ISBLANK(H392), "", Long0[[#This Row],[Adj Close]]/H392-1)</f>
        <v>3.1032616927058276E-2</v>
      </c>
      <c r="J391" s="29">
        <v>42359</v>
      </c>
      <c r="K391">
        <v>9.6389490000000002</v>
      </c>
      <c r="L391" s="33">
        <f>IF(ISBLANK(K392),"",Long1[[#This Row],[Adj Close]]/K392-1)</f>
        <v>6.8225374470996192E-2</v>
      </c>
      <c r="M391" s="37">
        <v>42359</v>
      </c>
      <c r="N391">
        <v>26.497969000000001</v>
      </c>
      <c r="O391" s="36">
        <f>IF(ISBLANK(N392),"",Long2[[#This Row],[Adj Close]]/N392-1)</f>
        <v>4.2396327903068132E-2</v>
      </c>
      <c r="P391" s="29">
        <v>42359</v>
      </c>
      <c r="Q391">
        <v>24.169063999999999</v>
      </c>
      <c r="R391" s="33">
        <f>IF(ISBLANK(Q392),"",Long3[[#This Row],[Adj Close]]/Q392-1)</f>
        <v>1.8430385038058716E-2</v>
      </c>
      <c r="S391" s="37">
        <v>42359</v>
      </c>
      <c r="T391" s="35">
        <v>24.382314999999998</v>
      </c>
      <c r="U391" s="36">
        <f>IF(ISBLANK(T392),"",Long4[[#This Row],[Adj Close]]/T392-1)</f>
        <v>1.4023807168118241E-2</v>
      </c>
      <c r="V391" s="29">
        <v>42359</v>
      </c>
      <c r="W391">
        <v>16.226364</v>
      </c>
      <c r="X391" s="33">
        <f>IF(ISBLANK(W392),"",Long5[[#This Row],[Adj Close]]/W392-1)</f>
        <v>6.693624141691279E-3</v>
      </c>
      <c r="Y391" s="37">
        <v>42359</v>
      </c>
      <c r="Z391" s="35">
        <v>51.298149000000002</v>
      </c>
      <c r="AA391" s="36">
        <f>IF(ISBLANK(Z392),"",Long6[[#This Row],[Adj Close]]/Z392-1)</f>
        <v>3.3372363181245923E-2</v>
      </c>
      <c r="AH391" s="29">
        <v>42359</v>
      </c>
      <c r="AI391" s="44">
        <v>35.759307999999997</v>
      </c>
      <c r="AJ391" s="33">
        <f>IF(ISBLANK(AI392),"",Short0[[#This Row],[Adj Close]]/AI392-1)</f>
        <v>8.5007458508660427E-2</v>
      </c>
      <c r="AK391" s="37">
        <v>42359</v>
      </c>
      <c r="AL391" s="39">
        <v>24.199556000000001</v>
      </c>
      <c r="AM391" s="36">
        <f>IF(ISBLANK(AL392),"",Short1[[#This Row],[Adj Close]]/AL392-1)</f>
        <v>5.0275392034417665E-2</v>
      </c>
      <c r="AN391" s="29">
        <v>42359</v>
      </c>
      <c r="AO391" s="44">
        <v>45.324573999999998</v>
      </c>
      <c r="AP391" s="33">
        <f>IF(ISBLANK(AO392),"",Short2[[#This Row],[Adj Close]]/AO392-1)</f>
        <v>2.9269521066228377E-2</v>
      </c>
      <c r="AQ391" s="37">
        <v>42359</v>
      </c>
      <c r="AR391" s="39">
        <v>56.779998999999997</v>
      </c>
      <c r="AS391" s="36">
        <f>IF(ISBLANK(AR392),"",Short3[[#This Row],[Adj Close]]/AR392-1)</f>
        <v>5.7749608792846407E-2</v>
      </c>
    </row>
    <row r="392" spans="1:45" x14ac:dyDescent="0.25">
      <c r="A392" s="37">
        <v>42352</v>
      </c>
      <c r="B392" s="39">
        <v>2005.5500489999999</v>
      </c>
      <c r="C392" s="36">
        <f>IF(ISBLANK(B393), "", GSPC[[#This Row],[Adj Close]]/B393-1)</f>
        <v>-3.3890119694415244E-3</v>
      </c>
      <c r="D39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53307.687282999999</v>
      </c>
      <c r="E39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16606.733996999999</v>
      </c>
      <c r="F392" s="11">
        <f>IF(ISBLANK(GSPC[[#This Row],[Long Exp.]]), "", (GSPC[[#This Row],[Long Exp.]]/D393-1)+(E393/GSPC[[#This Row],[Short Exp.]]-1))</f>
        <v>1.4956688322588008E-2</v>
      </c>
      <c r="G392" s="37">
        <v>42352</v>
      </c>
      <c r="H392">
        <v>48.686805999999997</v>
      </c>
      <c r="I392" s="36">
        <f>IF(ISBLANK(H393), "", Long0[[#This Row],[Adj Close]]/H393-1)</f>
        <v>1.160580589703275E-2</v>
      </c>
      <c r="J392" s="29">
        <v>42352</v>
      </c>
      <c r="K392">
        <v>9.0233290000000004</v>
      </c>
      <c r="L392" s="33">
        <f>IF(ISBLANK(K393),"",Long1[[#This Row],[Adj Close]]/K393-1)</f>
        <v>-4.1513599112144473E-2</v>
      </c>
      <c r="M392" s="37">
        <v>42352</v>
      </c>
      <c r="N392">
        <v>25.420244</v>
      </c>
      <c r="O392" s="36">
        <f>IF(ISBLANK(N393),"",Long2[[#This Row],[Adj Close]]/N393-1)</f>
        <v>-2.8259933003332294E-2</v>
      </c>
      <c r="P392" s="29">
        <v>42352</v>
      </c>
      <c r="Q392">
        <v>23.731680000000001</v>
      </c>
      <c r="R392" s="33">
        <f>IF(ISBLANK(Q393),"",Long3[[#This Row],[Adj Close]]/Q393-1)</f>
        <v>4.0143679562702372E-2</v>
      </c>
      <c r="S392" s="37">
        <v>42352</v>
      </c>
      <c r="T392" s="35">
        <v>24.045110999999999</v>
      </c>
      <c r="U392" s="36">
        <f>IF(ISBLANK(T393),"",Long4[[#This Row],[Adj Close]]/T393-1)</f>
        <v>4.333672481471984E-3</v>
      </c>
      <c r="V392" s="29">
        <v>42352</v>
      </c>
      <c r="W392">
        <v>16.118473000000002</v>
      </c>
      <c r="X392" s="33">
        <f>IF(ISBLANK(W393),"",Long5[[#This Row],[Adj Close]]/W393-1)</f>
        <v>-4.4426323968134174E-3</v>
      </c>
      <c r="Y392" s="37">
        <v>42352</v>
      </c>
      <c r="Z392" s="35">
        <v>49.641494999999999</v>
      </c>
      <c r="AA392" s="36">
        <f>IF(ISBLANK(Z393),"",Long6[[#This Row],[Adj Close]]/Z393-1)</f>
        <v>-3.3029652624027017E-2</v>
      </c>
      <c r="AH392" s="29">
        <v>42352</v>
      </c>
      <c r="AI392" s="44">
        <v>32.957661000000002</v>
      </c>
      <c r="AJ392" s="33">
        <f>IF(ISBLANK(AI393),"",Short0[[#This Row],[Adj Close]]/AI393-1)</f>
        <v>6.5439774728266453E-3</v>
      </c>
      <c r="AK392" s="37">
        <v>42352</v>
      </c>
      <c r="AL392" s="39">
        <v>23.041153000000001</v>
      </c>
      <c r="AM392" s="36">
        <f>IF(ISBLANK(AL393),"",Short1[[#This Row],[Adj Close]]/AL393-1)</f>
        <v>-1.7868318247596382E-2</v>
      </c>
      <c r="AN392" s="29">
        <v>42352</v>
      </c>
      <c r="AO392" s="44">
        <v>44.035671000000001</v>
      </c>
      <c r="AP392" s="33">
        <f>IF(ISBLANK(AO393),"",Short2[[#This Row],[Adj Close]]/AO393-1)</f>
        <v>-2.9032981858991946E-2</v>
      </c>
      <c r="AQ392" s="37">
        <v>42352</v>
      </c>
      <c r="AR392" s="39">
        <v>53.68</v>
      </c>
      <c r="AS392" s="36">
        <f>IF(ISBLANK(AR393),"",Short3[[#This Row],[Adj Close]]/AR393-1)</f>
        <v>8.6433482028682729E-3</v>
      </c>
    </row>
    <row r="393" spans="1:45" x14ac:dyDescent="0.25">
      <c r="A393" s="37">
        <v>42345</v>
      </c>
      <c r="B393" s="39">
        <v>2012.369995</v>
      </c>
      <c r="C393" s="36">
        <f>IF(ISBLANK(B394), "", GSPC[[#This Row],[Adj Close]]/B394-1)</f>
        <v>-3.7921464575231711E-2</v>
      </c>
      <c r="D39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52915.919308999997</v>
      </c>
      <c r="E39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16732.166227999998</v>
      </c>
      <c r="F393" s="11">
        <f>IF(ISBLANK(GSPC[[#This Row],[Long Exp.]]), "", (GSPC[[#This Row],[Long Exp.]]/D394-1)+(E394/GSPC[[#This Row],[Short Exp.]]-1))</f>
        <v>6.2575738503275358E-2</v>
      </c>
      <c r="G393" s="37">
        <v>42345</v>
      </c>
      <c r="H393">
        <v>48.128239000000001</v>
      </c>
      <c r="I393" s="36">
        <f>IF(ISBLANK(H394), "", Long0[[#This Row],[Adj Close]]/H394-1)</f>
        <v>2.2369229082241038E-2</v>
      </c>
      <c r="J393" s="29">
        <v>42345</v>
      </c>
      <c r="K393">
        <v>9.4141440000000003</v>
      </c>
      <c r="L393" s="33">
        <f>IF(ISBLANK(K394),"",Long1[[#This Row],[Adj Close]]/K394-1)</f>
        <v>-7.6662154339631305E-2</v>
      </c>
      <c r="M393" s="37">
        <v>42345</v>
      </c>
      <c r="N393">
        <v>26.159510000000001</v>
      </c>
      <c r="O393" s="36">
        <f>IF(ISBLANK(N394),"",Long2[[#This Row],[Adj Close]]/N394-1)</f>
        <v>-4.0559915661582902E-2</v>
      </c>
      <c r="P393" s="29">
        <v>42345</v>
      </c>
      <c r="Q393">
        <v>22.815771000000002</v>
      </c>
      <c r="R393" s="33">
        <f>IF(ISBLANK(Q394),"",Long3[[#This Row],[Adj Close]]/Q394-1)</f>
        <v>-3.0527349805015702E-2</v>
      </c>
      <c r="S393" s="37">
        <v>42345</v>
      </c>
      <c r="T393" s="35">
        <v>23.941357</v>
      </c>
      <c r="U393" s="36">
        <f>IF(ISBLANK(T394),"",Long4[[#This Row],[Adj Close]]/T394-1)</f>
        <v>-4.0207955984523536E-2</v>
      </c>
      <c r="V393" s="29">
        <v>42345</v>
      </c>
      <c r="W393">
        <v>16.190401000000001</v>
      </c>
      <c r="X393" s="33">
        <f>IF(ISBLANK(W394),"",Long5[[#This Row],[Adj Close]]/W394-1)</f>
        <v>5.6807581515607497E-2</v>
      </c>
      <c r="Y393" s="37">
        <v>42345</v>
      </c>
      <c r="Z393" s="35">
        <v>51.337142999999998</v>
      </c>
      <c r="AA393" s="36">
        <f>IF(ISBLANK(Z394),"",Long6[[#This Row],[Adj Close]]/Z394-1)</f>
        <v>-3.7104650754513968E-2</v>
      </c>
      <c r="AH393" s="29">
        <v>42345</v>
      </c>
      <c r="AI393" s="44">
        <v>32.743389000000001</v>
      </c>
      <c r="AJ393" s="33">
        <f>IF(ISBLANK(AI394),"",Short0[[#This Row],[Adj Close]]/AI394-1)</f>
        <v>-5.5619167919894186E-2</v>
      </c>
      <c r="AK393" s="37">
        <v>42345</v>
      </c>
      <c r="AL393" s="39">
        <v>23.460349999999998</v>
      </c>
      <c r="AM393" s="36">
        <f>IF(ISBLANK(AL394),"",Short1[[#This Row],[Adj Close]]/AL394-1)</f>
        <v>-3.9651604226599857E-2</v>
      </c>
      <c r="AN393" s="29">
        <v>42345</v>
      </c>
      <c r="AO393" s="44">
        <v>45.352386000000003</v>
      </c>
      <c r="AP393" s="33">
        <f>IF(ISBLANK(AO394),"",Short2[[#This Row],[Adj Close]]/AO394-1)</f>
        <v>-4.825835930933664E-2</v>
      </c>
      <c r="AQ393" s="37">
        <v>42345</v>
      </c>
      <c r="AR393" s="39">
        <v>53.220001000000003</v>
      </c>
      <c r="AS393" s="36">
        <f>IF(ISBLANK(AR394),"",Short3[[#This Row],[Adj Close]]/AR394-1)</f>
        <v>-9.3356046109777657E-2</v>
      </c>
    </row>
    <row r="394" spans="1:45" x14ac:dyDescent="0.25">
      <c r="A394" s="37">
        <v>42338</v>
      </c>
      <c r="B394" s="39">
        <v>2091.6899410000001</v>
      </c>
      <c r="C394" s="36">
        <f>IF(ISBLANK(B395), "", GSPC[[#This Row],[Adj Close]]/B395-1)</f>
        <v>7.5586161451934863E-4</v>
      </c>
      <c r="D39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53004.027164000006</v>
      </c>
      <c r="E39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17807.007532999996</v>
      </c>
      <c r="F394" s="11">
        <f>IF(ISBLANK(GSPC[[#This Row],[Long Exp.]]), "", (GSPC[[#This Row],[Long Exp.]]/D395-1)+(E395/GSPC[[#This Row],[Short Exp.]]-1))</f>
        <v>1.0664869154881629E-2</v>
      </c>
      <c r="G394" s="37">
        <v>42338</v>
      </c>
      <c r="H394">
        <v>47.075203000000002</v>
      </c>
      <c r="I394" s="36">
        <f>IF(ISBLANK(H395), "", Long0[[#This Row],[Adj Close]]/H395-1)</f>
        <v>-6.3780859135731394E-3</v>
      </c>
      <c r="J394" s="29">
        <v>42338</v>
      </c>
      <c r="K394">
        <v>10.195774</v>
      </c>
      <c r="L394" s="33">
        <f>IF(ISBLANK(K395),"",Long1[[#This Row],[Adj Close]]/K395-1)</f>
        <v>-3.2808404925690704E-2</v>
      </c>
      <c r="M394" s="37">
        <v>42338</v>
      </c>
      <c r="N394">
        <v>27.265391999999999</v>
      </c>
      <c r="O394" s="36">
        <f>IF(ISBLANK(N395),"",Long2[[#This Row],[Adj Close]]/N395-1)</f>
        <v>-5.4749703370259306E-3</v>
      </c>
      <c r="P394" s="29">
        <v>42338</v>
      </c>
      <c r="Q394">
        <v>23.534208</v>
      </c>
      <c r="R394" s="33">
        <f>IF(ISBLANK(Q395),"",Long3[[#This Row],[Adj Close]]/Q395-1)</f>
        <v>2.6743569215637031E-3</v>
      </c>
      <c r="S394" s="37">
        <v>42338</v>
      </c>
      <c r="T394" s="35">
        <v>24.944317000000002</v>
      </c>
      <c r="U394" s="36">
        <f>IF(ISBLANK(T395),"",Long4[[#This Row],[Adj Close]]/T395-1)</f>
        <v>-1.4012357022441968E-2</v>
      </c>
      <c r="V394" s="29">
        <v>42338</v>
      </c>
      <c r="W394">
        <v>15.320103</v>
      </c>
      <c r="X394" s="33">
        <f>IF(ISBLANK(W395),"",Long5[[#This Row],[Adj Close]]/W395-1)</f>
        <v>-1.4800909129435214E-2</v>
      </c>
      <c r="Y394" s="37">
        <v>42338</v>
      </c>
      <c r="Z394" s="35">
        <v>53.315392000000003</v>
      </c>
      <c r="AA394" s="36">
        <f>IF(ISBLANK(Z395),"",Long6[[#This Row],[Adj Close]]/Z395-1)</f>
        <v>3.578193763447679E-2</v>
      </c>
      <c r="AH394" s="29">
        <v>42338</v>
      </c>
      <c r="AI394" s="44">
        <v>34.671805999999997</v>
      </c>
      <c r="AJ394" s="33">
        <f>IF(ISBLANK(AI395),"",Short0[[#This Row],[Adj Close]]/AI395-1)</f>
        <v>-1.4214866878457855E-2</v>
      </c>
      <c r="AK394" s="37">
        <v>42338</v>
      </c>
      <c r="AL394" s="39">
        <v>24.428999000000001</v>
      </c>
      <c r="AM394" s="36">
        <f>IF(ISBLANK(AL395),"",Short1[[#This Row],[Adj Close]]/AL395-1)</f>
        <v>-1.4612209612309135E-2</v>
      </c>
      <c r="AN394" s="29">
        <v>42338</v>
      </c>
      <c r="AO394" s="44">
        <v>47.651992999999997</v>
      </c>
      <c r="AP394" s="33">
        <f>IF(ISBLANK(AO395),"",Short2[[#This Row],[Adj Close]]/AO395-1)</f>
        <v>-1.0970175470421339E-2</v>
      </c>
      <c r="AQ394" s="37">
        <v>42338</v>
      </c>
      <c r="AR394" s="39">
        <v>58.700001</v>
      </c>
      <c r="AS394" s="36">
        <f>IF(ISBLANK(AR395),"",Short3[[#This Row],[Adj Close]]/AR395-1)</f>
        <v>-1.9050785427807582E-2</v>
      </c>
    </row>
    <row r="395" spans="1:45" x14ac:dyDescent="0.25">
      <c r="A395" s="37">
        <v>42331</v>
      </c>
      <c r="B395" s="39">
        <v>2090.110107</v>
      </c>
      <c r="C395" s="36">
        <f>IF(ISBLANK(B396), "", GSPC[[#This Row],[Adj Close]]/B396-1)</f>
        <v>4.5002801835281048E-4</v>
      </c>
      <c r="D39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53214.712058999998</v>
      </c>
      <c r="E39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18067.417508000002</v>
      </c>
      <c r="F395" s="11">
        <f>IF(ISBLANK(GSPC[[#This Row],[Long Exp.]]), "", (GSPC[[#This Row],[Long Exp.]]/D396-1)+(E396/GSPC[[#This Row],[Short Exp.]]-1))</f>
        <v>-3.5766597359779828E-3</v>
      </c>
      <c r="G395" s="37">
        <v>42331</v>
      </c>
      <c r="H395">
        <v>47.377380000000002</v>
      </c>
      <c r="I395" s="36">
        <f>IF(ISBLANK(H396), "", Long0[[#This Row],[Adj Close]]/H396-1)</f>
        <v>-2.5062521556887818E-3</v>
      </c>
      <c r="J395" s="29">
        <v>42331</v>
      </c>
      <c r="K395">
        <v>10.541627999999999</v>
      </c>
      <c r="L395" s="33">
        <f>IF(ISBLANK(K396),"",Long1[[#This Row],[Adj Close]]/K396-1)</f>
        <v>-2.3076938047158047E-2</v>
      </c>
      <c r="M395" s="37">
        <v>42331</v>
      </c>
      <c r="N395">
        <v>27.415490999999999</v>
      </c>
      <c r="O395" s="36">
        <f>IF(ISBLANK(N396),"",Long2[[#This Row],[Adj Close]]/N396-1)</f>
        <v>-6.7179301901328925E-3</v>
      </c>
      <c r="P395" s="29">
        <v>42331</v>
      </c>
      <c r="Q395">
        <v>23.471437000000002</v>
      </c>
      <c r="R395" s="33">
        <f>IF(ISBLANK(Q396),"",Long3[[#This Row],[Adj Close]]/Q396-1)</f>
        <v>-2.4637794804085345E-2</v>
      </c>
      <c r="S395" s="37">
        <v>42331</v>
      </c>
      <c r="T395" s="35">
        <v>25.298812999999999</v>
      </c>
      <c r="U395" s="36">
        <f>IF(ISBLANK(T396),"",Long4[[#This Row],[Adj Close]]/T396-1)</f>
        <v>2.1291412938189369E-2</v>
      </c>
      <c r="V395" s="29">
        <v>42331</v>
      </c>
      <c r="W395">
        <v>15.550261000000001</v>
      </c>
      <c r="X395" s="33">
        <f>IF(ISBLANK(W396),"",Long5[[#This Row],[Adj Close]]/W396-1)</f>
        <v>2.854403205775724E-2</v>
      </c>
      <c r="Y395" s="37">
        <v>42331</v>
      </c>
      <c r="Z395" s="35">
        <v>51.473568</v>
      </c>
      <c r="AA395" s="36">
        <f>IF(ISBLANK(Z396),"",Long6[[#This Row],[Adj Close]]/Z396-1)</f>
        <v>8.4376783162133595E-2</v>
      </c>
      <c r="AH395" s="29">
        <v>42331</v>
      </c>
      <c r="AI395" s="44">
        <v>35.171768</v>
      </c>
      <c r="AJ395" s="33">
        <f>IF(ISBLANK(AI396),"",Short0[[#This Row],[Adj Close]]/AI396-1)</f>
        <v>-1.6859055283426461E-2</v>
      </c>
      <c r="AK395" s="37">
        <v>42331</v>
      </c>
      <c r="AL395" s="39">
        <v>24.791253999999999</v>
      </c>
      <c r="AM395" s="36">
        <f>IF(ISBLANK(AL396),"",Short1[[#This Row],[Adj Close]]/AL396-1)</f>
        <v>3.1792458307434046E-2</v>
      </c>
      <c r="AN395" s="29">
        <v>42331</v>
      </c>
      <c r="AO395" s="44">
        <v>48.180542000000003</v>
      </c>
      <c r="AP395" s="33">
        <f>IF(ISBLANK(AO396),"",Short2[[#This Row],[Adj Close]]/AO396-1)</f>
        <v>1.902335303260827E-2</v>
      </c>
      <c r="AQ395" s="37">
        <v>42331</v>
      </c>
      <c r="AR395" s="39">
        <v>59.84</v>
      </c>
      <c r="AS395" s="36">
        <f>IF(ISBLANK(AR396),"",Short3[[#This Row],[Adj Close]]/AR396-1)</f>
        <v>-1.1562619564541965E-2</v>
      </c>
    </row>
    <row r="396" spans="1:45" x14ac:dyDescent="0.25">
      <c r="A396" s="37">
        <v>42324</v>
      </c>
      <c r="B396" s="39">
        <v>2089.169922</v>
      </c>
      <c r="C396" s="36">
        <f>IF(ISBLANK(B397), "", GSPC[[#This Row],[Adj Close]]/B397-1)</f>
        <v>3.2688370830608271E-2</v>
      </c>
      <c r="D39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53325.744433</v>
      </c>
      <c r="E39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18040.415635999998</v>
      </c>
      <c r="F396" s="11">
        <f>IF(ISBLANK(GSPC[[#This Row],[Long Exp.]]), "", (GSPC[[#This Row],[Long Exp.]]/D397-1)+(E397/GSPC[[#This Row],[Short Exp.]]-1))</f>
        <v>3.4139396546751244E-2</v>
      </c>
      <c r="G396" s="37">
        <v>42324</v>
      </c>
      <c r="H396">
        <v>47.496417999999998</v>
      </c>
      <c r="I396" s="36">
        <f>IF(ISBLANK(H397), "", Long0[[#This Row],[Adj Close]]/H397-1)</f>
        <v>6.3345706237706967E-2</v>
      </c>
      <c r="J396" s="29">
        <v>42324</v>
      </c>
      <c r="K396">
        <v>10.790642999999999</v>
      </c>
      <c r="L396" s="33">
        <f>IF(ISBLANK(K397),"",Long1[[#This Row],[Adj Close]]/K397-1)</f>
        <v>8.7294300167648498E-3</v>
      </c>
      <c r="M396" s="37">
        <v>42324</v>
      </c>
      <c r="N396">
        <v>27.600912000000001</v>
      </c>
      <c r="O396" s="36">
        <f>IF(ISBLANK(N397),"",Long2[[#This Row],[Adj Close]]/N397-1)</f>
        <v>-2.9493798934004389E-2</v>
      </c>
      <c r="P396" s="29">
        <v>42324</v>
      </c>
      <c r="Q396">
        <v>24.064329000000001</v>
      </c>
      <c r="R396" s="33">
        <f>IF(ISBLANK(Q397),"",Long3[[#This Row],[Adj Close]]/Q397-1)</f>
        <v>4.3557387499512323E-2</v>
      </c>
      <c r="S396" s="37">
        <v>42324</v>
      </c>
      <c r="T396" s="35">
        <v>24.771394999999998</v>
      </c>
      <c r="U396" s="36">
        <f>IF(ISBLANK(T397),"",Long4[[#This Row],[Adj Close]]/T397-1)</f>
        <v>1.9572885992281241E-2</v>
      </c>
      <c r="V396" s="29">
        <v>42324</v>
      </c>
      <c r="W396">
        <v>15.118712</v>
      </c>
      <c r="X396" s="33">
        <f>IF(ISBLANK(W397),"",Long5[[#This Row],[Adj Close]]/W397-1)</f>
        <v>-2.3727997790252697E-3</v>
      </c>
      <c r="Y396" s="37">
        <v>42324</v>
      </c>
      <c r="Z396" s="35">
        <v>47.468342</v>
      </c>
      <c r="AA396" s="36">
        <f>IF(ISBLANK(Z397),"",Long6[[#This Row],[Adj Close]]/Z397-1)</f>
        <v>0.22019042267438205</v>
      </c>
      <c r="AH396" s="29">
        <v>42324</v>
      </c>
      <c r="AI396" s="44">
        <v>35.774898999999998</v>
      </c>
      <c r="AJ396" s="33">
        <f>IF(ISBLANK(AI397),"",Short0[[#This Row],[Adj Close]]/AI397-1)</f>
        <v>-1.3350651342095232E-2</v>
      </c>
      <c r="AK396" s="37">
        <v>42324</v>
      </c>
      <c r="AL396" s="39">
        <v>24.027365</v>
      </c>
      <c r="AM396" s="36">
        <f>IF(ISBLANK(AL397),"",Short1[[#This Row],[Adj Close]]/AL397-1)</f>
        <v>-4.7752880348223781E-2</v>
      </c>
      <c r="AN396" s="29">
        <v>42324</v>
      </c>
      <c r="AO396" s="44">
        <v>47.281097000000003</v>
      </c>
      <c r="AP396" s="33">
        <f>IF(ISBLANK(AO397),"",Short2[[#This Row],[Adj Close]]/AO397-1)</f>
        <v>5.4601930242555996E-2</v>
      </c>
      <c r="AQ396" s="37">
        <v>42324</v>
      </c>
      <c r="AR396" s="39">
        <v>60.540000999999997</v>
      </c>
      <c r="AS396" s="36">
        <f>IF(ISBLANK(AR397),"",Short3[[#This Row],[Adj Close]]/AR397-1)</f>
        <v>2.6101711864406685E-2</v>
      </c>
    </row>
    <row r="397" spans="1:45" x14ac:dyDescent="0.25">
      <c r="A397" s="37">
        <v>42317</v>
      </c>
      <c r="B397" s="39">
        <v>2023.040039</v>
      </c>
      <c r="C397" s="36">
        <f>IF(ISBLANK(B398), "", GSPC[[#This Row],[Adj Close]]/B398-1)</f>
        <v>-3.6280446731012717E-2</v>
      </c>
      <c r="D39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50987.245311999999</v>
      </c>
      <c r="E39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17828.891803999999</v>
      </c>
      <c r="F397" s="11">
        <f>IF(ISBLANK(GSPC[[#This Row],[Long Exp.]]), "", (GSPC[[#This Row],[Long Exp.]]/D398-1)+(E398/GSPC[[#This Row],[Short Exp.]]-1))</f>
        <v>8.4099837488152751E-2</v>
      </c>
      <c r="G397" s="37">
        <v>42317</v>
      </c>
      <c r="H397">
        <v>44.666958000000001</v>
      </c>
      <c r="I397" s="36">
        <f>IF(ISBLANK(H398), "", Long0[[#This Row],[Adj Close]]/H398-1)</f>
        <v>8.4964242564683268E-2</v>
      </c>
      <c r="J397" s="29">
        <v>42317</v>
      </c>
      <c r="K397">
        <v>10.697262</v>
      </c>
      <c r="L397" s="33">
        <f>IF(ISBLANK(K398),"",Long1[[#This Row],[Adj Close]]/K398-1)</f>
        <v>-7.671645014153583E-2</v>
      </c>
      <c r="M397" s="37">
        <v>42317</v>
      </c>
      <c r="N397">
        <v>28.439706999999999</v>
      </c>
      <c r="O397" s="36">
        <f>IF(ISBLANK(N398),"",Long2[[#This Row],[Adj Close]]/N398-1)</f>
        <v>-8.9231291741571628E-3</v>
      </c>
      <c r="P397" s="29">
        <v>42317</v>
      </c>
      <c r="Q397">
        <v>23.059899999999999</v>
      </c>
      <c r="R397" s="33">
        <f>IF(ISBLANK(Q398),"",Long3[[#This Row],[Adj Close]]/Q398-1)</f>
        <v>-6.0475376155200156E-4</v>
      </c>
      <c r="S397" s="37">
        <v>42317</v>
      </c>
      <c r="T397" s="35">
        <v>24.295855</v>
      </c>
      <c r="U397" s="36">
        <f>IF(ISBLANK(T398),"",Long4[[#This Row],[Adj Close]]/T398-1)</f>
        <v>-8.1999098694262917E-2</v>
      </c>
      <c r="V397" s="29">
        <v>42317</v>
      </c>
      <c r="W397">
        <v>15.154671</v>
      </c>
      <c r="X397" s="33">
        <f>IF(ISBLANK(W398),"",Long5[[#This Row],[Adj Close]]/W398-1)</f>
        <v>-8.5503672426640143E-2</v>
      </c>
      <c r="Y397" s="37">
        <v>42317</v>
      </c>
      <c r="Z397" s="35">
        <v>38.902405000000002</v>
      </c>
      <c r="AA397" s="36">
        <f>IF(ISBLANK(Z398),"",Long6[[#This Row],[Adj Close]]/Z398-1)</f>
        <v>-1.5536181515604874E-2</v>
      </c>
      <c r="AH397" s="29">
        <v>42317</v>
      </c>
      <c r="AI397" s="44">
        <v>36.258980000000001</v>
      </c>
      <c r="AJ397" s="33">
        <f>IF(ISBLANK(AI398),"",Short0[[#This Row],[Adj Close]]/AI398-1)</f>
        <v>-8.2161396055081437E-2</v>
      </c>
      <c r="AK397" s="37">
        <v>42317</v>
      </c>
      <c r="AL397" s="39">
        <v>25.232278999999998</v>
      </c>
      <c r="AM397" s="36">
        <f>IF(ISBLANK(AL398),"",Short1[[#This Row],[Adj Close]]/AL398-1)</f>
        <v>-9.5170792872210863E-2</v>
      </c>
      <c r="AN397" s="29">
        <v>42317</v>
      </c>
      <c r="AO397" s="44">
        <v>44.833122000000003</v>
      </c>
      <c r="AP397" s="33">
        <f>IF(ISBLANK(AO398),"",Short2[[#This Row],[Adj Close]]/AO398-1)</f>
        <v>-3.5036310683662641E-3</v>
      </c>
      <c r="AQ397" s="37">
        <v>42317</v>
      </c>
      <c r="AR397" s="39">
        <v>59</v>
      </c>
      <c r="AS397" s="36">
        <f>IF(ISBLANK(AR398),"",Short3[[#This Row],[Adj Close]]/AR398-1)</f>
        <v>-1.9444873506560545E-2</v>
      </c>
    </row>
    <row r="398" spans="1:45" x14ac:dyDescent="0.25">
      <c r="A398" s="37">
        <v>42310</v>
      </c>
      <c r="B398" s="39">
        <v>2099.1999510000001</v>
      </c>
      <c r="C398" s="36">
        <f>IF(ISBLANK(B399), "", GSPC[[#This Row],[Adj Close]]/B399-1)</f>
        <v>9.5413218389690524E-3</v>
      </c>
      <c r="D39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49267.946751000003</v>
      </c>
      <c r="E39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18706.125670999998</v>
      </c>
      <c r="F398" s="11">
        <f>IF(ISBLANK(GSPC[[#This Row],[Long Exp.]]), "", (GSPC[[#This Row],[Long Exp.]]/D399-1)+(E399/GSPC[[#This Row],[Short Exp.]]-1))</f>
        <v>-2.6675689181292483E-3</v>
      </c>
      <c r="G398" s="37">
        <v>42310</v>
      </c>
      <c r="H398">
        <v>41.169060000000002</v>
      </c>
      <c r="I398" s="36">
        <f>IF(ISBLANK(H399), "", Long0[[#This Row],[Adj Close]]/H399-1)</f>
        <v>1.9732358357440027E-2</v>
      </c>
      <c r="J398" s="29">
        <v>42310</v>
      </c>
      <c r="K398">
        <v>11.586107</v>
      </c>
      <c r="L398" s="33">
        <f>IF(ISBLANK(K399),"",Long1[[#This Row],[Adj Close]]/K399-1)</f>
        <v>0.20677238239520146</v>
      </c>
      <c r="M398" s="37">
        <v>42310</v>
      </c>
      <c r="N398">
        <v>28.695762999999999</v>
      </c>
      <c r="O398" s="36">
        <f>IF(ISBLANK(N399),"",Long2[[#This Row],[Adj Close]]/N399-1)</f>
        <v>-3.8177167110723498E-2</v>
      </c>
      <c r="P398" s="29">
        <v>42310</v>
      </c>
      <c r="Q398">
        <v>23.073854000000001</v>
      </c>
      <c r="R398" s="33">
        <f>IF(ISBLANK(Q399),"",Long3[[#This Row],[Adj Close]]/Q399-1)</f>
        <v>-3.8372088758725997E-2</v>
      </c>
      <c r="S398" s="37">
        <v>42310</v>
      </c>
      <c r="T398" s="35">
        <v>26.466047</v>
      </c>
      <c r="U398" s="36">
        <f>IF(ISBLANK(T399),"",Long4[[#This Row],[Adj Close]]/T399-1)</f>
        <v>5.188996660674583E-2</v>
      </c>
      <c r="V398" s="29">
        <v>42310</v>
      </c>
      <c r="W398">
        <v>16.571604000000001</v>
      </c>
      <c r="X398" s="33">
        <f>IF(ISBLANK(W399),"",Long5[[#This Row],[Adj Close]]/W399-1)</f>
        <v>-3.8908213727147922E-3</v>
      </c>
      <c r="Y398" s="37">
        <v>42310</v>
      </c>
      <c r="Z398" s="35">
        <v>39.516337999999998</v>
      </c>
      <c r="AA398" s="36">
        <f>IF(ISBLANK(Z399),"",Long6[[#This Row],[Adj Close]]/Z399-1)</f>
        <v>0.18187089675287371</v>
      </c>
      <c r="AH398" s="29">
        <v>42310</v>
      </c>
      <c r="AI398" s="44">
        <v>39.504745</v>
      </c>
      <c r="AJ398" s="33">
        <f>IF(ISBLANK(AI399),"",Short0[[#This Row],[Adj Close]]/AI399-1)</f>
        <v>5.4534078205921155E-3</v>
      </c>
      <c r="AK398" s="37">
        <v>42310</v>
      </c>
      <c r="AL398" s="39">
        <v>27.886234000000002</v>
      </c>
      <c r="AM398" s="36">
        <f>IF(ISBLANK(AL399),"",Short1[[#This Row],[Adj Close]]/AL399-1)</f>
        <v>1.0847763421124368E-2</v>
      </c>
      <c r="AN398" s="29">
        <v>42310</v>
      </c>
      <c r="AO398" s="44">
        <v>44.990752999999998</v>
      </c>
      <c r="AP398" s="33">
        <f>IF(ISBLANK(AO399),"",Short2[[#This Row],[Adj Close]]/AO399-1)</f>
        <v>-3.0956741568931689E-2</v>
      </c>
      <c r="AQ398" s="37">
        <v>42310</v>
      </c>
      <c r="AR398" s="39">
        <v>60.169998</v>
      </c>
      <c r="AS398" s="36">
        <f>IF(ISBLANK(AR399),"",Short3[[#This Row],[Adj Close]]/AR399-1)</f>
        <v>7.1403098290598432E-2</v>
      </c>
    </row>
    <row r="399" spans="1:45" x14ac:dyDescent="0.25">
      <c r="A399" s="37">
        <v>42303</v>
      </c>
      <c r="B399" s="39">
        <v>2079.360107</v>
      </c>
      <c r="C399" s="36">
        <f>IF(ISBLANK(B400), "", GSPC[[#This Row],[Adj Close]]/B400-1)</f>
        <v>2.0288678885038713E-3</v>
      </c>
      <c r="D39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48913.140702000004</v>
      </c>
      <c r="E39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18520.535331999999</v>
      </c>
      <c r="F399" s="11">
        <f>IF(ISBLANK(GSPC[[#This Row],[Long Exp.]]), "", (GSPC[[#This Row],[Long Exp.]]/D400-1)+(E400/GSPC[[#This Row],[Short Exp.]]-1))</f>
        <v>3.645954275622354E-2</v>
      </c>
      <c r="G399" s="37">
        <v>42303</v>
      </c>
      <c r="H399">
        <v>40.372416999999999</v>
      </c>
      <c r="I399" s="36">
        <f>IF(ISBLANK(H400), "", Long0[[#This Row],[Adj Close]]/H400-1)</f>
        <v>7.6416231129016188E-2</v>
      </c>
      <c r="J399" s="29">
        <v>42303</v>
      </c>
      <c r="K399">
        <v>9.6009049999999991</v>
      </c>
      <c r="L399" s="33">
        <f>IF(ISBLANK(K400),"",Long1[[#This Row],[Adj Close]]/K400-1)</f>
        <v>-2.1156622811140391E-2</v>
      </c>
      <c r="M399" s="37">
        <v>42303</v>
      </c>
      <c r="N399">
        <v>29.834769999999999</v>
      </c>
      <c r="O399" s="36">
        <f>IF(ISBLANK(N400),"",Long2[[#This Row],[Adj Close]]/N400-1)</f>
        <v>-5.137525416884603E-2</v>
      </c>
      <c r="P399" s="29">
        <v>42303</v>
      </c>
      <c r="Q399">
        <v>23.994575999999999</v>
      </c>
      <c r="R399" s="33">
        <f>IF(ISBLANK(Q400),"",Long3[[#This Row],[Adj Close]]/Q400-1)</f>
        <v>6.4366947892291471E-3</v>
      </c>
      <c r="S399" s="37">
        <v>42303</v>
      </c>
      <c r="T399" s="35">
        <v>25.160471000000001</v>
      </c>
      <c r="U399" s="36">
        <f>IF(ISBLANK(T400),"",Long4[[#This Row],[Adj Close]]/T400-1)</f>
        <v>-9.1930670488473698E-3</v>
      </c>
      <c r="V399" s="29">
        <v>42303</v>
      </c>
      <c r="W399">
        <v>16.636333</v>
      </c>
      <c r="X399" s="33">
        <f>IF(ISBLANK(W400),"",Long5[[#This Row],[Adj Close]]/W400-1)</f>
        <v>-0.10035001070192162</v>
      </c>
      <c r="Y399" s="37">
        <v>42303</v>
      </c>
      <c r="Z399" s="35">
        <v>33.435409999999997</v>
      </c>
      <c r="AA399" s="36">
        <f>IF(ISBLANK(Z400),"",Long6[[#This Row],[Adj Close]]/Z400-1)</f>
        <v>2.9184170063389914E-4</v>
      </c>
      <c r="AH399" s="29">
        <v>42303</v>
      </c>
      <c r="AI399" s="44">
        <v>39.290478</v>
      </c>
      <c r="AJ399" s="33">
        <f>IF(ISBLANK(AI400),"",Short0[[#This Row],[Adj Close]]/AI400-1)</f>
        <v>6.5054969286968412E-3</v>
      </c>
      <c r="AK399" s="37">
        <v>42303</v>
      </c>
      <c r="AL399" s="39">
        <v>27.586977000000001</v>
      </c>
      <c r="AM399" s="36">
        <f>IF(ISBLANK(AL400),"",Short1[[#This Row],[Adj Close]]/AL400-1)</f>
        <v>-4.8293970185331325E-3</v>
      </c>
      <c r="AN399" s="29">
        <v>42303</v>
      </c>
      <c r="AO399" s="44">
        <v>46.428013</v>
      </c>
      <c r="AP399" s="33">
        <f>IF(ISBLANK(AO400),"",Short2[[#This Row],[Adj Close]]/AO400-1)</f>
        <v>-3.8570304661387889E-2</v>
      </c>
      <c r="AQ399" s="37">
        <v>42303</v>
      </c>
      <c r="AR399" s="39">
        <v>56.16</v>
      </c>
      <c r="AS399" s="36">
        <f>IF(ISBLANK(AR400),"",Short3[[#This Row],[Adj Close]]/AR400-1)</f>
        <v>-1.6000000000000458E-3</v>
      </c>
    </row>
    <row r="400" spans="1:45" x14ac:dyDescent="0.25">
      <c r="A400" s="37">
        <v>42296</v>
      </c>
      <c r="B400" s="39">
        <v>2075.1499020000001</v>
      </c>
      <c r="C400" s="36">
        <f>IF(ISBLANK(B401), "", GSPC[[#This Row],[Adj Close]]/B401-1)</f>
        <v>2.0677640319591406E-2</v>
      </c>
      <c r="D40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47682.561622999994</v>
      </c>
      <c r="E40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18717.812450000001</v>
      </c>
      <c r="F400" s="11">
        <f>IF(ISBLANK(GSPC[[#This Row],[Long Exp.]]), "", (GSPC[[#This Row],[Long Exp.]]/D401-1)+(E401/GSPC[[#This Row],[Short Exp.]]-1))</f>
        <v>-3.4727704326512732E-2</v>
      </c>
      <c r="G400" s="37">
        <v>42296</v>
      </c>
      <c r="H400">
        <v>37.506324999999997</v>
      </c>
      <c r="I400" s="36">
        <f>IF(ISBLANK(H401), "", Long0[[#This Row],[Adj Close]]/H401-1)</f>
        <v>-5.947197128638404E-2</v>
      </c>
      <c r="J400" s="29">
        <v>42296</v>
      </c>
      <c r="K400">
        <v>9.8084179999999996</v>
      </c>
      <c r="L400" s="33">
        <f>IF(ISBLANK(K401),"",Long1[[#This Row],[Adj Close]]/K401-1)</f>
        <v>-1.6302427577500334E-2</v>
      </c>
      <c r="M400" s="37">
        <v>42296</v>
      </c>
      <c r="N400">
        <v>31.45055</v>
      </c>
      <c r="O400" s="36">
        <f>IF(ISBLANK(N401),"",Long2[[#This Row],[Adj Close]]/N401-1)</f>
        <v>1.9753495683032529E-2</v>
      </c>
      <c r="P400" s="29">
        <v>42296</v>
      </c>
      <c r="Q400">
        <v>23.841118000000002</v>
      </c>
      <c r="R400" s="33">
        <f>IF(ISBLANK(Q401),"",Long3[[#This Row],[Adj Close]]/Q401-1)</f>
        <v>-8.1255833853515202E-3</v>
      </c>
      <c r="S400" s="37">
        <v>42296</v>
      </c>
      <c r="T400" s="35">
        <v>25.393919</v>
      </c>
      <c r="U400" s="36">
        <f>IF(ISBLANK(T401),"",Long4[[#This Row],[Adj Close]]/T401-1)</f>
        <v>2.1920617271962373E-2</v>
      </c>
      <c r="V400" s="29">
        <v>42296</v>
      </c>
      <c r="W400">
        <v>18.492006</v>
      </c>
      <c r="X400" s="33">
        <f>IF(ISBLANK(W401),"",Long5[[#This Row],[Adj Close]]/W401-1)</f>
        <v>-5.8241903414111396E-2</v>
      </c>
      <c r="Y400" s="37">
        <v>42296</v>
      </c>
      <c r="Z400" s="35">
        <v>33.425654999999999</v>
      </c>
      <c r="AA400" s="36">
        <f>IF(ISBLANK(Z401),"",Long6[[#This Row],[Adj Close]]/Z401-1)</f>
        <v>-2.1398212887111745E-2</v>
      </c>
      <c r="AH400" s="29">
        <v>42296</v>
      </c>
      <c r="AI400" s="44">
        <v>39.036526000000002</v>
      </c>
      <c r="AJ400" s="33">
        <f>IF(ISBLANK(AI401),"",Short0[[#This Row],[Adj Close]]/AI401-1)</f>
        <v>-1.0659972347715652E-2</v>
      </c>
      <c r="AK400" s="37">
        <v>42296</v>
      </c>
      <c r="AL400" s="39">
        <v>27.720852000000001</v>
      </c>
      <c r="AM400" s="36">
        <f>IF(ISBLANK(AL401),"",Short1[[#This Row],[Adj Close]]/AL401-1)</f>
        <v>1.440918098454036E-2</v>
      </c>
      <c r="AN400" s="29">
        <v>42296</v>
      </c>
      <c r="AO400" s="44">
        <v>48.290596000000001</v>
      </c>
      <c r="AP400" s="33">
        <f>IF(ISBLANK(AO401),"",Short2[[#This Row],[Adj Close]]/AO401-1)</f>
        <v>4.1150687356871885E-2</v>
      </c>
      <c r="AQ400" s="37">
        <v>42296</v>
      </c>
      <c r="AR400" s="39">
        <v>56.25</v>
      </c>
      <c r="AS400" s="36">
        <f>IF(ISBLANK(AR401),"",Short3[[#This Row],[Adj Close]]/AR401-1)</f>
        <v>-2.479195561719838E-2</v>
      </c>
    </row>
    <row r="401" spans="1:45" x14ac:dyDescent="0.25">
      <c r="A401" s="37">
        <v>42289</v>
      </c>
      <c r="B401" s="39">
        <v>2033.1099850000001</v>
      </c>
      <c r="C401" s="36">
        <f>IF(ISBLANK(B402), "", GSPC[[#This Row],[Adj Close]]/B402-1)</f>
        <v>9.0426623112727089E-3</v>
      </c>
      <c r="D40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49157.267690999994</v>
      </c>
      <c r="E40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18629.315611999999</v>
      </c>
      <c r="F401" s="11">
        <f>IF(ISBLANK(GSPC[[#This Row],[Long Exp.]]), "", (GSPC[[#This Row],[Long Exp.]]/D402-1)+(E402/GSPC[[#This Row],[Short Exp.]]-1))</f>
        <v>1.8000307149334871E-2</v>
      </c>
      <c r="G401" s="37">
        <v>42289</v>
      </c>
      <c r="H401">
        <v>39.877944999999997</v>
      </c>
      <c r="I401" s="36">
        <f>IF(ISBLANK(H402), "", Long0[[#This Row],[Adj Close]]/H402-1)</f>
        <v>2.3501818849783973E-2</v>
      </c>
      <c r="J401" s="29">
        <v>42289</v>
      </c>
      <c r="K401">
        <v>9.9709690000000002</v>
      </c>
      <c r="L401" s="33">
        <f>IF(ISBLANK(K402),"",Long1[[#This Row],[Adj Close]]/K402-1)</f>
        <v>-3.6430500727197224E-2</v>
      </c>
      <c r="M401" s="37">
        <v>42289</v>
      </c>
      <c r="N401">
        <v>30.841325999999999</v>
      </c>
      <c r="O401" s="36">
        <f>IF(ISBLANK(N402),"",Long2[[#This Row],[Adj Close]]/N402-1)</f>
        <v>2.9472352679126512E-2</v>
      </c>
      <c r="P401" s="29">
        <v>42289</v>
      </c>
      <c r="Q401">
        <v>24.036428000000001</v>
      </c>
      <c r="R401" s="33">
        <f>IF(ISBLANK(Q402),"",Long3[[#This Row],[Adj Close]]/Q402-1)</f>
        <v>4.3294156966618536E-2</v>
      </c>
      <c r="S401" s="37">
        <v>42289</v>
      </c>
      <c r="T401" s="35">
        <v>24.849208999999998</v>
      </c>
      <c r="U401" s="36">
        <f>IF(ISBLANK(T402),"",Long4[[#This Row],[Adj Close]]/T402-1)</f>
        <v>0</v>
      </c>
      <c r="V401" s="29">
        <v>42289</v>
      </c>
      <c r="W401">
        <v>19.635622000000001</v>
      </c>
      <c r="X401" s="33">
        <f>IF(ISBLANK(W402),"",Long5[[#This Row],[Adj Close]]/W402-1)</f>
        <v>-4.8780442905962729E-2</v>
      </c>
      <c r="Y401" s="37">
        <v>42289</v>
      </c>
      <c r="Z401" s="35">
        <v>34.156543999999997</v>
      </c>
      <c r="AA401" s="36">
        <f>IF(ISBLANK(Z402),"",Long6[[#This Row],[Adj Close]]/Z402-1)</f>
        <v>-0.1200103033105312</v>
      </c>
      <c r="AH401" s="29">
        <v>42289</v>
      </c>
      <c r="AI401" s="44">
        <v>39.457138</v>
      </c>
      <c r="AJ401" s="33">
        <f>IF(ISBLANK(AI402),"",Short0[[#This Row],[Adj Close]]/AI402-1)</f>
        <v>5.8322890376269143E-2</v>
      </c>
      <c r="AK401" s="37">
        <v>42289</v>
      </c>
      <c r="AL401" s="39">
        <v>27.327090999999999</v>
      </c>
      <c r="AM401" s="36">
        <f>IF(ISBLANK(AL402),"",Short1[[#This Row],[Adj Close]]/AL402-1)</f>
        <v>-6.0893210713871437E-2</v>
      </c>
      <c r="AN401" s="29">
        <v>42289</v>
      </c>
      <c r="AO401" s="44">
        <v>46.381946999999997</v>
      </c>
      <c r="AP401" s="33">
        <f>IF(ISBLANK(AO402),"",Short2[[#This Row],[Adj Close]]/AO402-1)</f>
        <v>-2.4741939634943311E-2</v>
      </c>
      <c r="AQ401" s="37">
        <v>42289</v>
      </c>
      <c r="AR401" s="39">
        <v>57.68</v>
      </c>
      <c r="AS401" s="36">
        <f>IF(ISBLANK(AR402),"",Short3[[#This Row],[Adj Close]]/AR402-1)</f>
        <v>-9.1049477599201012E-3</v>
      </c>
    </row>
    <row r="402" spans="1:45" x14ac:dyDescent="0.25">
      <c r="A402" s="37">
        <v>42282</v>
      </c>
      <c r="B402" s="39">
        <v>2014.8900149999999</v>
      </c>
      <c r="C402" s="36">
        <f>IF(ISBLANK(B403), "", GSPC[[#This Row],[Adj Close]]/B403-1)</f>
        <v>3.2556796535929688E-2</v>
      </c>
      <c r="D40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48252.763805999995</v>
      </c>
      <c r="E40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18615.440243999998</v>
      </c>
      <c r="F402" s="11">
        <f>IF(ISBLANK(GSPC[[#This Row],[Long Exp.]]), "", (GSPC[[#This Row],[Long Exp.]]/D403-1)+(E403/GSPC[[#This Row],[Short Exp.]]-1))</f>
        <v>-4.3400507202266514E-2</v>
      </c>
      <c r="G402" s="37">
        <v>42282</v>
      </c>
      <c r="H402">
        <v>38.962260999999998</v>
      </c>
      <c r="I402" s="36">
        <f>IF(ISBLANK(H403), "", Long0[[#This Row],[Adj Close]]/H403-1)</f>
        <v>-2.5423733477063393E-2</v>
      </c>
      <c r="J402" s="29">
        <v>42282</v>
      </c>
      <c r="K402">
        <v>10.347950000000001</v>
      </c>
      <c r="L402" s="33">
        <f>IF(ISBLANK(K403),"",Long1[[#This Row],[Adj Close]]/K403-1)</f>
        <v>9.2768442114198324E-2</v>
      </c>
      <c r="M402" s="37">
        <v>42282</v>
      </c>
      <c r="N402">
        <v>29.958382</v>
      </c>
      <c r="O402" s="36">
        <f>IF(ISBLANK(N403),"",Long2[[#This Row],[Adj Close]]/N403-1)</f>
        <v>9.4869419171833558E-2</v>
      </c>
      <c r="P402" s="29">
        <v>42282</v>
      </c>
      <c r="Q402">
        <v>23.038975000000001</v>
      </c>
      <c r="R402" s="33">
        <f>IF(ISBLANK(Q403),"",Long3[[#This Row],[Adj Close]]/Q403-1)</f>
        <v>-3.0274297195442834E-4</v>
      </c>
      <c r="S402" s="37">
        <v>42282</v>
      </c>
      <c r="T402" s="35">
        <v>24.849208999999998</v>
      </c>
      <c r="U402" s="36">
        <f>IF(ISBLANK(T403),"",Long4[[#This Row],[Adj Close]]/T403-1)</f>
        <v>6.7006948948296952E-2</v>
      </c>
      <c r="V402" s="29">
        <v>42282</v>
      </c>
      <c r="W402">
        <v>20.642575999999998</v>
      </c>
      <c r="X402" s="33">
        <f>IF(ISBLANK(W403),"",Long5[[#This Row],[Adj Close]]/W403-1)</f>
        <v>0.17671152110488531</v>
      </c>
      <c r="Y402" s="37">
        <v>42282</v>
      </c>
      <c r="Z402" s="35">
        <v>38.814709000000001</v>
      </c>
      <c r="AA402" s="36">
        <f>IF(ISBLANK(Z403),"",Long6[[#This Row],[Adj Close]]/Z403-1)</f>
        <v>0.15784876857393226</v>
      </c>
      <c r="AH402" s="29">
        <v>42282</v>
      </c>
      <c r="AI402" s="44">
        <v>37.282702999999998</v>
      </c>
      <c r="AJ402" s="33">
        <f>IF(ISBLANK(AI403),"",Short0[[#This Row],[Adj Close]]/AI403-1)</f>
        <v>0.14949831335376929</v>
      </c>
      <c r="AK402" s="37">
        <v>42282</v>
      </c>
      <c r="AL402" s="39">
        <v>29.099024</v>
      </c>
      <c r="AM402" s="36">
        <f>IF(ISBLANK(AL403),"",Short1[[#This Row],[Adj Close]]/AL403-1)</f>
        <v>-2.196915805693378E-2</v>
      </c>
      <c r="AN402" s="29">
        <v>42282</v>
      </c>
      <c r="AO402" s="44">
        <v>47.558639999999997</v>
      </c>
      <c r="AP402" s="33">
        <f>IF(ISBLANK(AO403),"",Short2[[#This Row],[Adj Close]]/AO403-1)</f>
        <v>4.5843448371998941E-2</v>
      </c>
      <c r="AQ402" s="37">
        <v>42282</v>
      </c>
      <c r="AR402" s="39">
        <v>58.209999000000003</v>
      </c>
      <c r="AS402" s="36">
        <f>IF(ISBLANK(AR403),"",Short3[[#This Row],[Adj Close]]/AR403-1)</f>
        <v>3.2824662299065777E-2</v>
      </c>
    </row>
    <row r="403" spans="1:45" x14ac:dyDescent="0.25">
      <c r="A403" s="37">
        <v>42275</v>
      </c>
      <c r="B403" s="39">
        <v>1951.3599850000001</v>
      </c>
      <c r="C403" s="36">
        <f>IF(ISBLANK(B404), "", GSPC[[#This Row],[Adj Close]]/B404-1)</f>
        <v>1.0365869993082422E-2</v>
      </c>
      <c r="D40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47479.077735000006</v>
      </c>
      <c r="E40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17504.176412000001</v>
      </c>
      <c r="F403" s="11">
        <f>IF(ISBLANK(GSPC[[#This Row],[Long Exp.]]), "", (GSPC[[#This Row],[Long Exp.]]/D404-1)+(E404/GSPC[[#This Row],[Short Exp.]]-1))</f>
        <v>1.138071639215521E-2</v>
      </c>
      <c r="G403" s="37">
        <v>42275</v>
      </c>
      <c r="H403">
        <v>39.978667999999999</v>
      </c>
      <c r="I403" s="36">
        <f>IF(ISBLANK(H404), "", Long0[[#This Row],[Adj Close]]/H404-1)</f>
        <v>1.1464234692968311E-3</v>
      </c>
      <c r="J403" s="29">
        <v>42275</v>
      </c>
      <c r="K403">
        <v>9.469481</v>
      </c>
      <c r="L403" s="33">
        <f>IF(ISBLANK(K404),"",Long1[[#This Row],[Adj Close]]/K404-1)</f>
        <v>0.16164622756486113</v>
      </c>
      <c r="M403" s="37">
        <v>42275</v>
      </c>
      <c r="N403">
        <v>27.362515999999999</v>
      </c>
      <c r="O403" s="36">
        <f>IF(ISBLANK(N404),"",Long2[[#This Row],[Adj Close]]/N404-1)</f>
        <v>-3.5780903190767877E-2</v>
      </c>
      <c r="P403" s="29">
        <v>42275</v>
      </c>
      <c r="Q403">
        <v>23.045952</v>
      </c>
      <c r="R403" s="33">
        <f>IF(ISBLANK(Q404),"",Long3[[#This Row],[Adj Close]]/Q404-1)</f>
        <v>3.3468743761102315E-2</v>
      </c>
      <c r="S403" s="37">
        <v>42275</v>
      </c>
      <c r="T403" s="35">
        <v>23.288703999999999</v>
      </c>
      <c r="U403" s="36">
        <f>IF(ISBLANK(T404),"",Long4[[#This Row],[Adj Close]]/T404-1)</f>
        <v>-2.8663447021903599E-2</v>
      </c>
      <c r="V403" s="29">
        <v>42275</v>
      </c>
      <c r="W403">
        <v>17.542597000000001</v>
      </c>
      <c r="X403" s="33">
        <f>IF(ISBLANK(W404),"",Long5[[#This Row],[Adj Close]]/W404-1)</f>
        <v>-4.2402462877572655E-2</v>
      </c>
      <c r="Y403" s="37">
        <v>42275</v>
      </c>
      <c r="Z403" s="35">
        <v>33.523125</v>
      </c>
      <c r="AA403" s="36">
        <f>IF(ISBLANK(Z404),"",Long6[[#This Row],[Adj Close]]/Z404-1)</f>
        <v>-2.9618650496155197E-2</v>
      </c>
      <c r="AH403" s="29">
        <v>42275</v>
      </c>
      <c r="AI403" s="44">
        <v>32.433891000000003</v>
      </c>
      <c r="AJ403" s="33">
        <f>IF(ISBLANK(AI404),"",Short0[[#This Row],[Adj Close]]/AI404-1)</f>
        <v>-1.8727203763399647E-2</v>
      </c>
      <c r="AK403" s="37">
        <v>42275</v>
      </c>
      <c r="AL403" s="39">
        <v>29.752665</v>
      </c>
      <c r="AM403" s="36">
        <f>IF(ISBLANK(AL404),"",Short1[[#This Row],[Adj Close]]/AL404-1)</f>
        <v>3.4218800239847802E-2</v>
      </c>
      <c r="AN403" s="29">
        <v>42275</v>
      </c>
      <c r="AO403" s="44">
        <v>45.473956999999999</v>
      </c>
      <c r="AP403" s="33">
        <f>IF(ISBLANK(AO404),"",Short2[[#This Row],[Adj Close]]/AO404-1)</f>
        <v>-2.7348049565127375E-2</v>
      </c>
      <c r="AQ403" s="37">
        <v>42275</v>
      </c>
      <c r="AR403" s="39">
        <v>56.360000999999997</v>
      </c>
      <c r="AS403" s="36">
        <f>IF(ISBLANK(AR404),"",Short3[[#This Row],[Adj Close]]/AR404-1)</f>
        <v>-1.4857507688472493E-2</v>
      </c>
    </row>
    <row r="404" spans="1:45" x14ac:dyDescent="0.25">
      <c r="A404" s="37">
        <v>42268</v>
      </c>
      <c r="B404" s="39">
        <v>1931.339966</v>
      </c>
      <c r="C404" s="36">
        <f>IF(ISBLANK(B405), "", GSPC[[#This Row],[Adj Close]]/B405-1)</f>
        <v>-1.3631079505778132E-2</v>
      </c>
      <c r="D40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47544.381035000006</v>
      </c>
      <c r="E40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17727.428868000003</v>
      </c>
      <c r="F404" s="11">
        <f>IF(ISBLANK(GSPC[[#This Row],[Long Exp.]]), "", (GSPC[[#This Row],[Long Exp.]]/D405-1)+(E405/GSPC[[#This Row],[Short Exp.]]-1))</f>
        <v>-4.9715309731256374E-2</v>
      </c>
      <c r="G404" s="37">
        <v>42268</v>
      </c>
      <c r="H404">
        <v>39.932887999999998</v>
      </c>
      <c r="I404" s="36">
        <f>IF(ISBLANK(H405), "", Long0[[#This Row],[Adj Close]]/H405-1)</f>
        <v>-0.12058889019627517</v>
      </c>
      <c r="J404" s="29">
        <v>42268</v>
      </c>
      <c r="K404">
        <v>8.1517769999999992</v>
      </c>
      <c r="L404" s="33">
        <f>IF(ISBLANK(K405),"",Long1[[#This Row],[Adj Close]]/K405-1)</f>
        <v>-0.24600130195976588</v>
      </c>
      <c r="M404" s="37">
        <v>42268</v>
      </c>
      <c r="N404">
        <v>28.377903</v>
      </c>
      <c r="O404" s="36">
        <f>IF(ISBLANK(N405),"",Long2[[#This Row],[Adj Close]]/N405-1)</f>
        <v>-0.13088151940242132</v>
      </c>
      <c r="P404" s="29">
        <v>42268</v>
      </c>
      <c r="Q404">
        <v>22.299612</v>
      </c>
      <c r="R404" s="33">
        <f>IF(ISBLANK(Q405),"",Long3[[#This Row],[Adj Close]]/Q405-1)</f>
        <v>3.2622931962949409E-2</v>
      </c>
      <c r="S404" s="37">
        <v>42268</v>
      </c>
      <c r="T404" s="35">
        <v>23.975936999999998</v>
      </c>
      <c r="U404" s="36">
        <f>IF(ISBLANK(T405),"",Long4[[#This Row],[Adj Close]]/T405-1)</f>
        <v>3.8318406528708326E-2</v>
      </c>
      <c r="V404" s="29">
        <v>42268</v>
      </c>
      <c r="W404">
        <v>18.319383999999999</v>
      </c>
      <c r="X404" s="33">
        <f>IF(ISBLANK(W405),"",Long5[[#This Row],[Adj Close]]/W405-1)</f>
        <v>-8.5639252880173045E-3</v>
      </c>
      <c r="Y404" s="37">
        <v>42268</v>
      </c>
      <c r="Z404" s="35">
        <v>34.546340999999998</v>
      </c>
      <c r="AA404" s="36">
        <f>IF(ISBLANK(Z405),"",Long6[[#This Row],[Adj Close]]/Z405-1)</f>
        <v>-7.922104457831125E-2</v>
      </c>
      <c r="AH404" s="29">
        <v>42268</v>
      </c>
      <c r="AI404" s="44">
        <v>33.052878999999997</v>
      </c>
      <c r="AJ404" s="33">
        <f>IF(ISBLANK(AI405),"",Short0[[#This Row],[Adj Close]]/AI405-1)</f>
        <v>-6.703499344299868E-2</v>
      </c>
      <c r="AK404" s="37">
        <v>42268</v>
      </c>
      <c r="AL404" s="39">
        <v>28.768249999999998</v>
      </c>
      <c r="AM404" s="36">
        <f>IF(ISBLANK(AL405),"",Short1[[#This Row],[Adj Close]]/AL405-1)</f>
        <v>-2.6645549533796831E-2</v>
      </c>
      <c r="AN404" s="29">
        <v>42268</v>
      </c>
      <c r="AO404" s="44">
        <v>46.752547999999997</v>
      </c>
      <c r="AP404" s="33">
        <f>IF(ISBLANK(AO405),"",Short2[[#This Row],[Adj Close]]/AO405-1)</f>
        <v>-2.4927643667621457E-2</v>
      </c>
      <c r="AQ404" s="37">
        <v>42268</v>
      </c>
      <c r="AR404" s="39">
        <v>57.209999000000003</v>
      </c>
      <c r="AS404" s="36">
        <f>IF(ISBLANK(AR405),"",Short3[[#This Row],[Adj Close]]/AR405-1)</f>
        <v>-2.2719541805269028E-2</v>
      </c>
    </row>
    <row r="405" spans="1:45" x14ac:dyDescent="0.25">
      <c r="A405" s="37">
        <v>42261</v>
      </c>
      <c r="B405" s="39">
        <v>1958.030029</v>
      </c>
      <c r="C405" s="36">
        <f>IF(ISBLANK(B406), "", GSPC[[#This Row],[Adj Close]]/B406-1)</f>
        <v>-1.5400014913132809E-3</v>
      </c>
      <c r="D40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52193.331929000007</v>
      </c>
      <c r="E40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18425.117186999996</v>
      </c>
      <c r="F405" s="11">
        <f>IF(ISBLANK(GSPC[[#This Row],[Long Exp.]]), "", (GSPC[[#This Row],[Long Exp.]]/D406-1)+(E406/GSPC[[#This Row],[Short Exp.]]-1))</f>
        <v>2.4149102751914509E-2</v>
      </c>
      <c r="G405" s="37">
        <v>42261</v>
      </c>
      <c r="H405">
        <v>45.408669000000003</v>
      </c>
      <c r="I405" s="36">
        <f>IF(ISBLANK(H406), "", Long0[[#This Row],[Adj Close]]/H406-1)</f>
        <v>1.9321775802616514E-2</v>
      </c>
      <c r="J405" s="29">
        <v>42261</v>
      </c>
      <c r="K405">
        <v>10.811394</v>
      </c>
      <c r="L405" s="33">
        <f>IF(ISBLANK(K406),"",Long1[[#This Row],[Adj Close]]/K406-1)</f>
        <v>-3.0697640057562481E-2</v>
      </c>
      <c r="M405" s="37">
        <v>42261</v>
      </c>
      <c r="N405">
        <v>32.651363000000003</v>
      </c>
      <c r="O405" s="36">
        <f>IF(ISBLANK(N406),"",Long2[[#This Row],[Adj Close]]/N406-1)</f>
        <v>-5.5186550330310502E-2</v>
      </c>
      <c r="P405" s="29">
        <v>42261</v>
      </c>
      <c r="Q405">
        <v>21.595116000000001</v>
      </c>
      <c r="R405" s="33">
        <f>IF(ISBLANK(Q406),"",Long3[[#This Row],[Adj Close]]/Q406-1)</f>
        <v>5.6943678884272986E-2</v>
      </c>
      <c r="S405" s="37">
        <v>42261</v>
      </c>
      <c r="T405" s="35">
        <v>23.091121999999999</v>
      </c>
      <c r="U405" s="36">
        <f>IF(ISBLANK(T406),"",Long4[[#This Row],[Adj Close]]/T406-1)</f>
        <v>-1.8978175003155573E-2</v>
      </c>
      <c r="V405" s="29">
        <v>42261</v>
      </c>
      <c r="W405">
        <v>18.477625</v>
      </c>
      <c r="X405" s="33">
        <f>IF(ISBLANK(W406),"",Long5[[#This Row],[Adj Close]]/W406-1)</f>
        <v>-9.8280006673976072E-2</v>
      </c>
      <c r="Y405" s="37">
        <v>42261</v>
      </c>
      <c r="Z405" s="35">
        <v>37.518604000000003</v>
      </c>
      <c r="AA405" s="36">
        <f>IF(ISBLANK(Z406),"",Long6[[#This Row],[Adj Close]]/Z406-1)</f>
        <v>1.986760799527687E-2</v>
      </c>
      <c r="AH405" s="29">
        <v>42261</v>
      </c>
      <c r="AI405" s="44">
        <v>35.427779999999998</v>
      </c>
      <c r="AJ405" s="33">
        <f>IF(ISBLANK(AI406),"",Short0[[#This Row],[Adj Close]]/AI406-1)</f>
        <v>-3.4556144732127425E-2</v>
      </c>
      <c r="AK405" s="37">
        <v>42261</v>
      </c>
      <c r="AL405" s="39">
        <v>29.555779999999999</v>
      </c>
      <c r="AM405" s="36">
        <f>IF(ISBLANK(AL406),"",Short1[[#This Row],[Adj Close]]/AL406-1)</f>
        <v>-6.5053943602256803E-3</v>
      </c>
      <c r="AN405" s="29">
        <v>42261</v>
      </c>
      <c r="AO405" s="44">
        <v>47.947772999999998</v>
      </c>
      <c r="AP405" s="33">
        <f>IF(ISBLANK(AO406),"",Short2[[#This Row],[Adj Close]]/AO406-1)</f>
        <v>-9.3798012188479607E-3</v>
      </c>
      <c r="AQ405" s="37">
        <v>42261</v>
      </c>
      <c r="AR405" s="39">
        <v>58.540000999999997</v>
      </c>
      <c r="AS405" s="36">
        <f>IF(ISBLANK(AR406),"",Short3[[#This Row],[Adj Close]]/AR406-1)</f>
        <v>-1.8608566014800876E-2</v>
      </c>
    </row>
    <row r="406" spans="1:45" x14ac:dyDescent="0.25">
      <c r="A406" s="37">
        <v>42254</v>
      </c>
      <c r="B406" s="39">
        <v>1961.0500489999999</v>
      </c>
      <c r="C406" s="36">
        <f>IF(ISBLANK(B407), "", GSPC[[#This Row],[Adj Close]]/B407-1)</f>
        <v>2.0731659362914323E-2</v>
      </c>
      <c r="D40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51951.274870000001</v>
      </c>
      <c r="E40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18784.218915000001</v>
      </c>
      <c r="F406" s="11">
        <f>IF(ISBLANK(GSPC[[#This Row],[Long Exp.]]), "", (GSPC[[#This Row],[Long Exp.]]/D407-1)+(E407/GSPC[[#This Row],[Short Exp.]]-1))</f>
        <v>-9.3219305691484289E-3</v>
      </c>
      <c r="G406" s="37">
        <v>42254</v>
      </c>
      <c r="H406">
        <v>44.547924000000002</v>
      </c>
      <c r="I406" s="36">
        <f>IF(ISBLANK(H407), "", Long0[[#This Row],[Adj Close]]/H407-1)</f>
        <v>1.2487058653256389E-2</v>
      </c>
      <c r="J406" s="29">
        <v>42254</v>
      </c>
      <c r="K406">
        <v>11.153789</v>
      </c>
      <c r="L406" s="33">
        <f>IF(ISBLANK(K407),"",Long1[[#This Row],[Adj Close]]/K407-1)</f>
        <v>-4.7267414904183402E-2</v>
      </c>
      <c r="M406" s="37">
        <v>42254</v>
      </c>
      <c r="N406">
        <v>34.558529</v>
      </c>
      <c r="O406" s="36">
        <f>IF(ISBLANK(N407),"",Long2[[#This Row],[Adj Close]]/N407-1)</f>
        <v>-6.6698520119398141E-3</v>
      </c>
      <c r="P406" s="29">
        <v>42254</v>
      </c>
      <c r="Q406">
        <v>20.431661999999999</v>
      </c>
      <c r="R406" s="33">
        <f>IF(ISBLANK(Q407),"",Long3[[#This Row],[Adj Close]]/Q407-1)</f>
        <v>0</v>
      </c>
      <c r="S406" s="37">
        <v>42254</v>
      </c>
      <c r="T406" s="35">
        <v>23.537827</v>
      </c>
      <c r="U406" s="36">
        <f>IF(ISBLANK(T407),"",Long4[[#This Row],[Adj Close]]/T407-1)</f>
        <v>1.2190496012680629E-2</v>
      </c>
      <c r="V406" s="29">
        <v>42254</v>
      </c>
      <c r="W406">
        <v>20.491533</v>
      </c>
      <c r="X406" s="33">
        <f>IF(ISBLANK(W407),"",Long5[[#This Row],[Adj Close]]/W407-1)</f>
        <v>4.1681847192282628E-2</v>
      </c>
      <c r="Y406" s="37">
        <v>42254</v>
      </c>
      <c r="Z406" s="35">
        <v>36.78772</v>
      </c>
      <c r="AA406" s="36">
        <f>IF(ISBLANK(Z407),"",Long6[[#This Row],[Adj Close]]/Z407-1)</f>
        <v>2.8050039601522192E-2</v>
      </c>
      <c r="AH406" s="29">
        <v>42254</v>
      </c>
      <c r="AI406" s="44">
        <v>36.695847000000001</v>
      </c>
      <c r="AJ406" s="33">
        <f>IF(ISBLANK(AI407),"",Short0[[#This Row],[Adj Close]]/AI407-1)</f>
        <v>-1.4505197958897931E-2</v>
      </c>
      <c r="AK406" s="37">
        <v>42254</v>
      </c>
      <c r="AL406" s="39">
        <v>29.749310999999999</v>
      </c>
      <c r="AM406" s="36">
        <f>IF(ISBLANK(AL407),"",Short1[[#This Row],[Adj Close]]/AL407-1)</f>
        <v>3.7957284852988105E-2</v>
      </c>
      <c r="AN406" s="29">
        <v>42254</v>
      </c>
      <c r="AO406" s="44">
        <v>48.401772000000001</v>
      </c>
      <c r="AP406" s="33">
        <f>IF(ISBLANK(AO407),"",Short2[[#This Row],[Adj Close]]/AO407-1)</f>
        <v>3.6302421628055859E-2</v>
      </c>
      <c r="AQ406" s="37">
        <v>42254</v>
      </c>
      <c r="AR406" s="39">
        <v>59.650002000000001</v>
      </c>
      <c r="AS406" s="36">
        <f>IF(ISBLANK(AR407),"",Short3[[#This Row],[Adj Close]]/AR407-1)</f>
        <v>2.3682889994851575E-2</v>
      </c>
    </row>
    <row r="407" spans="1:45" x14ac:dyDescent="0.25">
      <c r="A407" s="37">
        <v>42247</v>
      </c>
      <c r="B407" s="39">
        <v>1921.219971</v>
      </c>
      <c r="C407" s="36">
        <f>IF(ISBLANK(B408), "", GSPC[[#This Row],[Adj Close]]/B408-1)</f>
        <v>-3.4014301673850778E-2</v>
      </c>
      <c r="D40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51573.051385999999</v>
      </c>
      <c r="E40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18471.355103999998</v>
      </c>
      <c r="F407" s="11">
        <f>IF(ISBLANK(GSPC[[#This Row],[Long Exp.]]), "", (GSPC[[#This Row],[Long Exp.]]/D408-1)+(E408/GSPC[[#This Row],[Short Exp.]]-1))</f>
        <v>-2.8551932572886685E-2</v>
      </c>
      <c r="G407" s="37">
        <v>42247</v>
      </c>
      <c r="H407">
        <v>43.998511999999998</v>
      </c>
      <c r="I407" s="36">
        <f>IF(ISBLANK(H408), "", Long0[[#This Row],[Adj Close]]/H408-1)</f>
        <v>-4.6059020546567297E-2</v>
      </c>
      <c r="J407" s="29">
        <v>42247</v>
      </c>
      <c r="K407">
        <v>11.707155999999999</v>
      </c>
      <c r="L407" s="33">
        <f>IF(ISBLANK(K408),"",Long1[[#This Row],[Adj Close]]/K408-1)</f>
        <v>-5.3676221254292833E-2</v>
      </c>
      <c r="M407" s="37">
        <v>42247</v>
      </c>
      <c r="N407">
        <v>34.790576999999999</v>
      </c>
      <c r="O407" s="36">
        <f>IF(ISBLANK(N408),"",Long2[[#This Row],[Adj Close]]/N408-1)</f>
        <v>-3.3382024621260165E-2</v>
      </c>
      <c r="P407" s="29">
        <v>42247</v>
      </c>
      <c r="Q407">
        <v>20.431661999999999</v>
      </c>
      <c r="R407" s="33">
        <f>IF(ISBLANK(Q408),"",Long3[[#This Row],[Adj Close]]/Q408-1)</f>
        <v>-5.4191703126084345E-2</v>
      </c>
      <c r="S407" s="37">
        <v>42247</v>
      </c>
      <c r="T407" s="35">
        <v>23.254345000000001</v>
      </c>
      <c r="U407" s="36">
        <f>IF(ISBLANK(T408),"",Long4[[#This Row],[Adj Close]]/T408-1)</f>
        <v>-1.3843265574760455E-2</v>
      </c>
      <c r="V407" s="29">
        <v>42247</v>
      </c>
      <c r="W407">
        <v>19.671585</v>
      </c>
      <c r="X407" s="33">
        <f>IF(ISBLANK(W408),"",Long5[[#This Row],[Adj Close]]/W408-1)</f>
        <v>-3.4592281590912877E-2</v>
      </c>
      <c r="Y407" s="37">
        <v>42247</v>
      </c>
      <c r="Z407" s="35">
        <v>35.783977999999998</v>
      </c>
      <c r="AA407" s="36">
        <f>IF(ISBLANK(Z408),"",Long6[[#This Row],[Adj Close]]/Z408-1)</f>
        <v>-2.1582828625905548E-2</v>
      </c>
      <c r="AH407" s="29">
        <v>42247</v>
      </c>
      <c r="AI407" s="44">
        <v>37.235962000000001</v>
      </c>
      <c r="AJ407" s="33">
        <f>IF(ISBLANK(AI408),"",Short0[[#This Row],[Adj Close]]/AI408-1)</f>
        <v>4.4343138914382241E-3</v>
      </c>
      <c r="AK407" s="37">
        <v>42247</v>
      </c>
      <c r="AL407" s="39">
        <v>28.661401999999999</v>
      </c>
      <c r="AM407" s="36">
        <f>IF(ISBLANK(AL408),"",Short1[[#This Row],[Adj Close]]/AL408-1)</f>
        <v>1.8070470758190904E-2</v>
      </c>
      <c r="AN407" s="29">
        <v>42247</v>
      </c>
      <c r="AO407" s="44">
        <v>46.706223000000001</v>
      </c>
      <c r="AP407" s="33">
        <f>IF(ISBLANK(AO408),"",Short2[[#This Row],[Adj Close]]/AO408-1)</f>
        <v>-3.9685592004889969E-4</v>
      </c>
      <c r="AQ407" s="37">
        <v>42247</v>
      </c>
      <c r="AR407" s="39">
        <v>58.27</v>
      </c>
      <c r="AS407" s="36">
        <f>IF(ISBLANK(AR408),"",Short3[[#This Row],[Adj Close]]/AR408-1)</f>
        <v>-7.1838150236351428E-2</v>
      </c>
    </row>
    <row r="408" spans="1:45" x14ac:dyDescent="0.25">
      <c r="A408" s="37">
        <v>42240</v>
      </c>
      <c r="B408" s="39">
        <v>1988.869995</v>
      </c>
      <c r="C408" s="36">
        <f>IF(ISBLANK(B409), "", GSPC[[#This Row],[Adj Close]]/B409-1)</f>
        <v>9.1227718762378895E-3</v>
      </c>
      <c r="D40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53862.742441999995</v>
      </c>
      <c r="E40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18729.17468</v>
      </c>
      <c r="F408" s="11">
        <f>IF(ISBLANK(GSPC[[#This Row],[Long Exp.]]), "", (GSPC[[#This Row],[Long Exp.]]/D409-1)+(E409/GSPC[[#This Row],[Short Exp.]]-1))</f>
        <v>-1.380726371966412E-2</v>
      </c>
      <c r="G408" s="37">
        <v>42240</v>
      </c>
      <c r="H408">
        <v>46.122886999999999</v>
      </c>
      <c r="I408" s="36">
        <f>IF(ISBLANK(H409), "", Long0[[#This Row],[Adj Close]]/H409-1)</f>
        <v>-2.194198990411278E-2</v>
      </c>
      <c r="J408" s="29">
        <v>42240</v>
      </c>
      <c r="K408">
        <v>12.371195</v>
      </c>
      <c r="L408" s="33">
        <f>IF(ISBLANK(K409),"",Long1[[#This Row],[Adj Close]]/K409-1)</f>
        <v>2.1708084654997517E-2</v>
      </c>
      <c r="M408" s="37">
        <v>42240</v>
      </c>
      <c r="N408">
        <v>35.992064999999997</v>
      </c>
      <c r="O408" s="36">
        <f>IF(ISBLANK(N409),"",Long2[[#This Row],[Adj Close]]/N409-1)</f>
        <v>2.7541499774504929E-2</v>
      </c>
      <c r="P408" s="29">
        <v>42240</v>
      </c>
      <c r="Q408">
        <v>21.602329000000001</v>
      </c>
      <c r="R408" s="33">
        <f>IF(ISBLANK(Q409),"",Long3[[#This Row],[Adj Close]]/Q409-1)</f>
        <v>-4.6504635540312034E-2</v>
      </c>
      <c r="S408" s="37">
        <v>42240</v>
      </c>
      <c r="T408" s="35">
        <v>23.580780000000001</v>
      </c>
      <c r="U408" s="36">
        <f>IF(ISBLANK(T409),"",Long4[[#This Row],[Adj Close]]/T409-1)</f>
        <v>1.7420308703069765E-2</v>
      </c>
      <c r="V408" s="29">
        <v>42240</v>
      </c>
      <c r="W408">
        <v>20.376453000000001</v>
      </c>
      <c r="X408" s="33">
        <f>IF(ISBLANK(W409),"",Long5[[#This Row],[Adj Close]]/W409-1)</f>
        <v>2.2006096790893936E-2</v>
      </c>
      <c r="Y408" s="37">
        <v>42240</v>
      </c>
      <c r="Z408" s="35">
        <v>36.573334000000003</v>
      </c>
      <c r="AA408" s="36">
        <f>IF(ISBLANK(Z409),"",Long6[[#This Row],[Adj Close]]/Z409-1)</f>
        <v>5.837578001796806E-2</v>
      </c>
      <c r="AH408" s="29">
        <v>42240</v>
      </c>
      <c r="AI408" s="44">
        <v>37.071575000000003</v>
      </c>
      <c r="AJ408" s="33">
        <f>IF(ISBLANK(AI409),"",Short0[[#This Row],[Adj Close]]/AI409-1)</f>
        <v>-1.3127771284095258E-2</v>
      </c>
      <c r="AK408" s="37">
        <v>42240</v>
      </c>
      <c r="AL408" s="39">
        <v>28.152670000000001</v>
      </c>
      <c r="AM408" s="36">
        <f>IF(ISBLANK(AL409),"",Short1[[#This Row],[Adj Close]]/AL409-1)</f>
        <v>0.19184920198128785</v>
      </c>
      <c r="AN408" s="29">
        <v>42240</v>
      </c>
      <c r="AO408" s="44">
        <v>46.724766000000002</v>
      </c>
      <c r="AP408" s="33">
        <f>IF(ISBLANK(AO409),"",Short2[[#This Row],[Adj Close]]/AO409-1)</f>
        <v>-5.650145838647791E-2</v>
      </c>
      <c r="AQ408" s="37">
        <v>42240</v>
      </c>
      <c r="AR408" s="39">
        <v>62.779998999999997</v>
      </c>
      <c r="AS408" s="36">
        <f>IF(ISBLANK(AR409),"",Short3[[#This Row],[Adj Close]]/AR409-1)</f>
        <v>1.0461902294191194E-2</v>
      </c>
    </row>
    <row r="409" spans="1:45" x14ac:dyDescent="0.25">
      <c r="A409" s="37">
        <v>42233</v>
      </c>
      <c r="B409" s="39">
        <v>1970.8900149999999</v>
      </c>
      <c r="C409" s="36">
        <f>IF(ISBLANK(B410), "", GSPC[[#This Row],[Adj Close]]/B410-1)</f>
        <v>-5.7684778560435745E-2</v>
      </c>
      <c r="D40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54458.217426999996</v>
      </c>
      <c r="E40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18675.370739000002</v>
      </c>
      <c r="F409" s="11">
        <f>IF(ISBLANK(GSPC[[#This Row],[Long Exp.]]), "", (GSPC[[#This Row],[Long Exp.]]/D410-1)+(E410/GSPC[[#This Row],[Short Exp.]]-1))</f>
        <v>9.9977209313899529E-3</v>
      </c>
      <c r="G409" s="37">
        <v>42233</v>
      </c>
      <c r="H409">
        <v>47.157618999999997</v>
      </c>
      <c r="I409" s="36">
        <f>IF(ISBLANK(H410), "", Long0[[#This Row],[Adj Close]]/H410-1)</f>
        <v>-5.2612152096133236E-2</v>
      </c>
      <c r="J409" s="29">
        <v>42233</v>
      </c>
      <c r="K409">
        <v>12.108345999999999</v>
      </c>
      <c r="L409" s="33">
        <f>IF(ISBLANK(K410),"",Long1[[#This Row],[Adj Close]]/K410-1)</f>
        <v>-0.1091603480267157</v>
      </c>
      <c r="M409" s="37">
        <v>42233</v>
      </c>
      <c r="N409">
        <v>35.027358999999997</v>
      </c>
      <c r="O409" s="36">
        <f>IF(ISBLANK(N410),"",Long2[[#This Row],[Adj Close]]/N410-1)</f>
        <v>-7.7172043829176085E-2</v>
      </c>
      <c r="P409" s="29">
        <v>42233</v>
      </c>
      <c r="Q409">
        <v>22.655934999999999</v>
      </c>
      <c r="R409" s="33">
        <f>IF(ISBLANK(Q410),"",Long3[[#This Row],[Adj Close]]/Q410-1)</f>
        <v>-1.3788757960535802E-2</v>
      </c>
      <c r="S409" s="37">
        <v>42233</v>
      </c>
      <c r="T409" s="35">
        <v>23.177029000000001</v>
      </c>
      <c r="U409" s="36">
        <f>IF(ISBLANK(T410),"",Long4[[#This Row],[Adj Close]]/T410-1)</f>
        <v>-6.3519686769808681E-2</v>
      </c>
      <c r="V409" s="29">
        <v>42233</v>
      </c>
      <c r="W409">
        <v>19.937702000000002</v>
      </c>
      <c r="X409" s="33">
        <f>IF(ISBLANK(W410),"",Long5[[#This Row],[Adj Close]]/W410-1)</f>
        <v>-7.197880553722924E-2</v>
      </c>
      <c r="Y409" s="37">
        <v>42233</v>
      </c>
      <c r="Z409" s="35">
        <v>34.556094999999999</v>
      </c>
      <c r="AA409" s="36">
        <f>IF(ISBLANK(Z410),"",Long6[[#This Row],[Adj Close]]/Z410-1)</f>
        <v>-8.4194193548489671E-2</v>
      </c>
      <c r="AH409" s="29">
        <v>42233</v>
      </c>
      <c r="AI409" s="44">
        <v>37.564715999999997</v>
      </c>
      <c r="AJ409" s="33">
        <f>IF(ISBLANK(AI410),"",Short0[[#This Row],[Adj Close]]/AI410-1)</f>
        <v>-8.4334870714979693E-2</v>
      </c>
      <c r="AK409" s="37">
        <v>42233</v>
      </c>
      <c r="AL409" s="39">
        <v>23.620999999999999</v>
      </c>
      <c r="AM409" s="36">
        <f>IF(ISBLANK(AL410),"",Short1[[#This Row],[Adj Close]]/AL410-1)</f>
        <v>-7.5367763556885348E-2</v>
      </c>
      <c r="AN409" s="29">
        <v>42233</v>
      </c>
      <c r="AO409" s="44">
        <v>49.522880999999998</v>
      </c>
      <c r="AP409" s="33">
        <f>IF(ISBLANK(AO410),"",Short2[[#This Row],[Adj Close]]/AO410-1)</f>
        <v>1.7320225045587057E-2</v>
      </c>
      <c r="AQ409" s="37">
        <v>42233</v>
      </c>
      <c r="AR409" s="39">
        <v>62.130001</v>
      </c>
      <c r="AS409" s="36">
        <f>IF(ISBLANK(AR410),"",Short3[[#This Row],[Adj Close]]/AR410-1)</f>
        <v>-0.10963023946159711</v>
      </c>
    </row>
    <row r="410" spans="1:45" x14ac:dyDescent="0.25">
      <c r="A410" s="37">
        <v>42226</v>
      </c>
      <c r="B410" s="39">
        <v>2091.540039</v>
      </c>
      <c r="C410" s="36">
        <f>IF(ISBLANK(B411), "", GSPC[[#This Row],[Adj Close]]/B411-1)</f>
        <v>6.7241876532464495E-3</v>
      </c>
      <c r="D410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57582.662981000001</v>
      </c>
      <c r="E41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19875.410828</v>
      </c>
      <c r="F410" s="11">
        <f>IF(ISBLANK(GSPC[[#This Row],[Long Exp.]]), "", (GSPC[[#This Row],[Long Exp.]]/D411-1)+(E411/GSPC[[#This Row],[Short Exp.]]-1))</f>
        <v>-2.3433172234967659E-2</v>
      </c>
      <c r="G410" s="37">
        <v>42226</v>
      </c>
      <c r="H410">
        <v>49.776465999999999</v>
      </c>
      <c r="I410" s="36">
        <f>IF(ISBLANK(H411), "", Long0[[#This Row],[Adj Close]]/H411-1)</f>
        <v>-3.5315109520536292E-2</v>
      </c>
      <c r="J410" s="29">
        <v>42226</v>
      </c>
      <c r="K410">
        <v>13.59206</v>
      </c>
      <c r="L410" s="33">
        <f>IF(ISBLANK(K411),"",Long1[[#This Row],[Adj Close]]/K411-1)</f>
        <v>-3.3923273433334233E-2</v>
      </c>
      <c r="M410" s="37">
        <v>42226</v>
      </c>
      <c r="N410">
        <v>37.956543000000003</v>
      </c>
      <c r="O410" s="36">
        <f>IF(ISBLANK(N411),"",Long2[[#This Row],[Adj Close]]/N411-1)</f>
        <v>-2.5225486573248301E-2</v>
      </c>
      <c r="P410" s="29">
        <v>42226</v>
      </c>
      <c r="Q410">
        <v>22.9727</v>
      </c>
      <c r="R410" s="33">
        <f>IF(ISBLANK(Q411),"",Long3[[#This Row],[Adj Close]]/Q411-1)</f>
        <v>3.0902020308043232E-2</v>
      </c>
      <c r="S410" s="37">
        <v>42226</v>
      </c>
      <c r="T410" s="35">
        <v>24.749082999999999</v>
      </c>
      <c r="U410" s="36">
        <f>IF(ISBLANK(T411),"",Long4[[#This Row],[Adj Close]]/T411-1)</f>
        <v>3.2616666641632541E-2</v>
      </c>
      <c r="V410" s="29">
        <v>42226</v>
      </c>
      <c r="W410">
        <v>21.484102</v>
      </c>
      <c r="X410" s="33">
        <f>IF(ISBLANK(W411),"",Long5[[#This Row],[Adj Close]]/W411-1)</f>
        <v>-5.1444958946623265E-2</v>
      </c>
      <c r="Y410" s="37">
        <v>42226</v>
      </c>
      <c r="Z410" s="35">
        <v>37.732993999999998</v>
      </c>
      <c r="AA410" s="36">
        <f>IF(ISBLANK(Z411),"",Long6[[#This Row],[Adj Close]]/Z411-1)</f>
        <v>-6.7661984335740444E-2</v>
      </c>
      <c r="AH410" s="29">
        <v>42226</v>
      </c>
      <c r="AI410" s="44">
        <v>41.024512999999999</v>
      </c>
      <c r="AJ410" s="33">
        <f>IF(ISBLANK(AI411),"",Short0[[#This Row],[Adj Close]]/AI411-1)</f>
        <v>-7.728897016489511E-2</v>
      </c>
      <c r="AK410" s="37">
        <v>42226</v>
      </c>
      <c r="AL410" s="39">
        <v>25.546372999999999</v>
      </c>
      <c r="AM410" s="36">
        <f>IF(ISBLANK(AL411),"",Short1[[#This Row],[Adj Close]]/AL411-1)</f>
        <v>6.1118203543890415E-2</v>
      </c>
      <c r="AN410" s="29">
        <v>42226</v>
      </c>
      <c r="AO410" s="44">
        <v>48.679737000000003</v>
      </c>
      <c r="AP410" s="33">
        <f>IF(ISBLANK(AO411),"",Short2[[#This Row],[Adj Close]]/AO411-1)</f>
        <v>5.2483993476207136E-2</v>
      </c>
      <c r="AQ410" s="37">
        <v>42226</v>
      </c>
      <c r="AR410" s="39">
        <v>69.779999000000004</v>
      </c>
      <c r="AS410" s="36">
        <f>IF(ISBLANK(AR411),"",Short3[[#This Row],[Adj Close]]/AR411-1)</f>
        <v>3.1180745712449998E-2</v>
      </c>
    </row>
    <row r="411" spans="1:45" x14ac:dyDescent="0.25">
      <c r="A411" s="37">
        <v>42219</v>
      </c>
      <c r="B411" s="39">
        <v>2077.570068</v>
      </c>
      <c r="C411" s="36">
        <f>IF(ISBLANK(B412), "", GSPC[[#This Row],[Adj Close]]/B412-1)</f>
        <v>-1.2486699987247274E-2</v>
      </c>
      <c r="D411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58916.658065000003</v>
      </c>
      <c r="E41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19859.687342000001</v>
      </c>
      <c r="F411" s="11">
        <f>IF(ISBLANK(GSPC[[#This Row],[Long Exp.]]), "", (GSPC[[#This Row],[Long Exp.]]/D412-1)+(E412/GSPC[[#This Row],[Short Exp.]]-1))</f>
        <v>3.1509927141732286E-2</v>
      </c>
      <c r="G411" s="37">
        <v>42219</v>
      </c>
      <c r="H411">
        <v>51.598678999999997</v>
      </c>
      <c r="I411" s="36">
        <f>IF(ISBLANK(H412), "", Long0[[#This Row],[Adj Close]]/H412-1)</f>
        <v>6.4297488589211138E-3</v>
      </c>
      <c r="J411" s="29">
        <v>42219</v>
      </c>
      <c r="K411">
        <v>14.069338</v>
      </c>
      <c r="L411" s="33">
        <f>IF(ISBLANK(K412),"",Long1[[#This Row],[Adj Close]]/K412-1)</f>
        <v>-6.1591695409413338E-2</v>
      </c>
      <c r="M411" s="37">
        <v>42219</v>
      </c>
      <c r="N411">
        <v>38.938792999999997</v>
      </c>
      <c r="O411" s="36">
        <f>IF(ISBLANK(N412),"",Long2[[#This Row],[Adj Close]]/N412-1)</f>
        <v>3.4000882937726296E-2</v>
      </c>
      <c r="P411" s="29">
        <v>42219</v>
      </c>
      <c r="Q411">
        <v>22.284077</v>
      </c>
      <c r="R411" s="33">
        <f>IF(ISBLANK(Q412),"",Long3[[#This Row],[Adj Close]]/Q412-1)</f>
        <v>1.7290314817030694E-2</v>
      </c>
      <c r="S411" s="37">
        <v>42219</v>
      </c>
      <c r="T411" s="35">
        <v>23.967348000000001</v>
      </c>
      <c r="U411" s="36">
        <f>IF(ISBLANK(T412),"",Long4[[#This Row],[Adj Close]]/T412-1)</f>
        <v>2.8381889671376115E-2</v>
      </c>
      <c r="V411" s="29">
        <v>42219</v>
      </c>
      <c r="W411">
        <v>22.649294000000001</v>
      </c>
      <c r="X411" s="33">
        <f>IF(ISBLANK(W412),"",Long5[[#This Row],[Adj Close]]/W412-1)</f>
        <v>-8.1388587903023391E-2</v>
      </c>
      <c r="Y411" s="37">
        <v>42219</v>
      </c>
      <c r="Z411" s="35">
        <v>40.471367000000001</v>
      </c>
      <c r="AA411" s="36">
        <f>IF(ISBLANK(Z412),"",Long6[[#This Row],[Adj Close]]/Z412-1)</f>
        <v>-0.12953240843342972</v>
      </c>
      <c r="AH411" s="29">
        <v>42219</v>
      </c>
      <c r="AI411" s="44">
        <v>44.460845999999997</v>
      </c>
      <c r="AJ411" s="33">
        <f>IF(ISBLANK(AI412),"",Short0[[#This Row],[Adj Close]]/AI412-1)</f>
        <v>1.3561634317203364E-2</v>
      </c>
      <c r="AK411" s="37">
        <v>42219</v>
      </c>
      <c r="AL411" s="39">
        <v>24.074954999999999</v>
      </c>
      <c r="AM411" s="36">
        <f>IF(ISBLANK(AL412),"",Short1[[#This Row],[Adj Close]]/AL412-1)</f>
        <v>-4.7383038598568294E-2</v>
      </c>
      <c r="AN411" s="29">
        <v>42219</v>
      </c>
      <c r="AO411" s="44">
        <v>46.252234999999999</v>
      </c>
      <c r="AP411" s="33">
        <f>IF(ISBLANK(AO412),"",Short2[[#This Row],[Adj Close]]/AO412-1)</f>
        <v>-5.8823707762786781E-2</v>
      </c>
      <c r="AQ411" s="37">
        <v>42219</v>
      </c>
      <c r="AR411" s="39">
        <v>67.669998000000007</v>
      </c>
      <c r="AS411" s="36">
        <f>IF(ISBLANK(AR412),"",Short3[[#This Row],[Adj Close]]/AR412-1)</f>
        <v>-3.2456447456206794E-2</v>
      </c>
    </row>
    <row r="412" spans="1:45" x14ac:dyDescent="0.25">
      <c r="A412" s="37">
        <v>42212</v>
      </c>
      <c r="B412" s="39">
        <v>2103.8400879999999</v>
      </c>
      <c r="C412" s="36">
        <f>IF(ISBLANK(B413), "", GSPC[[#This Row],[Adj Close]]/B413-1)</f>
        <v>1.1631854946708042E-2</v>
      </c>
      <c r="D412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58604.582924000009</v>
      </c>
      <c r="E41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20379.709864</v>
      </c>
      <c r="F412" s="11">
        <f>IF(ISBLANK(GSPC[[#This Row],[Long Exp.]]), "", (GSPC[[#This Row],[Long Exp.]]/D413-1)+(E413/GSPC[[#This Row],[Short Exp.]]-1))</f>
        <v>-8.8866555516156964E-2</v>
      </c>
      <c r="G412" s="37">
        <v>42212</v>
      </c>
      <c r="H412">
        <v>51.269032000000003</v>
      </c>
      <c r="I412" s="36">
        <f>IF(ISBLANK(H413), "", Long0[[#This Row],[Adj Close]]/H413-1)</f>
        <v>-0.15089473403357978</v>
      </c>
      <c r="J412" s="29">
        <v>42212</v>
      </c>
      <c r="K412">
        <v>14.992768</v>
      </c>
      <c r="L412" s="33">
        <f>IF(ISBLANK(K413),"",Long1[[#This Row],[Adj Close]]/K413-1)</f>
        <v>-1.2078422669477562E-2</v>
      </c>
      <c r="M412" s="37">
        <v>42212</v>
      </c>
      <c r="N412">
        <v>37.658374999999999</v>
      </c>
      <c r="O412" s="36">
        <f>IF(ISBLANK(N413),"",Long2[[#This Row],[Adj Close]]/N413-1)</f>
        <v>1.1658795282809553E-3</v>
      </c>
      <c r="P412" s="29">
        <v>42212</v>
      </c>
      <c r="Q412">
        <v>21.905327</v>
      </c>
      <c r="R412" s="33">
        <f>IF(ISBLANK(Q413),"",Long3[[#This Row],[Adj Close]]/Q413-1)</f>
        <v>3.6156276617478333E-2</v>
      </c>
      <c r="S412" s="37">
        <v>42212</v>
      </c>
      <c r="T412" s="35">
        <v>23.305883000000001</v>
      </c>
      <c r="U412" s="36">
        <f>IF(ISBLANK(T413),"",Long4[[#This Row],[Adj Close]]/T413-1)</f>
        <v>8.9250880833340318E-3</v>
      </c>
      <c r="V412" s="29">
        <v>42212</v>
      </c>
      <c r="W412">
        <v>24.656012</v>
      </c>
      <c r="X412" s="33">
        <f>IF(ISBLANK(W413),"",Long5[[#This Row],[Adj Close]]/W413-1)</f>
        <v>9.6609292478311959E-2</v>
      </c>
      <c r="Y412" s="37">
        <v>42212</v>
      </c>
      <c r="Z412" s="35">
        <v>46.493823999999996</v>
      </c>
      <c r="AA412" s="36">
        <f>IF(ISBLANK(Z413),"",Long6[[#This Row],[Adj Close]]/Z413-1)</f>
        <v>3.9983444999256434E-3</v>
      </c>
      <c r="AH412" s="29">
        <v>42212</v>
      </c>
      <c r="AI412" s="44">
        <v>43.865952</v>
      </c>
      <c r="AJ412" s="33">
        <f>IF(ISBLANK(AI413),"",Short0[[#This Row],[Adj Close]]/AI413-1)</f>
        <v>2.2441313107343319E-2</v>
      </c>
      <c r="AK412" s="37">
        <v>42212</v>
      </c>
      <c r="AL412" s="39">
        <v>25.27244</v>
      </c>
      <c r="AM412" s="36">
        <f>IF(ISBLANK(AL413),"",Short1[[#This Row],[Adj Close]]/AL413-1)</f>
        <v>-5.2368612525995895E-3</v>
      </c>
      <c r="AN412" s="29">
        <v>42212</v>
      </c>
      <c r="AO412" s="44">
        <v>49.143008999999999</v>
      </c>
      <c r="AP412" s="33">
        <f>IF(ISBLANK(AO413),"",Short2[[#This Row],[Adj Close]]/AO413-1)</f>
        <v>4.8843311272618761E-2</v>
      </c>
      <c r="AQ412" s="37">
        <v>42212</v>
      </c>
      <c r="AR412" s="39">
        <v>69.940002000000007</v>
      </c>
      <c r="AS412" s="36">
        <f>IF(ISBLANK(AR413),"",Short3[[#This Row],[Adj Close]]/AR413-1)</f>
        <v>-5.3714000610796786E-2</v>
      </c>
    </row>
    <row r="413" spans="1:45" x14ac:dyDescent="0.25">
      <c r="A413" s="37">
        <v>42205</v>
      </c>
      <c r="B413" s="39">
        <v>2079.6499020000001</v>
      </c>
      <c r="C413" s="36">
        <f>IF(ISBLANK(B414), "", GSPC[[#This Row],[Adj Close]]/B414-1)</f>
        <v>-2.2095885229403978E-2</v>
      </c>
      <c r="D413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63890.659445999998</v>
      </c>
      <c r="E41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20254.776956999998</v>
      </c>
      <c r="F413" s="11">
        <f>IF(ISBLANK(GSPC[[#This Row],[Long Exp.]]), "", (GSPC[[#This Row],[Long Exp.]]/D414-1)+(E414/GSPC[[#This Row],[Short Exp.]]-1))</f>
        <v>-2.9530519635340147E-2</v>
      </c>
      <c r="G413" s="37">
        <v>42205</v>
      </c>
      <c r="H413">
        <v>60.380065999999999</v>
      </c>
      <c r="I413" s="36">
        <f>IF(ISBLANK(H414), "", Long0[[#This Row],[Adj Close]]/H414-1)</f>
        <v>-3.6950454472600258E-2</v>
      </c>
      <c r="J413" s="29">
        <v>42205</v>
      </c>
      <c r="K413">
        <v>15.176071</v>
      </c>
      <c r="L413" s="33">
        <f>IF(ISBLANK(K414),"",Long1[[#This Row],[Adj Close]]/K414-1)</f>
        <v>-5.3698493263837688E-2</v>
      </c>
      <c r="M413" s="37">
        <v>42205</v>
      </c>
      <c r="N413">
        <v>37.614521000000003</v>
      </c>
      <c r="O413" s="36">
        <f>IF(ISBLANK(N414),"",Long2[[#This Row],[Adj Close]]/N414-1)</f>
        <v>-5.2363987055149774E-2</v>
      </c>
      <c r="P413" s="29">
        <v>42205</v>
      </c>
      <c r="Q413">
        <v>21.140948999999999</v>
      </c>
      <c r="R413" s="33">
        <f>IF(ISBLANK(Q414),"",Long3[[#This Row],[Adj Close]]/Q414-1)</f>
        <v>-1.2861639344690867E-2</v>
      </c>
      <c r="S413" s="37">
        <v>42205</v>
      </c>
      <c r="T413" s="35">
        <v>23.099716000000001</v>
      </c>
      <c r="U413" s="36">
        <f>IF(ISBLANK(T414),"",Long4[[#This Row],[Adj Close]]/T414-1)</f>
        <v>-1.3934640820850164E-2</v>
      </c>
      <c r="V413" s="29">
        <v>42205</v>
      </c>
      <c r="W413">
        <v>22.483861999999998</v>
      </c>
      <c r="X413" s="33">
        <f>IF(ISBLANK(W414),"",Long5[[#This Row],[Adj Close]]/W414-1)</f>
        <v>1.923673822477201E-2</v>
      </c>
      <c r="Y413" s="37">
        <v>42205</v>
      </c>
      <c r="Z413" s="35">
        <v>46.308666000000002</v>
      </c>
      <c r="AA413" s="36">
        <f>IF(ISBLANK(Z414),"",Long6[[#This Row],[Adj Close]]/Z414-1)</f>
        <v>-1.4312589234046436E-2</v>
      </c>
      <c r="AH413" s="29">
        <v>42205</v>
      </c>
      <c r="AI413" s="44">
        <v>42.903148999999999</v>
      </c>
      <c r="AJ413" s="33">
        <f>IF(ISBLANK(AI414),"",Short0[[#This Row],[Adj Close]]/AI414-1)</f>
        <v>9.9502696027964355E-3</v>
      </c>
      <c r="AK413" s="37">
        <v>42205</v>
      </c>
      <c r="AL413" s="39">
        <v>25.405484999999999</v>
      </c>
      <c r="AM413" s="36">
        <f>IF(ISBLANK(AL414),"",Short1[[#This Row],[Adj Close]]/AL414-1)</f>
        <v>-1.2774044205350776E-2</v>
      </c>
      <c r="AN413" s="29">
        <v>42205</v>
      </c>
      <c r="AO413" s="44">
        <v>46.854481</v>
      </c>
      <c r="AP413" s="33">
        <f>IF(ISBLANK(AO414),"",Short2[[#This Row],[Adj Close]]/AO414-1)</f>
        <v>-3.5659863556348093E-2</v>
      </c>
      <c r="AQ413" s="37">
        <v>42205</v>
      </c>
      <c r="AR413" s="39">
        <v>73.910004000000001</v>
      </c>
      <c r="AS413" s="36">
        <f>IF(ISBLANK(AR414),"",Short3[[#This Row],[Adj Close]]/AR414-1)</f>
        <v>1.4132917705800718E-2</v>
      </c>
    </row>
    <row r="414" spans="1:45" x14ac:dyDescent="0.25">
      <c r="A414" s="37">
        <v>42198</v>
      </c>
      <c r="B414" s="39">
        <v>2126.639893</v>
      </c>
      <c r="C414" s="36">
        <f>IF(ISBLANK(B415), "", GSPC[[#This Row],[Adj Close]]/B415-1)</f>
        <v>2.4087109428690967E-2</v>
      </c>
      <c r="D414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66139.647084000011</v>
      </c>
      <c r="E41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20345.378671999999</v>
      </c>
      <c r="F414" s="11">
        <f>IF(ISBLANK(GSPC[[#This Row],[Long Exp.]]), "", (GSPC[[#This Row],[Long Exp.]]/D415-1)+(E415/GSPC[[#This Row],[Short Exp.]]-1))</f>
        <v>-1.666293418833853E-2</v>
      </c>
      <c r="G414" s="37">
        <v>42198</v>
      </c>
      <c r="H414">
        <v>62.696739000000001</v>
      </c>
      <c r="I414" s="36">
        <f>IF(ISBLANK(H415), "", Long0[[#This Row],[Adj Close]]/H415-1)</f>
        <v>-3.8612790546670883E-2</v>
      </c>
      <c r="J414" s="29">
        <v>42198</v>
      </c>
      <c r="K414">
        <v>16.037247000000001</v>
      </c>
      <c r="L414" s="33">
        <f>IF(ISBLANK(K415),"",Long1[[#This Row],[Adj Close]]/K415-1)</f>
        <v>4.5546790317930741E-2</v>
      </c>
      <c r="M414" s="37">
        <v>42198</v>
      </c>
      <c r="N414">
        <v>39.693004999999999</v>
      </c>
      <c r="O414" s="36">
        <f>IF(ISBLANK(N415),"",Long2[[#This Row],[Adj Close]]/N415-1)</f>
        <v>4.8845489241600148E-3</v>
      </c>
      <c r="P414" s="29">
        <v>42198</v>
      </c>
      <c r="Q414">
        <v>21.416398999999998</v>
      </c>
      <c r="R414" s="33">
        <f>IF(ISBLANK(Q415),"",Long3[[#This Row],[Adj Close]]/Q415-1)</f>
        <v>2.2559698894519808E-3</v>
      </c>
      <c r="S414" s="37">
        <v>42198</v>
      </c>
      <c r="T414" s="35">
        <v>23.426151000000001</v>
      </c>
      <c r="U414" s="36">
        <f>IF(ISBLANK(T415),"",Long4[[#This Row],[Adj Close]]/T415-1)</f>
        <v>7.3377842189925602E-4</v>
      </c>
      <c r="V414" s="29">
        <v>42198</v>
      </c>
      <c r="W414">
        <v>22.059508999999998</v>
      </c>
      <c r="X414" s="33">
        <f>IF(ISBLANK(W415),"",Long5[[#This Row],[Adj Close]]/W415-1)</f>
        <v>-0.1079115047926763</v>
      </c>
      <c r="Y414" s="37">
        <v>42198</v>
      </c>
      <c r="Z414" s="35">
        <v>46.981087000000002</v>
      </c>
      <c r="AA414" s="36">
        <f>IF(ISBLANK(Z415),"",Long6[[#This Row],[Adj Close]]/Z415-1)</f>
        <v>3.9566258888352746E-3</v>
      </c>
      <c r="AH414" s="29">
        <v>42198</v>
      </c>
      <c r="AI414" s="44">
        <v>42.480457000000001</v>
      </c>
      <c r="AJ414" s="33">
        <f>IF(ISBLANK(AI415),"",Short0[[#This Row],[Adj Close]]/AI415-1)</f>
        <v>-1.0393712769026453E-2</v>
      </c>
      <c r="AK414" s="37">
        <v>42198</v>
      </c>
      <c r="AL414" s="39">
        <v>25.734214999999999</v>
      </c>
      <c r="AM414" s="36">
        <f>IF(ISBLANK(AL415),"",Short1[[#This Row],[Adj Close]]/AL415-1)</f>
        <v>-3.0946200039064564E-2</v>
      </c>
      <c r="AN414" s="29">
        <v>42198</v>
      </c>
      <c r="AO414" s="44">
        <v>48.587090000000003</v>
      </c>
      <c r="AP414" s="33">
        <f>IF(ISBLANK(AO415),"",Short2[[#This Row],[Adj Close]]/AO415-1)</f>
        <v>-1.5365973140031075E-2</v>
      </c>
      <c r="AQ414" s="37">
        <v>42198</v>
      </c>
      <c r="AR414" s="39">
        <v>72.879997000000003</v>
      </c>
      <c r="AS414" s="36">
        <f>IF(ISBLANK(AR415),"",Short3[[#This Row],[Adj Close]]/AR415-1)</f>
        <v>1.4476629425202114E-2</v>
      </c>
    </row>
    <row r="415" spans="1:45" x14ac:dyDescent="0.25">
      <c r="A415" s="37">
        <v>42191</v>
      </c>
      <c r="B415" s="39">
        <v>2076.6201169999999</v>
      </c>
      <c r="C415" s="36">
        <f>IF(ISBLANK(B416), "", GSPC[[#This Row],[Adj Close]]/B416-1)</f>
        <v>-7.6999970033964082E-5</v>
      </c>
      <c r="D415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67809.08738099999</v>
      </c>
      <c r="E41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20507.262358</v>
      </c>
      <c r="F415" s="11">
        <f>IF(ISBLANK(GSPC[[#This Row],[Long Exp.]]), "", (GSPC[[#This Row],[Long Exp.]]/D416-1)+(E416/GSPC[[#This Row],[Short Exp.]]-1))</f>
        <v>-1.4772382948539109E-2</v>
      </c>
      <c r="G415" s="37">
        <v>42191</v>
      </c>
      <c r="H415">
        <v>65.214866999999998</v>
      </c>
      <c r="I415" s="36">
        <f>IF(ISBLANK(H416), "", Long0[[#This Row],[Adj Close]]/H416-1)</f>
        <v>1.5687612571364751E-2</v>
      </c>
      <c r="J415" s="29">
        <v>42191</v>
      </c>
      <c r="K415">
        <v>15.338622000000001</v>
      </c>
      <c r="L415" s="33">
        <f>IF(ISBLANK(K416),"",Long1[[#This Row],[Adj Close]]/K416-1)</f>
        <v>-3.1468036546594691E-3</v>
      </c>
      <c r="M415" s="37">
        <v>42191</v>
      </c>
      <c r="N415">
        <v>39.500064999999999</v>
      </c>
      <c r="O415" s="36">
        <f>IF(ISBLANK(N416),"",Long2[[#This Row],[Adj Close]]/N416-1)</f>
        <v>-3.4512196889574853E-2</v>
      </c>
      <c r="P415" s="29">
        <v>42191</v>
      </c>
      <c r="Q415">
        <v>21.368193000000002</v>
      </c>
      <c r="R415" s="33">
        <f>IF(ISBLANK(Q416),"",Long3[[#This Row],[Adj Close]]/Q416-1)</f>
        <v>4.1275113871381386E-2</v>
      </c>
      <c r="S415" s="37">
        <v>42191</v>
      </c>
      <c r="T415" s="35">
        <v>23.408974000000001</v>
      </c>
      <c r="U415" s="36">
        <f>IF(ISBLANK(T416),"",Long4[[#This Row],[Adj Close]]/T416-1)</f>
        <v>9.259292792529461E-3</v>
      </c>
      <c r="V415" s="29">
        <v>42191</v>
      </c>
      <c r="W415">
        <v>24.727938000000002</v>
      </c>
      <c r="X415" s="33">
        <f>IF(ISBLANK(W416),"",Long5[[#This Row],[Adj Close]]/W416-1)</f>
        <v>0.20546990653928621</v>
      </c>
      <c r="Y415" s="37">
        <v>42191</v>
      </c>
      <c r="Z415" s="35">
        <v>46.795932999999998</v>
      </c>
      <c r="AA415" s="36">
        <f>IF(ISBLANK(Z416),"",Long6[[#This Row],[Adj Close]]/Z416-1)</f>
        <v>-4.9485254579619609E-2</v>
      </c>
      <c r="AH415" s="29">
        <v>42191</v>
      </c>
      <c r="AI415" s="44">
        <v>42.926623999999997</v>
      </c>
      <c r="AJ415" s="33">
        <f>IF(ISBLANK(AI416),"",Short0[[#This Row],[Adj Close]]/AI416-1)</f>
        <v>1.8951955520922548E-2</v>
      </c>
      <c r="AK415" s="37">
        <v>42191</v>
      </c>
      <c r="AL415" s="39">
        <v>26.556023</v>
      </c>
      <c r="AM415" s="36">
        <f>IF(ISBLANK(AL416),"",Short1[[#This Row],[Adj Close]]/AL416-1)</f>
        <v>1.2836188686534911E-2</v>
      </c>
      <c r="AN415" s="29">
        <v>42191</v>
      </c>
      <c r="AO415" s="44">
        <v>49.345329</v>
      </c>
      <c r="AP415" s="33">
        <f>IF(ISBLANK(AO416),"",Short2[[#This Row],[Adj Close]]/AO416-1)</f>
        <v>4.101594462089464E-2</v>
      </c>
      <c r="AQ415" s="37">
        <v>42191</v>
      </c>
      <c r="AR415" s="39">
        <v>71.839995999999999</v>
      </c>
      <c r="AS415" s="36">
        <f>IF(ISBLANK(AR416),"",Short3[[#This Row],[Adj Close]]/AR416-1)</f>
        <v>3.0407271508788414E-2</v>
      </c>
    </row>
    <row r="416" spans="1:45" x14ac:dyDescent="0.25">
      <c r="A416" s="37">
        <v>42184</v>
      </c>
      <c r="B416" s="39">
        <v>2076.780029</v>
      </c>
      <c r="C416" s="36">
        <f>IF(ISBLANK(B417), "", GSPC[[#This Row],[Adj Close]]/B417-1)</f>
        <v>-1.1758305353621989E-2</v>
      </c>
      <c r="D416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67017.131200000003</v>
      </c>
      <c r="E41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19961.982394999999</v>
      </c>
      <c r="F416" s="11">
        <f>IF(ISBLANK(GSPC[[#This Row],[Long Exp.]]), "", (GSPC[[#This Row],[Long Exp.]]/D417-1)+(E417/GSPC[[#This Row],[Short Exp.]]-1))</f>
        <v>-5.6360365319818584E-4</v>
      </c>
      <c r="G416" s="37">
        <v>42184</v>
      </c>
      <c r="H416">
        <v>64.207603000000006</v>
      </c>
      <c r="I416" s="36">
        <f>IF(ISBLANK(H417), "", Long0[[#This Row],[Adj Close]]/H417-1)</f>
        <v>1.5348720865868026E-2</v>
      </c>
      <c r="J416" s="29">
        <v>42184</v>
      </c>
      <c r="K416">
        <v>15.387041999999999</v>
      </c>
      <c r="L416" s="33">
        <f>IF(ISBLANK(K417),"",Long1[[#This Row],[Adj Close]]/K417-1)</f>
        <v>-2.7328351294132802E-2</v>
      </c>
      <c r="M416" s="37">
        <v>42184</v>
      </c>
      <c r="N416">
        <v>40.912028999999997</v>
      </c>
      <c r="O416" s="36">
        <f>IF(ISBLANK(N417),"",Long2[[#This Row],[Adj Close]]/N417-1)</f>
        <v>2.1482288171839059E-3</v>
      </c>
      <c r="P416" s="29">
        <v>42184</v>
      </c>
      <c r="Q416">
        <v>20.521179</v>
      </c>
      <c r="R416" s="33">
        <f>IF(ISBLANK(Q417),"",Long3[[#This Row],[Adj Close]]/Q417-1)</f>
        <v>1.680745199847733E-3</v>
      </c>
      <c r="S416" s="37">
        <v>42184</v>
      </c>
      <c r="T416" s="35">
        <v>23.194212</v>
      </c>
      <c r="U416" s="36">
        <f>IF(ISBLANK(T417),"",Long4[[#This Row],[Adj Close]]/T417-1)</f>
        <v>-1.3518341398982781E-2</v>
      </c>
      <c r="V416" s="29">
        <v>42184</v>
      </c>
      <c r="W416">
        <v>20.513110999999999</v>
      </c>
      <c r="X416" s="33">
        <f>IF(ISBLANK(W417),"",Long5[[#This Row],[Adj Close]]/W417-1)</f>
        <v>9.5574497731520935E-3</v>
      </c>
      <c r="Y416" s="37">
        <v>42184</v>
      </c>
      <c r="Z416" s="35">
        <v>49.232201000000003</v>
      </c>
      <c r="AA416" s="36">
        <f>IF(ISBLANK(Z417),"",Long6[[#This Row],[Adj Close]]/Z417-1)</f>
        <v>-4.0091104403509381E-2</v>
      </c>
      <c r="AH416" s="29">
        <v>42184</v>
      </c>
      <c r="AI416" s="44">
        <v>42.128211999999998</v>
      </c>
      <c r="AJ416" s="33">
        <f>IF(ISBLANK(AI417),"",Short0[[#This Row],[Adj Close]]/AI417-1)</f>
        <v>5.1171781908603053E-2</v>
      </c>
      <c r="AK416" s="37">
        <v>42184</v>
      </c>
      <c r="AL416" s="39">
        <v>26.219465</v>
      </c>
      <c r="AM416" s="36">
        <f>IF(ISBLANK(AL417),"",Short1[[#This Row],[Adj Close]]/AL417-1)</f>
        <v>-1.3836027448865806E-2</v>
      </c>
      <c r="AN416" s="29">
        <v>42184</v>
      </c>
      <c r="AO416" s="44">
        <v>47.401127000000002</v>
      </c>
      <c r="AP416" s="33">
        <f>IF(ISBLANK(AO417),"",Short2[[#This Row],[Adj Close]]/AO417-1)</f>
        <v>-1.50059035900727E-2</v>
      </c>
      <c r="AQ416" s="37">
        <v>42184</v>
      </c>
      <c r="AR416" s="39">
        <v>69.720000999999996</v>
      </c>
      <c r="AS416" s="36">
        <f>IF(ISBLANK(AR417),"",Short3[[#This Row],[Adj Close]]/AR417-1)</f>
        <v>-9.3776076745215597E-3</v>
      </c>
    </row>
    <row r="417" spans="1:45" x14ac:dyDescent="0.25">
      <c r="A417" s="37">
        <v>42177</v>
      </c>
      <c r="B417" s="39">
        <v>2101.48999</v>
      </c>
      <c r="C417" s="36">
        <f>IF(ISBLANK(B418), "", GSPC[[#This Row],[Adj Close]]/B418-1)</f>
        <v>-4.0284551302539606E-3</v>
      </c>
      <c r="D417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66498.124213000003</v>
      </c>
      <c r="E41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19794.93174</v>
      </c>
      <c r="F417" s="11">
        <f>IF(ISBLANK(GSPC[[#This Row],[Long Exp.]]), "", (GSPC[[#This Row],[Long Exp.]]/D418-1)+(E418/GSPC[[#This Row],[Short Exp.]]-1))</f>
        <v>-1.7701880925753644E-2</v>
      </c>
      <c r="G417" s="37">
        <v>42177</v>
      </c>
      <c r="H417">
        <v>63.236995999999998</v>
      </c>
      <c r="I417" s="36">
        <f>IF(ISBLANK(H418), "", Long0[[#This Row],[Adj Close]]/H418-1)</f>
        <v>-3.5744164187206273E-2</v>
      </c>
      <c r="J417" s="29">
        <v>42177</v>
      </c>
      <c r="K417">
        <v>15.819359</v>
      </c>
      <c r="L417" s="33">
        <f>IF(ISBLANK(K418),"",Long1[[#This Row],[Adj Close]]/K418-1)</f>
        <v>-3.7862847447763914E-2</v>
      </c>
      <c r="M417" s="37">
        <v>42177</v>
      </c>
      <c r="N417">
        <v>40.824328999999999</v>
      </c>
      <c r="O417" s="36">
        <f>IF(ISBLANK(N418),"",Long2[[#This Row],[Adj Close]]/N418-1)</f>
        <v>3.8135243998087542E-2</v>
      </c>
      <c r="P417" s="29">
        <v>42177</v>
      </c>
      <c r="Q417">
        <v>20.486746</v>
      </c>
      <c r="R417" s="33">
        <f>IF(ISBLANK(Q418),"",Long3[[#This Row],[Adj Close]]/Q418-1)</f>
        <v>-2.5548849636808257E-2</v>
      </c>
      <c r="S417" s="37">
        <v>42177</v>
      </c>
      <c r="T417" s="35">
        <v>23.512056000000001</v>
      </c>
      <c r="U417" s="36">
        <f>IF(ISBLANK(T418),"",Long4[[#This Row],[Adj Close]]/T418-1)</f>
        <v>3.654780107751332E-4</v>
      </c>
      <c r="V417" s="29">
        <v>42177</v>
      </c>
      <c r="W417">
        <v>20.318913999999999</v>
      </c>
      <c r="X417" s="33">
        <f>IF(ISBLANK(W418),"",Long5[[#This Row],[Adj Close]]/W418-1)</f>
        <v>-3.7150674212990897E-2</v>
      </c>
      <c r="Y417" s="37">
        <v>42177</v>
      </c>
      <c r="Z417" s="35">
        <v>51.288409999999999</v>
      </c>
      <c r="AA417" s="36">
        <f>IF(ISBLANK(Z418),"",Long6[[#This Row],[Adj Close]]/Z418-1)</f>
        <v>-3.0576643703152495E-2</v>
      </c>
      <c r="AH417" s="29">
        <v>42177</v>
      </c>
      <c r="AI417" s="44">
        <v>40.077381000000003</v>
      </c>
      <c r="AJ417" s="33">
        <f>IF(ISBLANK(AI418),"",Short0[[#This Row],[Adj Close]]/AI418-1)</f>
        <v>-2.3105336699192569E-2</v>
      </c>
      <c r="AK417" s="37">
        <v>42177</v>
      </c>
      <c r="AL417" s="39">
        <v>26.587327999999999</v>
      </c>
      <c r="AM417" s="36">
        <f>IF(ISBLANK(AL418),"",Short1[[#This Row],[Adj Close]]/AL418-1)</f>
        <v>-2.8039971568682875E-2</v>
      </c>
      <c r="AN417" s="29">
        <v>42177</v>
      </c>
      <c r="AO417" s="44">
        <v>48.123260000000002</v>
      </c>
      <c r="AP417" s="33">
        <f>IF(ISBLANK(AO418),"",Short2[[#This Row],[Adj Close]]/AO418-1)</f>
        <v>6.8667637166701878E-2</v>
      </c>
      <c r="AQ417" s="37">
        <v>42177</v>
      </c>
      <c r="AR417" s="39">
        <v>70.379997000000003</v>
      </c>
      <c r="AS417" s="36">
        <f>IF(ISBLANK(AR418),"",Short3[[#This Row],[Adj Close]]/AR418-1)</f>
        <v>-3.8393290384115653E-2</v>
      </c>
    </row>
    <row r="418" spans="1:45" x14ac:dyDescent="0.25">
      <c r="A418" s="37">
        <v>42170</v>
      </c>
      <c r="B418" s="39">
        <v>2109.98999</v>
      </c>
      <c r="C418" s="36">
        <f>IF(ISBLANK(B419), "", GSPC[[#This Row],[Adj Close]]/B419-1)</f>
        <v>7.5831175003253648E-3</v>
      </c>
      <c r="D418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67924.682856999993</v>
      </c>
      <c r="E41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19860.258670000003</v>
      </c>
      <c r="F418" s="11">
        <f>IF(ISBLANK(GSPC[[#This Row],[Long Exp.]]), "", (GSPC[[#This Row],[Long Exp.]]/D419-1)+(E419/GSPC[[#This Row],[Short Exp.]]-1))</f>
        <v>-4.3777862899393671E-2</v>
      </c>
      <c r="G418" s="37">
        <v>42170</v>
      </c>
      <c r="H418">
        <v>65.581138999999993</v>
      </c>
      <c r="I418" s="36">
        <f>IF(ISBLANK(H419), "", Long0[[#This Row],[Adj Close]]/H419-1)</f>
        <v>-2.8222388525648512E-2</v>
      </c>
      <c r="J418" s="29">
        <v>42170</v>
      </c>
      <c r="K418">
        <v>16.441896</v>
      </c>
      <c r="L418" s="33">
        <f>IF(ISBLANK(K419),"",Long1[[#This Row],[Adj Close]]/K419-1)</f>
        <v>1.6856108005809389E-3</v>
      </c>
      <c r="M418" s="37">
        <v>42170</v>
      </c>
      <c r="N418">
        <v>39.324672999999997</v>
      </c>
      <c r="O418" s="36">
        <f>IF(ISBLANK(N419),"",Long2[[#This Row],[Adj Close]]/N419-1)</f>
        <v>6.735519841968296E-3</v>
      </c>
      <c r="P418" s="29">
        <v>42170</v>
      </c>
      <c r="Q418">
        <v>21.023882</v>
      </c>
      <c r="R418" s="33">
        <f>IF(ISBLANK(Q419),"",Long3[[#This Row],[Adj Close]]/Q419-1)</f>
        <v>2.4955945270243474E-2</v>
      </c>
      <c r="S418" s="37">
        <v>42170</v>
      </c>
      <c r="T418" s="35">
        <v>23.503466</v>
      </c>
      <c r="U418" s="36">
        <f>IF(ISBLANK(T419),"",Long4[[#This Row],[Adj Close]]/T419-1)</f>
        <v>4.0304343736687009E-2</v>
      </c>
      <c r="V418" s="29">
        <v>42170</v>
      </c>
      <c r="W418">
        <v>21.102900999999999</v>
      </c>
      <c r="X418" s="33">
        <f>IF(ISBLANK(W419),"",Long5[[#This Row],[Adj Close]]/W419-1)</f>
        <v>-4.0862895655001674E-2</v>
      </c>
      <c r="Y418" s="37">
        <v>42170</v>
      </c>
      <c r="Z418" s="35">
        <v>52.906101</v>
      </c>
      <c r="AA418" s="36">
        <f>IF(ISBLANK(Z419),"",Long6[[#This Row],[Adj Close]]/Z419-1)</f>
        <v>1.2306408679865211E-2</v>
      </c>
      <c r="AH418" s="29">
        <v>42170</v>
      </c>
      <c r="AI418" s="44">
        <v>41.025283999999999</v>
      </c>
      <c r="AJ418" s="33">
        <f>IF(ISBLANK(AI419),"",Short0[[#This Row],[Adj Close]]/AI419-1)</f>
        <v>1.5696631725706345E-2</v>
      </c>
      <c r="AK418" s="37">
        <v>42170</v>
      </c>
      <c r="AL418" s="39">
        <v>27.354343</v>
      </c>
      <c r="AM418" s="36">
        <f>IF(ISBLANK(AL419),"",Short1[[#This Row],[Adj Close]]/AL419-1)</f>
        <v>2.8830822563510772E-2</v>
      </c>
      <c r="AN418" s="29">
        <v>42170</v>
      </c>
      <c r="AO418" s="44">
        <v>45.031081999999998</v>
      </c>
      <c r="AP418" s="33">
        <f>IF(ISBLANK(AO419),"",Short2[[#This Row],[Adj Close]]/AO419-1)</f>
        <v>2.4647330005694856E-2</v>
      </c>
      <c r="AQ418" s="37">
        <v>42170</v>
      </c>
      <c r="AR418" s="39">
        <v>73.190002000000007</v>
      </c>
      <c r="AS418" s="36">
        <f>IF(ISBLANK(AR419),"",Short3[[#This Row],[Adj Close]]/AR419-1)</f>
        <v>6.1955950724200459E-2</v>
      </c>
    </row>
    <row r="419" spans="1:45" x14ac:dyDescent="0.25">
      <c r="A419" s="37">
        <v>42163</v>
      </c>
      <c r="B419" s="39">
        <v>2094.110107</v>
      </c>
      <c r="C419" s="36">
        <f>IF(ISBLANK(B420), "", GSPC[[#This Row],[Adj Close]]/B420-1)</f>
        <v>6.116258617723247E-4</v>
      </c>
      <c r="D419" s="39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68811.832769999994</v>
      </c>
      <c r="E41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19246.865457</v>
      </c>
      <c r="F419" s="11" t="e">
        <f>IF(ISBLANK(GSPC[[#This Row],[Long Exp.]]), "", (GSPC[[#This Row],[Long Exp.]]/D420-1)+(E420/GSPC[[#This Row],[Short Exp.]]-1))</f>
        <v>#VALUE!</v>
      </c>
      <c r="G419" s="37">
        <v>42163</v>
      </c>
      <c r="H419">
        <v>67.485748000000001</v>
      </c>
      <c r="I419" s="36">
        <f>IF(ISBLANK(H420), "", Long0[[#This Row],[Adj Close]]/H420-1)</f>
        <v>-5.9347329183115916E-3</v>
      </c>
      <c r="J419" s="29">
        <v>42163</v>
      </c>
      <c r="K419">
        <v>16.414228000000001</v>
      </c>
      <c r="L419" s="33">
        <f>IF(ISBLANK(K420),"",Long1[[#This Row],[Adj Close]]/K420-1)</f>
        <v>-2.4059158293336491E-2</v>
      </c>
      <c r="M419" s="37">
        <v>42163</v>
      </c>
      <c r="N419">
        <v>39.061573000000003</v>
      </c>
      <c r="O419" s="36">
        <f>IF(ISBLANK(N420),"",Long2[[#This Row],[Adj Close]]/N420-1)</f>
        <v>1.1322026866632084E-2</v>
      </c>
      <c r="P419" s="29">
        <v>42163</v>
      </c>
      <c r="Q419">
        <v>20.511986</v>
      </c>
      <c r="R419" s="33">
        <f>IF(ISBLANK(Q420),"",Long3[[#This Row],[Adj Close]]/Q420-1)</f>
        <v>-2.5847912301176668E-2</v>
      </c>
      <c r="S419" s="37">
        <v>42163</v>
      </c>
      <c r="T419" s="35">
        <v>22.592874999999999</v>
      </c>
      <c r="U419" s="36">
        <f>IF(ISBLANK(T420),"",Long4[[#This Row],[Adj Close]]/T420-1)</f>
        <v>3.0564129446285282E-2</v>
      </c>
      <c r="V419" s="29">
        <v>42163</v>
      </c>
      <c r="W419">
        <v>22.001964999999998</v>
      </c>
      <c r="X419" s="33" t="str">
        <f>IF(ISBLANK(W420),"",Long5[[#This Row],[Adj Close]]/W420-1)</f>
        <v/>
      </c>
      <c r="Y419" s="37">
        <v>42163</v>
      </c>
      <c r="Z419" s="35">
        <v>52.262931999999999</v>
      </c>
      <c r="AA419" s="36">
        <f>IF(ISBLANK(Z420),"",Long6[[#This Row],[Adj Close]]/Z420-1)</f>
        <v>-2.844189263327368E-2</v>
      </c>
      <c r="AH419" s="29">
        <v>42163</v>
      </c>
      <c r="AI419" s="44">
        <v>40.391277000000002</v>
      </c>
      <c r="AJ419" s="33">
        <f>IF(ISBLANK(AI420),"",Short0[[#This Row],[Adj Close]]/AI420-1)</f>
        <v>-5.0181740178998013E-2</v>
      </c>
      <c r="AK419" s="37">
        <v>42163</v>
      </c>
      <c r="AL419" s="39">
        <v>26.587795</v>
      </c>
      <c r="AM419" s="36">
        <f>IF(ISBLANK(AL420),"",Short1[[#This Row],[Adj Close]]/AL420-1)</f>
        <v>-9.5570952381821561E-3</v>
      </c>
      <c r="AN419" s="29">
        <v>42163</v>
      </c>
      <c r="AO419" s="44">
        <v>43.947884000000002</v>
      </c>
      <c r="AP419" s="33">
        <f>IF(ISBLANK(AO420),"",Short2[[#This Row],[Adj Close]]/AO420-1)</f>
        <v>1.6270687422865526E-2</v>
      </c>
      <c r="AQ419" s="37">
        <v>42163</v>
      </c>
      <c r="AR419" s="39">
        <v>68.919998000000007</v>
      </c>
      <c r="AS419" s="36">
        <f>IF(ISBLANK(AR420),"",Short3[[#This Row],[Adj Close]]/AR420-1)</f>
        <v>3.7866878073586907E-3</v>
      </c>
    </row>
    <row r="420" spans="1:45" x14ac:dyDescent="0.25">
      <c r="A420" s="37">
        <v>42156</v>
      </c>
      <c r="B420" s="39">
        <v>2092.830078</v>
      </c>
      <c r="C420" s="36">
        <f>IF(ISBLANK(B421), "", GSPC[[#This Row],[Adj Close]]/B421-1)</f>
        <v>-6.9089327268592182E-3</v>
      </c>
      <c r="D42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2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19516.303107</v>
      </c>
      <c r="F420" s="11" t="e">
        <f>IF(ISBLANK(GSPC[[#This Row],[Long Exp.]]), "", (GSPC[[#This Row],[Long Exp.]]/D421-1)+(E421/GSPC[[#This Row],[Short Exp.]]-1))</f>
        <v>#VALUE!</v>
      </c>
      <c r="G420" s="37">
        <v>42156</v>
      </c>
      <c r="H420">
        <v>67.888649000000001</v>
      </c>
      <c r="I420" s="36">
        <f>IF(ISBLANK(H421), "", Long0[[#This Row],[Adj Close]]/H421-1)</f>
        <v>2.0790237580762483E-2</v>
      </c>
      <c r="J420" s="29">
        <v>42156</v>
      </c>
      <c r="K420">
        <v>16.818875999999999</v>
      </c>
      <c r="L420" s="33">
        <f>IF(ISBLANK(K421),"",Long1[[#This Row],[Adj Close]]/K421-1)</f>
        <v>-1.0781205704209706E-2</v>
      </c>
      <c r="M420" s="37">
        <v>42156</v>
      </c>
      <c r="N420">
        <v>38.624268000000001</v>
      </c>
      <c r="O420" s="36">
        <f>IF(ISBLANK(N421),"",Long2[[#This Row],[Adj Close]]/N421-1)</f>
        <v>-3.3587795427488687E-2</v>
      </c>
      <c r="P420" s="29">
        <v>42156</v>
      </c>
      <c r="Q420">
        <v>21.056246000000002</v>
      </c>
      <c r="R420" s="33">
        <f>IF(ISBLANK(Q421),"",Long3[[#This Row],[Adj Close]]/Q421-1)</f>
        <v>-4.2652044729669214E-2</v>
      </c>
      <c r="S420" s="37">
        <v>42156</v>
      </c>
      <c r="T420" s="35">
        <v>21.922823000000001</v>
      </c>
      <c r="U420" s="36">
        <f>IF(ISBLANK(T421),"",Long4[[#This Row],[Adj Close]]/T421-1)</f>
        <v>3.933934266731276E-3</v>
      </c>
      <c r="Y420" s="37">
        <v>42156</v>
      </c>
      <c r="Z420" s="35">
        <v>53.792904</v>
      </c>
      <c r="AA420" s="36">
        <f>IF(ISBLANK(Z421),"",Long6[[#This Row],[Adj Close]]/Z421-1)</f>
        <v>2.7741720343323228E-2</v>
      </c>
      <c r="AH420" s="29">
        <v>42156</v>
      </c>
      <c r="AI420" s="44">
        <v>42.525269000000002</v>
      </c>
      <c r="AJ420" s="33">
        <f>IF(ISBLANK(AI421),"",Short0[[#This Row],[Adj Close]]/AI421-1)</f>
        <v>8.2038095489633367E-2</v>
      </c>
      <c r="AK420" s="37">
        <v>42156</v>
      </c>
      <c r="AL420" s="39">
        <v>26.844349000000001</v>
      </c>
      <c r="AM420" s="36">
        <f>IF(ISBLANK(AL421),"",Short1[[#This Row],[Adj Close]]/AL421-1)</f>
        <v>-4.8990771934203092E-3</v>
      </c>
      <c r="AN420" s="29">
        <v>42156</v>
      </c>
      <c r="AO420" s="44">
        <v>43.24427</v>
      </c>
      <c r="AP420" s="33">
        <f>IF(ISBLANK(AO421),"",Short2[[#This Row],[Adj Close]]/AO421-1)</f>
        <v>1.7154884483774335E-3</v>
      </c>
      <c r="AQ420" s="37">
        <v>42156</v>
      </c>
      <c r="AR420" s="39">
        <v>68.660004000000001</v>
      </c>
      <c r="AS420" s="36">
        <f>IF(ISBLANK(AR421),"",Short3[[#This Row],[Adj Close]]/AR421-1)</f>
        <v>1.538007917568418E-2</v>
      </c>
    </row>
    <row r="421" spans="1:45" x14ac:dyDescent="0.25">
      <c r="A421" s="37">
        <v>42149</v>
      </c>
      <c r="B421" s="39">
        <v>2107.389893</v>
      </c>
      <c r="C421" s="36">
        <f>IF(ISBLANK(B422), "", GSPC[[#This Row],[Adj Close]]/B422-1)</f>
        <v>-8.7815797681564112E-3</v>
      </c>
      <c r="D42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2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18918.260591999999</v>
      </c>
      <c r="F421" s="11" t="e">
        <f>IF(ISBLANK(GSPC[[#This Row],[Long Exp.]]), "", (GSPC[[#This Row],[Long Exp.]]/D422-1)+(E422/GSPC[[#This Row],[Short Exp.]]-1))</f>
        <v>#VALUE!</v>
      </c>
      <c r="G421" s="37">
        <v>42149</v>
      </c>
      <c r="H421">
        <v>66.505973999999995</v>
      </c>
      <c r="I421" s="36">
        <f>IF(ISBLANK(H422), "", Long0[[#This Row],[Adj Close]]/H422-1)</f>
        <v>4.2635705582111827E-2</v>
      </c>
      <c r="J421" s="29">
        <v>42149</v>
      </c>
      <c r="K421">
        <v>17.002179999999999</v>
      </c>
      <c r="L421" s="33">
        <f>IF(ISBLANK(K422),"",Long1[[#This Row],[Adj Close]]/K422-1)</f>
        <v>-2.2858276524617027E-2</v>
      </c>
      <c r="M421" s="37">
        <v>42149</v>
      </c>
      <c r="N421">
        <v>39.966659999999997</v>
      </c>
      <c r="O421" s="36">
        <f>IF(ISBLANK(N422),"",Long2[[#This Row],[Adj Close]]/N422-1)</f>
        <v>-2.5090301330815468E-2</v>
      </c>
      <c r="P421" s="29">
        <v>42149</v>
      </c>
      <c r="Q421">
        <v>21.994350000000001</v>
      </c>
      <c r="R421" s="33">
        <f>IF(ISBLANK(Q422),"",Long3[[#This Row],[Adj Close]]/Q422-1)</f>
        <v>8.4252187389146638E-3</v>
      </c>
      <c r="S421" s="37">
        <v>42149</v>
      </c>
      <c r="T421" s="35">
        <v>21.836918000000001</v>
      </c>
      <c r="U421" s="36">
        <f>IF(ISBLANK(T422),"",Long4[[#This Row],[Adj Close]]/T422-1)</f>
        <v>-2.0423948039613671E-2</v>
      </c>
      <c r="Y421" s="37">
        <v>42149</v>
      </c>
      <c r="Z421" s="35">
        <v>52.340877999999996</v>
      </c>
      <c r="AA421" s="36">
        <f>IF(ISBLANK(Z422),"",Long6[[#This Row],[Adj Close]]/Z422-1)</f>
        <v>4.6761573635836218E-3</v>
      </c>
      <c r="AH421" s="29">
        <v>42149</v>
      </c>
      <c r="AI421" s="44">
        <v>39.301082999999998</v>
      </c>
      <c r="AJ421" s="33">
        <f>IF(ISBLANK(AI422),"",Short0[[#This Row],[Adj Close]]/AI422-1)</f>
        <v>-2.1559309162232143E-2</v>
      </c>
      <c r="AK421" s="37">
        <v>42149</v>
      </c>
      <c r="AL421" s="39">
        <v>26.976509</v>
      </c>
      <c r="AM421" s="36">
        <f>IF(ISBLANK(AL422),"",Short1[[#This Row],[Adj Close]]/AL422-1)</f>
        <v>1.0777716129094284E-2</v>
      </c>
      <c r="AN421" s="29">
        <v>42149</v>
      </c>
      <c r="AO421" s="44">
        <v>43.170211999999999</v>
      </c>
      <c r="AP421" s="33">
        <f>IF(ISBLANK(AO422),"",Short2[[#This Row],[Adj Close]]/AO422-1)</f>
        <v>-3.915094568494093E-2</v>
      </c>
      <c r="AQ421" s="37">
        <v>42149</v>
      </c>
      <c r="AR421" s="39">
        <v>67.620002999999997</v>
      </c>
      <c r="AS421" s="36">
        <f>IF(ISBLANK(AR422),"",Short3[[#This Row],[Adj Close]]/AR422-1)</f>
        <v>-1.914706936039845E-2</v>
      </c>
    </row>
    <row r="422" spans="1:45" x14ac:dyDescent="0.25">
      <c r="A422" s="37">
        <v>42142</v>
      </c>
      <c r="B422" s="39">
        <v>2126.0600589999999</v>
      </c>
      <c r="C422" s="36">
        <f>IF(ISBLANK(B423), "", GSPC[[#This Row],[Adj Close]]/B423-1)</f>
        <v>1.5687718322043853E-3</v>
      </c>
      <c r="D42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2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19336.875537</v>
      </c>
      <c r="F422" s="11" t="e">
        <f>IF(ISBLANK(GSPC[[#This Row],[Long Exp.]]), "", (GSPC[[#This Row],[Long Exp.]]/D423-1)+(E423/GSPC[[#This Row],[Short Exp.]]-1))</f>
        <v>#VALUE!</v>
      </c>
      <c r="G422" s="37">
        <v>42142</v>
      </c>
      <c r="H422">
        <v>63.786396000000003</v>
      </c>
      <c r="I422" s="36">
        <f>IF(ISBLANK(H423), "", Long0[[#This Row],[Adj Close]]/H423-1)</f>
        <v>-1.4291784108277361E-2</v>
      </c>
      <c r="J422" s="29">
        <v>42142</v>
      </c>
      <c r="K422">
        <v>17.399912</v>
      </c>
      <c r="L422" s="33">
        <f>IF(ISBLANK(K423),"",Long1[[#This Row],[Adj Close]]/K423-1)</f>
        <v>2.5688075125075649E-2</v>
      </c>
      <c r="M422" s="37">
        <v>42142</v>
      </c>
      <c r="N422">
        <v>40.995243000000002</v>
      </c>
      <c r="O422" s="36">
        <f>IF(ISBLANK(N423),"",Long2[[#This Row],[Adj Close]]/N423-1)</f>
        <v>8.7945347111357819E-3</v>
      </c>
      <c r="P422" s="29">
        <v>42142</v>
      </c>
      <c r="Q422">
        <v>21.810590999999999</v>
      </c>
      <c r="R422" s="33">
        <f>IF(ISBLANK(Q423),"",Long3[[#This Row],[Adj Close]]/Q423-1)</f>
        <v>1.4441516240601082E-2</v>
      </c>
      <c r="S422" s="37">
        <v>42142</v>
      </c>
      <c r="T422" s="35">
        <v>22.292213</v>
      </c>
      <c r="U422" s="36">
        <f>IF(ISBLANK(T423),"",Long4[[#This Row],[Adj Close]]/T423-1)</f>
        <v>-7.2685311629067106E-3</v>
      </c>
      <c r="Y422" s="37">
        <v>42142</v>
      </c>
      <c r="Z422" s="35">
        <v>52.097262999999998</v>
      </c>
      <c r="AA422" s="36">
        <f>IF(ISBLANK(Z423),"",Long6[[#This Row],[Adj Close]]/Z423-1)</f>
        <v>6.0925147228407361E-2</v>
      </c>
      <c r="AH422" s="29">
        <v>42142</v>
      </c>
      <c r="AI422" s="44">
        <v>40.167057</v>
      </c>
      <c r="AJ422" s="33">
        <f>IF(ISBLANK(AI423),"",Short0[[#This Row],[Adj Close]]/AI423-1)</f>
        <v>1.92271484558173E-2</v>
      </c>
      <c r="AK422" s="37">
        <v>42142</v>
      </c>
      <c r="AL422" s="39">
        <v>26.688863999999999</v>
      </c>
      <c r="AM422" s="36">
        <f>IF(ISBLANK(AL423),"",Short1[[#This Row],[Adj Close]]/AL423-1)</f>
        <v>-7.5164583942971541E-3</v>
      </c>
      <c r="AN422" s="29">
        <v>42142</v>
      </c>
      <c r="AO422" s="44">
        <v>44.929234000000001</v>
      </c>
      <c r="AP422" s="33">
        <f>IF(ISBLANK(AO423),"",Short2[[#This Row],[Adj Close]]/AO423-1)</f>
        <v>1.9537813595765119E-2</v>
      </c>
      <c r="AQ422" s="37">
        <v>42142</v>
      </c>
      <c r="AR422" s="39">
        <v>68.940002000000007</v>
      </c>
      <c r="AS422" s="36">
        <f>IF(ISBLANK(AR423),"",Short3[[#This Row],[Adj Close]]/AR423-1)</f>
        <v>-1.8647658362989206E-2</v>
      </c>
    </row>
    <row r="423" spans="1:45" x14ac:dyDescent="0.25">
      <c r="A423" s="37">
        <v>42135</v>
      </c>
      <c r="B423" s="39">
        <v>2122.7299800000001</v>
      </c>
      <c r="C423" s="36">
        <f>IF(ISBLANK(B424), "", GSPC[[#This Row],[Adj Close]]/B424-1)</f>
        <v>3.1330663451443197E-3</v>
      </c>
      <c r="D42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2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19225.993417999998</v>
      </c>
      <c r="F423" s="11" t="e">
        <f>IF(ISBLANK(GSPC[[#This Row],[Long Exp.]]), "", (GSPC[[#This Row],[Long Exp.]]/D424-1)+(E424/GSPC[[#This Row],[Short Exp.]]-1))</f>
        <v>#VALUE!</v>
      </c>
      <c r="G423" s="37">
        <v>42135</v>
      </c>
      <c r="H423">
        <v>64.711235000000002</v>
      </c>
      <c r="I423" s="36">
        <f>IF(ISBLANK(H424), "", Long0[[#This Row],[Adj Close]]/H424-1)</f>
        <v>-8.9749078644510982E-3</v>
      </c>
      <c r="J423" s="29">
        <v>42135</v>
      </c>
      <c r="K423">
        <v>16.964136</v>
      </c>
      <c r="L423" s="33">
        <f>IF(ISBLANK(K424),"",Long1[[#This Row],[Adj Close]]/K424-1)</f>
        <v>1.0090703798456113E-2</v>
      </c>
      <c r="M423" s="37">
        <v>42135</v>
      </c>
      <c r="N423">
        <v>40.637852000000002</v>
      </c>
      <c r="O423" s="36">
        <f>IF(ISBLANK(N424),"",Long2[[#This Row],[Adj Close]]/N424-1)</f>
        <v>2.5516910933363057E-2</v>
      </c>
      <c r="P423" s="29">
        <v>42135</v>
      </c>
      <c r="Q423">
        <v>21.500097</v>
      </c>
      <c r="R423" s="33">
        <f>IF(ISBLANK(Q424),"",Long3[[#This Row],[Adj Close]]/Q424-1)</f>
        <v>8.8515090230778526E-4</v>
      </c>
      <c r="S423" s="37">
        <v>42135</v>
      </c>
      <c r="T423" s="35">
        <v>22.455431000000001</v>
      </c>
      <c r="U423" s="36">
        <f>IF(ISBLANK(T424),"",Long4[[#This Row],[Adj Close]]/T424-1)</f>
        <v>6.9338768115942973E-3</v>
      </c>
      <c r="Y423" s="37">
        <v>42135</v>
      </c>
      <c r="Z423" s="35">
        <v>49.105502999999999</v>
      </c>
      <c r="AA423" s="36">
        <f>IF(ISBLANK(Z424),"",Long6[[#This Row],[Adj Close]]/Z424-1)</f>
        <v>8.2029367610800819E-3</v>
      </c>
      <c r="AH423" s="29">
        <v>42135</v>
      </c>
      <c r="AI423" s="44">
        <v>39.409328000000002</v>
      </c>
      <c r="AJ423" s="33">
        <f>IF(ISBLANK(AI424),"",Short0[[#This Row],[Adj Close]]/AI424-1)</f>
        <v>-3.3560804775806585E-2</v>
      </c>
      <c r="AK423" s="37">
        <v>42135</v>
      </c>
      <c r="AL423" s="39">
        <v>26.890989000000001</v>
      </c>
      <c r="AM423" s="36">
        <f>IF(ISBLANK(AL424),"",Short1[[#This Row],[Adj Close]]/AL424-1)</f>
        <v>-5.5176207197261573E-2</v>
      </c>
      <c r="AN423" s="29">
        <v>42135</v>
      </c>
      <c r="AO423" s="44">
        <v>44.068237000000003</v>
      </c>
      <c r="AP423" s="33">
        <f>IF(ISBLANK(AO424),"",Short2[[#This Row],[Adj Close]]/AO424-1)</f>
        <v>2.316405623722817E-3</v>
      </c>
      <c r="AQ423" s="37">
        <v>42135</v>
      </c>
      <c r="AR423" s="39">
        <v>70.25</v>
      </c>
      <c r="AS423" s="36">
        <f>IF(ISBLANK(AR424),"",Short3[[#This Row],[Adj Close]]/AR424-1)</f>
        <v>2.4649971547548777E-2</v>
      </c>
    </row>
    <row r="424" spans="1:45" x14ac:dyDescent="0.25">
      <c r="A424" s="37">
        <v>42128</v>
      </c>
      <c r="B424" s="39">
        <v>2116.1000979999999</v>
      </c>
      <c r="C424" s="36">
        <f>IF(ISBLANK(B425), "", GSPC[[#This Row],[Adj Close]]/B425-1)</f>
        <v>3.7044518806834681E-3</v>
      </c>
      <c r="D42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2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19458.153345999999</v>
      </c>
      <c r="F424" s="11" t="e">
        <f>IF(ISBLANK(GSPC[[#This Row],[Long Exp.]]), "", (GSPC[[#This Row],[Long Exp.]]/D425-1)+(E425/GSPC[[#This Row],[Short Exp.]]-1))</f>
        <v>#VALUE!</v>
      </c>
      <c r="G424" s="37">
        <v>42128</v>
      </c>
      <c r="H424">
        <v>65.297272000000007</v>
      </c>
      <c r="I424" s="36">
        <f>IF(ISBLANK(H425), "", Long0[[#This Row],[Adj Close]]/H425-1)</f>
        <v>-3.4916951503688787E-2</v>
      </c>
      <c r="J424" s="29">
        <v>42128</v>
      </c>
      <c r="K424">
        <v>16.794665999999999</v>
      </c>
      <c r="L424" s="33">
        <f>IF(ISBLANK(K425),"",Long1[[#This Row],[Adj Close]]/K425-1)</f>
        <v>-1.8989974748492511E-2</v>
      </c>
      <c r="M424" s="37">
        <v>42128</v>
      </c>
      <c r="N424">
        <v>39.626700999999997</v>
      </c>
      <c r="O424" s="36">
        <f>IF(ISBLANK(N425),"",Long2[[#This Row],[Adj Close]]/N425-1)</f>
        <v>1.0671106542351039E-2</v>
      </c>
      <c r="P424" s="29">
        <v>42128</v>
      </c>
      <c r="Q424">
        <v>21.481083000000002</v>
      </c>
      <c r="R424" s="33">
        <f>IF(ISBLANK(Q425),"",Long3[[#This Row],[Adj Close]]/Q425-1)</f>
        <v>-8.4820819866432418E-3</v>
      </c>
      <c r="S424" s="37">
        <v>42128</v>
      </c>
      <c r="T424" s="35">
        <v>22.300799999999999</v>
      </c>
      <c r="U424" s="36">
        <f>IF(ISBLANK(T425),"",Long4[[#This Row],[Adj Close]]/T425-1)</f>
        <v>-8.0247033021584313E-3</v>
      </c>
      <c r="Y424" s="37">
        <v>42128</v>
      </c>
      <c r="Z424" s="35">
        <v>48.705970999999998</v>
      </c>
      <c r="AA424" s="36">
        <f>IF(ISBLANK(Z425),"",Long6[[#This Row],[Adj Close]]/Z425-1)</f>
        <v>0.12087933457294597</v>
      </c>
      <c r="AH424" s="29">
        <v>42128</v>
      </c>
      <c r="AI424" s="44">
        <v>40.777866000000003</v>
      </c>
      <c r="AJ424" s="33">
        <f>IF(ISBLANK(AI425),"",Short0[[#This Row],[Adj Close]]/AI425-1)</f>
        <v>-2.2702109638527146E-3</v>
      </c>
      <c r="AK424" s="37">
        <v>42128</v>
      </c>
      <c r="AL424" s="39">
        <v>28.461379999999998</v>
      </c>
      <c r="AM424" s="36">
        <f>IF(ISBLANK(AL425),"",Short1[[#This Row],[Adj Close]]/AL425-1)</f>
        <v>4.064813659339972E-2</v>
      </c>
      <c r="AN424" s="29">
        <v>42128</v>
      </c>
      <c r="AO424" s="44">
        <v>43.966392999999997</v>
      </c>
      <c r="AP424" s="33">
        <f>IF(ISBLANK(AO425),"",Short2[[#This Row],[Adj Close]]/AO425-1)</f>
        <v>1.4309793225086631E-2</v>
      </c>
      <c r="AQ424" s="37">
        <v>42128</v>
      </c>
      <c r="AR424" s="39">
        <v>68.559997999999993</v>
      </c>
      <c r="AS424" s="36">
        <f>IF(ISBLANK(AR425),"",Short3[[#This Row],[Adj Close]]/AR425-1)</f>
        <v>2.7731959642211867E-2</v>
      </c>
    </row>
    <row r="425" spans="1:45" x14ac:dyDescent="0.25">
      <c r="A425" s="37">
        <v>42121</v>
      </c>
      <c r="B425" s="39">
        <v>2108.290039</v>
      </c>
      <c r="C425" s="36">
        <f>IF(ISBLANK(B426), "", GSPC[[#This Row],[Adj Close]]/B426-1)</f>
        <v>-4.4387527267383264E-3</v>
      </c>
      <c r="D42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2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19162.757446</v>
      </c>
      <c r="F425" s="11" t="e">
        <f>IF(ISBLANK(GSPC[[#This Row],[Long Exp.]]), "", (GSPC[[#This Row],[Long Exp.]]/D426-1)+(E426/GSPC[[#This Row],[Short Exp.]]-1))</f>
        <v>#VALUE!</v>
      </c>
      <c r="G425" s="37">
        <v>42121</v>
      </c>
      <c r="H425">
        <v>67.659744000000003</v>
      </c>
      <c r="I425" s="36">
        <f>IF(ISBLANK(H426), "", Long0[[#This Row],[Adj Close]]/H426-1)</f>
        <v>-2.8529899000756087E-2</v>
      </c>
      <c r="J425" s="29">
        <v>42121</v>
      </c>
      <c r="K425">
        <v>17.119769999999999</v>
      </c>
      <c r="L425" s="33">
        <f>IF(ISBLANK(K426),"",Long1[[#This Row],[Adj Close]]/K426-1)</f>
        <v>0.14556813414890124</v>
      </c>
      <c r="M425" s="37">
        <v>42121</v>
      </c>
      <c r="N425">
        <v>39.208305000000003</v>
      </c>
      <c r="O425" s="36">
        <f>IF(ISBLANK(N426),"",Long2[[#This Row],[Adj Close]]/N426-1)</f>
        <v>-2.2197000740242778E-4</v>
      </c>
      <c r="P425" s="29">
        <v>42121</v>
      </c>
      <c r="Q425">
        <v>21.664846000000001</v>
      </c>
      <c r="R425" s="33">
        <f>IF(ISBLANK(Q426),"",Long3[[#This Row],[Adj Close]]/Q426-1)</f>
        <v>-1.1278126861425264E-2</v>
      </c>
      <c r="S425" s="37">
        <v>42121</v>
      </c>
      <c r="T425" s="35">
        <v>22.481204999999999</v>
      </c>
      <c r="U425" s="36">
        <f>IF(ISBLANK(T426),"",Long4[[#This Row],[Adj Close]]/T426-1)</f>
        <v>2.6820753871246161E-3</v>
      </c>
      <c r="Y425" s="37">
        <v>42121</v>
      </c>
      <c r="Z425" s="35">
        <v>43.453358000000001</v>
      </c>
      <c r="AA425" s="36">
        <f>IF(ISBLANK(Z426),"",Long6[[#This Row],[Adj Close]]/Z426-1)</f>
        <v>-6.3235390969834215E-2</v>
      </c>
      <c r="AH425" s="29">
        <v>42121</v>
      </c>
      <c r="AI425" s="44">
        <v>40.870651000000002</v>
      </c>
      <c r="AJ425" s="33">
        <f>IF(ISBLANK(AI426),"",Short0[[#This Row],[Adj Close]]/AI426-1)</f>
        <v>-4.3257911717871966E-2</v>
      </c>
      <c r="AK425" s="37">
        <v>42121</v>
      </c>
      <c r="AL425" s="39">
        <v>27.349667</v>
      </c>
      <c r="AM425" s="36">
        <f>IF(ISBLANK(AL426),"",Short1[[#This Row],[Adj Close]]/AL426-1)</f>
        <v>-5.93397402123097E-3</v>
      </c>
      <c r="AN425" s="29">
        <v>42121</v>
      </c>
      <c r="AO425" s="44">
        <v>43.346119000000002</v>
      </c>
      <c r="AP425" s="33">
        <f>IF(ISBLANK(AO426),"",Short2[[#This Row],[Adj Close]]/AO426-1)</f>
        <v>-7.0227985757485012E-3</v>
      </c>
      <c r="AQ425" s="37">
        <v>42121</v>
      </c>
      <c r="AR425" s="39">
        <v>66.709998999999996</v>
      </c>
      <c r="AS425" s="36">
        <f>IF(ISBLANK(AR426),"",Short3[[#This Row],[Adj Close]]/AR426-1)</f>
        <v>-1.7236270649805818E-2</v>
      </c>
    </row>
    <row r="426" spans="1:45" x14ac:dyDescent="0.25">
      <c r="A426" s="37">
        <v>42114</v>
      </c>
      <c r="B426" s="39">
        <v>2117.6899410000001</v>
      </c>
      <c r="C426" s="36">
        <f>IF(ISBLANK(B427), "", GSPC[[#This Row],[Adj Close]]/B427-1)</f>
        <v>1.7542937272566395E-2</v>
      </c>
      <c r="D42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2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19600.572172</v>
      </c>
      <c r="F426" s="11" t="e">
        <f>IF(ISBLANK(GSPC[[#This Row],[Long Exp.]]), "", (GSPC[[#This Row],[Long Exp.]]/D427-1)+(E427/GSPC[[#This Row],[Short Exp.]]-1))</f>
        <v>#VALUE!</v>
      </c>
      <c r="G426" s="37">
        <v>42114</v>
      </c>
      <c r="H426">
        <v>69.646759000000003</v>
      </c>
      <c r="I426" s="36">
        <f>IF(ISBLANK(H427), "", Long0[[#This Row],[Adj Close]]/H427-1)</f>
        <v>8.9372493026479427E-2</v>
      </c>
      <c r="J426" s="29">
        <v>42114</v>
      </c>
      <c r="K426">
        <v>14.944349000000001</v>
      </c>
      <c r="L426" s="33">
        <f>IF(ISBLANK(K427),"",Long1[[#This Row],[Adj Close]]/K427-1)</f>
        <v>2.7586236771958372E-2</v>
      </c>
      <c r="M426" s="37">
        <v>42114</v>
      </c>
      <c r="N426">
        <v>39.217010000000002</v>
      </c>
      <c r="O426" s="36">
        <f>IF(ISBLANK(N427),"",Long2[[#This Row],[Adj Close]]/N427-1)</f>
        <v>-7.2815451035972423E-3</v>
      </c>
      <c r="P426" s="29">
        <v>42114</v>
      </c>
      <c r="Q426">
        <v>21.911971999999999</v>
      </c>
      <c r="R426" s="33">
        <f>IF(ISBLANK(Q427),"",Long3[[#This Row],[Adj Close]]/Q427-1)</f>
        <v>3.8750437376025237E-2</v>
      </c>
      <c r="S426" s="37">
        <v>42114</v>
      </c>
      <c r="T426" s="35">
        <v>22.42107</v>
      </c>
      <c r="U426" s="36">
        <f>IF(ISBLANK(T427),"",Long4[[#This Row],[Adj Close]]/T427-1)</f>
        <v>1.9531277176635164E-2</v>
      </c>
      <c r="Y426" s="37">
        <v>42114</v>
      </c>
      <c r="Z426" s="35">
        <v>46.386634999999998</v>
      </c>
      <c r="AA426" s="36">
        <f>IF(ISBLANK(Z427),"",Long6[[#This Row],[Adj Close]]/Z427-1)</f>
        <v>-1.2448206719399058E-2</v>
      </c>
      <c r="AH426" s="29">
        <v>42114</v>
      </c>
      <c r="AI426" s="44">
        <v>42.718567</v>
      </c>
      <c r="AJ426" s="33">
        <f>IF(ISBLANK(AI427),"",Short0[[#This Row],[Adj Close]]/AI427-1)</f>
        <v>1.6316451561479983E-3</v>
      </c>
      <c r="AK426" s="37">
        <v>42114</v>
      </c>
      <c r="AL426" s="39">
        <v>27.512927999999999</v>
      </c>
      <c r="AM426" s="36">
        <f>IF(ISBLANK(AL427),"",Short1[[#This Row],[Adj Close]]/AL427-1)</f>
        <v>-2.9347112244536122E-2</v>
      </c>
      <c r="AN426" s="29">
        <v>42114</v>
      </c>
      <c r="AO426" s="44">
        <v>43.652683000000003</v>
      </c>
      <c r="AP426" s="33">
        <f>IF(ISBLANK(AO427),"",Short2[[#This Row],[Adj Close]]/AO427-1)</f>
        <v>-2.8612555900857095E-2</v>
      </c>
      <c r="AQ426" s="37">
        <v>42114</v>
      </c>
      <c r="AR426" s="39">
        <v>67.879997000000003</v>
      </c>
      <c r="AS426" s="36">
        <f>IF(ISBLANK(AR427),"",Short3[[#This Row],[Adj Close]]/AR427-1)</f>
        <v>8.7646162473962619E-2</v>
      </c>
    </row>
    <row r="427" spans="1:45" x14ac:dyDescent="0.25">
      <c r="A427" s="37">
        <v>42107</v>
      </c>
      <c r="B427" s="39">
        <v>2081.179932</v>
      </c>
      <c r="C427" s="36">
        <f>IF(ISBLANK(B428), "", GSPC[[#This Row],[Adj Close]]/B428-1)</f>
        <v>-9.9331733699050684E-3</v>
      </c>
      <c r="D42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2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19418.173541</v>
      </c>
      <c r="F427" s="11" t="e">
        <f>IF(ISBLANK(GSPC[[#This Row],[Long Exp.]]), "", (GSPC[[#This Row],[Long Exp.]]/D428-1)+(E428/GSPC[[#This Row],[Short Exp.]]-1))</f>
        <v>#VALUE!</v>
      </c>
      <c r="G427" s="37">
        <v>42107</v>
      </c>
      <c r="H427">
        <v>63.932915000000001</v>
      </c>
      <c r="I427" s="36">
        <f>IF(ISBLANK(H428), "", Long0[[#This Row],[Adj Close]]/H428-1)</f>
        <v>-5.9794304495400796E-3</v>
      </c>
      <c r="J427" s="29">
        <v>42107</v>
      </c>
      <c r="K427">
        <v>14.543158</v>
      </c>
      <c r="L427" s="33">
        <f>IF(ISBLANK(K428),"",Long1[[#This Row],[Adj Close]]/K428-1)</f>
        <v>-7.5417766064990177E-2</v>
      </c>
      <c r="M427" s="37">
        <v>42107</v>
      </c>
      <c r="N427">
        <v>39.504665000000003</v>
      </c>
      <c r="O427" s="36">
        <f>IF(ISBLANK(N428),"",Long2[[#This Row],[Adj Close]]/N428-1)</f>
        <v>-1.1559509851461036E-2</v>
      </c>
      <c r="P427" s="29">
        <v>42107</v>
      </c>
      <c r="Q427">
        <v>21.094549000000001</v>
      </c>
      <c r="R427" s="33">
        <f>IF(ISBLANK(Q428),"",Long3[[#This Row],[Adj Close]]/Q428-1)</f>
        <v>-2.2320263676523289E-2</v>
      </c>
      <c r="S427" s="37">
        <v>42107</v>
      </c>
      <c r="T427" s="35">
        <v>21.991547000000001</v>
      </c>
      <c r="U427" s="36">
        <f>IF(ISBLANK(T428),"",Long4[[#This Row],[Adj Close]]/T428-1)</f>
        <v>1.0260334824223838E-2</v>
      </c>
      <c r="Y427" s="37">
        <v>42107</v>
      </c>
      <c r="Z427" s="35">
        <v>46.971344000000002</v>
      </c>
      <c r="AA427" s="36">
        <f>IF(ISBLANK(Z428),"",Long6[[#This Row],[Adj Close]]/Z428-1)</f>
        <v>7.3148869524588545E-3</v>
      </c>
      <c r="AH427" s="29">
        <v>42107</v>
      </c>
      <c r="AI427" s="44">
        <v>42.648978999999997</v>
      </c>
      <c r="AJ427" s="33">
        <f>IF(ISBLANK(AI428),"",Short0[[#This Row],[Adj Close]]/AI428-1)</f>
        <v>-6.965753153925569E-2</v>
      </c>
      <c r="AK427" s="37">
        <v>42107</v>
      </c>
      <c r="AL427" s="39">
        <v>28.344764999999999</v>
      </c>
      <c r="AM427" s="36">
        <f>IF(ISBLANK(AL428),"",Short1[[#This Row],[Adj Close]]/AL428-1)</f>
        <v>-5.4950617801357127E-2</v>
      </c>
      <c r="AN427" s="29">
        <v>42107</v>
      </c>
      <c r="AO427" s="44">
        <v>44.938488</v>
      </c>
      <c r="AP427" s="33">
        <f>IF(ISBLANK(AO428),"",Short2[[#This Row],[Adj Close]]/AO428-1)</f>
        <v>-3.8019852008053356E-2</v>
      </c>
      <c r="AQ427" s="37">
        <v>42107</v>
      </c>
      <c r="AR427" s="39">
        <v>62.41</v>
      </c>
      <c r="AS427" s="36">
        <f>IF(ISBLANK(AR428),"",Short3[[#This Row],[Adj Close]]/AR428-1)</f>
        <v>-1.2030996106727754E-2</v>
      </c>
    </row>
    <row r="428" spans="1:45" x14ac:dyDescent="0.25">
      <c r="A428" s="37">
        <v>42100</v>
      </c>
      <c r="B428" s="39">
        <v>2102.0600589999999</v>
      </c>
      <c r="C428" s="36">
        <f>IF(ISBLANK(B429), "", GSPC[[#This Row],[Adj Close]]/B429-1)</f>
        <v>1.6981508428938419E-2</v>
      </c>
      <c r="D42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2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20355.359619999996</v>
      </c>
      <c r="F428" s="11" t="e">
        <f>IF(ISBLANK(GSPC[[#This Row],[Long Exp.]]), "", (GSPC[[#This Row],[Long Exp.]]/D429-1)+(E429/GSPC[[#This Row],[Short Exp.]]-1))</f>
        <v>#VALUE!</v>
      </c>
      <c r="G428" s="37">
        <v>42100</v>
      </c>
      <c r="H428">
        <v>64.317497000000003</v>
      </c>
      <c r="I428" s="36">
        <f>IF(ISBLANK(H429), "", Long0[[#This Row],[Adj Close]]/H429-1)</f>
        <v>0.20895016955941625</v>
      </c>
      <c r="J428" s="29">
        <v>42100</v>
      </c>
      <c r="K428">
        <v>15.729437000000001</v>
      </c>
      <c r="L428" s="33">
        <f>IF(ISBLANK(K429),"",Long1[[#This Row],[Adj Close]]/K429-1)</f>
        <v>2.2022481400864269E-2</v>
      </c>
      <c r="M428" s="37">
        <v>42100</v>
      </c>
      <c r="N428">
        <v>39.966659999999997</v>
      </c>
      <c r="O428" s="36">
        <f>IF(ISBLANK(N429),"",Long2[[#This Row],[Adj Close]]/N429-1)</f>
        <v>-4.3599838565810956E-4</v>
      </c>
      <c r="P428" s="29">
        <v>42100</v>
      </c>
      <c r="Q428">
        <v>21.576134</v>
      </c>
      <c r="R428" s="33">
        <f>IF(ISBLANK(Q429),"",Long3[[#This Row],[Adj Close]]/Q429-1)</f>
        <v>5.9084164677412065E-3</v>
      </c>
      <c r="S428" s="37">
        <v>42100</v>
      </c>
      <c r="T428" s="35">
        <v>21.768198000000002</v>
      </c>
      <c r="U428" s="36">
        <f>IF(ISBLANK(T429),"",Long4[[#This Row],[Adj Close]]/T429-1)</f>
        <v>-2.3621729681471137E-3</v>
      </c>
      <c r="Y428" s="37">
        <v>42100</v>
      </c>
      <c r="Z428" s="35">
        <v>46.630248999999999</v>
      </c>
      <c r="AA428" s="36">
        <f>IF(ISBLANK(Z429),"",Long6[[#This Row],[Adj Close]]/Z429-1)</f>
        <v>1.4630819963545649E-2</v>
      </c>
      <c r="AH428" s="29">
        <v>42100</v>
      </c>
      <c r="AI428" s="44">
        <v>45.842236</v>
      </c>
      <c r="AJ428" s="33">
        <f>IF(ISBLANK(AI429),"",Short0[[#This Row],[Adj Close]]/AI429-1)</f>
        <v>5.5545681404280733E-2</v>
      </c>
      <c r="AK428" s="37">
        <v>42100</v>
      </c>
      <c r="AL428" s="39">
        <v>29.992892999999999</v>
      </c>
      <c r="AM428" s="36">
        <f>IF(ISBLANK(AL429),"",Short1[[#This Row],[Adj Close]]/AL429-1)</f>
        <v>9.4188643837400665E-3</v>
      </c>
      <c r="AN428" s="29">
        <v>42100</v>
      </c>
      <c r="AO428" s="44">
        <v>46.714568999999997</v>
      </c>
      <c r="AP428" s="33">
        <f>IF(ISBLANK(AO429),"",Short2[[#This Row],[Adj Close]]/AO429-1)</f>
        <v>-5.0573662851298717E-2</v>
      </c>
      <c r="AQ428" s="37">
        <v>42100</v>
      </c>
      <c r="AR428" s="39">
        <v>63.169998</v>
      </c>
      <c r="AS428" s="36">
        <f>IF(ISBLANK(AR429),"",Short3[[#This Row],[Adj Close]]/AR429-1)</f>
        <v>6.6520310653385151E-2</v>
      </c>
    </row>
    <row r="429" spans="1:45" x14ac:dyDescent="0.25">
      <c r="A429" s="37">
        <v>42093</v>
      </c>
      <c r="B429" s="39">
        <v>2066.959961</v>
      </c>
      <c r="C429" s="36">
        <f>IF(ISBLANK(B430), "", GSPC[[#This Row],[Adj Close]]/B430-1)</f>
        <v>2.882039447632323E-3</v>
      </c>
      <c r="D42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2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19942.408475</v>
      </c>
      <c r="F429" s="11" t="e">
        <f>IF(ISBLANK(GSPC[[#This Row],[Long Exp.]]), "", (GSPC[[#This Row],[Long Exp.]]/D430-1)+(E430/GSPC[[#This Row],[Short Exp.]]-1))</f>
        <v>#VALUE!</v>
      </c>
      <c r="G429" s="37">
        <v>42093</v>
      </c>
      <c r="H429">
        <v>53.201115000000001</v>
      </c>
      <c r="I429" s="36">
        <f>IF(ISBLANK(H430), "", Long0[[#This Row],[Adj Close]]/H430-1)</f>
        <v>-5.7277351784556951E-2</v>
      </c>
      <c r="J429" s="29">
        <v>42093</v>
      </c>
      <c r="K429">
        <v>15.390499999999999</v>
      </c>
      <c r="L429" s="33">
        <f>IF(ISBLANK(K430),"",Long1[[#This Row],[Adj Close]]/K430-1)</f>
        <v>-2.3480377986473178E-2</v>
      </c>
      <c r="M429" s="37">
        <v>42093</v>
      </c>
      <c r="N429">
        <v>39.984093000000001</v>
      </c>
      <c r="O429" s="36">
        <f>IF(ISBLANK(N430),"",Long2[[#This Row],[Adj Close]]/N430-1)</f>
        <v>-3.9084991040578831E-3</v>
      </c>
      <c r="P429" s="29">
        <v>42093</v>
      </c>
      <c r="Q429">
        <v>21.449401999999999</v>
      </c>
      <c r="R429" s="33">
        <f>IF(ISBLANK(Q430),"",Long3[[#This Row],[Adj Close]]/Q430-1)</f>
        <v>2.1116224927565375E-2</v>
      </c>
      <c r="S429" s="37">
        <v>42093</v>
      </c>
      <c r="T429" s="35">
        <v>21.819739999999999</v>
      </c>
      <c r="U429" s="36">
        <f>IF(ISBLANK(T430),"",Long4[[#This Row],[Adj Close]]/T430-1)</f>
        <v>1.1824371603703643E-3</v>
      </c>
      <c r="Y429" s="37">
        <v>42093</v>
      </c>
      <c r="Z429" s="35">
        <v>45.957847999999998</v>
      </c>
      <c r="AA429" s="36">
        <f>IF(ISBLANK(Z430),"",Long6[[#This Row],[Adj Close]]/Z430-1)</f>
        <v>8.1232744183892258E-3</v>
      </c>
      <c r="AH429" s="29">
        <v>42093</v>
      </c>
      <c r="AI429" s="44">
        <v>43.429893</v>
      </c>
      <c r="AJ429" s="33">
        <f>IF(ISBLANK(AI430),"",Short0[[#This Row],[Adj Close]]/AI430-1)</f>
        <v>2.5935927296941053E-2</v>
      </c>
      <c r="AK429" s="37">
        <v>42093</v>
      </c>
      <c r="AL429" s="39">
        <v>29.71303</v>
      </c>
      <c r="AM429" s="36">
        <f>IF(ISBLANK(AL430),"",Short1[[#This Row],[Adj Close]]/AL430-1)</f>
        <v>-6.756675219856012E-3</v>
      </c>
      <c r="AN429" s="29">
        <v>42093</v>
      </c>
      <c r="AO429" s="44">
        <v>49.202942</v>
      </c>
      <c r="AP429" s="33">
        <f>IF(ISBLANK(AO430),"",Short2[[#This Row],[Adj Close]]/AO430-1)</f>
        <v>5.472937884055562E-2</v>
      </c>
      <c r="AQ429" s="37">
        <v>42093</v>
      </c>
      <c r="AR429" s="39">
        <v>59.23</v>
      </c>
      <c r="AS429" s="36">
        <f>IF(ISBLANK(AR430),"",Short3[[#This Row],[Adj Close]]/AR430-1)</f>
        <v>-1.9370893398314881E-2</v>
      </c>
    </row>
    <row r="430" spans="1:45" x14ac:dyDescent="0.25">
      <c r="A430" s="37">
        <v>42086</v>
      </c>
      <c r="B430" s="39">
        <v>2061.0200199999999</v>
      </c>
      <c r="C430" s="36">
        <f>IF(ISBLANK(B431), "", GSPC[[#This Row],[Adj Close]]/B431-1)</f>
        <v>-2.2332942370557163E-2</v>
      </c>
      <c r="D43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3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19566.185819999999</v>
      </c>
      <c r="F430" s="11" t="e">
        <f>IF(ISBLANK(GSPC[[#This Row],[Long Exp.]]), "", (GSPC[[#This Row],[Long Exp.]]/D431-1)+(E431/GSPC[[#This Row],[Short Exp.]]-1))</f>
        <v>#VALUE!</v>
      </c>
      <c r="G430" s="37">
        <v>42086</v>
      </c>
      <c r="H430">
        <v>56.433475000000001</v>
      </c>
      <c r="I430" s="36">
        <f>IF(ISBLANK(H431), "", Long0[[#This Row],[Adj Close]]/H431-1)</f>
        <v>-2.2676830871382836E-2</v>
      </c>
      <c r="J430" s="29">
        <v>42086</v>
      </c>
      <c r="K430">
        <v>15.760564</v>
      </c>
      <c r="L430" s="33">
        <f>IF(ISBLANK(K431),"",Long1[[#This Row],[Adj Close]]/K431-1)</f>
        <v>-3.5759618335989951E-2</v>
      </c>
      <c r="M430" s="37">
        <v>42086</v>
      </c>
      <c r="N430">
        <v>40.140984000000003</v>
      </c>
      <c r="O430" s="36">
        <f>IF(ISBLANK(N431),"",Long2[[#This Row],[Adj Close]]/N431-1)</f>
        <v>-9.677512866290372E-3</v>
      </c>
      <c r="P430" s="29">
        <v>42086</v>
      </c>
      <c r="Q430">
        <v>21.005838000000001</v>
      </c>
      <c r="R430" s="33">
        <f>IF(ISBLANK(Q431),"",Long3[[#This Row],[Adj Close]]/Q431-1)</f>
        <v>-3.5215414185409744E-2</v>
      </c>
      <c r="S430" s="37">
        <v>42086</v>
      </c>
      <c r="T430" s="35">
        <v>21.793970000000002</v>
      </c>
      <c r="U430" s="36">
        <f>IF(ISBLANK(T431),"",Long4[[#This Row],[Adj Close]]/T431-1)</f>
        <v>1.7241506460477396E-2</v>
      </c>
      <c r="Y430" s="37">
        <v>42086</v>
      </c>
      <c r="Z430" s="35">
        <v>45.587527999999999</v>
      </c>
      <c r="AA430" s="36">
        <f>IF(ISBLANK(Z431),"",Long6[[#This Row],[Adj Close]]/Z431-1)</f>
        <v>5.312897565329E-2</v>
      </c>
      <c r="AH430" s="29">
        <v>42086</v>
      </c>
      <c r="AI430" s="44">
        <v>42.331974000000002</v>
      </c>
      <c r="AJ430" s="33">
        <f>IF(ISBLANK(AI431),"",Short0[[#This Row],[Adj Close]]/AI431-1)</f>
        <v>-1.1292068897841068E-2</v>
      </c>
      <c r="AK430" s="37">
        <v>42086</v>
      </c>
      <c r="AL430" s="39">
        <v>29.915157000000001</v>
      </c>
      <c r="AM430" s="36">
        <f>IF(ISBLANK(AL431),"",Short1[[#This Row],[Adj Close]]/AL431-1)</f>
        <v>-3.9546431995524656E-2</v>
      </c>
      <c r="AN430" s="29">
        <v>42086</v>
      </c>
      <c r="AO430" s="44">
        <v>46.649825999999997</v>
      </c>
      <c r="AP430" s="33">
        <f>IF(ISBLANK(AO431),"",Short2[[#This Row],[Adj Close]]/AO431-1)</f>
        <v>3.3826488961952172E-3</v>
      </c>
      <c r="AQ430" s="37">
        <v>42086</v>
      </c>
      <c r="AR430" s="39">
        <v>60.400002000000001</v>
      </c>
      <c r="AS430" s="36">
        <f>IF(ISBLANK(AR431),"",Short3[[#This Row],[Adj Close]]/AR431-1)</f>
        <v>-2.7688297290539232E-2</v>
      </c>
    </row>
    <row r="431" spans="1:45" x14ac:dyDescent="0.25">
      <c r="A431" s="37">
        <v>42079</v>
      </c>
      <c r="B431" s="39">
        <v>2108.1000979999999</v>
      </c>
      <c r="C431" s="36">
        <f>IF(ISBLANK(B432), "", GSPC[[#This Row],[Adj Close]]/B432-1)</f>
        <v>2.6638842218080327E-2</v>
      </c>
      <c r="D43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3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19865.315310000002</v>
      </c>
      <c r="F431" s="11" t="e">
        <f>IF(ISBLANK(GSPC[[#This Row],[Long Exp.]]), "", (GSPC[[#This Row],[Long Exp.]]/D432-1)+(E432/GSPC[[#This Row],[Short Exp.]]-1))</f>
        <v>#VALUE!</v>
      </c>
      <c r="G431" s="37">
        <v>42079</v>
      </c>
      <c r="H431">
        <v>57.742901000000003</v>
      </c>
      <c r="I431" s="36">
        <f>IF(ISBLANK(H432), "", Long0[[#This Row],[Adj Close]]/H432-1)</f>
        <v>5.5220974356056107E-2</v>
      </c>
      <c r="J431" s="29">
        <v>42079</v>
      </c>
      <c r="K431">
        <v>16.345057000000001</v>
      </c>
      <c r="L431" s="33">
        <f>IF(ISBLANK(K432),"",Long1[[#This Row],[Adj Close]]/K432-1)</f>
        <v>1.6781406943115362E-2</v>
      </c>
      <c r="M431" s="37">
        <v>42079</v>
      </c>
      <c r="N431">
        <v>40.533245000000001</v>
      </c>
      <c r="O431" s="36">
        <f>IF(ISBLANK(N432),"",Long2[[#This Row],[Adj Close]]/N432-1)</f>
        <v>-7.0471227800747993E-3</v>
      </c>
      <c r="P431" s="29">
        <v>42079</v>
      </c>
      <c r="Q431">
        <v>21.772568</v>
      </c>
      <c r="R431" s="33">
        <f>IF(ISBLANK(Q432),"",Long3[[#This Row],[Adj Close]]/Q432-1)</f>
        <v>8.0503124553668926E-2</v>
      </c>
      <c r="S431" s="37">
        <v>42079</v>
      </c>
      <c r="T431" s="35">
        <v>21.424578</v>
      </c>
      <c r="U431" s="36">
        <f>IF(ISBLANK(T432),"",Long4[[#This Row],[Adj Close]]/T432-1)</f>
        <v>5.7675893978356152E-2</v>
      </c>
      <c r="Y431" s="37">
        <v>42079</v>
      </c>
      <c r="Z431" s="35">
        <v>43.287697000000001</v>
      </c>
      <c r="AA431" s="36">
        <f>IF(ISBLANK(Z432),"",Long6[[#This Row],[Adj Close]]/Z432-1)</f>
        <v>6.7019067084856498E-2</v>
      </c>
      <c r="AH431" s="29">
        <v>42079</v>
      </c>
      <c r="AI431" s="44">
        <v>42.815449000000001</v>
      </c>
      <c r="AJ431" s="33">
        <f>IF(ISBLANK(AI432),"",Short0[[#This Row],[Adj Close]]/AI432-1)</f>
        <v>7.0078657641827302E-2</v>
      </c>
      <c r="AK431" s="37">
        <v>42079</v>
      </c>
      <c r="AL431" s="39">
        <v>31.146906000000001</v>
      </c>
      <c r="AM431" s="36">
        <f>IF(ISBLANK(AL432),"",Short1[[#This Row],[Adj Close]]/AL432-1)</f>
        <v>6.4150712945463262E-3</v>
      </c>
      <c r="AN431" s="29">
        <v>42079</v>
      </c>
      <c r="AO431" s="44">
        <v>46.492558000000002</v>
      </c>
      <c r="AP431" s="33">
        <f>IF(ISBLANK(AO432),"",Short2[[#This Row],[Adj Close]]/AO432-1)</f>
        <v>2.1544504370976991E-2</v>
      </c>
      <c r="AQ431" s="37">
        <v>42079</v>
      </c>
      <c r="AR431" s="39">
        <v>62.119999</v>
      </c>
      <c r="AS431" s="36">
        <f>IF(ISBLANK(AR432),"",Short3[[#This Row],[Adj Close]]/AR432-1)</f>
        <v>-1.1142964024196123E-2</v>
      </c>
    </row>
    <row r="432" spans="1:45" x14ac:dyDescent="0.25">
      <c r="A432" s="37">
        <v>42072</v>
      </c>
      <c r="B432" s="39">
        <v>2053.3999020000001</v>
      </c>
      <c r="C432" s="36">
        <f>IF(ISBLANK(B433), "", GSPC[[#This Row],[Adj Close]]/B433-1)</f>
        <v>-8.6228227811919744E-3</v>
      </c>
      <c r="D43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3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19325.402882999999</v>
      </c>
      <c r="F432" s="11" t="e">
        <f>IF(ISBLANK(GSPC[[#This Row],[Long Exp.]]), "", (GSPC[[#This Row],[Long Exp.]]/D433-1)+(E433/GSPC[[#This Row],[Short Exp.]]-1))</f>
        <v>#VALUE!</v>
      </c>
      <c r="G432" s="37">
        <v>42072</v>
      </c>
      <c r="H432">
        <v>54.721145999999997</v>
      </c>
      <c r="I432" s="36">
        <f>IF(ISBLANK(H433), "", Long0[[#This Row],[Adj Close]]/H433-1)</f>
        <v>7.7922088666690259E-2</v>
      </c>
      <c r="J432" s="29">
        <v>42072</v>
      </c>
      <c r="K432">
        <v>16.075291</v>
      </c>
      <c r="L432" s="33">
        <f>IF(ISBLANK(K433),"",Long1[[#This Row],[Adj Close]]/K433-1)</f>
        <v>3.6343372283451414E-2</v>
      </c>
      <c r="M432" s="37">
        <v>42072</v>
      </c>
      <c r="N432">
        <v>40.820914999999999</v>
      </c>
      <c r="O432" s="36">
        <f>IF(ISBLANK(N433),"",Long2[[#This Row],[Adj Close]]/N433-1)</f>
        <v>-4.0388670079267719E-2</v>
      </c>
      <c r="P432" s="29">
        <v>42072</v>
      </c>
      <c r="Q432">
        <v>20.150397999999999</v>
      </c>
      <c r="R432" s="33">
        <f>IF(ISBLANK(Q433),"",Long3[[#This Row],[Adj Close]]/Q433-1)</f>
        <v>1.3202038351277867E-2</v>
      </c>
      <c r="S432" s="37">
        <v>42072</v>
      </c>
      <c r="T432" s="35">
        <v>20.256278999999999</v>
      </c>
      <c r="U432" s="36">
        <f>IF(ISBLANK(T433),"",Long4[[#This Row],[Adj Close]]/T433-1)</f>
        <v>6.2608273013240456E-3</v>
      </c>
      <c r="Y432" s="37">
        <v>42072</v>
      </c>
      <c r="Z432" s="35">
        <v>40.568812999999999</v>
      </c>
      <c r="AA432" s="36">
        <f>IF(ISBLANK(Z433),"",Long6[[#This Row],[Adj Close]]/Z433-1)</f>
        <v>7.905625643659131E-2</v>
      </c>
      <c r="AH432" s="29">
        <v>42072</v>
      </c>
      <c r="AI432" s="44">
        <v>40.011496999999999</v>
      </c>
      <c r="AJ432" s="33">
        <f>IF(ISBLANK(AI433),"",Short0[[#This Row],[Adj Close]]/AI433-1)</f>
        <v>-4.9373900352547739E-2</v>
      </c>
      <c r="AK432" s="37">
        <v>42072</v>
      </c>
      <c r="AL432" s="39">
        <v>30.948370000000001</v>
      </c>
      <c r="AM432" s="36">
        <f>IF(ISBLANK(AL433),"",Short1[[#This Row],[Adj Close]]/AL433-1)</f>
        <v>2.0649435679753525E-2</v>
      </c>
      <c r="AN432" s="29">
        <v>42072</v>
      </c>
      <c r="AO432" s="44">
        <v>45.512023999999997</v>
      </c>
      <c r="AP432" s="33">
        <f>IF(ISBLANK(AO433),"",Short2[[#This Row],[Adj Close]]/AO433-1)</f>
        <v>1.1929452865784063E-2</v>
      </c>
      <c r="AQ432" s="37">
        <v>42072</v>
      </c>
      <c r="AR432" s="39">
        <v>62.82</v>
      </c>
      <c r="AS432" s="36">
        <f>IF(ISBLANK(AR433),"",Short3[[#This Row],[Adj Close]]/AR433-1)</f>
        <v>5.4417413572342976E-3</v>
      </c>
    </row>
    <row r="433" spans="1:45" x14ac:dyDescent="0.25">
      <c r="A433" s="37">
        <v>42065</v>
      </c>
      <c r="B433" s="39">
        <v>2071.26001</v>
      </c>
      <c r="C433" s="36">
        <f>IF(ISBLANK(B434), "", GSPC[[#This Row],[Adj Close]]/B434-1)</f>
        <v>-1.5794720836303178E-2</v>
      </c>
      <c r="D43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3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19518.402412000003</v>
      </c>
      <c r="F433" s="11" t="e">
        <f>IF(ISBLANK(GSPC[[#This Row],[Long Exp.]]), "", (GSPC[[#This Row],[Long Exp.]]/D434-1)+(E434/GSPC[[#This Row],[Short Exp.]]-1))</f>
        <v>#VALUE!</v>
      </c>
      <c r="G433" s="37">
        <v>42065</v>
      </c>
      <c r="H433">
        <v>50.7654</v>
      </c>
      <c r="I433" s="36">
        <f>IF(ISBLANK(H434), "", Long0[[#This Row],[Adj Close]]/H434-1)</f>
        <v>-3.2967205455161186E-2</v>
      </c>
      <c r="J433" s="29">
        <v>42065</v>
      </c>
      <c r="K433">
        <v>15.511549</v>
      </c>
      <c r="L433" s="33">
        <f>IF(ISBLANK(K434),"",Long1[[#This Row],[Adj Close]]/K434-1)</f>
        <v>1.5855055954532959E-2</v>
      </c>
      <c r="M433" s="37">
        <v>42065</v>
      </c>
      <c r="N433">
        <v>42.539009</v>
      </c>
      <c r="O433" s="36">
        <f>IF(ISBLANK(N434),"",Long2[[#This Row],[Adj Close]]/N434-1)</f>
        <v>-7.9421622665176383E-2</v>
      </c>
      <c r="P433" s="29">
        <v>42065</v>
      </c>
      <c r="Q433">
        <v>19.887837999999999</v>
      </c>
      <c r="R433" s="33">
        <f>IF(ISBLANK(Q434),"",Long3[[#This Row],[Adj Close]]/Q434-1)</f>
        <v>-6.9208218198316351E-2</v>
      </c>
      <c r="S433" s="37">
        <v>42065</v>
      </c>
      <c r="T433" s="35">
        <v>20.130247000000001</v>
      </c>
      <c r="U433" s="36">
        <f>IF(ISBLANK(T434),"",Long4[[#This Row],[Adj Close]]/T434-1)</f>
        <v>-2.8395082822390227E-2</v>
      </c>
      <c r="Y433" s="37">
        <v>42065</v>
      </c>
      <c r="Z433" s="35">
        <v>37.596569000000002</v>
      </c>
      <c r="AA433" s="36">
        <f>IF(ISBLANK(Z434),"",Long6[[#This Row],[Adj Close]]/Z434-1)</f>
        <v>0.12183827947535786</v>
      </c>
      <c r="AH433" s="29">
        <v>42065</v>
      </c>
      <c r="AI433" s="44">
        <v>42.089626000000003</v>
      </c>
      <c r="AJ433" s="33">
        <f>IF(ISBLANK(AI434),"",Short0[[#This Row],[Adj Close]]/AI434-1)</f>
        <v>-3.181040595223128E-2</v>
      </c>
      <c r="AK433" s="37">
        <v>42065</v>
      </c>
      <c r="AL433" s="39">
        <v>30.322233000000001</v>
      </c>
      <c r="AM433" s="36">
        <f>IF(ISBLANK(AL434),"",Short1[[#This Row],[Adj Close]]/AL434-1)</f>
        <v>4.2257077975230706E-2</v>
      </c>
      <c r="AN433" s="29">
        <v>42065</v>
      </c>
      <c r="AO433" s="44">
        <v>44.975490999999998</v>
      </c>
      <c r="AP433" s="33">
        <f>IF(ISBLANK(AO434),"",Short2[[#This Row],[Adj Close]]/AO434-1)</f>
        <v>-3.1667204778953906E-2</v>
      </c>
      <c r="AQ433" s="37">
        <v>42065</v>
      </c>
      <c r="AR433" s="39">
        <v>62.48</v>
      </c>
      <c r="AS433" s="36">
        <f>IF(ISBLANK(AR434),"",Short3[[#This Row],[Adj Close]]/AR434-1)</f>
        <v>-7.0929368029739814E-2</v>
      </c>
    </row>
    <row r="434" spans="1:45" x14ac:dyDescent="0.25">
      <c r="A434" s="37">
        <v>42058</v>
      </c>
      <c r="B434" s="39">
        <v>2104.5</v>
      </c>
      <c r="C434" s="36">
        <f>IF(ISBLANK(B435), "", GSPC[[#This Row],[Adj Close]]/B435-1)</f>
        <v>-2.7484475502658201E-3</v>
      </c>
      <c r="D43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3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20152.476008000001</v>
      </c>
      <c r="F434" s="11" t="e">
        <f>IF(ISBLANK(GSPC[[#This Row],[Long Exp.]]), "", (GSPC[[#This Row],[Long Exp.]]/D435-1)+(E435/GSPC[[#This Row],[Short Exp.]]-1))</f>
        <v>#VALUE!</v>
      </c>
      <c r="G434" s="37">
        <v>42058</v>
      </c>
      <c r="H434">
        <v>52.496048000000002</v>
      </c>
      <c r="I434" s="36">
        <f>IF(ISBLANK(H435), "", Long0[[#This Row],[Adj Close]]/H435-1)</f>
        <v>-9.3311238055856505E-3</v>
      </c>
      <c r="J434" s="29">
        <v>42058</v>
      </c>
      <c r="K434">
        <v>15.269451</v>
      </c>
      <c r="L434" s="33">
        <f>IF(ISBLANK(K435),"",Long1[[#This Row],[Adj Close]]/K435-1)</f>
        <v>5.0440137859574463E-2</v>
      </c>
      <c r="M434" s="37">
        <v>42058</v>
      </c>
      <c r="N434">
        <v>46.209003000000003</v>
      </c>
      <c r="O434" s="36">
        <f>IF(ISBLANK(N435),"",Long2[[#This Row],[Adj Close]]/N435-1)</f>
        <v>3.3909308656985271E-3</v>
      </c>
      <c r="P434" s="29">
        <v>42058</v>
      </c>
      <c r="Q434">
        <v>21.366581</v>
      </c>
      <c r="R434" s="33">
        <f>IF(ISBLANK(Q435),"",Long3[[#This Row],[Adj Close]]/Q435-1)</f>
        <v>-2.5157293250317236E-2</v>
      </c>
      <c r="S434" s="37">
        <v>42058</v>
      </c>
      <c r="T434" s="35">
        <v>20.718551999999999</v>
      </c>
      <c r="U434" s="36">
        <f>IF(ISBLANK(T435),"",Long4[[#This Row],[Adj Close]]/T435-1)</f>
        <v>2.4451945420387089E-2</v>
      </c>
      <c r="Y434" s="37">
        <v>42058</v>
      </c>
      <c r="Z434" s="35">
        <v>33.513359000000001</v>
      </c>
      <c r="AA434" s="36">
        <f>IF(ISBLANK(Z435),"",Long6[[#This Row],[Adj Close]]/Z435-1)</f>
        <v>-4.3127797931815537E-2</v>
      </c>
      <c r="AH434" s="29">
        <v>42058</v>
      </c>
      <c r="AI434" s="44">
        <v>43.472504000000001</v>
      </c>
      <c r="AJ434" s="33">
        <f>IF(ISBLANK(AI435),"",Short0[[#This Row],[Adj Close]]/AI435-1)</f>
        <v>-5.7166327946376883E-2</v>
      </c>
      <c r="AK434" s="37">
        <v>42058</v>
      </c>
      <c r="AL434" s="39">
        <v>29.092853999999999</v>
      </c>
      <c r="AM434" s="36">
        <f>IF(ISBLANK(AL435),"",Short1[[#This Row],[Adj Close]]/AL435-1)</f>
        <v>-3.0040683951275349E-2</v>
      </c>
      <c r="AN434" s="29">
        <v>42058</v>
      </c>
      <c r="AO434" s="44">
        <v>46.446316000000003</v>
      </c>
      <c r="AP434" s="33">
        <f>IF(ISBLANK(AO435),"",Short2[[#This Row],[Adj Close]]/AO435-1)</f>
        <v>-2.1858053335453986E-3</v>
      </c>
      <c r="AQ434" s="37">
        <v>42058</v>
      </c>
      <c r="AR434" s="39">
        <v>67.25</v>
      </c>
      <c r="AS434" s="36">
        <f>IF(ISBLANK(AR435),"",Short3[[#This Row],[Adj Close]]/AR435-1)</f>
        <v>-2.4514098505538318E-2</v>
      </c>
    </row>
    <row r="435" spans="1:45" x14ac:dyDescent="0.25">
      <c r="A435" s="37">
        <v>42051</v>
      </c>
      <c r="B435" s="39">
        <v>2110.3000489999999</v>
      </c>
      <c r="C435" s="36">
        <f>IF(ISBLANK(B436), "", GSPC[[#This Row],[Adj Close]]/B436-1)</f>
        <v>6.3472210470589818E-3</v>
      </c>
      <c r="D43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3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20800.390202999999</v>
      </c>
      <c r="F435" s="11" t="e">
        <f>IF(ISBLANK(GSPC[[#This Row],[Long Exp.]]), "", (GSPC[[#This Row],[Long Exp.]]/D436-1)+(E436/GSPC[[#This Row],[Short Exp.]]-1))</f>
        <v>#VALUE!</v>
      </c>
      <c r="G435" s="37">
        <v>42051</v>
      </c>
      <c r="H435">
        <v>52.990509000000003</v>
      </c>
      <c r="I435" s="36">
        <f>IF(ISBLANK(H436), "", Long0[[#This Row],[Adj Close]]/H436-1)</f>
        <v>3.6168240115751038E-2</v>
      </c>
      <c r="J435" s="29">
        <v>42051</v>
      </c>
      <c r="K435">
        <v>14.536241</v>
      </c>
      <c r="L435" s="33">
        <f>IF(ISBLANK(K436),"",Long1[[#This Row],[Adj Close]]/K436-1)</f>
        <v>-9.8940162789905584E-3</v>
      </c>
      <c r="M435" s="37">
        <v>42051</v>
      </c>
      <c r="N435">
        <v>46.052841000000001</v>
      </c>
      <c r="O435" s="36">
        <f>IF(ISBLANK(N436),"",Long2[[#This Row],[Adj Close]]/N436-1)</f>
        <v>1.4332258361645867E-2</v>
      </c>
      <c r="P435" s="29">
        <v>42051</v>
      </c>
      <c r="Q435">
        <v>21.917978000000002</v>
      </c>
      <c r="R435" s="33">
        <f>IF(ISBLANK(Q436),"",Long3[[#This Row],[Adj Close]]/Q436-1)</f>
        <v>8.3597143557618825E-3</v>
      </c>
      <c r="S435" s="37">
        <v>42051</v>
      </c>
      <c r="T435" s="35">
        <v>20.224035000000001</v>
      </c>
      <c r="U435" s="36">
        <f>IF(ISBLANK(T436),"",Long4[[#This Row],[Adj Close]]/T436-1)</f>
        <v>1.5845739590826469E-2</v>
      </c>
      <c r="Y435" s="37">
        <v>42051</v>
      </c>
      <c r="Z435" s="35">
        <v>35.023860999999997</v>
      </c>
      <c r="AA435" s="36">
        <f>IF(ISBLANK(Z436),"",Long6[[#This Row],[Adj Close]]/Z436-1)</f>
        <v>1.0402158041095122E-2</v>
      </c>
      <c r="AH435" s="29">
        <v>42051</v>
      </c>
      <c r="AI435" s="44">
        <v>46.108348999999997</v>
      </c>
      <c r="AJ435" s="33">
        <f>IF(ISBLANK(AI436),"",Short0[[#This Row],[Adj Close]]/AI436-1)</f>
        <v>-1.3238834526849708E-3</v>
      </c>
      <c r="AK435" s="37">
        <v>42051</v>
      </c>
      <c r="AL435" s="39">
        <v>29.993891000000001</v>
      </c>
      <c r="AM435" s="36">
        <f>IF(ISBLANK(AL436),"",Short1[[#This Row],[Adj Close]]/AL436-1)</f>
        <v>4.3467269040264878E-3</v>
      </c>
      <c r="AN435" s="29">
        <v>42051</v>
      </c>
      <c r="AO435" s="44">
        <v>46.548060999999997</v>
      </c>
      <c r="AP435" s="33">
        <f>IF(ISBLANK(AO436),"",Short2[[#This Row],[Adj Close]]/AO436-1)</f>
        <v>6.8024613895718566E-3</v>
      </c>
      <c r="AQ435" s="37">
        <v>42051</v>
      </c>
      <c r="AR435" s="39">
        <v>68.940002000000007</v>
      </c>
      <c r="AS435" s="36">
        <f>IF(ISBLANK(AR436),"",Short3[[#This Row],[Adj Close]]/AR436-1)</f>
        <v>7.4166438142723612E-2</v>
      </c>
    </row>
    <row r="436" spans="1:45" x14ac:dyDescent="0.25">
      <c r="A436" s="37">
        <v>42044</v>
      </c>
      <c r="B436" s="39">
        <v>2096.98999</v>
      </c>
      <c r="C436" s="36">
        <f>IF(ISBLANK(B437), "", GSPC[[#This Row],[Adj Close]]/B437-1)</f>
        <v>2.0199769194293005E-2</v>
      </c>
      <c r="D43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3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20413.819258</v>
      </c>
      <c r="F436" s="11" t="e">
        <f>IF(ISBLANK(GSPC[[#This Row],[Long Exp.]]), "", (GSPC[[#This Row],[Long Exp.]]/D437-1)+(E437/GSPC[[#This Row],[Short Exp.]]-1))</f>
        <v>#VALUE!</v>
      </c>
      <c r="G436" s="37">
        <v>42044</v>
      </c>
      <c r="H436">
        <v>51.140835000000003</v>
      </c>
      <c r="I436" s="36">
        <f>IF(ISBLANK(H437), "", Long0[[#This Row],[Adj Close]]/H437-1)</f>
        <v>3.6370519472950447E-2</v>
      </c>
      <c r="J436" s="29">
        <v>42044</v>
      </c>
      <c r="K436">
        <v>14.6815</v>
      </c>
      <c r="L436" s="33">
        <f>IF(ISBLANK(K437),"",Long1[[#This Row],[Adj Close]]/K437-1)</f>
        <v>5.0222698859523129E-2</v>
      </c>
      <c r="M436" s="37">
        <v>42044</v>
      </c>
      <c r="N436">
        <v>45.402126000000003</v>
      </c>
      <c r="O436" s="36">
        <f>IF(ISBLANK(N437),"",Long2[[#This Row],[Adj Close]]/N437-1)</f>
        <v>5.2917576833410251E-2</v>
      </c>
      <c r="P436" s="29">
        <v>42044</v>
      </c>
      <c r="Q436">
        <v>21.736269</v>
      </c>
      <c r="R436" s="33">
        <f>IF(ISBLANK(Q437),"",Long3[[#This Row],[Adj Close]]/Q437-1)</f>
        <v>-1.5048107797427268E-2</v>
      </c>
      <c r="S436" s="37">
        <v>42044</v>
      </c>
      <c r="T436" s="35">
        <v>19.908569</v>
      </c>
      <c r="U436" s="36">
        <f>IF(ISBLANK(T437),"",Long4[[#This Row],[Adj Close]]/T437-1)</f>
        <v>2.8634308427502475E-2</v>
      </c>
      <c r="Y436" s="37">
        <v>42044</v>
      </c>
      <c r="Z436" s="35">
        <v>34.663288000000001</v>
      </c>
      <c r="AA436" s="36">
        <f>IF(ISBLANK(Z437),"",Long6[[#This Row],[Adj Close]]/Z437-1)</f>
        <v>5.8631117626399165E-2</v>
      </c>
      <c r="AH436" s="29">
        <v>42044</v>
      </c>
      <c r="AI436" s="44">
        <v>46.169471999999999</v>
      </c>
      <c r="AJ436" s="33">
        <f>IF(ISBLANK(AI437),"",Short0[[#This Row],[Adj Close]]/AI437-1)</f>
        <v>9.1385363028778643E-2</v>
      </c>
      <c r="AK436" s="37">
        <v>42044</v>
      </c>
      <c r="AL436" s="39">
        <v>29.864080000000001</v>
      </c>
      <c r="AM436" s="36">
        <f>IF(ISBLANK(AL437),"",Short1[[#This Row],[Adj Close]]/AL437-1)</f>
        <v>4.6841913833896243E-2</v>
      </c>
      <c r="AN436" s="29">
        <v>42044</v>
      </c>
      <c r="AO436" s="44">
        <v>46.233559</v>
      </c>
      <c r="AP436" s="33">
        <f>IF(ISBLANK(AO437),"",Short2[[#This Row],[Adj Close]]/AO437-1)</f>
        <v>4.0816402796232998E-2</v>
      </c>
      <c r="AQ436" s="37">
        <v>42044</v>
      </c>
      <c r="AR436" s="39">
        <v>64.180000000000007</v>
      </c>
      <c r="AS436" s="36">
        <f>IF(ISBLANK(AR437),"",Short3[[#This Row],[Adj Close]]/AR437-1)</f>
        <v>2.7537640530541863E-2</v>
      </c>
    </row>
    <row r="437" spans="1:45" x14ac:dyDescent="0.25">
      <c r="A437" s="37">
        <v>42037</v>
      </c>
      <c r="B437" s="39">
        <v>2055.469971</v>
      </c>
      <c r="C437" s="36">
        <f>IF(ISBLANK(B438), "", GSPC[[#This Row],[Adj Close]]/B438-1)</f>
        <v>3.0315932061393491E-2</v>
      </c>
      <c r="D43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3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19321.230265999999</v>
      </c>
      <c r="F437" s="11" t="e">
        <f>IF(ISBLANK(GSPC[[#This Row],[Long Exp.]]), "", (GSPC[[#This Row],[Long Exp.]]/D438-1)+(E438/GSPC[[#This Row],[Short Exp.]]-1))</f>
        <v>#VALUE!</v>
      </c>
      <c r="G437" s="37">
        <v>42037</v>
      </c>
      <c r="H437">
        <v>49.346091999999999</v>
      </c>
      <c r="I437" s="36">
        <f>IF(ISBLANK(H438), "", Long0[[#This Row],[Adj Close]]/H438-1)</f>
        <v>1.3922786305414547E-2</v>
      </c>
      <c r="J437" s="29">
        <v>42037</v>
      </c>
      <c r="K437">
        <v>13.979416000000001</v>
      </c>
      <c r="L437" s="33">
        <f>IF(ISBLANK(K438),"",Long1[[#This Row],[Adj Close]]/K438-1)</f>
        <v>9.8668135391119405E-2</v>
      </c>
      <c r="M437" s="37">
        <v>42037</v>
      </c>
      <c r="N437">
        <v>43.120303999999997</v>
      </c>
      <c r="O437" s="36">
        <f>IF(ISBLANK(N438),"",Long2[[#This Row],[Adj Close]]/N438-1)</f>
        <v>2.0743337364988568E-2</v>
      </c>
      <c r="P437" s="29">
        <v>42037</v>
      </c>
      <c r="Q437">
        <v>22.068356000000001</v>
      </c>
      <c r="R437" s="33">
        <f>IF(ISBLANK(Q438),"",Long3[[#This Row],[Adj Close]]/Q438-1)</f>
        <v>-7.8874552161785072E-3</v>
      </c>
      <c r="S437" s="37">
        <v>42037</v>
      </c>
      <c r="T437" s="35">
        <v>19.354369999999999</v>
      </c>
      <c r="U437" s="36">
        <f>IF(ISBLANK(T438),"",Long4[[#This Row],[Adj Close]]/T438-1)</f>
        <v>2.9011738559029387E-2</v>
      </c>
      <c r="Y437" s="37">
        <v>42037</v>
      </c>
      <c r="Z437" s="35">
        <v>32.743499999999997</v>
      </c>
      <c r="AA437" s="36">
        <f>IF(ISBLANK(Z438),"",Long6[[#This Row],[Adj Close]]/Z438-1)</f>
        <v>5.4613917773063569E-2</v>
      </c>
      <c r="AH437" s="29">
        <v>42037</v>
      </c>
      <c r="AI437" s="44">
        <v>42.303547000000002</v>
      </c>
      <c r="AJ437" s="33">
        <f>IF(ISBLANK(AI438),"",Short0[[#This Row],[Adj Close]]/AI438-1)</f>
        <v>1.8392381657801993E-2</v>
      </c>
      <c r="AK437" s="37">
        <v>42037</v>
      </c>
      <c r="AL437" s="39">
        <v>28.527784</v>
      </c>
      <c r="AM437" s="36">
        <f>IF(ISBLANK(AL438),"",Short1[[#This Row],[Adj Close]]/AL438-1)</f>
        <v>6.136351942295426E-2</v>
      </c>
      <c r="AN437" s="29">
        <v>42037</v>
      </c>
      <c r="AO437" s="44">
        <v>44.420475000000003</v>
      </c>
      <c r="AP437" s="33">
        <f>IF(ISBLANK(AO438),"",Short2[[#This Row],[Adj Close]]/AO438-1)</f>
        <v>7.0203283686824047E-2</v>
      </c>
      <c r="AQ437" s="37">
        <v>42037</v>
      </c>
      <c r="AR437" s="39">
        <v>62.459999000000003</v>
      </c>
      <c r="AS437" s="36">
        <f>IF(ISBLANK(AR438),"",Short3[[#This Row],[Adj Close]]/AR438-1)</f>
        <v>0.2092932542384025</v>
      </c>
    </row>
    <row r="438" spans="1:45" x14ac:dyDescent="0.25">
      <c r="A438" s="37">
        <v>42030</v>
      </c>
      <c r="B438" s="39">
        <v>1994.98999</v>
      </c>
      <c r="C438" s="36">
        <f>IF(ISBLANK(B439), "", GSPC[[#This Row],[Adj Close]]/B439-1)</f>
        <v>-2.7697398464084033E-2</v>
      </c>
      <c r="D43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3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17911.986067999998</v>
      </c>
      <c r="F438" s="11" t="e">
        <f>IF(ISBLANK(GSPC[[#This Row],[Long Exp.]]), "", (GSPC[[#This Row],[Long Exp.]]/D439-1)+(E439/GSPC[[#This Row],[Short Exp.]]-1))</f>
        <v>#VALUE!</v>
      </c>
      <c r="G438" s="37">
        <v>42030</v>
      </c>
      <c r="H438">
        <v>48.668491000000003</v>
      </c>
      <c r="I438" s="36">
        <f>IF(ISBLANK(H439), "", Long0[[#This Row],[Adj Close]]/H439-1)</f>
        <v>-1.9553750366495093E-2</v>
      </c>
      <c r="J438" s="29">
        <v>42030</v>
      </c>
      <c r="K438">
        <v>12.723966000000001</v>
      </c>
      <c r="L438" s="33">
        <f>IF(ISBLANK(K439),"",Long1[[#This Row],[Adj Close]]/K439-1)</f>
        <v>-2.5688610810030599E-2</v>
      </c>
      <c r="M438" s="37">
        <v>42030</v>
      </c>
      <c r="N438">
        <v>42.244022000000001</v>
      </c>
      <c r="O438" s="36">
        <f>IF(ISBLANK(N439),"",Long2[[#This Row],[Adj Close]]/N439-1)</f>
        <v>1.5644777822891864E-2</v>
      </c>
      <c r="P438" s="29">
        <v>42030</v>
      </c>
      <c r="Q438">
        <v>22.243803</v>
      </c>
      <c r="R438" s="33">
        <f>IF(ISBLANK(Q439),"",Long3[[#This Row],[Adj Close]]/Q439-1)</f>
        <v>-7.5480379067894843E-3</v>
      </c>
      <c r="S438" s="37">
        <v>42030</v>
      </c>
      <c r="T438" s="35">
        <v>18.808696999999999</v>
      </c>
      <c r="U438" s="36">
        <f>IF(ISBLANK(T439),"",Long4[[#This Row],[Adj Close]]/T439-1)</f>
        <v>-1.6934001439421253E-2</v>
      </c>
      <c r="Y438" s="37">
        <v>42030</v>
      </c>
      <c r="Z438" s="35">
        <v>31.047854999999998</v>
      </c>
      <c r="AA438" s="36">
        <f>IF(ISBLANK(Z439),"",Long6[[#This Row],[Adj Close]]/Z439-1)</f>
        <v>0.12978703917014833</v>
      </c>
      <c r="AH438" s="29">
        <v>42030</v>
      </c>
      <c r="AI438" s="44">
        <v>41.539535999999998</v>
      </c>
      <c r="AJ438" s="33">
        <f>IF(ISBLANK(AI439),"",Short0[[#This Row],[Adj Close]]/AI439-1)</f>
        <v>8.9070927058019222E-3</v>
      </c>
      <c r="AK438" s="37">
        <v>42030</v>
      </c>
      <c r="AL438" s="39">
        <v>26.878429000000001</v>
      </c>
      <c r="AM438" s="36">
        <f>IF(ISBLANK(AL439),"",Short1[[#This Row],[Adj Close]]/AL439-1)</f>
        <v>5.42677905012523E-3</v>
      </c>
      <c r="AN438" s="29">
        <v>42030</v>
      </c>
      <c r="AO438" s="44">
        <v>41.506577</v>
      </c>
      <c r="AP438" s="33">
        <f>IF(ISBLANK(AO439),"",Short2[[#This Row],[Adj Close]]/AO439-1)</f>
        <v>2.6983869778098191E-2</v>
      </c>
      <c r="AQ438" s="37">
        <v>42030</v>
      </c>
      <c r="AR438" s="39">
        <v>51.650002000000001</v>
      </c>
      <c r="AS438" s="36">
        <f>IF(ISBLANK(AR439),"",Short3[[#This Row],[Adj Close]]/AR439-1)</f>
        <v>-9.2107524909606719E-2</v>
      </c>
    </row>
    <row r="439" spans="1:45" x14ac:dyDescent="0.25">
      <c r="A439" s="37">
        <v>42023</v>
      </c>
      <c r="B439" s="39">
        <v>2051.820068</v>
      </c>
      <c r="C439" s="36">
        <f>IF(ISBLANK(B440), "", GSPC[[#This Row],[Adj Close]]/B440-1)</f>
        <v>1.6044222248989382E-2</v>
      </c>
      <c r="D43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3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18092.693426999998</v>
      </c>
      <c r="F439" s="11" t="e">
        <f>IF(ISBLANK(GSPC[[#This Row],[Long Exp.]]), "", (GSPC[[#This Row],[Long Exp.]]/D440-1)+(E440/GSPC[[#This Row],[Short Exp.]]-1))</f>
        <v>#VALUE!</v>
      </c>
      <c r="G439" s="37">
        <v>42023</v>
      </c>
      <c r="H439">
        <v>49.639122</v>
      </c>
      <c r="I439" s="36">
        <f>IF(ISBLANK(H440), "", Long0[[#This Row],[Adj Close]]/H440-1)</f>
        <v>-3.196410060005439E-2</v>
      </c>
      <c r="J439" s="29">
        <v>42023</v>
      </c>
      <c r="K439">
        <v>13.059445</v>
      </c>
      <c r="L439" s="33">
        <f>IF(ISBLANK(K440),"",Long1[[#This Row],[Adj Close]]/K440-1)</f>
        <v>5.3248299458503734E-3</v>
      </c>
      <c r="M439" s="37">
        <v>42023</v>
      </c>
      <c r="N439">
        <v>41.593304000000003</v>
      </c>
      <c r="O439" s="36">
        <f>IF(ISBLANK(N440),"",Long2[[#This Row],[Adj Close]]/N440-1)</f>
        <v>4.240029252055133E-2</v>
      </c>
      <c r="P439" s="29">
        <v>42023</v>
      </c>
      <c r="Q439">
        <v>22.412977000000001</v>
      </c>
      <c r="R439" s="33">
        <f>IF(ISBLANK(Q440),"",Long3[[#This Row],[Adj Close]]/Q440-1)</f>
        <v>1.24540605218042E-2</v>
      </c>
      <c r="S439" s="37">
        <v>42023</v>
      </c>
      <c r="T439" s="35">
        <v>19.13269</v>
      </c>
      <c r="U439" s="36">
        <f>IF(ISBLANK(T440),"",Long4[[#This Row],[Adj Close]]/T440-1)</f>
        <v>-7.518867977380661E-3</v>
      </c>
      <c r="Y439" s="37">
        <v>42023</v>
      </c>
      <c r="Z439" s="35">
        <v>27.481157</v>
      </c>
      <c r="AA439" s="36">
        <f>IF(ISBLANK(Z440),"",Long6[[#This Row],[Adj Close]]/Z440-1)</f>
        <v>8.5450422223622313E-2</v>
      </c>
      <c r="AH439" s="29">
        <v>42023</v>
      </c>
      <c r="AI439" s="44">
        <v>41.172806000000001</v>
      </c>
      <c r="AJ439" s="33">
        <f>IF(ISBLANK(AI440),"",Short0[[#This Row],[Adj Close]]/AI440-1)</f>
        <v>-1.8218144691333982E-2</v>
      </c>
      <c r="AK439" s="37">
        <v>42023</v>
      </c>
      <c r="AL439" s="39">
        <v>26.733353000000001</v>
      </c>
      <c r="AM439" s="36">
        <f>IF(ISBLANK(AL440),"",Short1[[#This Row],[Adj Close]]/AL440-1)</f>
        <v>5.7159793774119727E-4</v>
      </c>
      <c r="AN439" s="29">
        <v>42023</v>
      </c>
      <c r="AO439" s="44">
        <v>40.415996999999997</v>
      </c>
      <c r="AP439" s="33">
        <f>IF(ISBLANK(AO440),"",Short2[[#This Row],[Adj Close]]/AO440-1)</f>
        <v>1.2268217836249429E-2</v>
      </c>
      <c r="AQ439" s="37">
        <v>42023</v>
      </c>
      <c r="AR439" s="39">
        <v>56.889999000000003</v>
      </c>
      <c r="AS439" s="36">
        <f>IF(ISBLANK(AR440),"",Short3[[#This Row],[Adj Close]]/AR440-1)</f>
        <v>2.9124457835102424E-2</v>
      </c>
    </row>
    <row r="440" spans="1:45" x14ac:dyDescent="0.25">
      <c r="A440" s="37">
        <v>42016</v>
      </c>
      <c r="B440" s="39">
        <v>2019.420044</v>
      </c>
      <c r="C440" s="36">
        <f>IF(ISBLANK(B441), "", GSPC[[#This Row],[Adj Close]]/B441-1)</f>
        <v>-1.2416808538401214E-2</v>
      </c>
      <c r="D44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4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18040.493082000001</v>
      </c>
      <c r="F440" s="11" t="e">
        <f>IF(ISBLANK(GSPC[[#This Row],[Long Exp.]]), "", (GSPC[[#This Row],[Long Exp.]]/D441-1)+(E441/GSPC[[#This Row],[Short Exp.]]-1))</f>
        <v>#VALUE!</v>
      </c>
      <c r="G440" s="37">
        <v>42016</v>
      </c>
      <c r="H440">
        <v>51.278182999999999</v>
      </c>
      <c r="I440" s="36">
        <f>IF(ISBLANK(H441), "", Long0[[#This Row],[Adj Close]]/H441-1)</f>
        <v>2.8653668904079499E-3</v>
      </c>
      <c r="J440" s="29">
        <v>42016</v>
      </c>
      <c r="K440">
        <v>12.990273999999999</v>
      </c>
      <c r="L440" s="33">
        <f>IF(ISBLANK(K441),"",Long1[[#This Row],[Adj Close]]/K441-1)</f>
        <v>-7.9239164718578614E-3</v>
      </c>
      <c r="M440" s="37">
        <v>42016</v>
      </c>
      <c r="N440">
        <v>39.901470000000003</v>
      </c>
      <c r="O440" s="36">
        <f>IF(ISBLANK(N441),"",Long2[[#This Row],[Adj Close]]/N441-1)</f>
        <v>6.5270748214651952E-4</v>
      </c>
      <c r="P440" s="29">
        <v>42016</v>
      </c>
      <c r="Q440">
        <v>22.137277999999998</v>
      </c>
      <c r="R440" s="33">
        <f>IF(ISBLANK(Q441),"",Long3[[#This Row],[Adj Close]]/Q441-1)</f>
        <v>-5.6600924206373637E-4</v>
      </c>
      <c r="S440" s="37">
        <v>42016</v>
      </c>
      <c r="T440" s="35">
        <v>19.277636000000001</v>
      </c>
      <c r="U440" s="36">
        <f>IF(ISBLANK(T441),"",Long4[[#This Row],[Adj Close]]/T441-1)</f>
        <v>-1.0503347531716667E-2</v>
      </c>
      <c r="Y440" s="37">
        <v>42016</v>
      </c>
      <c r="Z440" s="35">
        <v>25.317744999999999</v>
      </c>
      <c r="AA440" s="36">
        <f>IF(ISBLANK(Z441),"",Long6[[#This Row],[Adj Close]]/Z441-1)</f>
        <v>-0.1072164878654378</v>
      </c>
      <c r="AH440" s="29">
        <v>42016</v>
      </c>
      <c r="AI440" s="44">
        <v>41.936816999999998</v>
      </c>
      <c r="AJ440" s="33">
        <f>IF(ISBLANK(AI441),"",Short0[[#This Row],[Adj Close]]/AI441-1)</f>
        <v>-3.9921003026155422E-3</v>
      </c>
      <c r="AK440" s="37">
        <v>42016</v>
      </c>
      <c r="AL440" s="39">
        <v>26.718081000000002</v>
      </c>
      <c r="AM440" s="36">
        <f>IF(ISBLANK(AL441),"",Short1[[#This Row],[Adj Close]]/AL441-1)</f>
        <v>-8.0661917283771811E-2</v>
      </c>
      <c r="AN440" s="29">
        <v>42016</v>
      </c>
      <c r="AO440" s="44">
        <v>39.926174000000003</v>
      </c>
      <c r="AP440" s="33">
        <f>IF(ISBLANK(AO441),"",Short2[[#This Row],[Adj Close]]/AO441-1)</f>
        <v>-7.6725561326258851E-2</v>
      </c>
      <c r="AQ440" s="37">
        <v>42016</v>
      </c>
      <c r="AR440" s="39">
        <v>55.279998999999997</v>
      </c>
      <c r="AS440" s="36">
        <f>IF(ISBLANK(AR441),"",Short3[[#This Row],[Adj Close]]/AR441-1)</f>
        <v>-4.0943789745728543E-2</v>
      </c>
    </row>
    <row r="441" spans="1:45" x14ac:dyDescent="0.25">
      <c r="A441" s="37">
        <v>42009</v>
      </c>
      <c r="B441" s="39">
        <v>2044.8100589999999</v>
      </c>
      <c r="C441" s="36">
        <f>IF(ISBLANK(B442), "", GSPC[[#This Row],[Adj Close]]/B442-1)</f>
        <v>-6.5056322606045214E-3</v>
      </c>
      <c r="D44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4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18847.355099</v>
      </c>
      <c r="F441" s="11" t="e">
        <f>IF(ISBLANK(GSPC[[#This Row],[Long Exp.]]), "", (GSPC[[#This Row],[Long Exp.]]/D442-1)+(E442/GSPC[[#This Row],[Short Exp.]]-1))</f>
        <v>#VALUE!</v>
      </c>
      <c r="G441" s="37">
        <v>42009</v>
      </c>
      <c r="H441">
        <v>51.131672000000002</v>
      </c>
      <c r="I441" s="36">
        <f>IF(ISBLANK(H442), "", Long0[[#This Row],[Adj Close]]/H442-1)</f>
        <v>-9.0507549621570149E-3</v>
      </c>
      <c r="J441" s="29">
        <v>42009</v>
      </c>
      <c r="K441">
        <v>13.09403</v>
      </c>
      <c r="L441" s="33">
        <f>IF(ISBLANK(K442),"",Long1[[#This Row],[Adj Close]]/K442-1)</f>
        <v>-6.8176197841666397E-2</v>
      </c>
      <c r="M441" s="37">
        <v>42009</v>
      </c>
      <c r="N441">
        <v>39.875442999999997</v>
      </c>
      <c r="O441" s="36">
        <f>IF(ISBLANK(N442),"",Long2[[#This Row],[Adj Close]]/N442-1)</f>
        <v>4.1512599887072454E-3</v>
      </c>
      <c r="P441" s="29">
        <v>42009</v>
      </c>
      <c r="Q441">
        <v>22.149815</v>
      </c>
      <c r="R441" s="33">
        <f>IF(ISBLANK(Q442),"",Long3[[#This Row],[Adj Close]]/Q442-1)</f>
        <v>-2.7777485157571613E-2</v>
      </c>
      <c r="S441" s="37">
        <v>42009</v>
      </c>
      <c r="T441" s="35">
        <v>19.482265000000002</v>
      </c>
      <c r="U441" s="36">
        <f>IF(ISBLANK(T442),"",Long4[[#This Row],[Adj Close]]/T442-1)</f>
        <v>-2.8486180949941153E-2</v>
      </c>
      <c r="Y441" s="37">
        <v>42009</v>
      </c>
      <c r="Z441" s="35">
        <v>28.358212999999999</v>
      </c>
      <c r="AA441" s="36">
        <f>IF(ISBLANK(Z442),"",Long6[[#This Row],[Adj Close]]/Z442-1)</f>
        <v>4.0400382741781149E-2</v>
      </c>
      <c r="AH441" s="29">
        <v>42009</v>
      </c>
      <c r="AI441" s="44">
        <v>42.104903999999998</v>
      </c>
      <c r="AJ441" s="33">
        <f>IF(ISBLANK(AI442),"",Short0[[#This Row],[Adj Close]]/AI442-1)</f>
        <v>-2.113679789159284E-2</v>
      </c>
      <c r="AK441" s="37">
        <v>42009</v>
      </c>
      <c r="AL441" s="39">
        <v>29.062301999999999</v>
      </c>
      <c r="AM441" s="36">
        <f>IF(ISBLANK(AL442),"",Short1[[#This Row],[Adj Close]]/AL442-1)</f>
        <v>-1.8819284068953612E-2</v>
      </c>
      <c r="AN441" s="29">
        <v>42009</v>
      </c>
      <c r="AO441" s="44">
        <v>43.244101999999998</v>
      </c>
      <c r="AP441" s="33">
        <f>IF(ISBLANK(AO442),"",Short2[[#This Row],[Adj Close]]/AO442-1)</f>
        <v>5.6445869333022536E-2</v>
      </c>
      <c r="AQ441" s="37">
        <v>42009</v>
      </c>
      <c r="AR441" s="39">
        <v>57.639999000000003</v>
      </c>
      <c r="AS441" s="36">
        <f>IF(ISBLANK(AR442),"",Short3[[#This Row],[Adj Close]]/AR442-1)</f>
        <v>-1.9561183542078808E-2</v>
      </c>
    </row>
    <row r="442" spans="1:45" x14ac:dyDescent="0.25">
      <c r="A442" s="37">
        <v>42002</v>
      </c>
      <c r="B442" s="39">
        <v>2058.1999510000001</v>
      </c>
      <c r="C442" s="36">
        <f>IF(ISBLANK(B443), "", GSPC[[#This Row],[Adj Close]]/B443-1)</f>
        <v>-1.4635440334403005E-2</v>
      </c>
      <c r="D44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4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18858.141750999996</v>
      </c>
      <c r="F442" s="11" t="e">
        <f>IF(ISBLANK(GSPC[[#This Row],[Long Exp.]]), "", (GSPC[[#This Row],[Long Exp.]]/D443-1)+(E443/GSPC[[#This Row],[Short Exp.]]-1))</f>
        <v>#VALUE!</v>
      </c>
      <c r="G442" s="37">
        <v>42002</v>
      </c>
      <c r="H442">
        <v>51.598678999999997</v>
      </c>
      <c r="I442" s="36">
        <f>IF(ISBLANK(H443), "", Long0[[#This Row],[Adj Close]]/H443-1)</f>
        <v>-2.1701269024344771E-2</v>
      </c>
      <c r="J442" s="29">
        <v>42002</v>
      </c>
      <c r="K442">
        <v>14.052045</v>
      </c>
      <c r="L442" s="33">
        <f>IF(ISBLANK(K443),"",Long1[[#This Row],[Adj Close]]/K443-1)</f>
        <v>-3.6747301005702004E-2</v>
      </c>
      <c r="M442" s="37">
        <v>42002</v>
      </c>
      <c r="N442">
        <v>39.710594</v>
      </c>
      <c r="O442" s="36">
        <f>IF(ISBLANK(N443),"",Long2[[#This Row],[Adj Close]]/N443-1)</f>
        <v>-4.5670911744749576E-3</v>
      </c>
      <c r="P442" s="29">
        <v>42002</v>
      </c>
      <c r="Q442">
        <v>22.78266</v>
      </c>
      <c r="R442" s="33">
        <f>IF(ISBLANK(Q443),"",Long3[[#This Row],[Adj Close]]/Q443-1)</f>
        <v>-2.6245351110187887E-2</v>
      </c>
      <c r="S442" s="37">
        <v>42002</v>
      </c>
      <c r="T442" s="35">
        <v>20.053512999999999</v>
      </c>
      <c r="U442" s="36">
        <f>IF(ISBLANK(T443),"",Long4[[#This Row],[Adj Close]]/T443-1)</f>
        <v>-2.7295232039909578E-2</v>
      </c>
      <c r="Y442" s="37">
        <v>42002</v>
      </c>
      <c r="Z442" s="35">
        <v>27.257019</v>
      </c>
      <c r="AA442" s="36">
        <f>IF(ISBLANK(Z443),"",Long6[[#This Row],[Adj Close]]/Z443-1)</f>
        <v>-5.6880426382499572E-3</v>
      </c>
      <c r="AH442" s="29">
        <v>42002</v>
      </c>
      <c r="AI442" s="44">
        <v>43.014083999999997</v>
      </c>
      <c r="AJ442" s="33">
        <f>IF(ISBLANK(AI443),"",Short0[[#This Row],[Adj Close]]/AI443-1)</f>
        <v>-3.3642037527209623E-2</v>
      </c>
      <c r="AK442" s="37">
        <v>42002</v>
      </c>
      <c r="AL442" s="39">
        <v>29.619724000000001</v>
      </c>
      <c r="AM442" s="36">
        <f>IF(ISBLANK(AL443),"",Short1[[#This Row],[Adj Close]]/AL443-1)</f>
        <v>-8.9421553427047051E-3</v>
      </c>
      <c r="AN442" s="29">
        <v>42002</v>
      </c>
      <c r="AO442" s="44">
        <v>40.933571000000001</v>
      </c>
      <c r="AP442" s="33">
        <f>IF(ISBLANK(AO443),"",Short2[[#This Row],[Adj Close]]/AO443-1)</f>
        <v>1.211216775117796E-2</v>
      </c>
      <c r="AQ442" s="37">
        <v>42002</v>
      </c>
      <c r="AR442" s="39">
        <v>58.790000999999997</v>
      </c>
      <c r="AS442" s="36">
        <f>IF(ISBLANK(AR443),"",Short3[[#This Row],[Adj Close]]/AR443-1)</f>
        <v>-6.6529040965385811E-2</v>
      </c>
    </row>
    <row r="443" spans="1:45" x14ac:dyDescent="0.25">
      <c r="A443" s="37">
        <v>41995</v>
      </c>
      <c r="B443" s="39">
        <v>2088.7700199999999</v>
      </c>
      <c r="C443" s="36">
        <f>IF(ISBLANK(B444), "", GSPC[[#This Row],[Adj Close]]/B444-1)</f>
        <v>8.7509327301047435E-3</v>
      </c>
      <c r="D44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4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19374.881265</v>
      </c>
      <c r="F443" s="11" t="e">
        <f>IF(ISBLANK(GSPC[[#This Row],[Long Exp.]]), "", (GSPC[[#This Row],[Long Exp.]]/D444-1)+(E444/GSPC[[#This Row],[Short Exp.]]-1))</f>
        <v>#VALUE!</v>
      </c>
      <c r="G443" s="37">
        <v>41995</v>
      </c>
      <c r="H443">
        <v>52.743274999999997</v>
      </c>
      <c r="I443" s="36">
        <f>IF(ISBLANK(H444), "", Long0[[#This Row],[Adj Close]]/H444-1)</f>
        <v>1.5649762816263291E-3</v>
      </c>
      <c r="J443" s="29">
        <v>41995</v>
      </c>
      <c r="K443">
        <v>14.588119000000001</v>
      </c>
      <c r="L443" s="33">
        <f>IF(ISBLANK(K444),"",Long1[[#This Row],[Adj Close]]/K444-1)</f>
        <v>4.7950303366494973E-2</v>
      </c>
      <c r="M443" s="37">
        <v>41995</v>
      </c>
      <c r="N443">
        <v>39.892788000000003</v>
      </c>
      <c r="O443" s="36">
        <f>IF(ISBLANK(N444),"",Long2[[#This Row],[Adj Close]]/N444-1)</f>
        <v>-6.5182307046829369E-4</v>
      </c>
      <c r="P443" s="29">
        <v>41995</v>
      </c>
      <c r="Q443">
        <v>23.396715</v>
      </c>
      <c r="R443" s="33">
        <f>IF(ISBLANK(Q444),"",Long3[[#This Row],[Adj Close]]/Q444-1)</f>
        <v>3.6933993873252913E-2</v>
      </c>
      <c r="S443" s="37">
        <v>41995</v>
      </c>
      <c r="T443" s="35">
        <v>20.616237999999999</v>
      </c>
      <c r="U443" s="36">
        <f>IF(ISBLANK(T444),"",Long4[[#This Row],[Adj Close]]/T444-1)</f>
        <v>2.2842676992879118E-2</v>
      </c>
      <c r="Y443" s="37">
        <v>41995</v>
      </c>
      <c r="Z443" s="35">
        <v>27.412945000000001</v>
      </c>
      <c r="AA443" s="36">
        <f>IF(ISBLANK(Z444),"",Long6[[#This Row],[Adj Close]]/Z444-1)</f>
        <v>1.8096588974050976E-2</v>
      </c>
      <c r="AH443" s="29">
        <v>41995</v>
      </c>
      <c r="AI443" s="44">
        <v>44.511543000000003</v>
      </c>
      <c r="AJ443" s="33">
        <f>IF(ISBLANK(AI444),"",Short0[[#This Row],[Adj Close]]/AI444-1)</f>
        <v>4.1713211760808333E-2</v>
      </c>
      <c r="AK443" s="37">
        <v>41995</v>
      </c>
      <c r="AL443" s="39">
        <v>29.886977999999999</v>
      </c>
      <c r="AM443" s="36">
        <f>IF(ISBLANK(AL444),"",Short1[[#This Row],[Adj Close]]/AL444-1)</f>
        <v>3.3319427158708947E-3</v>
      </c>
      <c r="AN443" s="29">
        <v>41995</v>
      </c>
      <c r="AO443" s="44">
        <v>40.443710000000003</v>
      </c>
      <c r="AP443" s="33">
        <f>IF(ISBLANK(AO444),"",Short2[[#This Row],[Adj Close]]/AO444-1)</f>
        <v>2.0602291970295283E-3</v>
      </c>
      <c r="AQ443" s="37">
        <v>41995</v>
      </c>
      <c r="AR443" s="39">
        <v>62.98</v>
      </c>
      <c r="AS443" s="36">
        <f>IF(ISBLANK(AR444),"",Short3[[#This Row],[Adj Close]]/AR444-1)</f>
        <v>2.2236633302440634E-2</v>
      </c>
    </row>
    <row r="444" spans="1:45" x14ac:dyDescent="0.25">
      <c r="A444" s="37">
        <v>41988</v>
      </c>
      <c r="B444" s="39">
        <v>2070.6499020000001</v>
      </c>
      <c r="C444" s="36">
        <f>IF(ISBLANK(B445), "", GSPC[[#This Row],[Adj Close]]/B445-1)</f>
        <v>3.412022369004597E-2</v>
      </c>
      <c r="D44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4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18965.401836999998</v>
      </c>
      <c r="F444" s="11" t="e">
        <f>IF(ISBLANK(GSPC[[#This Row],[Long Exp.]]), "", (GSPC[[#This Row],[Long Exp.]]/D445-1)+(E445/GSPC[[#This Row],[Short Exp.]]-1))</f>
        <v>#VALUE!</v>
      </c>
      <c r="G444" s="37">
        <v>41988</v>
      </c>
      <c r="H444">
        <v>52.660862000000002</v>
      </c>
      <c r="I444" s="36">
        <f>IF(ISBLANK(H445), "", Long0[[#This Row],[Adj Close]]/H445-1)</f>
        <v>7.8582082255264085E-2</v>
      </c>
      <c r="J444" s="29">
        <v>41988</v>
      </c>
      <c r="K444">
        <v>13.920621000000001</v>
      </c>
      <c r="L444" s="33">
        <f>IF(ISBLANK(K445),"",Long1[[#This Row],[Adj Close]]/K445-1)</f>
        <v>7.8510179031676008E-2</v>
      </c>
      <c r="M444" s="37">
        <v>41988</v>
      </c>
      <c r="N444">
        <v>39.918807999999999</v>
      </c>
      <c r="O444" s="36">
        <f>IF(ISBLANK(N445),"",Long2[[#This Row],[Adj Close]]/N445-1)</f>
        <v>3.1614235047607409E-2</v>
      </c>
      <c r="P444" s="29">
        <v>41988</v>
      </c>
      <c r="Q444">
        <v>22.563359999999999</v>
      </c>
      <c r="R444" s="33">
        <f>IF(ISBLANK(Q445),"",Long3[[#This Row],[Adj Close]]/Q445-1)</f>
        <v>3.9266924792691116E-2</v>
      </c>
      <c r="S444" s="37">
        <v>41988</v>
      </c>
      <c r="T444" s="35">
        <v>20.155825</v>
      </c>
      <c r="U444" s="36">
        <f>IF(ISBLANK(T445),"",Long4[[#This Row],[Adj Close]]/T445-1)</f>
        <v>2.3376402743846558E-2</v>
      </c>
      <c r="Y444" s="37">
        <v>41988</v>
      </c>
      <c r="Z444" s="35">
        <v>26.925681999999998</v>
      </c>
      <c r="AA444" s="36">
        <f>IF(ISBLANK(Z445),"",Long6[[#This Row],[Adj Close]]/Z445-1)</f>
        <v>3.833116931445657E-2</v>
      </c>
      <c r="AH444" s="29">
        <v>41988</v>
      </c>
      <c r="AI444" s="44">
        <v>42.729171999999998</v>
      </c>
      <c r="AJ444" s="33">
        <f>IF(ISBLANK(AI445),"",Short0[[#This Row],[Adj Close]]/AI445-1)</f>
        <v>1.969291160804576E-2</v>
      </c>
      <c r="AK444" s="37">
        <v>41988</v>
      </c>
      <c r="AL444" s="39">
        <v>29.787727</v>
      </c>
      <c r="AM444" s="36">
        <f>IF(ISBLANK(AL445),"",Short1[[#This Row],[Adj Close]]/AL445-1)</f>
        <v>6.4141970157524542E-2</v>
      </c>
      <c r="AN444" s="29">
        <v>41988</v>
      </c>
      <c r="AO444" s="44">
        <v>40.360557999999997</v>
      </c>
      <c r="AP444" s="33">
        <f>IF(ISBLANK(AO445),"",Short2[[#This Row],[Adj Close]]/AO445-1)</f>
        <v>3.2143907922579595E-2</v>
      </c>
      <c r="AQ444" s="37">
        <v>41988</v>
      </c>
      <c r="AR444" s="39">
        <v>61.610000999999997</v>
      </c>
      <c r="AS444" s="36">
        <f>IF(ISBLANK(AR445),"",Short3[[#This Row],[Adj Close]]/AR445-1)</f>
        <v>0.1047158149542764</v>
      </c>
    </row>
    <row r="445" spans="1:45" x14ac:dyDescent="0.25">
      <c r="A445" s="37">
        <v>41981</v>
      </c>
      <c r="B445" s="39">
        <v>2002.329956</v>
      </c>
      <c r="C445" s="36">
        <f>IF(ISBLANK(B446), "", GSPC[[#This Row],[Adj Close]]/B446-1)</f>
        <v>-3.5193800084960869E-2</v>
      </c>
      <c r="D44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4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18091.069121</v>
      </c>
      <c r="F445" s="11" t="e">
        <f>IF(ISBLANK(GSPC[[#This Row],[Long Exp.]]), "", (GSPC[[#This Row],[Long Exp.]]/D446-1)+(E446/GSPC[[#This Row],[Short Exp.]]-1))</f>
        <v>#VALUE!</v>
      </c>
      <c r="G445" s="37">
        <v>41981</v>
      </c>
      <c r="H445">
        <v>48.824157999999997</v>
      </c>
      <c r="I445" s="36">
        <f>IF(ISBLANK(H446), "", Long0[[#This Row],[Adj Close]]/H446-1)</f>
        <v>-8.7142530909709359E-2</v>
      </c>
      <c r="J445" s="29">
        <v>41981</v>
      </c>
      <c r="K445">
        <v>12.907268999999999</v>
      </c>
      <c r="L445" s="33">
        <f>IF(ISBLANK(K446),"",Long1[[#This Row],[Adj Close]]/K446-1)</f>
        <v>-3.665464979278843E-2</v>
      </c>
      <c r="M445" s="37">
        <v>41981</v>
      </c>
      <c r="N445">
        <v>38.695480000000003</v>
      </c>
      <c r="O445" s="36">
        <f>IF(ISBLANK(N446),"",Long2[[#This Row],[Adj Close]]/N446-1)</f>
        <v>-2.4560281792329497E-2</v>
      </c>
      <c r="P445" s="29">
        <v>41981</v>
      </c>
      <c r="Q445">
        <v>21.710842</v>
      </c>
      <c r="R445" s="33">
        <f>IF(ISBLANK(Q446),"",Long3[[#This Row],[Adj Close]]/Q446-1)</f>
        <v>-6.5250605659878946E-3</v>
      </c>
      <c r="S445" s="37">
        <v>41981</v>
      </c>
      <c r="T445" s="35">
        <v>19.695416999999999</v>
      </c>
      <c r="U445" s="36">
        <f>IF(ISBLANK(T446),"",Long4[[#This Row],[Adj Close]]/T446-1)</f>
        <v>-3.4511383134996354E-3</v>
      </c>
      <c r="Y445" s="37">
        <v>41981</v>
      </c>
      <c r="Z445" s="35">
        <v>25.93169</v>
      </c>
      <c r="AA445" s="36">
        <f>IF(ISBLANK(Z446),"",Long6[[#This Row],[Adj Close]]/Z446-1)</f>
        <v>-2.8832070466618176E-2</v>
      </c>
      <c r="AH445" s="29">
        <v>41981</v>
      </c>
      <c r="AI445" s="44">
        <v>41.903961000000002</v>
      </c>
      <c r="AJ445" s="33">
        <f>IF(ISBLANK(AI446),"",Short0[[#This Row],[Adj Close]]/AI446-1)</f>
        <v>-6.5349701594815346E-2</v>
      </c>
      <c r="AK445" s="37">
        <v>41981</v>
      </c>
      <c r="AL445" s="39">
        <v>27.992249000000001</v>
      </c>
      <c r="AM445" s="36">
        <f>IF(ISBLANK(AL446),"",Short1[[#This Row],[Adj Close]]/AL446-1)</f>
        <v>3.4240741702741495E-2</v>
      </c>
      <c r="AN445" s="29">
        <v>41981</v>
      </c>
      <c r="AO445" s="44">
        <v>39.103614999999998</v>
      </c>
      <c r="AP445" s="33">
        <f>IF(ISBLANK(AO446),"",Short2[[#This Row],[Adj Close]]/AO446-1)</f>
        <v>-7.1130502128458617E-2</v>
      </c>
      <c r="AQ445" s="37">
        <v>41981</v>
      </c>
      <c r="AR445" s="39">
        <v>55.77</v>
      </c>
      <c r="AS445" s="36">
        <f>IF(ISBLANK(AR446),"",Short3[[#This Row],[Adj Close]]/AR446-1)</f>
        <v>-0.153075145119974</v>
      </c>
    </row>
    <row r="446" spans="1:45" x14ac:dyDescent="0.25">
      <c r="A446" s="37">
        <v>41974</v>
      </c>
      <c r="B446" s="39">
        <v>2075.3701169999999</v>
      </c>
      <c r="C446" s="36">
        <f>IF(ISBLANK(B447), "", GSPC[[#This Row],[Adj Close]]/B447-1)</f>
        <v>3.7774273912882794E-3</v>
      </c>
      <c r="D44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4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19572.564659</v>
      </c>
      <c r="F446" s="11" t="e">
        <f>IF(ISBLANK(GSPC[[#This Row],[Long Exp.]]), "", (GSPC[[#This Row],[Long Exp.]]/D447-1)+(E447/GSPC[[#This Row],[Short Exp.]]-1))</f>
        <v>#VALUE!</v>
      </c>
      <c r="G446" s="37">
        <v>41974</v>
      </c>
      <c r="H446">
        <v>53.484974000000001</v>
      </c>
      <c r="I446" s="36">
        <f>IF(ISBLANK(H447), "", Long0[[#This Row],[Adj Close]]/H447-1)</f>
        <v>-3.4124545535548778E-3</v>
      </c>
      <c r="J446" s="29">
        <v>41974</v>
      </c>
      <c r="K446">
        <v>13.398382</v>
      </c>
      <c r="L446" s="33">
        <f>IF(ISBLANK(K447),"",Long1[[#This Row],[Adj Close]]/K447-1)</f>
        <v>1.5512463717415326E-3</v>
      </c>
      <c r="M446" s="37">
        <v>41974</v>
      </c>
      <c r="N446">
        <v>39.669781</v>
      </c>
      <c r="O446" s="36">
        <f>IF(ISBLANK(N447),"",Long2[[#This Row],[Adj Close]]/N447-1)</f>
        <v>4.5883375842654672E-3</v>
      </c>
      <c r="P446" s="29">
        <v>41974</v>
      </c>
      <c r="Q446">
        <v>21.853437</v>
      </c>
      <c r="R446" s="33">
        <f>IF(ISBLANK(Q447),"",Long3[[#This Row],[Adj Close]]/Q447-1)</f>
        <v>-7.8807730158046985E-3</v>
      </c>
      <c r="S446" s="37">
        <v>41974</v>
      </c>
      <c r="T446" s="35">
        <v>19.763624</v>
      </c>
      <c r="U446" s="36">
        <f>IF(ISBLANK(T447),"",Long4[[#This Row],[Adj Close]]/T447-1)</f>
        <v>-8.130085381027774E-3</v>
      </c>
      <c r="Y446" s="37">
        <v>41974</v>
      </c>
      <c r="Z446" s="35">
        <v>26.701550999999998</v>
      </c>
      <c r="AA446" s="36">
        <f>IF(ISBLANK(Z447),"",Long6[[#This Row],[Adj Close]]/Z447-1)</f>
        <v>-1.2256628344080145E-2</v>
      </c>
      <c r="AH446" s="29">
        <v>41974</v>
      </c>
      <c r="AI446" s="44">
        <v>44.833838999999998</v>
      </c>
      <c r="AJ446" s="33">
        <f>IF(ISBLANK(AI447),"",Short0[[#This Row],[Adj Close]]/AI447-1)</f>
        <v>-7.018376991791675E-2</v>
      </c>
      <c r="AK446" s="37">
        <v>41974</v>
      </c>
      <c r="AL446" s="39">
        <v>27.065505999999999</v>
      </c>
      <c r="AM446" s="36">
        <f>IF(ISBLANK(AL447),"",Short1[[#This Row],[Adj Close]]/AL447-1)</f>
        <v>-9.5914511889144904E-2</v>
      </c>
      <c r="AN446" s="29">
        <v>41974</v>
      </c>
      <c r="AO446" s="44">
        <v>42.098072000000002</v>
      </c>
      <c r="AP446" s="33">
        <f>IF(ISBLANK(AO447),"",Short2[[#This Row],[Adj Close]]/AO447-1)</f>
        <v>-3.5774716974321219E-2</v>
      </c>
      <c r="AQ446" s="37">
        <v>41974</v>
      </c>
      <c r="AR446" s="39">
        <v>65.849997999999999</v>
      </c>
      <c r="AS446" s="36">
        <f>IF(ISBLANK(AR447),"",Short3[[#This Row],[Adj Close]]/AR447-1)</f>
        <v>-1.8628912626793226E-2</v>
      </c>
    </row>
    <row r="447" spans="1:45" x14ac:dyDescent="0.25">
      <c r="A447" s="37">
        <v>41967</v>
      </c>
      <c r="B447" s="39">
        <v>2067.5600589999999</v>
      </c>
      <c r="C447" s="36">
        <f>IF(ISBLANK(B448), "", GSPC[[#This Row],[Adj Close]]/B448-1)</f>
        <v>1.9675594863095558E-3</v>
      </c>
      <c r="D44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4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20663.900068999999</v>
      </c>
      <c r="F447" s="11" t="e">
        <f>IF(ISBLANK(GSPC[[#This Row],[Long Exp.]]), "", (GSPC[[#This Row],[Long Exp.]]/D448-1)+(E448/GSPC[[#This Row],[Short Exp.]]-1))</f>
        <v>#VALUE!</v>
      </c>
      <c r="G447" s="37">
        <v>41967</v>
      </c>
      <c r="H447">
        <v>53.668114000000003</v>
      </c>
      <c r="I447" s="36">
        <f>IF(ISBLANK(H448), "", Long0[[#This Row],[Adj Close]]/H448-1)</f>
        <v>5.0546675391319518E-2</v>
      </c>
      <c r="J447" s="29">
        <v>41967</v>
      </c>
      <c r="K447">
        <v>13.37763</v>
      </c>
      <c r="L447" s="33">
        <f>IF(ISBLANK(K448),"",Long1[[#This Row],[Adj Close]]/K448-1)</f>
        <v>3.1741783782649913E-2</v>
      </c>
      <c r="M447" s="37">
        <v>41967</v>
      </c>
      <c r="N447">
        <v>39.488593999999999</v>
      </c>
      <c r="O447" s="36">
        <f>IF(ISBLANK(N448),"",Long2[[#This Row],[Adj Close]]/N448-1)</f>
        <v>-3.0502332082131933E-2</v>
      </c>
      <c r="P447" s="29">
        <v>41967</v>
      </c>
      <c r="Q447">
        <v>22.027027</v>
      </c>
      <c r="R447" s="33">
        <f>IF(ISBLANK(Q448),"",Long3[[#This Row],[Adj Close]]/Q448-1)</f>
        <v>5.6330732123277549E-4</v>
      </c>
      <c r="S447" s="37">
        <v>41967</v>
      </c>
      <c r="T447" s="35">
        <v>19.925621</v>
      </c>
      <c r="U447" s="36">
        <f>IF(ISBLANK(T448),"",Long4[[#This Row],[Adj Close]]/T448-1)</f>
        <v>-1.6414141850429331E-2</v>
      </c>
      <c r="Y447" s="37">
        <v>41967</v>
      </c>
      <c r="Z447" s="35">
        <v>27.032883000000002</v>
      </c>
      <c r="AA447" s="36">
        <f>IF(ISBLANK(Z448),"",Long6[[#This Row],[Adj Close]]/Z448-1)</f>
        <v>-1.1404173097065429E-2</v>
      </c>
      <c r="AH447" s="29">
        <v>41967</v>
      </c>
      <c r="AI447" s="44">
        <v>48.217956999999998</v>
      </c>
      <c r="AJ447" s="33">
        <f>IF(ISBLANK(AI448),"",Short0[[#This Row],[Adj Close]]/AI448-1)</f>
        <v>-1.2543467834501554E-3</v>
      </c>
      <c r="AK447" s="37">
        <v>41967</v>
      </c>
      <c r="AL447" s="39">
        <v>29.936888</v>
      </c>
      <c r="AM447" s="36">
        <f>IF(ISBLANK(AL448),"",Short1[[#This Row],[Adj Close]]/AL448-1)</f>
        <v>3.6286932333779109E-2</v>
      </c>
      <c r="AN447" s="29">
        <v>41967</v>
      </c>
      <c r="AO447" s="44">
        <v>43.659996</v>
      </c>
      <c r="AP447" s="33">
        <f>IF(ISBLANK(AO448),"",Short2[[#This Row],[Adj Close]]/AO448-1)</f>
        <v>-1.0574926243327454E-3</v>
      </c>
      <c r="AQ447" s="37">
        <v>41967</v>
      </c>
      <c r="AR447" s="39">
        <v>67.099997999999999</v>
      </c>
      <c r="AS447" s="36">
        <f>IF(ISBLANK(AR448),"",Short3[[#This Row],[Adj Close]]/AR448-1)</f>
        <v>2.5399372478707161E-3</v>
      </c>
    </row>
    <row r="448" spans="1:45" x14ac:dyDescent="0.25">
      <c r="A448" s="37">
        <v>41960</v>
      </c>
      <c r="B448" s="39">
        <v>2063.5</v>
      </c>
      <c r="C448" s="36">
        <f>IF(ISBLANK(B449), "", GSPC[[#This Row],[Adj Close]]/B449-1)</f>
        <v>1.1608894229333977E-2</v>
      </c>
      <c r="D44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4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20570.373342999999</v>
      </c>
      <c r="F448" s="11" t="e">
        <f>IF(ISBLANK(GSPC[[#This Row],[Long Exp.]]), "", (GSPC[[#This Row],[Long Exp.]]/D449-1)+(E449/GSPC[[#This Row],[Short Exp.]]-1))</f>
        <v>#VALUE!</v>
      </c>
      <c r="G448" s="37">
        <v>41960</v>
      </c>
      <c r="H448">
        <v>51.085892000000001</v>
      </c>
      <c r="I448" s="36">
        <f>IF(ISBLANK(H449), "", Long0[[#This Row],[Adj Close]]/H449-1)</f>
        <v>3.219246722586E-2</v>
      </c>
      <c r="J448" s="29">
        <v>41960</v>
      </c>
      <c r="K448">
        <v>12.966063999999999</v>
      </c>
      <c r="L448" s="33">
        <f>IF(ISBLANK(K449),"",Long1[[#This Row],[Adj Close]]/K449-1)</f>
        <v>3.1361720855842989E-2</v>
      </c>
      <c r="M448" s="37">
        <v>41960</v>
      </c>
      <c r="N448">
        <v>40.730983999999999</v>
      </c>
      <c r="O448" s="36">
        <f>IF(ISBLANK(N449),"",Long2[[#This Row],[Adj Close]]/N449-1)</f>
        <v>4.5625818760687276E-2</v>
      </c>
      <c r="P448" s="29">
        <v>41960</v>
      </c>
      <c r="Q448">
        <v>22.014626</v>
      </c>
      <c r="R448" s="33">
        <f>IF(ISBLANK(Q449),"",Long3[[#This Row],[Adj Close]]/Q449-1)</f>
        <v>1.9752195917315252E-3</v>
      </c>
      <c r="S448" s="37">
        <v>41960</v>
      </c>
      <c r="T448" s="35">
        <v>20.258140999999998</v>
      </c>
      <c r="U448" s="36">
        <f>IF(ISBLANK(T449),"",Long4[[#This Row],[Adj Close]]/T449-1)</f>
        <v>-3.2967012508951066E-2</v>
      </c>
      <c r="Y448" s="37">
        <v>41960</v>
      </c>
      <c r="Z448" s="35">
        <v>27.344726999999999</v>
      </c>
      <c r="AA448" s="36">
        <f>IF(ISBLANK(Z449),"",Long6[[#This Row],[Adj Close]]/Z449-1)</f>
        <v>1.8511885085235269E-2</v>
      </c>
      <c r="AH448" s="29">
        <v>41960</v>
      </c>
      <c r="AI448" s="44">
        <v>48.278514999999999</v>
      </c>
      <c r="AJ448" s="33">
        <f>IF(ISBLANK(AI449),"",Short0[[#This Row],[Adj Close]]/AI449-1)</f>
        <v>4.0938464790618578E-3</v>
      </c>
      <c r="AK448" s="37">
        <v>41960</v>
      </c>
      <c r="AL448" s="39">
        <v>28.888608999999999</v>
      </c>
      <c r="AM448" s="36">
        <f>IF(ISBLANK(AL449),"",Short1[[#This Row],[Adj Close]]/AL449-1)</f>
        <v>7.1569726790347454E-2</v>
      </c>
      <c r="AN448" s="29">
        <v>41960</v>
      </c>
      <c r="AO448" s="44">
        <v>43.706215</v>
      </c>
      <c r="AP448" s="33">
        <f>IF(ISBLANK(AO449),"",Short2[[#This Row],[Adj Close]]/AO449-1)</f>
        <v>3.61525516488308E-2</v>
      </c>
      <c r="AQ448" s="37">
        <v>41960</v>
      </c>
      <c r="AR448" s="39">
        <v>66.930000000000007</v>
      </c>
      <c r="AS448" s="36">
        <f>IF(ISBLANK(AR449),"",Short3[[#This Row],[Adj Close]]/AR449-1)</f>
        <v>-2.0775391975870861E-2</v>
      </c>
    </row>
    <row r="449" spans="1:45" x14ac:dyDescent="0.25">
      <c r="A449" s="37">
        <v>41953</v>
      </c>
      <c r="B449" s="39">
        <v>2039.8199460000001</v>
      </c>
      <c r="C449" s="36">
        <f>IF(ISBLANK(B450), "", GSPC[[#This Row],[Adj Close]]/B450-1)</f>
        <v>3.8879000299876232E-3</v>
      </c>
      <c r="D44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4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20284.492932000001</v>
      </c>
      <c r="F449" s="11" t="e">
        <f>IF(ISBLANK(GSPC[[#This Row],[Long Exp.]]), "", (GSPC[[#This Row],[Long Exp.]]/D450-1)+(E450/GSPC[[#This Row],[Short Exp.]]-1))</f>
        <v>#VALUE!</v>
      </c>
      <c r="G449" s="37">
        <v>41953</v>
      </c>
      <c r="H449">
        <v>49.492603000000003</v>
      </c>
      <c r="I449" s="36">
        <f>IF(ISBLANK(H450), "", Long0[[#This Row],[Adj Close]]/H450-1)</f>
        <v>1.7699032975621476E-2</v>
      </c>
      <c r="J449" s="29">
        <v>41953</v>
      </c>
      <c r="K449">
        <v>12.571790999999999</v>
      </c>
      <c r="L449" s="33">
        <f>IF(ISBLANK(K450),"",Long1[[#This Row],[Adj Close]]/K450-1)</f>
        <v>-6.3626978895505393E-2</v>
      </c>
      <c r="M449" s="37">
        <v>41953</v>
      </c>
      <c r="N449">
        <v>38.953690000000002</v>
      </c>
      <c r="O449" s="36">
        <f>IF(ISBLANK(N450),"",Long2[[#This Row],[Adj Close]]/N450-1)</f>
        <v>2.5437118623543586E-2</v>
      </c>
      <c r="P449" s="29">
        <v>41953</v>
      </c>
      <c r="Q449">
        <v>21.971228</v>
      </c>
      <c r="R449" s="33">
        <f>IF(ISBLANK(Q450),"",Long3[[#This Row],[Adj Close]]/Q450-1)</f>
        <v>-2.930718762050144E-2</v>
      </c>
      <c r="S449" s="37">
        <v>41953</v>
      </c>
      <c r="T449" s="35">
        <v>20.948758999999999</v>
      </c>
      <c r="U449" s="36">
        <f>IF(ISBLANK(T450),"",Long4[[#This Row],[Adj Close]]/T450-1)</f>
        <v>1.1527314207397499E-2</v>
      </c>
      <c r="Y449" s="37">
        <v>41953</v>
      </c>
      <c r="Z449" s="35">
        <v>26.847725000000001</v>
      </c>
      <c r="AA449" s="36">
        <f>IF(ISBLANK(Z450),"",Long6[[#This Row],[Adj Close]]/Z450-1)</f>
        <v>6.9902727837557688E-2</v>
      </c>
      <c r="AH449" s="29">
        <v>41953</v>
      </c>
      <c r="AI449" s="44">
        <v>48.081676000000002</v>
      </c>
      <c r="AJ449" s="33">
        <f>IF(ISBLANK(AI450),"",Short0[[#This Row],[Adj Close]]/AI450-1)</f>
        <v>6.6856960569671164E-2</v>
      </c>
      <c r="AK449" s="37">
        <v>41953</v>
      </c>
      <c r="AL449" s="39">
        <v>26.959150000000001</v>
      </c>
      <c r="AM449" s="36">
        <f>IF(ISBLANK(AL450),"",Short1[[#This Row],[Adj Close]]/AL450-1)</f>
        <v>8.8117772160536401E-3</v>
      </c>
      <c r="AN449" s="29">
        <v>41953</v>
      </c>
      <c r="AO449" s="44">
        <v>42.181255</v>
      </c>
      <c r="AP449" s="33">
        <f>IF(ISBLANK(AO450),"",Short2[[#This Row],[Adj Close]]/AO450-1)</f>
        <v>2.4696740208212331E-2</v>
      </c>
      <c r="AQ449" s="37">
        <v>41953</v>
      </c>
      <c r="AR449" s="39">
        <v>68.349997999999999</v>
      </c>
      <c r="AS449" s="36">
        <f>IF(ISBLANK(AR450),"",Short3[[#This Row],[Adj Close]]/AR450-1)</f>
        <v>2.2132420122666918E-2</v>
      </c>
    </row>
    <row r="450" spans="1:45" x14ac:dyDescent="0.25">
      <c r="A450" s="37">
        <v>41946</v>
      </c>
      <c r="B450" s="39">
        <v>2031.920044</v>
      </c>
      <c r="C450" s="36">
        <f>IF(ISBLANK(B451), "", GSPC[[#This Row],[Adj Close]]/B451-1)</f>
        <v>6.8729687882977952E-3</v>
      </c>
      <c r="D45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5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19543.683649999999</v>
      </c>
      <c r="F450" s="11" t="e">
        <f>IF(ISBLANK(GSPC[[#This Row],[Long Exp.]]), "", (GSPC[[#This Row],[Long Exp.]]/D451-1)+(E451/GSPC[[#This Row],[Short Exp.]]-1))</f>
        <v>#VALUE!</v>
      </c>
      <c r="G450" s="37">
        <v>41946</v>
      </c>
      <c r="H450">
        <v>48.631866000000002</v>
      </c>
      <c r="I450" s="36">
        <f>IF(ISBLANK(H451), "", Long0[[#This Row],[Adj Close]]/H451-1)</f>
        <v>-8.2165585260398633E-3</v>
      </c>
      <c r="J450" s="29">
        <v>41946</v>
      </c>
      <c r="K450">
        <v>13.42605</v>
      </c>
      <c r="L450" s="33">
        <f>IF(ISBLANK(K451),"",Long1[[#This Row],[Adj Close]]/K451-1)</f>
        <v>-2.7555086597323863E-2</v>
      </c>
      <c r="M450" s="37">
        <v>41946</v>
      </c>
      <c r="N450">
        <v>37.987400000000001</v>
      </c>
      <c r="O450" s="36">
        <f>IF(ISBLANK(N451),"",Long2[[#This Row],[Adj Close]]/N451-1)</f>
        <v>-6.3187178682714285E-3</v>
      </c>
      <c r="P450" s="29">
        <v>41946</v>
      </c>
      <c r="Q450">
        <v>22.634584</v>
      </c>
      <c r="R450" s="33">
        <f>IF(ISBLANK(Q451),"",Long3[[#This Row],[Adj Close]]/Q451-1)</f>
        <v>4.3441188918787565E-2</v>
      </c>
      <c r="S450" s="37">
        <v>41946</v>
      </c>
      <c r="T450" s="35">
        <v>20.710028000000001</v>
      </c>
      <c r="U450" s="36">
        <f>IF(ISBLANK(T451),"",Long4[[#This Row],[Adj Close]]/T451-1)</f>
        <v>-5.8891799559583791E-2</v>
      </c>
      <c r="Y450" s="37">
        <v>41946</v>
      </c>
      <c r="Z450" s="35">
        <v>25.093613000000001</v>
      </c>
      <c r="AA450" s="36">
        <f>IF(ISBLANK(Z451),"",Long6[[#This Row],[Adj Close]]/Z451-1)</f>
        <v>-0.17679022428728053</v>
      </c>
      <c r="AH450" s="29">
        <v>41946</v>
      </c>
      <c r="AI450" s="44">
        <v>45.068531</v>
      </c>
      <c r="AJ450" s="33">
        <f>IF(ISBLANK(AI451),"",Short0[[#This Row],[Adj Close]]/AI451-1)</f>
        <v>-4.3848496282354543E-2</v>
      </c>
      <c r="AK450" s="37">
        <v>41946</v>
      </c>
      <c r="AL450" s="39">
        <v>26.723666999999999</v>
      </c>
      <c r="AM450" s="36">
        <f>IF(ISBLANK(AL451),"",Short1[[#This Row],[Adj Close]]/AL451-1)</f>
        <v>3.0463127688905356E-2</v>
      </c>
      <c r="AN450" s="29">
        <v>41946</v>
      </c>
      <c r="AO450" s="44">
        <v>41.164622999999999</v>
      </c>
      <c r="AP450" s="33">
        <f>IF(ISBLANK(AO451),"",Short2[[#This Row],[Adj Close]]/AO451-1)</f>
        <v>3.3890754533425715E-2</v>
      </c>
      <c r="AQ450" s="37">
        <v>41946</v>
      </c>
      <c r="AR450" s="39">
        <v>66.870002999999997</v>
      </c>
      <c r="AS450" s="36">
        <f>IF(ISBLANK(AR451),"",Short3[[#This Row],[Adj Close]]/AR451-1)</f>
        <v>1.1955220582469117E-2</v>
      </c>
    </row>
    <row r="451" spans="1:45" x14ac:dyDescent="0.25">
      <c r="A451" s="37">
        <v>41939</v>
      </c>
      <c r="B451" s="39">
        <v>2018.0500489999999</v>
      </c>
      <c r="C451" s="36">
        <f>IF(ISBLANK(B452), "", GSPC[[#This Row],[Adj Close]]/B452-1)</f>
        <v>2.7217061253576036E-2</v>
      </c>
      <c r="D45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5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19590.996877000001</v>
      </c>
      <c r="F451" s="11" t="e">
        <f>IF(ISBLANK(GSPC[[#This Row],[Long Exp.]]), "", (GSPC[[#This Row],[Long Exp.]]/D452-1)+(E452/GSPC[[#This Row],[Short Exp.]]-1))</f>
        <v>#VALUE!</v>
      </c>
      <c r="G451" s="37">
        <v>41939</v>
      </c>
      <c r="H451">
        <v>49.034762999999998</v>
      </c>
      <c r="I451" s="36">
        <f>IF(ISBLANK(H452), "", Long0[[#This Row],[Adj Close]]/H452-1)</f>
        <v>4.549000488814503E-2</v>
      </c>
      <c r="J451" s="29">
        <v>41939</v>
      </c>
      <c r="K451">
        <v>13.806488999999999</v>
      </c>
      <c r="L451" s="33">
        <f>IF(ISBLANK(K452),"",Long1[[#This Row],[Adj Close]]/K452-1)</f>
        <v>3.7961538594547983E-2</v>
      </c>
      <c r="M451" s="37">
        <v>41939</v>
      </c>
      <c r="N451">
        <v>38.228957999999999</v>
      </c>
      <c r="O451" s="36">
        <f>IF(ISBLANK(N452),"",Long2[[#This Row],[Adj Close]]/N452-1)</f>
        <v>2.1909229746532866E-2</v>
      </c>
      <c r="P451" s="29">
        <v>41939</v>
      </c>
      <c r="Q451">
        <v>21.692246999999998</v>
      </c>
      <c r="R451" s="33">
        <f>IF(ISBLANK(Q452),"",Long3[[#This Row],[Adj Close]]/Q452-1)</f>
        <v>1.332143757712978E-2</v>
      </c>
      <c r="S451" s="37">
        <v>41939</v>
      </c>
      <c r="T451" s="35">
        <v>22.006001000000001</v>
      </c>
      <c r="U451" s="36">
        <f>IF(ISBLANK(T452),"",Long4[[#This Row],[Adj Close]]/T452-1)</f>
        <v>7.541657729704121E-2</v>
      </c>
      <c r="Y451" s="37">
        <v>41939</v>
      </c>
      <c r="Z451" s="35">
        <v>30.482647</v>
      </c>
      <c r="AA451" s="36">
        <f>IF(ISBLANK(Z452),"",Long6[[#This Row],[Adj Close]]/Z452-1)</f>
        <v>4.4407338311653888E-2</v>
      </c>
      <c r="AH451" s="29">
        <v>41939</v>
      </c>
      <c r="AI451" s="44">
        <v>47.135345000000001</v>
      </c>
      <c r="AJ451" s="33">
        <f>IF(ISBLANK(AI452),"",Short0[[#This Row],[Adj Close]]/AI452-1)</f>
        <v>-7.8088147989930912E-3</v>
      </c>
      <c r="AK451" s="37">
        <v>41939</v>
      </c>
      <c r="AL451" s="39">
        <v>25.933647000000001</v>
      </c>
      <c r="AM451" s="36">
        <f>IF(ISBLANK(AL452),"",Short1[[#This Row],[Adj Close]]/AL452-1)</f>
        <v>3.1108047511452908E-2</v>
      </c>
      <c r="AN451" s="29">
        <v>41939</v>
      </c>
      <c r="AO451" s="44">
        <v>39.815254000000003</v>
      </c>
      <c r="AP451" s="33">
        <f>IF(ISBLANK(AO452),"",Short2[[#This Row],[Adj Close]]/AO452-1)</f>
        <v>-1.5539029431276163E-2</v>
      </c>
      <c r="AQ451" s="37">
        <v>41939</v>
      </c>
      <c r="AR451" s="39">
        <v>66.080001999999993</v>
      </c>
      <c r="AS451" s="36">
        <f>IF(ISBLANK(AR452),"",Short3[[#This Row],[Adj Close]]/AR452-1)</f>
        <v>4.4908284474753701E-2</v>
      </c>
    </row>
    <row r="452" spans="1:45" x14ac:dyDescent="0.25">
      <c r="A452" s="37">
        <v>41932</v>
      </c>
      <c r="B452" s="39">
        <v>1964.579956</v>
      </c>
      <c r="C452" s="36">
        <f>IF(ISBLANK(B453), "", GSPC[[#This Row],[Adj Close]]/B453-1)</f>
        <v>4.124528058022614E-2</v>
      </c>
      <c r="D45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5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19446.321117</v>
      </c>
      <c r="F452" s="11" t="e">
        <f>IF(ISBLANK(GSPC[[#This Row],[Long Exp.]]), "", (GSPC[[#This Row],[Long Exp.]]/D453-1)+(E453/GSPC[[#This Row],[Short Exp.]]-1))</f>
        <v>#VALUE!</v>
      </c>
      <c r="G452" s="37">
        <v>41932</v>
      </c>
      <c r="H452">
        <v>46.901226000000001</v>
      </c>
      <c r="I452" s="36">
        <f>IF(ISBLANK(H453), "", Long0[[#This Row],[Adj Close]]/H453-1)</f>
        <v>3.5584285116766257E-2</v>
      </c>
      <c r="J452" s="29">
        <v>41932</v>
      </c>
      <c r="K452">
        <v>13.301542</v>
      </c>
      <c r="L452" s="33">
        <f>IF(ISBLANK(K453),"",Long1[[#This Row],[Adj Close]]/K453-1)</f>
        <v>6.0380471427175175E-2</v>
      </c>
      <c r="M452" s="37">
        <v>41932</v>
      </c>
      <c r="N452">
        <v>37.409348000000001</v>
      </c>
      <c r="O452" s="36">
        <f>IF(ISBLANK(N453),"",Long2[[#This Row],[Adj Close]]/N453-1)</f>
        <v>6.3788013524817444E-2</v>
      </c>
      <c r="P452" s="29">
        <v>41932</v>
      </c>
      <c r="Q452">
        <v>21.407074000000001</v>
      </c>
      <c r="R452" s="33">
        <f>IF(ISBLANK(Q453),"",Long3[[#This Row],[Adj Close]]/Q453-1)</f>
        <v>3.5382616737088313E-2</v>
      </c>
      <c r="S452" s="37">
        <v>41932</v>
      </c>
      <c r="T452" s="35">
        <v>20.462769000000002</v>
      </c>
      <c r="U452" s="36">
        <f>IF(ISBLANK(T453),"",Long4[[#This Row],[Adj Close]]/T453-1)</f>
        <v>-1.2484657132920685E-3</v>
      </c>
      <c r="Y452" s="37">
        <v>41932</v>
      </c>
      <c r="Z452" s="35">
        <v>29.18655</v>
      </c>
      <c r="AA452" s="36">
        <f>IF(ISBLANK(Z453),"",Long6[[#This Row],[Adj Close]]/Z453-1)</f>
        <v>1.7323380812874323E-2</v>
      </c>
      <c r="AH452" s="29">
        <v>41932</v>
      </c>
      <c r="AI452" s="44">
        <v>47.506312999999999</v>
      </c>
      <c r="AJ452" s="33">
        <f>IF(ISBLANK(AI453),"",Short0[[#This Row],[Adj Close]]/AI453-1)</f>
        <v>-1.5531746332721363E-2</v>
      </c>
      <c r="AK452" s="37">
        <v>41932</v>
      </c>
      <c r="AL452" s="39">
        <v>25.151240999999999</v>
      </c>
      <c r="AM452" s="36">
        <f>IF(ISBLANK(AL453),"",Short1[[#This Row],[Adj Close]]/AL453-1)</f>
        <v>5.6477198335510792E-2</v>
      </c>
      <c r="AN452" s="29">
        <v>41932</v>
      </c>
      <c r="AO452" s="44">
        <v>40.443710000000003</v>
      </c>
      <c r="AP452" s="33">
        <f>IF(ISBLANK(AO453),"",Short2[[#This Row],[Adj Close]]/AO453-1)</f>
        <v>5.6576133747969326E-2</v>
      </c>
      <c r="AQ452" s="37">
        <v>41932</v>
      </c>
      <c r="AR452" s="39">
        <v>63.240001999999997</v>
      </c>
      <c r="AS452" s="36">
        <f>IF(ISBLANK(AR453),"",Short3[[#This Row],[Adj Close]]/AR453-1)</f>
        <v>0.11770943380313059</v>
      </c>
    </row>
    <row r="453" spans="1:45" x14ac:dyDescent="0.25">
      <c r="A453" s="37">
        <v>41925</v>
      </c>
      <c r="B453" s="39">
        <v>1886.76001</v>
      </c>
      <c r="C453" s="36">
        <f>IF(ISBLANK(B454), "", GSPC[[#This Row],[Adj Close]]/B454-1)</f>
        <v>-1.016194852879404E-2</v>
      </c>
      <c r="D45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5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18703.067948</v>
      </c>
      <c r="F453" s="11" t="e">
        <f>IF(ISBLANK(GSPC[[#This Row],[Long Exp.]]), "", (GSPC[[#This Row],[Long Exp.]]/D454-1)+(E454/GSPC[[#This Row],[Short Exp.]]-1))</f>
        <v>#VALUE!</v>
      </c>
      <c r="G453" s="37">
        <v>41925</v>
      </c>
      <c r="H453">
        <v>45.289627000000003</v>
      </c>
      <c r="I453" s="36">
        <f>IF(ISBLANK(H454), "", Long0[[#This Row],[Adj Close]]/H454-1)</f>
        <v>2.2290208436144265E-3</v>
      </c>
      <c r="J453" s="29">
        <v>41925</v>
      </c>
      <c r="K453">
        <v>12.544122</v>
      </c>
      <c r="L453" s="33">
        <f>IF(ISBLANK(K454),"",Long1[[#This Row],[Adj Close]]/K454-1)</f>
        <v>6.9280593581344307E-2</v>
      </c>
      <c r="M453" s="37">
        <v>41925</v>
      </c>
      <c r="N453">
        <v>35.166167999999999</v>
      </c>
      <c r="O453" s="36">
        <f>IF(ISBLANK(N454),"",Long2[[#This Row],[Adj Close]]/N454-1)</f>
        <v>-2.0663004024324527E-2</v>
      </c>
      <c r="P453" s="29">
        <v>41925</v>
      </c>
      <c r="Q453">
        <v>20.675519999999999</v>
      </c>
      <c r="R453" s="33">
        <f>IF(ISBLANK(Q454),"",Long3[[#This Row],[Adj Close]]/Q454-1)</f>
        <v>-1.2729571011585117E-2</v>
      </c>
      <c r="S453" s="37">
        <v>41925</v>
      </c>
      <c r="T453" s="35">
        <v>20.488347999999998</v>
      </c>
      <c r="U453" s="36">
        <f>IF(ISBLANK(T454),"",Long4[[#This Row],[Adj Close]]/T454-1)</f>
        <v>3.1773324741411368E-2</v>
      </c>
      <c r="Y453" s="37">
        <v>41925</v>
      </c>
      <c r="Z453" s="35">
        <v>28.689550000000001</v>
      </c>
      <c r="AA453" s="36">
        <f>IF(ISBLANK(Z454),"",Long6[[#This Row],[Adj Close]]/Z454-1)</f>
        <v>6.3968226866357059E-2</v>
      </c>
      <c r="AH453" s="29">
        <v>41925</v>
      </c>
      <c r="AI453" s="44">
        <v>48.255809999999997</v>
      </c>
      <c r="AJ453" s="33">
        <f>IF(ISBLANK(AI454),"",Short0[[#This Row],[Adj Close]]/AI454-1)</f>
        <v>5.56474484157361E-2</v>
      </c>
      <c r="AK453" s="37">
        <v>41925</v>
      </c>
      <c r="AL453" s="39">
        <v>23.806705000000001</v>
      </c>
      <c r="AM453" s="36">
        <f>IF(ISBLANK(AL454),"",Short1[[#This Row],[Adj Close]]/AL454-1)</f>
        <v>2.7878089997763533E-2</v>
      </c>
      <c r="AN453" s="29">
        <v>41925</v>
      </c>
      <c r="AO453" s="44">
        <v>38.278084</v>
      </c>
      <c r="AP453" s="33">
        <f>IF(ISBLANK(AO454),"",Short2[[#This Row],[Adj Close]]/AO454-1)</f>
        <v>7.828358858120521E-2</v>
      </c>
      <c r="AQ453" s="37">
        <v>41925</v>
      </c>
      <c r="AR453" s="39">
        <v>56.580002</v>
      </c>
      <c r="AS453" s="36">
        <f>IF(ISBLANK(AR454),"",Short3[[#This Row],[Adj Close]]/AR454-1)</f>
        <v>6.3134177693833449E-2</v>
      </c>
    </row>
    <row r="454" spans="1:45" x14ac:dyDescent="0.25">
      <c r="A454" s="37">
        <v>41918</v>
      </c>
      <c r="B454" s="39">
        <v>1906.130005</v>
      </c>
      <c r="C454" s="36">
        <f>IF(ISBLANK(B455), "", GSPC[[#This Row],[Adj Close]]/B455-1)</f>
        <v>-3.1388799352949248E-2</v>
      </c>
      <c r="D45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5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17655.830610000001</v>
      </c>
      <c r="F454" s="11" t="e">
        <f>IF(ISBLANK(GSPC[[#This Row],[Long Exp.]]), "", (GSPC[[#This Row],[Long Exp.]]/D455-1)+(E455/GSPC[[#This Row],[Short Exp.]]-1))</f>
        <v>#VALUE!</v>
      </c>
      <c r="G454" s="37">
        <v>41918</v>
      </c>
      <c r="H454">
        <v>45.188899999999997</v>
      </c>
      <c r="I454" s="36">
        <f>IF(ISBLANK(H455), "", Long0[[#This Row],[Adj Close]]/H455-1)</f>
        <v>-1.751943120578181E-2</v>
      </c>
      <c r="J454" s="29">
        <v>41918</v>
      </c>
      <c r="K454">
        <v>11.731366</v>
      </c>
      <c r="L454" s="33">
        <f>IF(ISBLANK(K455),"",Long1[[#This Row],[Adj Close]]/K455-1)</f>
        <v>-0.11689662570337056</v>
      </c>
      <c r="M454" s="37">
        <v>41918</v>
      </c>
      <c r="N454">
        <v>35.908138000000001</v>
      </c>
      <c r="O454" s="36">
        <f>IF(ISBLANK(N455),"",Long2[[#This Row],[Adj Close]]/N455-1)</f>
        <v>-2.3234089206010999E-2</v>
      </c>
      <c r="P454" s="29">
        <v>41918</v>
      </c>
      <c r="Q454">
        <v>20.942104</v>
      </c>
      <c r="R454" s="33">
        <f>IF(ISBLANK(Q455),"",Long3[[#This Row],[Adj Close]]/Q455-1)</f>
        <v>8.9605873776872347E-3</v>
      </c>
      <c r="S454" s="37">
        <v>41918</v>
      </c>
      <c r="T454" s="35">
        <v>19.857412</v>
      </c>
      <c r="U454" s="36">
        <f>IF(ISBLANK(T455),"",Long4[[#This Row],[Adj Close]]/T455-1)</f>
        <v>-5.2866974714214421E-2</v>
      </c>
      <c r="Y454" s="37">
        <v>41918</v>
      </c>
      <c r="Z454" s="35">
        <v>26.964668</v>
      </c>
      <c r="AA454" s="36">
        <f>IF(ISBLANK(Z455),"",Long6[[#This Row],[Adj Close]]/Z455-1)</f>
        <v>-0.15896628150913228</v>
      </c>
      <c r="AH454" s="29">
        <v>41918</v>
      </c>
      <c r="AI454" s="44">
        <v>45.712051000000002</v>
      </c>
      <c r="AJ454" s="33">
        <f>IF(ISBLANK(AI455),"",Short0[[#This Row],[Adj Close]]/AI455-1)</f>
        <v>-3.3765189138477592E-2</v>
      </c>
      <c r="AK454" s="37">
        <v>41918</v>
      </c>
      <c r="AL454" s="39">
        <v>23.161020000000001</v>
      </c>
      <c r="AM454" s="36">
        <f>IF(ISBLANK(AL455),"",Short1[[#This Row],[Adj Close]]/AL455-1)</f>
        <v>-8.6304881426058966E-2</v>
      </c>
      <c r="AN454" s="29">
        <v>41918</v>
      </c>
      <c r="AO454" s="44">
        <v>35.499088</v>
      </c>
      <c r="AP454" s="33">
        <f>IF(ISBLANK(AO455),"",Short2[[#This Row],[Adj Close]]/AO455-1)</f>
        <v>-3.5132017580183139E-2</v>
      </c>
      <c r="AQ454" s="37">
        <v>41918</v>
      </c>
      <c r="AR454" s="39">
        <v>53.220001000000003</v>
      </c>
      <c r="AS454" s="36">
        <f>IF(ISBLANK(AR455),"",Short3[[#This Row],[Adj Close]]/AR455-1)</f>
        <v>-0.10116531162245079</v>
      </c>
    </row>
    <row r="455" spans="1:45" x14ac:dyDescent="0.25">
      <c r="A455" s="37">
        <v>41911</v>
      </c>
      <c r="B455" s="39">
        <v>1967.900024</v>
      </c>
      <c r="C455" s="36">
        <f>IF(ISBLANK(B456), "", GSPC[[#This Row],[Adj Close]]/B456-1)</f>
        <v>-7.5396284040400996E-3</v>
      </c>
      <c r="D45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5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18707.271692999999</v>
      </c>
      <c r="F455" s="11" t="e">
        <f>IF(ISBLANK(GSPC[[#This Row],[Long Exp.]]), "", (GSPC[[#This Row],[Long Exp.]]/D456-1)+(E456/GSPC[[#This Row],[Short Exp.]]-1))</f>
        <v>#VALUE!</v>
      </c>
      <c r="G455" s="37">
        <v>41911</v>
      </c>
      <c r="H455">
        <v>45.994700999999999</v>
      </c>
      <c r="I455" s="36">
        <f>IF(ISBLANK(H456), "", Long0[[#This Row],[Adj Close]]/H456-1)</f>
        <v>8.5115508636780524E-2</v>
      </c>
      <c r="J455" s="29">
        <v>41911</v>
      </c>
      <c r="K455">
        <v>13.28425</v>
      </c>
      <c r="L455" s="33">
        <f>IF(ISBLANK(K456),"",Long1[[#This Row],[Adj Close]]/K456-1)</f>
        <v>1.5063444473964571E-2</v>
      </c>
      <c r="M455" s="37">
        <v>41911</v>
      </c>
      <c r="N455">
        <v>36.762276</v>
      </c>
      <c r="O455" s="36">
        <f>IF(ISBLANK(N456),"",Long2[[#This Row],[Adj Close]]/N456-1)</f>
        <v>-6.3722093654695389E-2</v>
      </c>
      <c r="P455" s="29">
        <v>41911</v>
      </c>
      <c r="Q455">
        <v>20.756117</v>
      </c>
      <c r="R455" s="33">
        <f>IF(ISBLANK(Q456),"",Long3[[#This Row],[Adj Close]]/Q456-1)</f>
        <v>2.3227669584511945E-2</v>
      </c>
      <c r="S455" s="37">
        <v>41911</v>
      </c>
      <c r="T455" s="35">
        <v>20.965810999999999</v>
      </c>
      <c r="U455" s="36">
        <f>IF(ISBLANK(T456),"",Long4[[#This Row],[Adj Close]]/T456-1)</f>
        <v>-1.2449903731132306E-2</v>
      </c>
      <c r="Y455" s="37">
        <v>41911</v>
      </c>
      <c r="Z455" s="35">
        <v>32.061340000000001</v>
      </c>
      <c r="AA455" s="36">
        <f>IF(ISBLANK(Z456),"",Long6[[#This Row],[Adj Close]]/Z456-1)</f>
        <v>-1.8203690395420136E-2</v>
      </c>
      <c r="AH455" s="29">
        <v>41911</v>
      </c>
      <c r="AI455" s="44">
        <v>47.309463999999998</v>
      </c>
      <c r="AJ455" s="33">
        <f>IF(ISBLANK(AI456),"",Short0[[#This Row],[Adj Close]]/AI456-1)</f>
        <v>9.0423461116737602E-3</v>
      </c>
      <c r="AK455" s="37">
        <v>41911</v>
      </c>
      <c r="AL455" s="39">
        <v>25.348739999999999</v>
      </c>
      <c r="AM455" s="36">
        <f>IF(ISBLANK(AL456),"",Short1[[#This Row],[Adj Close]]/AL456-1)</f>
        <v>1.3053979238035307E-2</v>
      </c>
      <c r="AN455" s="29">
        <v>41911</v>
      </c>
      <c r="AO455" s="44">
        <v>36.791652999999997</v>
      </c>
      <c r="AP455" s="33">
        <f>IF(ISBLANK(AO456),"",Short2[[#This Row],[Adj Close]]/AO456-1)</f>
        <v>2.7681316671612777E-3</v>
      </c>
      <c r="AQ455" s="37">
        <v>41911</v>
      </c>
      <c r="AR455" s="39">
        <v>59.209999000000003</v>
      </c>
      <c r="AS455" s="36">
        <f>IF(ISBLANK(AR456),"",Short3[[#This Row],[Adj Close]]/AR456-1)</f>
        <v>6.5502951232679463E-2</v>
      </c>
    </row>
    <row r="456" spans="1:45" x14ac:dyDescent="0.25">
      <c r="A456" s="37">
        <v>41904</v>
      </c>
      <c r="B456" s="39">
        <v>1982.849976</v>
      </c>
      <c r="C456" s="36">
        <f>IF(ISBLANK(B457), "", GSPC[[#This Row],[Adj Close]]/B457-1)</f>
        <v>-1.3703764261395635E-2</v>
      </c>
      <c r="D45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5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18330.411971000001</v>
      </c>
      <c r="F456" s="11" t="e">
        <f>IF(ISBLANK(GSPC[[#This Row],[Long Exp.]]), "", (GSPC[[#This Row],[Long Exp.]]/D457-1)+(E457/GSPC[[#This Row],[Short Exp.]]-1))</f>
        <v>#VALUE!</v>
      </c>
      <c r="G456" s="37">
        <v>41904</v>
      </c>
      <c r="H456">
        <v>42.386916999999997</v>
      </c>
      <c r="I456" s="36">
        <f>IF(ISBLANK(H457), "", Long0[[#This Row],[Adj Close]]/H457-1)</f>
        <v>-2.2592800022653403E-2</v>
      </c>
      <c r="J456" s="29">
        <v>41904</v>
      </c>
      <c r="K456">
        <v>13.087113</v>
      </c>
      <c r="L456" s="33">
        <f>IF(ISBLANK(K457),"",Long1[[#This Row],[Adj Close]]/K457-1)</f>
        <v>-2.0196783994224865E-2</v>
      </c>
      <c r="M456" s="37">
        <v>41904</v>
      </c>
      <c r="N456">
        <v>39.264277999999997</v>
      </c>
      <c r="O456" s="36">
        <f>IF(ISBLANK(N457),"",Long2[[#This Row],[Adj Close]]/N457-1)</f>
        <v>-2.002602962553357E-2</v>
      </c>
      <c r="P456" s="29">
        <v>41904</v>
      </c>
      <c r="Q456">
        <v>20.284945</v>
      </c>
      <c r="R456" s="33">
        <f>IF(ISBLANK(Q457),"",Long3[[#This Row],[Adj Close]]/Q457-1)</f>
        <v>-2.7348530520313052E-2</v>
      </c>
      <c r="S456" s="37">
        <v>41904</v>
      </c>
      <c r="T456" s="35">
        <v>21.230124</v>
      </c>
      <c r="U456" s="36">
        <f>IF(ISBLANK(T457),"",Long4[[#This Row],[Adj Close]]/T457-1)</f>
        <v>-2.8482146987916401E-2</v>
      </c>
      <c r="Y456" s="37">
        <v>41904</v>
      </c>
      <c r="Z456" s="35">
        <v>32.655796000000002</v>
      </c>
      <c r="AA456" s="36">
        <f>IF(ISBLANK(Z457),"",Long6[[#This Row],[Adj Close]]/Z457-1)</f>
        <v>-4.9092092174115143E-2</v>
      </c>
      <c r="AH456" s="29">
        <v>41904</v>
      </c>
      <c r="AI456" s="44">
        <v>46.885508999999999</v>
      </c>
      <c r="AJ456" s="33">
        <f>IF(ISBLANK(AI457),"",Short0[[#This Row],[Adj Close]]/AI457-1)</f>
        <v>1.5465539461061439E-3</v>
      </c>
      <c r="AK456" s="37">
        <v>41904</v>
      </c>
      <c r="AL456" s="39">
        <v>25.022102</v>
      </c>
      <c r="AM456" s="36">
        <f>IF(ISBLANK(AL457),"",Short1[[#This Row],[Adj Close]]/AL457-1)</f>
        <v>-4.825214893610219E-2</v>
      </c>
      <c r="AN456" s="29">
        <v>41904</v>
      </c>
      <c r="AO456" s="44">
        <v>36.690089999999998</v>
      </c>
      <c r="AP456" s="33">
        <f>IF(ISBLANK(AO457),"",Short2[[#This Row],[Adj Close]]/AO457-1)</f>
        <v>-3.1440259057021192E-2</v>
      </c>
      <c r="AQ456" s="37">
        <v>41904</v>
      </c>
      <c r="AR456" s="39">
        <v>55.57</v>
      </c>
      <c r="AS456" s="36">
        <f>IF(ISBLANK(AR457),"",Short3[[#This Row],[Adj Close]]/AR457-1)</f>
        <v>-1.1385856811703565E-2</v>
      </c>
    </row>
    <row r="457" spans="1:45" x14ac:dyDescent="0.25">
      <c r="A457" s="37">
        <v>41897</v>
      </c>
      <c r="B457" s="39">
        <v>2010.400024</v>
      </c>
      <c r="C457" s="36">
        <f>IF(ISBLANK(B458), "", GSPC[[#This Row],[Adj Close]]/B458-1)</f>
        <v>1.2520515583518854E-2</v>
      </c>
      <c r="D45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5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18622.577343000001</v>
      </c>
      <c r="F457" s="11" t="e">
        <f>IF(ISBLANK(GSPC[[#This Row],[Long Exp.]]), "", (GSPC[[#This Row],[Long Exp.]]/D458-1)+(E458/GSPC[[#This Row],[Short Exp.]]-1))</f>
        <v>#VALUE!</v>
      </c>
      <c r="G457" s="37">
        <v>41897</v>
      </c>
      <c r="H457">
        <v>43.366692</v>
      </c>
      <c r="I457" s="36">
        <f>IF(ISBLANK(H458), "", Long0[[#This Row],[Adj Close]]/H458-1)</f>
        <v>6.3748277289967792E-3</v>
      </c>
      <c r="J457" s="29">
        <v>41897</v>
      </c>
      <c r="K457">
        <v>13.356878999999999</v>
      </c>
      <c r="L457" s="33">
        <f>IF(ISBLANK(K458),"",Long1[[#This Row],[Adj Close]]/K458-1)</f>
        <v>1.0465757292202671E-2</v>
      </c>
      <c r="M457" s="37">
        <v>41897</v>
      </c>
      <c r="N457">
        <v>40.066654</v>
      </c>
      <c r="O457" s="36">
        <f>IF(ISBLANK(N458),"",Long2[[#This Row],[Adj Close]]/N458-1)</f>
        <v>3.2407105660734459E-3</v>
      </c>
      <c r="P457" s="29">
        <v>41897</v>
      </c>
      <c r="Q457">
        <v>20.855307</v>
      </c>
      <c r="R457" s="33">
        <f>IF(ISBLANK(Q458),"",Long3[[#This Row],[Adj Close]]/Q458-1)</f>
        <v>4.2198029502640289E-2</v>
      </c>
      <c r="S457" s="37">
        <v>41897</v>
      </c>
      <c r="T457" s="35">
        <v>21.852530999999999</v>
      </c>
      <c r="U457" s="36">
        <f>IF(ISBLANK(T458),"",Long4[[#This Row],[Adj Close]]/T458-1)</f>
        <v>-2.7693293542637942E-2</v>
      </c>
      <c r="Y457" s="37">
        <v>41897</v>
      </c>
      <c r="Z457" s="35">
        <v>34.341701999999998</v>
      </c>
      <c r="AA457" s="36">
        <f>IF(ISBLANK(Z458),"",Long6[[#This Row],[Adj Close]]/Z458-1)</f>
        <v>-1.8657920334003375E-2</v>
      </c>
      <c r="AH457" s="29">
        <v>41897</v>
      </c>
      <c r="AI457" s="44">
        <v>46.813110000000002</v>
      </c>
      <c r="AJ457" s="33">
        <f>IF(ISBLANK(AI458),"",Short0[[#This Row],[Adj Close]]/AI458-1)</f>
        <v>-1.3765661091887926E-2</v>
      </c>
      <c r="AK457" s="37">
        <v>41897</v>
      </c>
      <c r="AL457" s="39">
        <v>26.290683999999999</v>
      </c>
      <c r="AM457" s="36">
        <f>IF(ISBLANK(AL458),"",Short1[[#This Row],[Adj Close]]/AL458-1)</f>
        <v>3.5568835490797479E-2</v>
      </c>
      <c r="AN457" s="29">
        <v>41897</v>
      </c>
      <c r="AO457" s="44">
        <v>37.881081000000002</v>
      </c>
      <c r="AP457" s="33">
        <f>IF(ISBLANK(AO458),"",Short2[[#This Row],[Adj Close]]/AO458-1)</f>
        <v>5.0435026582762665E-2</v>
      </c>
      <c r="AQ457" s="37">
        <v>41897</v>
      </c>
      <c r="AR457" s="39">
        <v>56.209999000000003</v>
      </c>
      <c r="AS457" s="36">
        <f>IF(ISBLANK(AR458),"",Short3[[#This Row],[Adj Close]]/AR458-1)</f>
        <v>-4.7610996272450024E-2</v>
      </c>
    </row>
    <row r="458" spans="1:45" x14ac:dyDescent="0.25">
      <c r="A458" s="37">
        <v>41890</v>
      </c>
      <c r="B458" s="39">
        <v>1985.540039</v>
      </c>
      <c r="C458" s="36">
        <f>IF(ISBLANK(B459), "", GSPC[[#This Row],[Adj Close]]/B459-1)</f>
        <v>-1.1042392791116962E-2</v>
      </c>
      <c r="D45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5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18636.517363999999</v>
      </c>
      <c r="F458" s="11" t="e">
        <f>IF(ISBLANK(GSPC[[#This Row],[Long Exp.]]), "", (GSPC[[#This Row],[Long Exp.]]/D459-1)+(E459/GSPC[[#This Row],[Short Exp.]]-1))</f>
        <v>#VALUE!</v>
      </c>
      <c r="G458" s="37">
        <v>41890</v>
      </c>
      <c r="H458">
        <v>43.091988000000001</v>
      </c>
      <c r="I458" s="36">
        <f>IF(ISBLANK(H459), "", Long0[[#This Row],[Adj Close]]/H459-1)</f>
        <v>1.7028395117344441E-3</v>
      </c>
      <c r="J458" s="29">
        <v>41890</v>
      </c>
      <c r="K458">
        <v>13.218537</v>
      </c>
      <c r="L458" s="33">
        <f>IF(ISBLANK(K459),"",Long1[[#This Row],[Adj Close]]/K459-1)</f>
        <v>0.18145280257410024</v>
      </c>
      <c r="M458" s="37">
        <v>41890</v>
      </c>
      <c r="N458">
        <v>39.937229000000002</v>
      </c>
      <c r="O458" s="36">
        <f>IF(ISBLANK(N459),"",Long2[[#This Row],[Adj Close]]/N459-1)</f>
        <v>-1.5370749359040481E-2</v>
      </c>
      <c r="P458" s="29">
        <v>41890</v>
      </c>
      <c r="Q458">
        <v>20.010887</v>
      </c>
      <c r="R458" s="33">
        <f>IF(ISBLANK(Q459),"",Long3[[#This Row],[Adj Close]]/Q459-1)</f>
        <v>-5.6118018035695605E-2</v>
      </c>
      <c r="S458" s="37">
        <v>41890</v>
      </c>
      <c r="T458" s="35">
        <v>22.474936</v>
      </c>
      <c r="U458" s="36">
        <f>IF(ISBLANK(T459),"",Long4[[#This Row],[Adj Close]]/T459-1)</f>
        <v>-1.0510848177987531E-2</v>
      </c>
      <c r="Y458" s="37">
        <v>41890</v>
      </c>
      <c r="Z458" s="35">
        <v>34.994629000000003</v>
      </c>
      <c r="AA458" s="36">
        <f>IF(ISBLANK(Z459),"",Long6[[#This Row],[Adj Close]]/Z459-1)</f>
        <v>-2.7092731264483305E-2</v>
      </c>
      <c r="AH458" s="29">
        <v>41890</v>
      </c>
      <c r="AI458" s="44">
        <v>47.466518000000001</v>
      </c>
      <c r="AJ458" s="33">
        <f>IF(ISBLANK(AI459),"",Short0[[#This Row],[Adj Close]]/AI459-1)</f>
        <v>6.0489447453155876E-3</v>
      </c>
      <c r="AK458" s="37">
        <v>41890</v>
      </c>
      <c r="AL458" s="39">
        <v>25.387674000000001</v>
      </c>
      <c r="AM458" s="36">
        <f>IF(ISBLANK(AL459),"",Short1[[#This Row],[Adj Close]]/AL459-1)</f>
        <v>3.797466905342306E-2</v>
      </c>
      <c r="AN458" s="29">
        <v>41890</v>
      </c>
      <c r="AO458" s="44">
        <v>36.062278999999997</v>
      </c>
      <c r="AP458" s="33">
        <f>IF(ISBLANK(AO459),"",Short2[[#This Row],[Adj Close]]/AO459-1)</f>
        <v>4.6298922188836578E-3</v>
      </c>
      <c r="AQ458" s="37">
        <v>41890</v>
      </c>
      <c r="AR458" s="39">
        <v>59.02</v>
      </c>
      <c r="AS458" s="36">
        <f>IF(ISBLANK(AR459),"",Short3[[#This Row],[Adj Close]]/AR459-1)</f>
        <v>-3.5455005909166282E-3</v>
      </c>
    </row>
    <row r="459" spans="1:45" x14ac:dyDescent="0.25">
      <c r="A459" s="37">
        <v>41883</v>
      </c>
      <c r="B459" s="39">
        <v>2007.709961</v>
      </c>
      <c r="C459" s="36">
        <f>IF(ISBLANK(B460), "", GSPC[[#This Row],[Adj Close]]/B460-1)</f>
        <v>2.1663327347578587E-3</v>
      </c>
      <c r="D45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5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18500.265642000002</v>
      </c>
      <c r="F459" s="11" t="e">
        <f>IF(ISBLANK(GSPC[[#This Row],[Long Exp.]]), "", (GSPC[[#This Row],[Long Exp.]]/D460-1)+(E460/GSPC[[#This Row],[Short Exp.]]-1))</f>
        <v>#VALUE!</v>
      </c>
      <c r="G459" s="37">
        <v>41883</v>
      </c>
      <c r="H459">
        <v>43.018734000000002</v>
      </c>
      <c r="I459" s="36">
        <f>IF(ISBLANK(H460), "", Long0[[#This Row],[Adj Close]]/H460-1)</f>
        <v>-3.3333189519998752E-2</v>
      </c>
      <c r="J459" s="29">
        <v>41883</v>
      </c>
      <c r="K459">
        <v>11.188375000000001</v>
      </c>
      <c r="L459" s="33">
        <f>IF(ISBLANK(K460),"",Long1[[#This Row],[Adj Close]]/K460-1)</f>
        <v>4.4559305602339894E-2</v>
      </c>
      <c r="M459" s="37">
        <v>41883</v>
      </c>
      <c r="N459">
        <v>40.560676999999998</v>
      </c>
      <c r="O459" s="36">
        <f>IF(ISBLANK(N460),"",Long2[[#This Row],[Adj Close]]/N460-1)</f>
        <v>-1.046918810815578E-2</v>
      </c>
      <c r="P459" s="29">
        <v>41883</v>
      </c>
      <c r="Q459">
        <v>21.200624000000001</v>
      </c>
      <c r="R459" s="33">
        <f>IF(ISBLANK(Q460),"",Long3[[#This Row],[Adj Close]]/Q460-1)</f>
        <v>-1.7324611557045788E-3</v>
      </c>
      <c r="S459" s="37">
        <v>41883</v>
      </c>
      <c r="T459" s="35">
        <v>22.713676</v>
      </c>
      <c r="U459" s="36">
        <f>IF(ISBLANK(T460),"",Long4[[#This Row],[Adj Close]]/T460-1)</f>
        <v>-7.8212183128045787E-3</v>
      </c>
      <c r="Y459" s="37">
        <v>41883</v>
      </c>
      <c r="Z459" s="35">
        <v>35.969130999999997</v>
      </c>
      <c r="AA459" s="36">
        <f>IF(ISBLANK(Z460),"",Long6[[#This Row],[Adj Close]]/Z460-1)</f>
        <v>6.2463775076685657E-2</v>
      </c>
      <c r="AH459" s="29">
        <v>41883</v>
      </c>
      <c r="AI459" s="44">
        <v>47.181122000000002</v>
      </c>
      <c r="AJ459" s="33">
        <f>IF(ISBLANK(AI460),"",Short0[[#This Row],[Adj Close]]/AI460-1)</f>
        <v>-5.5480398611424953E-2</v>
      </c>
      <c r="AK459" s="37">
        <v>41883</v>
      </c>
      <c r="AL459" s="39">
        <v>24.458856999999998</v>
      </c>
      <c r="AM459" s="36">
        <f>IF(ISBLANK(AL460),"",Short1[[#This Row],[Adj Close]]/AL460-1)</f>
        <v>1.5678979283789918E-2</v>
      </c>
      <c r="AN459" s="29">
        <v>41883</v>
      </c>
      <c r="AO459" s="44">
        <v>35.896084000000002</v>
      </c>
      <c r="AP459" s="33">
        <f>IF(ISBLANK(AO460),"",Short2[[#This Row],[Adj Close]]/AO460-1)</f>
        <v>-7.6572159249190808E-3</v>
      </c>
      <c r="AQ459" s="37">
        <v>41883</v>
      </c>
      <c r="AR459" s="39">
        <v>59.23</v>
      </c>
      <c r="AS459" s="36">
        <f>IF(ISBLANK(AR460),"",Short3[[#This Row],[Adj Close]]/AR460-1)</f>
        <v>9.8275542369738567E-2</v>
      </c>
    </row>
    <row r="460" spans="1:45" x14ac:dyDescent="0.25">
      <c r="A460" s="37">
        <v>41876</v>
      </c>
      <c r="B460" s="39">
        <v>2003.369995</v>
      </c>
      <c r="C460" s="36">
        <f>IF(ISBLANK(B461), "", GSPC[[#This Row],[Adj Close]]/B461-1)</f>
        <v>7.5286515888717265E-3</v>
      </c>
      <c r="D46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6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18563.049187000001</v>
      </c>
      <c r="F460" s="11" t="e">
        <f>IF(ISBLANK(GSPC[[#This Row],[Long Exp.]]), "", (GSPC[[#This Row],[Long Exp.]]/D461-1)+(E461/GSPC[[#This Row],[Short Exp.]]-1))</f>
        <v>#VALUE!</v>
      </c>
      <c r="G460" s="37">
        <v>41876</v>
      </c>
      <c r="H460">
        <v>44.502132000000003</v>
      </c>
      <c r="I460" s="36">
        <f>IF(ISBLANK(H461), "", Long0[[#This Row],[Adj Close]]/H461-1)</f>
        <v>8.0895194973296114E-3</v>
      </c>
      <c r="J460" s="29">
        <v>41876</v>
      </c>
      <c r="K460">
        <v>10.711096</v>
      </c>
      <c r="L460" s="33">
        <f>IF(ISBLANK(K461),"",Long1[[#This Row],[Adj Close]]/K461-1)</f>
        <v>1.540980296334693E-2</v>
      </c>
      <c r="M460" s="37">
        <v>41876</v>
      </c>
      <c r="N460">
        <v>40.989806999999999</v>
      </c>
      <c r="O460" s="36">
        <f>IF(ISBLANK(N461),"",Long2[[#This Row],[Adj Close]]/N461-1)</f>
        <v>6.1090917516657406E-3</v>
      </c>
      <c r="P460" s="29">
        <v>41876</v>
      </c>
      <c r="Q460">
        <v>21.237417000000001</v>
      </c>
      <c r="R460" s="33">
        <f>IF(ISBLANK(Q461),"",Long3[[#This Row],[Adj Close]]/Q461-1)</f>
        <v>1.3461928852618765E-2</v>
      </c>
      <c r="S460" s="37">
        <v>41876</v>
      </c>
      <c r="T460" s="35">
        <v>22.892724999999999</v>
      </c>
      <c r="U460" s="36">
        <f>IF(ISBLANK(T461),"",Long4[[#This Row],[Adj Close]]/T461-1)</f>
        <v>-1.3230278388095651E-2</v>
      </c>
      <c r="Y460" s="37">
        <v>41876</v>
      </c>
      <c r="Z460" s="35">
        <v>33.854453999999997</v>
      </c>
      <c r="AA460" s="36">
        <f>IF(ISBLANK(Z461),"",Long6[[#This Row],[Adj Close]]/Z461-1)</f>
        <v>5.499193627429122E-3</v>
      </c>
      <c r="AH460" s="29">
        <v>41876</v>
      </c>
      <c r="AI460" s="44">
        <v>49.952506999999997</v>
      </c>
      <c r="AJ460" s="33">
        <f>IF(ISBLANK(AI461),"",Short0[[#This Row],[Adj Close]]/AI461-1)</f>
        <v>-3.9011722699058504E-2</v>
      </c>
      <c r="AK460" s="37">
        <v>41876</v>
      </c>
      <c r="AL460" s="39">
        <v>24.081287</v>
      </c>
      <c r="AM460" s="36">
        <f>IF(ISBLANK(AL461),"",Short1[[#This Row],[Adj Close]]/AL461-1)</f>
        <v>2.2115261445063039E-2</v>
      </c>
      <c r="AN460" s="29">
        <v>41876</v>
      </c>
      <c r="AO460" s="44">
        <v>36.173068999999998</v>
      </c>
      <c r="AP460" s="33">
        <f>IF(ISBLANK(AO461),"",Short2[[#This Row],[Adj Close]]/AO461-1)</f>
        <v>2.5528264603114081E-4</v>
      </c>
      <c r="AQ460" s="37">
        <v>41876</v>
      </c>
      <c r="AR460" s="39">
        <v>53.93</v>
      </c>
      <c r="AS460" s="36">
        <f>IF(ISBLANK(AR461),"",Short3[[#This Row],[Adj Close]]/AR461-1)</f>
        <v>0.22707619506083732</v>
      </c>
    </row>
    <row r="461" spans="1:45" x14ac:dyDescent="0.25">
      <c r="A461" s="37">
        <v>41869</v>
      </c>
      <c r="B461" s="39">
        <v>1988.400024</v>
      </c>
      <c r="C461" s="36">
        <f>IF(ISBLANK(B462), "", GSPC[[#This Row],[Adj Close]]/B462-1)</f>
        <v>1.7053166651592955E-2</v>
      </c>
      <c r="D46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6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18116.022521000003</v>
      </c>
      <c r="F461" s="11" t="e">
        <f>IF(ISBLANK(GSPC[[#This Row],[Long Exp.]]), "", (GSPC[[#This Row],[Long Exp.]]/D462-1)+(E462/GSPC[[#This Row],[Short Exp.]]-1))</f>
        <v>#VALUE!</v>
      </c>
      <c r="G461" s="37">
        <v>41869</v>
      </c>
      <c r="H461">
        <v>44.145020000000002</v>
      </c>
      <c r="I461" s="36">
        <f>IF(ISBLANK(H462), "", Long0[[#This Row],[Adj Close]]/H462-1)</f>
        <v>3.7890180524157824E-2</v>
      </c>
      <c r="J461" s="29">
        <v>41869</v>
      </c>
      <c r="K461">
        <v>10.548545000000001</v>
      </c>
      <c r="L461" s="33">
        <f>IF(ISBLANK(K462),"",Long1[[#This Row],[Adj Close]]/K462-1)</f>
        <v>1.4299948037602261E-2</v>
      </c>
      <c r="M461" s="37">
        <v>41869</v>
      </c>
      <c r="N461">
        <v>40.740917000000003</v>
      </c>
      <c r="O461" s="36">
        <f>IF(ISBLANK(N462),"",Long2[[#This Row],[Adj Close]]/N462-1)</f>
        <v>2.1959237386731889E-2</v>
      </c>
      <c r="P461" s="29">
        <v>41869</v>
      </c>
      <c r="Q461">
        <v>20.955317999999998</v>
      </c>
      <c r="R461" s="33">
        <f>IF(ISBLANK(Q462),"",Long3[[#This Row],[Adj Close]]/Q462-1)</f>
        <v>1.0647690667693999E-2</v>
      </c>
      <c r="S461" s="37">
        <v>41869</v>
      </c>
      <c r="T461" s="35">
        <v>23.199663000000001</v>
      </c>
      <c r="U461" s="36">
        <f>IF(ISBLANK(T462),"",Long4[[#This Row],[Adj Close]]/T462-1)</f>
        <v>2.2547860452805768E-2</v>
      </c>
      <c r="Y461" s="37">
        <v>41869</v>
      </c>
      <c r="Z461" s="35">
        <v>33.6693</v>
      </c>
      <c r="AA461" s="36">
        <f>IF(ISBLANK(Z462),"",Long6[[#This Row],[Adj Close]]/Z462-1)</f>
        <v>4.5702497324272118E-2</v>
      </c>
      <c r="AH461" s="29">
        <v>41869</v>
      </c>
      <c r="AI461" s="44">
        <v>51.980350000000001</v>
      </c>
      <c r="AJ461" s="33">
        <f>IF(ISBLANK(AI462),"",Short0[[#This Row],[Adj Close]]/AI462-1)</f>
        <v>1.1546300991962521E-2</v>
      </c>
      <c r="AK461" s="37">
        <v>41869</v>
      </c>
      <c r="AL461" s="39">
        <v>23.560245999999999</v>
      </c>
      <c r="AM461" s="36">
        <f>IF(ISBLANK(AL462),"",Short1[[#This Row],[Adj Close]]/AL462-1)</f>
        <v>6.8858978187837483E-2</v>
      </c>
      <c r="AN461" s="29">
        <v>41869</v>
      </c>
      <c r="AO461" s="44">
        <v>36.163837000000001</v>
      </c>
      <c r="AP461" s="33">
        <f>IF(ISBLANK(AO462),"",Short2[[#This Row],[Adj Close]]/AO462-1)</f>
        <v>6.0368439523467821E-2</v>
      </c>
      <c r="AQ461" s="37">
        <v>41869</v>
      </c>
      <c r="AR461" s="39">
        <v>43.950001</v>
      </c>
      <c r="AS461" s="36">
        <f>IF(ISBLANK(AR462),"",Short3[[#This Row],[Adj Close]]/AR462-1)</f>
        <v>2.8070198830409288E-2</v>
      </c>
    </row>
    <row r="462" spans="1:45" x14ac:dyDescent="0.25">
      <c r="A462" s="37">
        <v>41862</v>
      </c>
      <c r="B462" s="39">
        <v>1955.0600589999999</v>
      </c>
      <c r="C462" s="36">
        <f>IF(ISBLANK(B463), "", GSPC[[#This Row],[Adj Close]]/B463-1)</f>
        <v>1.215066003298948E-2</v>
      </c>
      <c r="D46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6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17549.124358000001</v>
      </c>
      <c r="F462" s="11" t="e">
        <f>IF(ISBLANK(GSPC[[#This Row],[Long Exp.]]), "", (GSPC[[#This Row],[Long Exp.]]/D463-1)+(E463/GSPC[[#This Row],[Short Exp.]]-1))</f>
        <v>#VALUE!</v>
      </c>
      <c r="G462" s="37">
        <v>41862</v>
      </c>
      <c r="H462">
        <v>42.533420999999997</v>
      </c>
      <c r="I462" s="36">
        <f>IF(ISBLANK(H463), "", Long0[[#This Row],[Adj Close]]/H463-1)</f>
        <v>1.3086123996769894E-2</v>
      </c>
      <c r="J462" s="29">
        <v>41862</v>
      </c>
      <c r="K462">
        <v>10.399827999999999</v>
      </c>
      <c r="L462" s="33">
        <f>IF(ISBLANK(K463),"",Long1[[#This Row],[Adj Close]]/K463-1)</f>
        <v>-2.1795693008075157E-2</v>
      </c>
      <c r="M462" s="37">
        <v>41862</v>
      </c>
      <c r="N462">
        <v>39.865501000000002</v>
      </c>
      <c r="O462" s="36">
        <f>IF(ISBLANK(N463),"",Long2[[#This Row],[Adj Close]]/N463-1)</f>
        <v>3.6732493863673721E-3</v>
      </c>
      <c r="P462" s="29">
        <v>41862</v>
      </c>
      <c r="Q462">
        <v>20.734542999999999</v>
      </c>
      <c r="R462" s="33">
        <f>IF(ISBLANK(Q463),"",Long3[[#This Row],[Adj Close]]/Q463-1)</f>
        <v>2.4545255682670186E-2</v>
      </c>
      <c r="S462" s="37">
        <v>41862</v>
      </c>
      <c r="T462" s="35">
        <v>22.688095000000001</v>
      </c>
      <c r="U462" s="36">
        <f>IF(ISBLANK(T463),"",Long4[[#This Row],[Adj Close]]/T463-1)</f>
        <v>-6.2367856742575056E-2</v>
      </c>
      <c r="Y462" s="37">
        <v>41862</v>
      </c>
      <c r="Z462" s="35">
        <v>32.197780999999999</v>
      </c>
      <c r="AA462" s="36">
        <f>IF(ISBLANK(Z463),"",Long6[[#This Row],[Adj Close]]/Z463-1)</f>
        <v>7.5871151473984932E-2</v>
      </c>
      <c r="AH462" s="29">
        <v>41862</v>
      </c>
      <c r="AI462" s="44">
        <v>51.38702</v>
      </c>
      <c r="AJ462" s="33">
        <f>IF(ISBLANK(AI463),"",Short0[[#This Row],[Adj Close]]/AI463-1)</f>
        <v>4.2564651171153045E-3</v>
      </c>
      <c r="AK462" s="37">
        <v>41862</v>
      </c>
      <c r="AL462" s="39">
        <v>22.042427</v>
      </c>
      <c r="AM462" s="36">
        <f>IF(ISBLANK(AL463),"",Short1[[#This Row],[Adj Close]]/AL463-1)</f>
        <v>-1.5846256035482065E-2</v>
      </c>
      <c r="AN462" s="29">
        <v>41862</v>
      </c>
      <c r="AO462" s="44">
        <v>34.104973000000001</v>
      </c>
      <c r="AP462" s="33">
        <f>IF(ISBLANK(AO463),"",Short2[[#This Row],[Adj Close]]/AO463-1)</f>
        <v>8.1878337749548002E-3</v>
      </c>
      <c r="AQ462" s="37">
        <v>41862</v>
      </c>
      <c r="AR462" s="39">
        <v>42.75</v>
      </c>
      <c r="AS462" s="36">
        <f>IF(ISBLANK(AR463),"",Short3[[#This Row],[Adj Close]]/AR463-1)</f>
        <v>4.0905770635500271E-2</v>
      </c>
    </row>
    <row r="463" spans="1:45" x14ac:dyDescent="0.25">
      <c r="A463" s="37">
        <v>41855</v>
      </c>
      <c r="B463" s="39">
        <v>1931.589966</v>
      </c>
      <c r="C463" s="36">
        <f>IF(ISBLANK(B464), "", GSPC[[#This Row],[Adj Close]]/B464-1)</f>
        <v>3.3451637117709598E-3</v>
      </c>
      <c r="D46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6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17390.951642</v>
      </c>
      <c r="F463" s="11" t="e">
        <f>IF(ISBLANK(GSPC[[#This Row],[Long Exp.]]), "", (GSPC[[#This Row],[Long Exp.]]/D464-1)+(E464/GSPC[[#This Row],[Short Exp.]]-1))</f>
        <v>#VALUE!</v>
      </c>
      <c r="G463" s="37">
        <v>41855</v>
      </c>
      <c r="H463">
        <v>41.984012999999997</v>
      </c>
      <c r="I463" s="36">
        <f>IF(ISBLANK(H464), "", Long0[[#This Row],[Adj Close]]/H464-1)</f>
        <v>-6.8657329669426281E-2</v>
      </c>
      <c r="J463" s="29">
        <v>41855</v>
      </c>
      <c r="K463">
        <v>10.631550000000001</v>
      </c>
      <c r="L463" s="33">
        <f>IF(ISBLANK(K464),"",Long1[[#This Row],[Adj Close]]/K464-1)</f>
        <v>1.0519370200792189E-2</v>
      </c>
      <c r="M463" s="37">
        <v>41855</v>
      </c>
      <c r="N463">
        <v>39.719600999999997</v>
      </c>
      <c r="O463" s="36">
        <f>IF(ISBLANK(N464),"",Long2[[#This Row],[Adj Close]]/N464-1)</f>
        <v>5.2125552410591247E-3</v>
      </c>
      <c r="P463" s="29">
        <v>41855</v>
      </c>
      <c r="Q463">
        <v>20.237801000000001</v>
      </c>
      <c r="R463" s="33">
        <f>IF(ISBLANK(Q464),"",Long3[[#This Row],[Adj Close]]/Q464-1)</f>
        <v>-4.2242895888702225E-3</v>
      </c>
      <c r="S463" s="37">
        <v>41855</v>
      </c>
      <c r="T463" s="35">
        <v>24.197223999999999</v>
      </c>
      <c r="U463" s="36">
        <f>IF(ISBLANK(T464),"",Long4[[#This Row],[Adj Close]]/T464-1)</f>
        <v>3.728058302199555E-2</v>
      </c>
      <c r="Y463" s="37">
        <v>41855</v>
      </c>
      <c r="Z463" s="35">
        <v>29.927171999999999</v>
      </c>
      <c r="AA463" s="36">
        <f>IF(ISBLANK(Z464),"",Long6[[#This Row],[Adj Close]]/Z464-1)</f>
        <v>1.0197375371956863E-2</v>
      </c>
      <c r="AH463" s="29">
        <v>41855</v>
      </c>
      <c r="AI463" s="44">
        <v>51.169220000000003</v>
      </c>
      <c r="AJ463" s="33">
        <f>IF(ISBLANK(AI464),"",Short0[[#This Row],[Adj Close]]/AI464-1)</f>
        <v>-6.3118848545442807E-2</v>
      </c>
      <c r="AK463" s="37">
        <v>41855</v>
      </c>
      <c r="AL463" s="39">
        <v>22.397341000000001</v>
      </c>
      <c r="AM463" s="36">
        <f>IF(ISBLANK(AL464),"",Short1[[#This Row],[Adj Close]]/AL464-1)</f>
        <v>1.6798045155278718E-2</v>
      </c>
      <c r="AN463" s="29">
        <v>41855</v>
      </c>
      <c r="AO463" s="44">
        <v>33.827995000000001</v>
      </c>
      <c r="AP463" s="33">
        <f>IF(ISBLANK(AO464),"",Short2[[#This Row],[Adj Close]]/AO464-1)</f>
        <v>1.3274078098078235E-2</v>
      </c>
      <c r="AQ463" s="37">
        <v>41855</v>
      </c>
      <c r="AR463" s="39">
        <v>41.07</v>
      </c>
      <c r="AS463" s="36">
        <f>IF(ISBLANK(AR464),"",Short3[[#This Row],[Adj Close]]/AR464-1)</f>
        <v>-7.2283713575785002E-2</v>
      </c>
    </row>
    <row r="464" spans="1:45" x14ac:dyDescent="0.25">
      <c r="A464" s="37">
        <v>41848</v>
      </c>
      <c r="B464" s="39">
        <v>1925.150024</v>
      </c>
      <c r="C464" s="36">
        <f>IF(ISBLANK(B465), "", GSPC[[#This Row],[Adj Close]]/B465-1)</f>
        <v>-2.6886148444720814E-2</v>
      </c>
      <c r="D46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6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18100.133558000001</v>
      </c>
      <c r="F464" s="11" t="e">
        <f>IF(ISBLANK(GSPC[[#This Row],[Long Exp.]]), "", (GSPC[[#This Row],[Long Exp.]]/D465-1)+(E465/GSPC[[#This Row],[Short Exp.]]-1))</f>
        <v>#VALUE!</v>
      </c>
      <c r="G464" s="37">
        <v>41848</v>
      </c>
      <c r="H464">
        <v>45.079017999999998</v>
      </c>
      <c r="I464" s="36">
        <f>IF(ISBLANK(H465), "", Long0[[#This Row],[Adj Close]]/H465-1)</f>
        <v>-4.8511800357048163E-2</v>
      </c>
      <c r="J464" s="29">
        <v>41848</v>
      </c>
      <c r="K464">
        <v>10.520877</v>
      </c>
      <c r="L464" s="33">
        <f>IF(ISBLANK(K465),"",Long1[[#This Row],[Adj Close]]/K465-1)</f>
        <v>0.14189190289214282</v>
      </c>
      <c r="M464" s="37">
        <v>41848</v>
      </c>
      <c r="N464">
        <v>39.513634000000003</v>
      </c>
      <c r="O464" s="36">
        <f>IF(ISBLANK(N465),"",Long2[[#This Row],[Adj Close]]/N465-1)</f>
        <v>-2.2505126799556185E-2</v>
      </c>
      <c r="P464" s="29">
        <v>41848</v>
      </c>
      <c r="Q464">
        <v>20.323654000000001</v>
      </c>
      <c r="R464" s="33">
        <f>IF(ISBLANK(Q465),"",Long3[[#This Row],[Adj Close]]/Q465-1)</f>
        <v>-8.6750216630437915E-3</v>
      </c>
      <c r="S464" s="37">
        <v>41848</v>
      </c>
      <c r="T464" s="35">
        <v>23.327559000000001</v>
      </c>
      <c r="U464" s="36">
        <f>IF(ISBLANK(T465),"",Long4[[#This Row],[Adj Close]]/T465-1)</f>
        <v>-4.3021877996766711E-2</v>
      </c>
      <c r="Y464" s="37">
        <v>41848</v>
      </c>
      <c r="Z464" s="35">
        <v>29.625074000000001</v>
      </c>
      <c r="AA464" s="36">
        <f>IF(ISBLANK(Z465),"",Long6[[#This Row],[Adj Close]]/Z465-1)</f>
        <v>1.4686075750365069E-2</v>
      </c>
      <c r="AH464" s="29">
        <v>41848</v>
      </c>
      <c r="AI464" s="44">
        <v>54.616554000000001</v>
      </c>
      <c r="AJ464" s="33">
        <f>IF(ISBLANK(AI465),"",Short0[[#This Row],[Adj Close]]/AI465-1)</f>
        <v>-5.7421920169494767E-3</v>
      </c>
      <c r="AK464" s="37">
        <v>41848</v>
      </c>
      <c r="AL464" s="39">
        <v>22.027325000000001</v>
      </c>
      <c r="AM464" s="36">
        <f>IF(ISBLANK(AL465),"",Short1[[#This Row],[Adj Close]]/AL465-1)</f>
        <v>-5.9941852711317356E-2</v>
      </c>
      <c r="AN464" s="29">
        <v>41848</v>
      </c>
      <c r="AO464" s="44">
        <v>33.384841999999999</v>
      </c>
      <c r="AP464" s="33">
        <f>IF(ISBLANK(AO465),"",Short2[[#This Row],[Adj Close]]/AO465-1)</f>
        <v>-5.9068378868748939E-2</v>
      </c>
      <c r="AQ464" s="37">
        <v>41848</v>
      </c>
      <c r="AR464" s="39">
        <v>44.27</v>
      </c>
      <c r="AS464" s="36">
        <f>IF(ISBLANK(AR465),"",Short3[[#This Row],[Adj Close]]/AR465-1)</f>
        <v>-7.5396844707668165E-2</v>
      </c>
    </row>
    <row r="465" spans="1:45" x14ac:dyDescent="0.25">
      <c r="A465" s="37">
        <v>41841</v>
      </c>
      <c r="B465" s="39">
        <v>1978.339966</v>
      </c>
      <c r="C465" s="36">
        <f>IF(ISBLANK(B466), "", GSPC[[#This Row],[Adj Close]]/B466-1)</f>
        <v>6.0658067231766921E-5</v>
      </c>
      <c r="D46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6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18791.599715</v>
      </c>
      <c r="F465" s="11" t="e">
        <f>IF(ISBLANK(GSPC[[#This Row],[Long Exp.]]), "", (GSPC[[#This Row],[Long Exp.]]/D466-1)+(E466/GSPC[[#This Row],[Short Exp.]]-1))</f>
        <v>#VALUE!</v>
      </c>
      <c r="G465" s="37">
        <v>41841</v>
      </c>
      <c r="H465">
        <v>47.377380000000002</v>
      </c>
      <c r="I465" s="36">
        <f>IF(ISBLANK(H466), "", Long0[[#This Row],[Adj Close]]/H466-1)</f>
        <v>-3.0828285766517638E-3</v>
      </c>
      <c r="J465" s="29">
        <v>41841</v>
      </c>
      <c r="K465">
        <v>9.2135490000000004</v>
      </c>
      <c r="L465" s="33">
        <f>IF(ISBLANK(K466),"",Long1[[#This Row],[Adj Close]]/K466-1)</f>
        <v>-2.0948207176395006E-2</v>
      </c>
      <c r="M465" s="37">
        <v>41841</v>
      </c>
      <c r="N465">
        <v>40.423366999999999</v>
      </c>
      <c r="O465" s="36">
        <f>IF(ISBLANK(N466),"",Long2[[#This Row],[Adj Close]]/N466-1)</f>
        <v>-1.443815609862753E-2</v>
      </c>
      <c r="P465" s="29">
        <v>41841</v>
      </c>
      <c r="Q465">
        <v>20.501505000000002</v>
      </c>
      <c r="R465" s="33">
        <f>IF(ISBLANK(Q466),"",Long3[[#This Row],[Adj Close]]/Q466-1)</f>
        <v>-1.2115394762234777E-2</v>
      </c>
      <c r="S465" s="37">
        <v>41841</v>
      </c>
      <c r="T465" s="35">
        <v>24.376272</v>
      </c>
      <c r="U465" s="36">
        <f>IF(ISBLANK(T466),"",Long4[[#This Row],[Adj Close]]/T466-1)</f>
        <v>-1.9547493396318116E-2</v>
      </c>
      <c r="Y465" s="37">
        <v>41841</v>
      </c>
      <c r="Z465" s="35">
        <v>29.196294999999999</v>
      </c>
      <c r="AA465" s="36">
        <f>IF(ISBLANK(Z466),"",Long6[[#This Row],[Adj Close]]/Z466-1)</f>
        <v>-1.5768778253254068E-2</v>
      </c>
      <c r="AH465" s="29">
        <v>41841</v>
      </c>
      <c r="AI465" s="44">
        <v>54.931984</v>
      </c>
      <c r="AJ465" s="33">
        <f>IF(ISBLANK(AI466),"",Short0[[#This Row],[Adj Close]]/AI466-1)</f>
        <v>4.1184735844670417E-3</v>
      </c>
      <c r="AK465" s="37">
        <v>41841</v>
      </c>
      <c r="AL465" s="39">
        <v>23.431875000000002</v>
      </c>
      <c r="AM465" s="36">
        <f>IF(ISBLANK(AL466),"",Short1[[#This Row],[Adj Close]]/AL466-1)</f>
        <v>3.1239751142106753E-2</v>
      </c>
      <c r="AN465" s="29">
        <v>41841</v>
      </c>
      <c r="AO465" s="44">
        <v>35.480625000000003</v>
      </c>
      <c r="AP465" s="33">
        <f>IF(ISBLANK(AO466),"",Short2[[#This Row],[Adj Close]]/AO466-1)</f>
        <v>-2.5361257578280005E-2</v>
      </c>
      <c r="AQ465" s="37">
        <v>41841</v>
      </c>
      <c r="AR465" s="39">
        <v>47.880001</v>
      </c>
      <c r="AS465" s="36">
        <f>IF(ISBLANK(AR466),"",Short3[[#This Row],[Adj Close]]/AR466-1)</f>
        <v>3.1229829851389113E-2</v>
      </c>
    </row>
    <row r="466" spans="1:45" x14ac:dyDescent="0.25">
      <c r="A466" s="37">
        <v>41834</v>
      </c>
      <c r="B466" s="39">
        <v>1978.219971</v>
      </c>
      <c r="C466" s="36">
        <f>IF(ISBLANK(B467), "", GSPC[[#This Row],[Adj Close]]/B467-1)</f>
        <v>5.4127808882480366E-3</v>
      </c>
      <c r="D46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6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18692.663249999998</v>
      </c>
      <c r="F466" s="11" t="e">
        <f>IF(ISBLANK(GSPC[[#This Row],[Long Exp.]]), "", (GSPC[[#This Row],[Long Exp.]]/D467-1)+(E467/GSPC[[#This Row],[Short Exp.]]-1))</f>
        <v>#VALUE!</v>
      </c>
      <c r="G466" s="37">
        <v>41834</v>
      </c>
      <c r="H466">
        <v>47.523887999999999</v>
      </c>
      <c r="I466" s="36">
        <f>IF(ISBLANK(H467), "", Long0[[#This Row],[Adj Close]]/H467-1)</f>
        <v>3.3864381143125399E-2</v>
      </c>
      <c r="J466" s="29">
        <v>41834</v>
      </c>
      <c r="K466">
        <v>9.4106860000000001</v>
      </c>
      <c r="L466" s="33">
        <f>IF(ISBLANK(K467),"",Long1[[#This Row],[Adj Close]]/K467-1)</f>
        <v>4.8005893830964652E-3</v>
      </c>
      <c r="M466" s="37">
        <v>41834</v>
      </c>
      <c r="N466">
        <v>41.015555999999997</v>
      </c>
      <c r="O466" s="36">
        <f>IF(ISBLANK(N467),"",Long2[[#This Row],[Adj Close]]/N467-1)</f>
        <v>1.1000766762758296E-2</v>
      </c>
      <c r="P466" s="29">
        <v>41834</v>
      </c>
      <c r="Q466">
        <v>20.752935000000001</v>
      </c>
      <c r="R466" s="33">
        <f>IF(ISBLANK(Q467),"",Long3[[#This Row],[Adj Close]]/Q467-1)</f>
        <v>2.9537075271401925E-4</v>
      </c>
      <c r="S466" s="37">
        <v>41834</v>
      </c>
      <c r="T466" s="35">
        <v>24.862266999999999</v>
      </c>
      <c r="U466" s="36">
        <f>IF(ISBLANK(T467),"",Long4[[#This Row],[Adj Close]]/T467-1)</f>
        <v>1.5673899871365249E-2</v>
      </c>
      <c r="Y466" s="37">
        <v>41834</v>
      </c>
      <c r="Z466" s="35">
        <v>29.664061</v>
      </c>
      <c r="AA466" s="36">
        <f>IF(ISBLANK(Z467),"",Long6[[#This Row],[Adj Close]]/Z467-1)</f>
        <v>-3.8837943725282598E-2</v>
      </c>
      <c r="AH466" s="29">
        <v>41834</v>
      </c>
      <c r="AI466" s="44">
        <v>54.706676000000002</v>
      </c>
      <c r="AJ466" s="33">
        <f>IF(ISBLANK(AI467),"",Short0[[#This Row],[Adj Close]]/AI467-1)</f>
        <v>-2.3592725293476335E-2</v>
      </c>
      <c r="AK466" s="37">
        <v>41834</v>
      </c>
      <c r="AL466" s="39">
        <v>22.722044</v>
      </c>
      <c r="AM466" s="36">
        <f>IF(ISBLANK(AL467),"",Short1[[#This Row],[Adj Close]]/AL467-1)</f>
        <v>6.691236229684927E-3</v>
      </c>
      <c r="AN466" s="29">
        <v>41834</v>
      </c>
      <c r="AO466" s="44">
        <v>36.403872999999997</v>
      </c>
      <c r="AP466" s="33">
        <f>IF(ISBLANK(AO467),"",Short2[[#This Row],[Adj Close]]/AO467-1)</f>
        <v>-1.9905169759806718E-2</v>
      </c>
      <c r="AQ466" s="37">
        <v>41834</v>
      </c>
      <c r="AR466" s="39">
        <v>46.43</v>
      </c>
      <c r="AS466" s="36">
        <f>IF(ISBLANK(AR467),"",Short3[[#This Row],[Adj Close]]/AR467-1)</f>
        <v>-1.7146527639859022E-2</v>
      </c>
    </row>
    <row r="467" spans="1:45" x14ac:dyDescent="0.25">
      <c r="A467" s="37">
        <v>41827</v>
      </c>
      <c r="B467" s="39">
        <v>1967.5699460000001</v>
      </c>
      <c r="C467" s="36">
        <f>IF(ISBLANK(B468), "", GSPC[[#This Row],[Adj Close]]/B468-1)</f>
        <v>-9.0005215624903157E-3</v>
      </c>
      <c r="D46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6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19040.605334</v>
      </c>
      <c r="F467" s="11" t="e">
        <f>IF(ISBLANK(GSPC[[#This Row],[Long Exp.]]), "", (GSPC[[#This Row],[Long Exp.]]/D468-1)+(E468/GSPC[[#This Row],[Short Exp.]]-1))</f>
        <v>#VALUE!</v>
      </c>
      <c r="G467" s="37">
        <v>41827</v>
      </c>
      <c r="H467">
        <v>45.967236</v>
      </c>
      <c r="I467" s="36">
        <f>IF(ISBLANK(H468), "", Long0[[#This Row],[Adj Close]]/H468-1)</f>
        <v>-3.0700716048852161E-2</v>
      </c>
      <c r="J467" s="29">
        <v>41827</v>
      </c>
      <c r="K467">
        <v>9.3657249999999994</v>
      </c>
      <c r="L467" s="33">
        <f>IF(ISBLANK(K468),"",Long1[[#This Row],[Adj Close]]/K468-1)</f>
        <v>-5.4799234815008924E-2</v>
      </c>
      <c r="M467" s="37">
        <v>41827</v>
      </c>
      <c r="N467">
        <v>40.569262999999999</v>
      </c>
      <c r="O467" s="36">
        <f>IF(ISBLANK(N468),"",Long2[[#This Row],[Adj Close]]/N468-1)</f>
        <v>-3.9032408148944819E-2</v>
      </c>
      <c r="P467" s="29">
        <v>41827</v>
      </c>
      <c r="Q467">
        <v>20.746807</v>
      </c>
      <c r="R467" s="33">
        <f>IF(ISBLANK(Q468),"",Long3[[#This Row],[Adj Close]]/Q468-1)</f>
        <v>-5.8772954531699506E-3</v>
      </c>
      <c r="S467" s="37">
        <v>41827</v>
      </c>
      <c r="T467" s="35">
        <v>24.478591999999999</v>
      </c>
      <c r="U467" s="36">
        <f>IF(ISBLANK(T468),"",Long4[[#This Row],[Adj Close]]/T468-1)</f>
        <v>-2.8097228901350024E-2</v>
      </c>
      <c r="Y467" s="37">
        <v>41827</v>
      </c>
      <c r="Z467" s="35">
        <v>30.862704999999998</v>
      </c>
      <c r="AA467" s="36">
        <f>IF(ISBLANK(Z468),"",Long6[[#This Row],[Adj Close]]/Z468-1)</f>
        <v>-1.247256859802337E-2</v>
      </c>
      <c r="AH467" s="29">
        <v>41827</v>
      </c>
      <c r="AI467" s="44">
        <v>56.028542000000002</v>
      </c>
      <c r="AJ467" s="33">
        <f>IF(ISBLANK(AI468),"",Short0[[#This Row],[Adj Close]]/AI468-1)</f>
        <v>-4.2853436291705571E-2</v>
      </c>
      <c r="AK467" s="37">
        <v>41827</v>
      </c>
      <c r="AL467" s="39">
        <v>22.571016</v>
      </c>
      <c r="AM467" s="36">
        <f>IF(ISBLANK(AL468),"",Short1[[#This Row],[Adj Close]]/AL468-1)</f>
        <v>-6.8847558270934694E-2</v>
      </c>
      <c r="AN467" s="29">
        <v>41827</v>
      </c>
      <c r="AO467" s="44">
        <v>37.143214999999998</v>
      </c>
      <c r="AP467" s="33">
        <f>IF(ISBLANK(AO468),"",Short2[[#This Row],[Adj Close]]/AO468-1)</f>
        <v>-3.9589707071772784E-2</v>
      </c>
      <c r="AQ467" s="37">
        <v>41827</v>
      </c>
      <c r="AR467" s="39">
        <v>47.240001999999997</v>
      </c>
      <c r="AS467" s="36">
        <f>IF(ISBLANK(AR468),"",Short3[[#This Row],[Adj Close]]/AR468-1)</f>
        <v>-0.12111624186046521</v>
      </c>
    </row>
    <row r="468" spans="1:45" x14ac:dyDescent="0.25">
      <c r="A468" s="37">
        <v>41820</v>
      </c>
      <c r="B468" s="39">
        <v>1985.4399410000001</v>
      </c>
      <c r="C468" s="36">
        <f>IF(ISBLANK(B469), "", GSPC[[#This Row],[Adj Close]]/B469-1)</f>
        <v>1.2483671511332783E-2</v>
      </c>
      <c r="D46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6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20258.928112000001</v>
      </c>
      <c r="F468" s="11" t="e">
        <f>IF(ISBLANK(GSPC[[#This Row],[Long Exp.]]), "", (GSPC[[#This Row],[Long Exp.]]/D469-1)+(E469/GSPC[[#This Row],[Short Exp.]]-1))</f>
        <v>#VALUE!</v>
      </c>
      <c r="G468" s="37">
        <v>41820</v>
      </c>
      <c r="H468">
        <v>47.423161</v>
      </c>
      <c r="I468" s="36">
        <f>IF(ISBLANK(H469), "", Long0[[#This Row],[Adj Close]]/H469-1)</f>
        <v>5.4358183645855096E-3</v>
      </c>
      <c r="J468" s="29">
        <v>41820</v>
      </c>
      <c r="K468">
        <v>9.9087150000000008</v>
      </c>
      <c r="L468" s="33">
        <f>IF(ISBLANK(K469),"",Long1[[#This Row],[Adj Close]]/K469-1)</f>
        <v>5.6159414958056875E-3</v>
      </c>
      <c r="M468" s="37">
        <v>41820</v>
      </c>
      <c r="N468">
        <v>42.217098</v>
      </c>
      <c r="O468" s="36">
        <f>IF(ISBLANK(N469),"",Long2[[#This Row],[Adj Close]]/N469-1)</f>
        <v>-1.0261680230749248E-2</v>
      </c>
      <c r="P468" s="29">
        <v>41820</v>
      </c>
      <c r="Q468">
        <v>20.869463</v>
      </c>
      <c r="R468" s="33">
        <f>IF(ISBLANK(Q469),"",Long3[[#This Row],[Adj Close]]/Q469-1)</f>
        <v>-3.2963987430710495E-2</v>
      </c>
      <c r="S468" s="37">
        <v>41820</v>
      </c>
      <c r="T468" s="35">
        <v>25.186256</v>
      </c>
      <c r="U468" s="36">
        <f>IF(ISBLANK(T469),"",Long4[[#This Row],[Adj Close]]/T469-1)</f>
        <v>1.0259853473297609E-2</v>
      </c>
      <c r="Y468" s="37">
        <v>41820</v>
      </c>
      <c r="Z468" s="35">
        <v>31.252503999999998</v>
      </c>
      <c r="AA468" s="36">
        <f>IF(ISBLANK(Z469),"",Long6[[#This Row],[Adj Close]]/Z469-1)</f>
        <v>1.7772134289955943E-2</v>
      </c>
      <c r="AH468" s="29">
        <v>41820</v>
      </c>
      <c r="AI468" s="44">
        <v>58.537056</v>
      </c>
      <c r="AJ468" s="33">
        <f>IF(ISBLANK(AI469),"",Short0[[#This Row],[Adj Close]]/AI469-1)</f>
        <v>2.6607320611472751E-2</v>
      </c>
      <c r="AK468" s="37">
        <v>41820</v>
      </c>
      <c r="AL468" s="39">
        <v>24.239871999999998</v>
      </c>
      <c r="AM468" s="36">
        <f>IF(ISBLANK(AL469),"",Short1[[#This Row],[Adj Close]]/AL469-1)</f>
        <v>3.414960051281124E-2</v>
      </c>
      <c r="AN468" s="29">
        <v>41820</v>
      </c>
      <c r="AO468" s="44">
        <v>38.674320000000002</v>
      </c>
      <c r="AP468" s="33">
        <f>IF(ISBLANK(AO469),"",Short2[[#This Row],[Adj Close]]/AO469-1)</f>
        <v>8.1751867287975788E-3</v>
      </c>
      <c r="AQ468" s="37">
        <v>41820</v>
      </c>
      <c r="AR468" s="39">
        <v>53.75</v>
      </c>
      <c r="AS468" s="36">
        <f>IF(ISBLANK(AR469),"",Short3[[#This Row],[Adj Close]]/AR469-1)</f>
        <v>-1.5207071630374824E-2</v>
      </c>
    </row>
    <row r="469" spans="1:45" x14ac:dyDescent="0.25">
      <c r="A469" s="37">
        <v>41813</v>
      </c>
      <c r="B469" s="39">
        <v>1960.959961</v>
      </c>
      <c r="C469" s="36">
        <f>IF(ISBLANK(B470), "", GSPC[[#This Row],[Adj Close]]/B470-1)</f>
        <v>-9.7308227486558874E-4</v>
      </c>
      <c r="D46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6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19961.576664999997</v>
      </c>
      <c r="F469" s="11" t="e">
        <f>IF(ISBLANK(GSPC[[#This Row],[Long Exp.]]), "", (GSPC[[#This Row],[Long Exp.]]/D470-1)+(E470/GSPC[[#This Row],[Short Exp.]]-1))</f>
        <v>#VALUE!</v>
      </c>
      <c r="G469" s="37">
        <v>41813</v>
      </c>
      <c r="H469">
        <v>47.166770999999997</v>
      </c>
      <c r="I469" s="36">
        <f>IF(ISBLANK(H470), "", Long0[[#This Row],[Adj Close]]/H470-1)</f>
        <v>7.629045270956647E-3</v>
      </c>
      <c r="J469" s="29">
        <v>41813</v>
      </c>
      <c r="K469">
        <v>9.8533790000000003</v>
      </c>
      <c r="L469" s="33">
        <f>IF(ISBLANK(K470),"",Long1[[#This Row],[Adj Close]]/K470-1)</f>
        <v>7.3069719514089027E-2</v>
      </c>
      <c r="M469" s="37">
        <v>41813</v>
      </c>
      <c r="N469">
        <v>42.654808000000003</v>
      </c>
      <c r="O469" s="36">
        <f>IF(ISBLANK(N470),"",Long2[[#This Row],[Adj Close]]/N470-1)</f>
        <v>-1.8562064891205932E-2</v>
      </c>
      <c r="P469" s="29">
        <v>41813</v>
      </c>
      <c r="Q469">
        <v>21.580853999999999</v>
      </c>
      <c r="R469" s="33">
        <f>IF(ISBLANK(Q470),"",Long3[[#This Row],[Adj Close]]/Q470-1)</f>
        <v>1.6464902285933336E-2</v>
      </c>
      <c r="S469" s="37">
        <v>41813</v>
      </c>
      <c r="T469" s="35">
        <v>24.930472999999999</v>
      </c>
      <c r="U469" s="36">
        <f>IF(ISBLANK(T470),"",Long4[[#This Row],[Adj Close]]/T470-1)</f>
        <v>4.6528188665345027E-2</v>
      </c>
      <c r="Y469" s="37">
        <v>41813</v>
      </c>
      <c r="Z469" s="35">
        <v>30.706779000000001</v>
      </c>
      <c r="AA469" s="36">
        <f>IF(ISBLANK(Z470),"",Long6[[#This Row],[Adj Close]]/Z470-1)</f>
        <v>6.3090423714880162E-2</v>
      </c>
      <c r="AH469" s="29">
        <v>41813</v>
      </c>
      <c r="AI469" s="44">
        <v>57.019908999999998</v>
      </c>
      <c r="AJ469" s="33">
        <f>IF(ISBLANK(AI470),"",Short0[[#This Row],[Adj Close]]/AI470-1)</f>
        <v>1.4180406191817818E-2</v>
      </c>
      <c r="AK469" s="37">
        <v>41813</v>
      </c>
      <c r="AL469" s="39">
        <v>23.439425</v>
      </c>
      <c r="AM469" s="36">
        <f>IF(ISBLANK(AL470),"",Short1[[#This Row],[Adj Close]]/AL470-1)</f>
        <v>9.6432684655557876E-2</v>
      </c>
      <c r="AN469" s="29">
        <v>41813</v>
      </c>
      <c r="AO469" s="44">
        <v>38.360714000000002</v>
      </c>
      <c r="AP469" s="33">
        <f>IF(ISBLANK(AO470),"",Short2[[#This Row],[Adj Close]]/AO470-1)</f>
        <v>2.236945916249744E-2</v>
      </c>
      <c r="AQ469" s="37">
        <v>41813</v>
      </c>
      <c r="AR469" s="39">
        <v>54.580002</v>
      </c>
      <c r="AS469" s="36">
        <f>IF(ISBLANK(AR470),"",Short3[[#This Row],[Adj Close]]/AR470-1)</f>
        <v>7.6528617819948463E-2</v>
      </c>
    </row>
    <row r="470" spans="1:45" x14ac:dyDescent="0.25">
      <c r="A470" s="37">
        <v>41806</v>
      </c>
      <c r="B470" s="39">
        <v>1962.869995</v>
      </c>
      <c r="C470" s="36">
        <f>IF(ISBLANK(B471), "", GSPC[[#This Row],[Adj Close]]/B471-1)</f>
        <v>1.3795327106726152E-2</v>
      </c>
      <c r="D47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7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19259.681342</v>
      </c>
      <c r="F470" s="11" t="e">
        <f>IF(ISBLANK(GSPC[[#This Row],[Long Exp.]]), "", (GSPC[[#This Row],[Long Exp.]]/D471-1)+(E471/GSPC[[#This Row],[Short Exp.]]-1))</f>
        <v>#VALUE!</v>
      </c>
      <c r="G470" s="37">
        <v>41806</v>
      </c>
      <c r="H470">
        <v>46.809657999999999</v>
      </c>
      <c r="I470" s="36">
        <f>IF(ISBLANK(H471), "", Long0[[#This Row],[Adj Close]]/H471-1)</f>
        <v>1.8326575041405668E-2</v>
      </c>
      <c r="J470" s="29">
        <v>41806</v>
      </c>
      <c r="K470">
        <v>9.1824220000000008</v>
      </c>
      <c r="L470" s="33">
        <f>IF(ISBLANK(K471),"",Long1[[#This Row],[Adj Close]]/K471-1)</f>
        <v>-3.3139103113997592E-2</v>
      </c>
      <c r="M470" s="37">
        <v>41806</v>
      </c>
      <c r="N470">
        <v>43.461544000000004</v>
      </c>
      <c r="O470" s="36">
        <f>IF(ISBLANK(N471),"",Long2[[#This Row],[Adj Close]]/N471-1)</f>
        <v>4.2404121595263078E-2</v>
      </c>
      <c r="P470" s="29">
        <v>41806</v>
      </c>
      <c r="Q470">
        <v>21.231283000000001</v>
      </c>
      <c r="R470" s="33">
        <f>IF(ISBLANK(Q471),"",Long3[[#This Row],[Adj Close]]/Q471-1)</f>
        <v>1.7337293249950925E-2</v>
      </c>
      <c r="S470" s="37">
        <v>41806</v>
      </c>
      <c r="T470" s="35">
        <v>23.822075000000002</v>
      </c>
      <c r="U470" s="36">
        <f>IF(ISBLANK(T471),"",Long4[[#This Row],[Adj Close]]/T471-1)</f>
        <v>2.3443360953013581E-2</v>
      </c>
      <c r="Y470" s="37">
        <v>41806</v>
      </c>
      <c r="Z470" s="35">
        <v>28.884447000000002</v>
      </c>
      <c r="AA470" s="36">
        <f>IF(ISBLANK(Z471),"",Long6[[#This Row],[Adj Close]]/Z471-1)</f>
        <v>-2.0489207948035215E-2</v>
      </c>
      <c r="AH470" s="29">
        <v>41806</v>
      </c>
      <c r="AI470" s="44">
        <v>56.222648999999997</v>
      </c>
      <c r="AJ470" s="33">
        <f>IF(ISBLANK(AI471),"",Short0[[#This Row],[Adj Close]]/AI471-1)</f>
        <v>2.168908104251277E-2</v>
      </c>
      <c r="AK470" s="37">
        <v>41806</v>
      </c>
      <c r="AL470" s="39">
        <v>21.377897000000001</v>
      </c>
      <c r="AM470" s="36">
        <f>IF(ISBLANK(AL471),"",Short1[[#This Row],[Adj Close]]/AL471-1)</f>
        <v>-5.6876725188803601E-3</v>
      </c>
      <c r="AN470" s="29">
        <v>41806</v>
      </c>
      <c r="AO470" s="44">
        <v>37.521380999999998</v>
      </c>
      <c r="AP470" s="33">
        <f>IF(ISBLANK(AO471),"",Short2[[#This Row],[Adj Close]]/AO471-1)</f>
        <v>1.2443995181462109E-2</v>
      </c>
      <c r="AQ470" s="37">
        <v>41806</v>
      </c>
      <c r="AR470" s="39">
        <v>50.700001</v>
      </c>
      <c r="AS470" s="36">
        <f>IF(ISBLANK(AR471),"",Short3[[#This Row],[Adj Close]]/AR471-1)</f>
        <v>7.4835767429966893E-2</v>
      </c>
    </row>
    <row r="471" spans="1:45" x14ac:dyDescent="0.25">
      <c r="A471" s="37">
        <v>41799</v>
      </c>
      <c r="B471" s="39">
        <v>1936.160034</v>
      </c>
      <c r="C471" s="36">
        <f>IF(ISBLANK(B472), "", GSPC[[#This Row],[Adj Close]]/B472-1)</f>
        <v>-6.8121652381800679E-3</v>
      </c>
      <c r="D47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7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18764.276996000001</v>
      </c>
      <c r="F471" s="11" t="e">
        <f>IF(ISBLANK(GSPC[[#This Row],[Long Exp.]]), "", (GSPC[[#This Row],[Long Exp.]]/D472-1)+(E472/GSPC[[#This Row],[Short Exp.]]-1))</f>
        <v>#VALUE!</v>
      </c>
      <c r="G471" s="37">
        <v>41799</v>
      </c>
      <c r="H471">
        <v>45.967236</v>
      </c>
      <c r="I471" s="36">
        <f>IF(ISBLANK(H472), "", Long0[[#This Row],[Adj Close]]/H472-1)</f>
        <v>9.451289717994138E-3</v>
      </c>
      <c r="J471" s="29">
        <v>41799</v>
      </c>
      <c r="K471">
        <v>9.4971490000000003</v>
      </c>
      <c r="L471" s="33">
        <f>IF(ISBLANK(K472),"",Long1[[#This Row],[Adj Close]]/K472-1)</f>
        <v>1.2910378515587517E-2</v>
      </c>
      <c r="M471" s="37">
        <v>41799</v>
      </c>
      <c r="N471">
        <v>41.693565</v>
      </c>
      <c r="O471" s="36">
        <f>IF(ISBLANK(N472),"",Long2[[#This Row],[Adj Close]]/N472-1)</f>
        <v>1.7418582757622314E-3</v>
      </c>
      <c r="P471" s="29">
        <v>41799</v>
      </c>
      <c r="Q471">
        <v>20.869463</v>
      </c>
      <c r="R471" s="33">
        <f>IF(ISBLANK(Q472),"",Long3[[#This Row],[Adj Close]]/Q472-1)</f>
        <v>-7.5728845196456618E-3</v>
      </c>
      <c r="S471" s="37">
        <v>41799</v>
      </c>
      <c r="T471" s="35">
        <v>23.276398</v>
      </c>
      <c r="U471" s="36">
        <f>IF(ISBLANK(T472),"",Long4[[#This Row],[Adj Close]]/T472-1)</f>
        <v>-2.1505533195748328E-2</v>
      </c>
      <c r="Y471" s="37">
        <v>41799</v>
      </c>
      <c r="Z471" s="35">
        <v>29.488645999999999</v>
      </c>
      <c r="AA471" s="36">
        <f>IF(ISBLANK(Z472),"",Long6[[#This Row],[Adj Close]]/Z472-1)</f>
        <v>8.5755380415306393E-2</v>
      </c>
      <c r="AH471" s="29">
        <v>41799</v>
      </c>
      <c r="AI471" s="44">
        <v>55.029117999999997</v>
      </c>
      <c r="AJ471" s="33">
        <f>IF(ISBLANK(AI472),"",Short0[[#This Row],[Adj Close]]/AI472-1)</f>
        <v>-9.1337437538457911E-3</v>
      </c>
      <c r="AK471" s="37">
        <v>41799</v>
      </c>
      <c r="AL471" s="39">
        <v>21.500183</v>
      </c>
      <c r="AM471" s="36">
        <f>IF(ISBLANK(AL472),"",Short1[[#This Row],[Adj Close]]/AL472-1)</f>
        <v>-1.3434340277916457E-2</v>
      </c>
      <c r="AN471" s="29">
        <v>41799</v>
      </c>
      <c r="AO471" s="44">
        <v>37.060203999999999</v>
      </c>
      <c r="AP471" s="33">
        <f>IF(ISBLANK(AO472),"",Short2[[#This Row],[Adj Close]]/AO472-1)</f>
        <v>-3.5988514852237197E-2</v>
      </c>
      <c r="AQ471" s="37">
        <v>41799</v>
      </c>
      <c r="AR471" s="39">
        <v>47.169998</v>
      </c>
      <c r="AS471" s="36">
        <f>IF(ISBLANK(AR472),"",Short3[[#This Row],[Adj Close]]/AR472-1)</f>
        <v>9.2403844372394683E-2</v>
      </c>
    </row>
    <row r="472" spans="1:45" x14ac:dyDescent="0.25">
      <c r="A472" s="37">
        <v>41792</v>
      </c>
      <c r="B472" s="39">
        <v>1949.4399410000001</v>
      </c>
      <c r="C472" s="36">
        <f>IF(ISBLANK(B473), "", GSPC[[#This Row],[Adj Close]]/B473-1)</f>
        <v>1.3448949467003146E-2</v>
      </c>
      <c r="D47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7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18745.881808999999</v>
      </c>
      <c r="F472" s="11" t="e">
        <f>IF(ISBLANK(GSPC[[#This Row],[Long Exp.]]), "", (GSPC[[#This Row],[Long Exp.]]/D473-1)+(E473/GSPC[[#This Row],[Short Exp.]]-1))</f>
        <v>#VALUE!</v>
      </c>
      <c r="G472" s="37">
        <v>41792</v>
      </c>
      <c r="H472">
        <v>45.536853999999998</v>
      </c>
      <c r="I472" s="36">
        <f>IF(ISBLANK(H473), "", Long0[[#This Row],[Adj Close]]/H473-1)</f>
        <v>-2.2071939170313915E-3</v>
      </c>
      <c r="J472" s="29">
        <v>41792</v>
      </c>
      <c r="K472">
        <v>9.3760999999999992</v>
      </c>
      <c r="L472" s="33">
        <f>IF(ISBLANK(K473),"",Long1[[#This Row],[Adj Close]]/K473-1)</f>
        <v>7.8790318006182858E-2</v>
      </c>
      <c r="M472" s="37">
        <v>41792</v>
      </c>
      <c r="N472">
        <v>41.621066999999996</v>
      </c>
      <c r="O472" s="36">
        <f>IF(ISBLANK(N473),"",Long2[[#This Row],[Adj Close]]/N473-1)</f>
        <v>-2.5004891248432193E-2</v>
      </c>
      <c r="P472" s="29">
        <v>41792</v>
      </c>
      <c r="Q472">
        <v>21.028711000000001</v>
      </c>
      <c r="R472" s="33">
        <f>IF(ISBLANK(Q473),"",Long3[[#This Row],[Adj Close]]/Q473-1)</f>
        <v>-1.2254153988917604E-2</v>
      </c>
      <c r="S472" s="37">
        <v>41792</v>
      </c>
      <c r="T472" s="35">
        <v>23.787970999999999</v>
      </c>
      <c r="U472" s="36">
        <f>IF(ISBLANK(T473),"",Long4[[#This Row],[Adj Close]]/T473-1)</f>
        <v>5.7619527091262945E-2</v>
      </c>
      <c r="Y472" s="37">
        <v>41792</v>
      </c>
      <c r="Z472" s="35">
        <v>27.159566999999999</v>
      </c>
      <c r="AA472" s="36">
        <f>IF(ISBLANK(Z473),"",Long6[[#This Row],[Adj Close]]/Z473-1)</f>
        <v>6.5366827807929573E-2</v>
      </c>
      <c r="AH472" s="29">
        <v>41792</v>
      </c>
      <c r="AI472" s="44">
        <v>55.536372999999998</v>
      </c>
      <c r="AJ472" s="33">
        <f>IF(ISBLANK(AI473),"",Short0[[#This Row],[Adj Close]]/AI473-1)</f>
        <v>-2.7051384765008679E-2</v>
      </c>
      <c r="AK472" s="37">
        <v>41792</v>
      </c>
      <c r="AL472" s="39">
        <v>21.792957000000001</v>
      </c>
      <c r="AM472" s="36">
        <f>IF(ISBLANK(AL473),"",Short1[[#This Row],[Adj Close]]/AL473-1)</f>
        <v>4.9529783915776227E-2</v>
      </c>
      <c r="AN472" s="29">
        <v>41792</v>
      </c>
      <c r="AO472" s="44">
        <v>38.443736999999999</v>
      </c>
      <c r="AP472" s="33">
        <f>IF(ISBLANK(AO473),"",Short2[[#This Row],[Adj Close]]/AO473-1)</f>
        <v>1.9071106249757941E-2</v>
      </c>
      <c r="AQ472" s="37">
        <v>41792</v>
      </c>
      <c r="AR472" s="39">
        <v>43.18</v>
      </c>
      <c r="AS472" s="36">
        <f>IF(ISBLANK(AR473),"",Short3[[#This Row],[Adj Close]]/AR473-1)</f>
        <v>3.153365906513006E-2</v>
      </c>
    </row>
    <row r="473" spans="1:45" x14ac:dyDescent="0.25">
      <c r="A473" s="37">
        <v>41785</v>
      </c>
      <c r="B473" s="39">
        <v>1923.5699460000001</v>
      </c>
      <c r="C473" s="36">
        <f>IF(ISBLANK(B474), "", GSPC[[#This Row],[Adj Close]]/B474-1)</f>
        <v>1.2122890271890618E-2</v>
      </c>
      <c r="D47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7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18721.698356000001</v>
      </c>
      <c r="F473" s="11" t="e">
        <f>IF(ISBLANK(GSPC[[#This Row],[Long Exp.]]), "", (GSPC[[#This Row],[Long Exp.]]/D474-1)+(E474/GSPC[[#This Row],[Short Exp.]]-1))</f>
        <v>#VALUE!</v>
      </c>
      <c r="G473" s="37">
        <v>41785</v>
      </c>
      <c r="H473">
        <v>45.637585000000001</v>
      </c>
      <c r="I473" s="36">
        <f>IF(ISBLANK(H474), "", Long0[[#This Row],[Adj Close]]/H474-1)</f>
        <v>3.7900897643023734E-2</v>
      </c>
      <c r="J473" s="29">
        <v>41785</v>
      </c>
      <c r="K473">
        <v>8.6913090000000004</v>
      </c>
      <c r="L473" s="33">
        <f>IF(ISBLANK(K474),"",Long1[[#This Row],[Adj Close]]/K474-1)</f>
        <v>3.245678797493734E-2</v>
      </c>
      <c r="M473" s="37">
        <v>41785</v>
      </c>
      <c r="N473">
        <v>42.688488</v>
      </c>
      <c r="O473" s="36">
        <f>IF(ISBLANK(N474),"",Long2[[#This Row],[Adj Close]]/N474-1)</f>
        <v>9.287165751037163E-3</v>
      </c>
      <c r="P473" s="29">
        <v>41785</v>
      </c>
      <c r="Q473">
        <v>21.289597000000001</v>
      </c>
      <c r="R473" s="33">
        <f>IF(ISBLANK(Q474),"",Long3[[#This Row],[Adj Close]]/Q474-1)</f>
        <v>5.1228120869722282E-2</v>
      </c>
      <c r="S473" s="37">
        <v>41785</v>
      </c>
      <c r="T473" s="35">
        <v>22.491993000000001</v>
      </c>
      <c r="U473" s="36">
        <f>IF(ISBLANK(T474),"",Long4[[#This Row],[Adj Close]]/T474-1)</f>
        <v>1.0727910362085424E-2</v>
      </c>
      <c r="Y473" s="37">
        <v>41785</v>
      </c>
      <c r="Z473" s="35">
        <v>25.49316</v>
      </c>
      <c r="AA473" s="36">
        <f>IF(ISBLANK(Z474),"",Long6[[#This Row],[Adj Close]]/Z474-1)</f>
        <v>6.4713260940692185E-2</v>
      </c>
      <c r="AH473" s="29">
        <v>41785</v>
      </c>
      <c r="AI473" s="44">
        <v>57.080478999999997</v>
      </c>
      <c r="AJ473" s="33">
        <f>IF(ISBLANK(AI474),"",Short0[[#This Row],[Adj Close]]/AI474-1)</f>
        <v>2.1628415135258372E-2</v>
      </c>
      <c r="AK473" s="37">
        <v>41785</v>
      </c>
      <c r="AL473" s="39">
        <v>20.764496000000001</v>
      </c>
      <c r="AM473" s="36">
        <f>IF(ISBLANK(AL474),"",Short1[[#This Row],[Adj Close]]/AL474-1)</f>
        <v>2.4065103023745982E-2</v>
      </c>
      <c r="AN473" s="29">
        <v>41785</v>
      </c>
      <c r="AO473" s="44">
        <v>37.724293000000003</v>
      </c>
      <c r="AP473" s="33">
        <f>IF(ISBLANK(AO474),"",Short2[[#This Row],[Adj Close]]/AO474-1)</f>
        <v>8.8801031101475303E-3</v>
      </c>
      <c r="AQ473" s="37">
        <v>41785</v>
      </c>
      <c r="AR473" s="39">
        <v>41.860000999999997</v>
      </c>
      <c r="AS473" s="36">
        <f>IF(ISBLANK(AR474),"",Short3[[#This Row],[Adj Close]]/AR474-1)</f>
        <v>-8.9802148736588427E-2</v>
      </c>
    </row>
    <row r="474" spans="1:45" x14ac:dyDescent="0.25">
      <c r="A474" s="37">
        <v>41778</v>
      </c>
      <c r="B474" s="39">
        <v>1900.530029</v>
      </c>
      <c r="C474" s="36">
        <f>IF(ISBLANK(B475), "", GSPC[[#This Row],[Adj Close]]/B475-1)</f>
        <v>1.2072275984942538E-2</v>
      </c>
      <c r="D47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7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18742.141727000002</v>
      </c>
      <c r="F474" s="11" t="e">
        <f>IF(ISBLANK(GSPC[[#This Row],[Long Exp.]]), "", (GSPC[[#This Row],[Long Exp.]]/D475-1)+(E475/GSPC[[#This Row],[Short Exp.]]-1))</f>
        <v>#VALUE!</v>
      </c>
      <c r="G474" s="37">
        <v>41778</v>
      </c>
      <c r="H474">
        <v>43.971043000000002</v>
      </c>
      <c r="I474" s="36">
        <f>IF(ISBLANK(H475), "", Long0[[#This Row],[Adj Close]]/H475-1)</f>
        <v>2.2572597676506101E-2</v>
      </c>
      <c r="J474" s="29">
        <v>41778</v>
      </c>
      <c r="K474">
        <v>8.4180849999999996</v>
      </c>
      <c r="L474" s="33">
        <f>IF(ISBLANK(K475),"",Long1[[#This Row],[Adj Close]]/K475-1)</f>
        <v>4.4187100859541584E-2</v>
      </c>
      <c r="M474" s="37">
        <v>41778</v>
      </c>
      <c r="N474">
        <v>42.295681000000002</v>
      </c>
      <c r="O474" s="36">
        <f>IF(ISBLANK(N475),"",Long2[[#This Row],[Adj Close]]/N475-1)</f>
        <v>4.4616425204340171E-3</v>
      </c>
      <c r="P474" s="29">
        <v>41778</v>
      </c>
      <c r="Q474">
        <v>20.252119</v>
      </c>
      <c r="R474" s="33">
        <f>IF(ISBLANK(Q475),"",Long3[[#This Row],[Adj Close]]/Q475-1)</f>
        <v>-2.2261240779500202E-2</v>
      </c>
      <c r="S474" s="37">
        <v>41778</v>
      </c>
      <c r="T474" s="35">
        <v>22.253261999999999</v>
      </c>
      <c r="U474" s="36">
        <f>IF(ISBLANK(T475),"",Long4[[#This Row],[Adj Close]]/T475-1)</f>
        <v>-2.2935813750629697E-3</v>
      </c>
      <c r="Y474" s="37">
        <v>41778</v>
      </c>
      <c r="Z474" s="35">
        <v>23.943686</v>
      </c>
      <c r="AA474" s="36">
        <f>IF(ISBLANK(Z475),"",Long6[[#This Row],[Adj Close]]/Z475-1)</f>
        <v>-4.8412263545091538E-2</v>
      </c>
      <c r="AH474" s="29">
        <v>41778</v>
      </c>
      <c r="AI474" s="44">
        <v>55.872055000000003</v>
      </c>
      <c r="AJ474" s="33">
        <f>IF(ISBLANK(AI475),"",Short0[[#This Row],[Adj Close]]/AI475-1)</f>
        <v>2.3783632835988167E-2</v>
      </c>
      <c r="AK474" s="37">
        <v>41778</v>
      </c>
      <c r="AL474" s="39">
        <v>20.276539</v>
      </c>
      <c r="AM474" s="36">
        <f>IF(ISBLANK(AL475),"",Short1[[#This Row],[Adj Close]]/AL475-1)</f>
        <v>5.9631314962488968E-2</v>
      </c>
      <c r="AN474" s="29">
        <v>41778</v>
      </c>
      <c r="AO474" s="44">
        <v>37.392246</v>
      </c>
      <c r="AP474" s="33">
        <f>IF(ISBLANK(AO475),"",Short2[[#This Row],[Adj Close]]/AO475-1)</f>
        <v>5.2166986288799899E-2</v>
      </c>
      <c r="AQ474" s="37">
        <v>41778</v>
      </c>
      <c r="AR474" s="39">
        <v>45.990001999999997</v>
      </c>
      <c r="AS474" s="36">
        <f>IF(ISBLANK(AR475),"",Short3[[#This Row],[Adj Close]]/AR475-1)</f>
        <v>5.0959874358312174E-2</v>
      </c>
    </row>
    <row r="475" spans="1:45" x14ac:dyDescent="0.25">
      <c r="A475" s="37">
        <v>41771</v>
      </c>
      <c r="B475" s="39">
        <v>1877.8599850000001</v>
      </c>
      <c r="C475" s="36">
        <f>IF(ISBLANK(B476), "", GSPC[[#This Row],[Adj Close]]/B476-1)</f>
        <v>-3.3005142807007726E-4</v>
      </c>
      <c r="D47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7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18044.040223</v>
      </c>
      <c r="F475" s="11" t="e">
        <f>IF(ISBLANK(GSPC[[#This Row],[Long Exp.]]), "", (GSPC[[#This Row],[Long Exp.]]/D476-1)+(E476/GSPC[[#This Row],[Short Exp.]]-1))</f>
        <v>#VALUE!</v>
      </c>
      <c r="G475" s="37">
        <v>41771</v>
      </c>
      <c r="H475">
        <v>43.000411999999997</v>
      </c>
      <c r="I475" s="36">
        <f>IF(ISBLANK(H476), "", Long0[[#This Row],[Adj Close]]/H476-1)</f>
        <v>1.7771805960303366E-2</v>
      </c>
      <c r="J475" s="29">
        <v>41771</v>
      </c>
      <c r="K475">
        <v>8.0618549999999995</v>
      </c>
      <c r="L475" s="33">
        <f>IF(ISBLANK(K476),"",Long1[[#This Row],[Adj Close]]/K476-1)</f>
        <v>-1.852634839094236E-2</v>
      </c>
      <c r="M475" s="37">
        <v>41771</v>
      </c>
      <c r="N475">
        <v>42.107810999999998</v>
      </c>
      <c r="O475" s="36">
        <f>IF(ISBLANK(N476),"",Long2[[#This Row],[Adj Close]]/N476-1)</f>
        <v>1.7540325182293204E-2</v>
      </c>
      <c r="P475" s="29">
        <v>41771</v>
      </c>
      <c r="Q475">
        <v>20.713221000000001</v>
      </c>
      <c r="R475" s="33">
        <f>IF(ISBLANK(Q476),"",Long3[[#This Row],[Adj Close]]/Q476-1)</f>
        <v>1.51652195256049E-2</v>
      </c>
      <c r="S475" s="37">
        <v>41771</v>
      </c>
      <c r="T475" s="35">
        <v>22.304418999999999</v>
      </c>
      <c r="U475" s="36">
        <f>IF(ISBLANK(T476),"",Long4[[#This Row],[Adj Close]]/T476-1)</f>
        <v>3.3175310445885176E-2</v>
      </c>
      <c r="Y475" s="37">
        <v>41771</v>
      </c>
      <c r="Z475" s="35">
        <v>25.161826999999999</v>
      </c>
      <c r="AA475" s="36">
        <f>IF(ISBLANK(Z476),"",Long6[[#This Row],[Adj Close]]/Z476-1)</f>
        <v>-9.8778263436711478E-2</v>
      </c>
      <c r="AH475" s="29">
        <v>41771</v>
      </c>
      <c r="AI475" s="44">
        <v>54.574084999999997</v>
      </c>
      <c r="AJ475" s="33">
        <f>IF(ISBLANK(AI476),"",Short0[[#This Row],[Adj Close]]/AI476-1)</f>
        <v>-2.0353808003790719E-2</v>
      </c>
      <c r="AK475" s="37">
        <v>41771</v>
      </c>
      <c r="AL475" s="39">
        <v>19.135466000000001</v>
      </c>
      <c r="AM475" s="36">
        <f>IF(ISBLANK(AL476),"",Short1[[#This Row],[Adj Close]]/AL476-1)</f>
        <v>-1.6589704543666151E-2</v>
      </c>
      <c r="AN475" s="29">
        <v>41771</v>
      </c>
      <c r="AO475" s="44">
        <v>35.538319000000001</v>
      </c>
      <c r="AP475" s="33">
        <f>IF(ISBLANK(AO476),"",Short2[[#This Row],[Adj Close]]/AO476-1)</f>
        <v>3.3853575887006215E-3</v>
      </c>
      <c r="AQ475" s="37">
        <v>41771</v>
      </c>
      <c r="AR475" s="39">
        <v>43.759998000000003</v>
      </c>
      <c r="AS475" s="36">
        <f>IF(ISBLANK(AR476),"",Short3[[#This Row],[Adj Close]]/AR476-1)</f>
        <v>-5.8924774193548357E-2</v>
      </c>
    </row>
    <row r="476" spans="1:45" x14ac:dyDescent="0.25">
      <c r="A476" s="37">
        <v>41764</v>
      </c>
      <c r="B476" s="39">
        <v>1878.4799800000001</v>
      </c>
      <c r="C476" s="36">
        <f>IF(ISBLANK(B477), "", GSPC[[#This Row],[Adj Close]]/B477-1)</f>
        <v>-1.4140547640202339E-3</v>
      </c>
      <c r="D47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7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18444.430587999999</v>
      </c>
      <c r="F476" s="11" t="e">
        <f>IF(ISBLANK(GSPC[[#This Row],[Long Exp.]]), "", (GSPC[[#This Row],[Long Exp.]]/D477-1)+(E477/GSPC[[#This Row],[Short Exp.]]-1))</f>
        <v>#VALUE!</v>
      </c>
      <c r="G476" s="37">
        <v>41764</v>
      </c>
      <c r="H476">
        <v>42.249561</v>
      </c>
      <c r="I476" s="36">
        <f>IF(ISBLANK(H477), "", Long0[[#This Row],[Adj Close]]/H477-1)</f>
        <v>-7.3865993571050614E-2</v>
      </c>
      <c r="J476" s="29">
        <v>41764</v>
      </c>
      <c r="K476">
        <v>8.2140310000000003</v>
      </c>
      <c r="L476" s="33">
        <f>IF(ISBLANK(K477),"",Long1[[#This Row],[Adj Close]]/K477-1)</f>
        <v>-0.10275786766088968</v>
      </c>
      <c r="M476" s="37">
        <v>41764</v>
      </c>
      <c r="N476">
        <v>41.381957999999997</v>
      </c>
      <c r="O476" s="36">
        <f>IF(ISBLANK(N477),"",Long2[[#This Row],[Adj Close]]/N477-1)</f>
        <v>-2.9441432212107488E-2</v>
      </c>
      <c r="P476" s="29">
        <v>41764</v>
      </c>
      <c r="Q476">
        <v>20.403793</v>
      </c>
      <c r="R476" s="33">
        <f>IF(ISBLANK(Q477),"",Long3[[#This Row],[Adj Close]]/Q477-1)</f>
        <v>-5.0296155910182216E-3</v>
      </c>
      <c r="S476" s="37">
        <v>41764</v>
      </c>
      <c r="T476" s="35">
        <v>21.588222999999999</v>
      </c>
      <c r="U476" s="36">
        <f>IF(ISBLANK(T477),"",Long4[[#This Row],[Adj Close]]/T477-1)</f>
        <v>3.8556417642768626E-2</v>
      </c>
      <c r="Y476" s="37">
        <v>41764</v>
      </c>
      <c r="Z476" s="35">
        <v>27.919685000000001</v>
      </c>
      <c r="AA476" s="36">
        <f>IF(ISBLANK(Z477),"",Long6[[#This Row],[Adj Close]]/Z477-1)</f>
        <v>9.2677172244810091E-2</v>
      </c>
      <c r="AH476" s="29">
        <v>41764</v>
      </c>
      <c r="AI476" s="44">
        <v>55.707954000000001</v>
      </c>
      <c r="AJ476" s="33">
        <f>IF(ISBLANK(AI477),"",Short0[[#This Row],[Adj Close]]/AI477-1)</f>
        <v>-7.3448679321484023E-2</v>
      </c>
      <c r="AK476" s="37">
        <v>41764</v>
      </c>
      <c r="AL476" s="39">
        <v>19.458272999999998</v>
      </c>
      <c r="AM476" s="36">
        <f>IF(ISBLANK(AL477),"",Short1[[#This Row],[Adj Close]]/AL477-1)</f>
        <v>-8.7950503409722769E-3</v>
      </c>
      <c r="AN476" s="29">
        <v>41764</v>
      </c>
      <c r="AO476" s="44">
        <v>35.418415000000003</v>
      </c>
      <c r="AP476" s="33">
        <f>IF(ISBLANK(AO477),"",Short2[[#This Row],[Adj Close]]/AO477-1)</f>
        <v>-3.7111157442279774E-2</v>
      </c>
      <c r="AQ476" s="37">
        <v>41764</v>
      </c>
      <c r="AR476" s="39">
        <v>46.5</v>
      </c>
      <c r="AS476" s="36">
        <f>IF(ISBLANK(AR477),"",Short3[[#This Row],[Adj Close]]/AR477-1)</f>
        <v>-0.15254235743652922</v>
      </c>
    </row>
    <row r="477" spans="1:45" x14ac:dyDescent="0.25">
      <c r="A477" s="37">
        <v>41757</v>
      </c>
      <c r="B477" s="39">
        <v>1881.1400149999999</v>
      </c>
      <c r="C477" s="36">
        <f>IF(ISBLANK(B478), "", GSPC[[#This Row],[Adj Close]]/B478-1)</f>
        <v>9.5202268817831115E-3</v>
      </c>
      <c r="D47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7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19952.216380000002</v>
      </c>
      <c r="F477" s="11" t="e">
        <f>IF(ISBLANK(GSPC[[#This Row],[Long Exp.]]), "", (GSPC[[#This Row],[Long Exp.]]/D478-1)+(E478/GSPC[[#This Row],[Short Exp.]]-1))</f>
        <v>#VALUE!</v>
      </c>
      <c r="G477" s="37">
        <v>41757</v>
      </c>
      <c r="H477">
        <v>45.619273999999997</v>
      </c>
      <c r="I477" s="36">
        <f>IF(ISBLANK(H478), "", Long0[[#This Row],[Adj Close]]/H478-1)</f>
        <v>-4.3761819539346658E-2</v>
      </c>
      <c r="J477" s="29">
        <v>41757</v>
      </c>
      <c r="K477">
        <v>9.1547540000000005</v>
      </c>
      <c r="L477" s="33">
        <f>IF(ISBLANK(K478),"",Long1[[#This Row],[Adj Close]]/K478-1)</f>
        <v>-1.8175028436688945E-2</v>
      </c>
      <c r="M477" s="37">
        <v>41757</v>
      </c>
      <c r="N477">
        <v>42.637259999999998</v>
      </c>
      <c r="O477" s="36">
        <f>IF(ISBLANK(N478),"",Long2[[#This Row],[Adj Close]]/N478-1)</f>
        <v>1.0320121213979627E-2</v>
      </c>
      <c r="P477" s="29">
        <v>41757</v>
      </c>
      <c r="Q477">
        <v>20.506934999999999</v>
      </c>
      <c r="R477" s="33">
        <f>IF(ISBLANK(Q478),"",Long3[[#This Row],[Adj Close]]/Q478-1)</f>
        <v>7.4513414492696217E-3</v>
      </c>
      <c r="S477" s="37">
        <v>41757</v>
      </c>
      <c r="T477" s="35">
        <v>20.786760000000001</v>
      </c>
      <c r="U477" s="36">
        <f>IF(ISBLANK(T478),"",Long4[[#This Row],[Adj Close]]/T478-1)</f>
        <v>3.3927046196435606E-2</v>
      </c>
      <c r="Y477" s="37">
        <v>41757</v>
      </c>
      <c r="Z477" s="35">
        <v>25.551632000000001</v>
      </c>
      <c r="AA477" s="36">
        <f>IF(ISBLANK(Z478),"",Long6[[#This Row],[Adj Close]]/Z478-1)</f>
        <v>-7.2186842300101972E-2</v>
      </c>
      <c r="AH477" s="29">
        <v>41757</v>
      </c>
      <c r="AI477" s="44">
        <v>60.123981000000001</v>
      </c>
      <c r="AJ477" s="33">
        <f>IF(ISBLANK(AI478),"",Short0[[#This Row],[Adj Close]]/AI478-1)</f>
        <v>4.6753058002697356E-2</v>
      </c>
      <c r="AK477" s="37">
        <v>41757</v>
      </c>
      <c r="AL477" s="39">
        <v>19.630928000000001</v>
      </c>
      <c r="AM477" s="36">
        <f>IF(ISBLANK(AL478),"",Short1[[#This Row],[Adj Close]]/AL478-1)</f>
        <v>7.2600590345007765E-2</v>
      </c>
      <c r="AN477" s="29">
        <v>41757</v>
      </c>
      <c r="AO477" s="44">
        <v>36.783493</v>
      </c>
      <c r="AP477" s="33">
        <f>IF(ISBLANK(AO478),"",Short2[[#This Row],[Adj Close]]/AO478-1)</f>
        <v>3.3975258180439782E-2</v>
      </c>
      <c r="AQ477" s="37">
        <v>41757</v>
      </c>
      <c r="AR477" s="39">
        <v>54.869999</v>
      </c>
      <c r="AS477" s="36">
        <f>IF(ISBLANK(AR478),"",Short3[[#This Row],[Adj Close]]/AR478-1)</f>
        <v>-1.3129478889549628E-2</v>
      </c>
    </row>
    <row r="478" spans="1:45" x14ac:dyDescent="0.25">
      <c r="A478" s="37">
        <v>41750</v>
      </c>
      <c r="B478" s="39">
        <v>1863.400024</v>
      </c>
      <c r="C478" s="36">
        <f>IF(ISBLANK(B479), "", GSPC[[#This Row],[Adj Close]]/B479-1)</f>
        <v>-7.7751670035675069E-4</v>
      </c>
      <c r="D47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7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19302.914282999998</v>
      </c>
      <c r="F478" s="11" t="e">
        <f>IF(ISBLANK(GSPC[[#This Row],[Long Exp.]]), "", (GSPC[[#This Row],[Long Exp.]]/D479-1)+(E479/GSPC[[#This Row],[Short Exp.]]-1))</f>
        <v>#VALUE!</v>
      </c>
      <c r="G478" s="37">
        <v>41750</v>
      </c>
      <c r="H478">
        <v>47.70702</v>
      </c>
      <c r="I478" s="36">
        <f>IF(ISBLANK(H479), "", Long0[[#This Row],[Adj Close]]/H479-1)</f>
        <v>0.11040051280386209</v>
      </c>
      <c r="J478" s="29">
        <v>41750</v>
      </c>
      <c r="K478">
        <v>9.3242220000000007</v>
      </c>
      <c r="L478" s="33">
        <f>IF(ISBLANK(K479),"",Long1[[#This Row],[Adj Close]]/K479-1)</f>
        <v>-3.2651588881733806E-2</v>
      </c>
      <c r="M478" s="37">
        <v>41750</v>
      </c>
      <c r="N478">
        <v>42.201732999999997</v>
      </c>
      <c r="O478" s="36">
        <f>IF(ISBLANK(N479),"",Long2[[#This Row],[Adj Close]]/N479-1)</f>
        <v>1.4367858569660941E-2</v>
      </c>
      <c r="P478" s="29">
        <v>41750</v>
      </c>
      <c r="Q478">
        <v>20.355260999999999</v>
      </c>
      <c r="R478" s="33">
        <f>IF(ISBLANK(Q479),"",Long3[[#This Row],[Adj Close]]/Q479-1)</f>
        <v>1.2371866101449802E-2</v>
      </c>
      <c r="S478" s="37">
        <v>41750</v>
      </c>
      <c r="T478" s="35">
        <v>20.104668</v>
      </c>
      <c r="U478" s="36">
        <f>IF(ISBLANK(T479),"",Long4[[#This Row],[Adj Close]]/T479-1)</f>
        <v>-3.7943779386744869E-2</v>
      </c>
      <c r="Y478" s="37">
        <v>41750</v>
      </c>
      <c r="Z478" s="35">
        <v>27.539631</v>
      </c>
      <c r="AA478" s="36">
        <f>IF(ISBLANK(Z479),"",Long6[[#This Row],[Adj Close]]/Z479-1)</f>
        <v>-3.9428868981399634E-2</v>
      </c>
      <c r="AH478" s="29">
        <v>41750</v>
      </c>
      <c r="AI478" s="44">
        <v>57.438552999999999</v>
      </c>
      <c r="AJ478" s="33">
        <f>IF(ISBLANK(AI479),"",Short0[[#This Row],[Adj Close]]/AI479-1)</f>
        <v>7.0625370732482207E-3</v>
      </c>
      <c r="AK478" s="37">
        <v>41750</v>
      </c>
      <c r="AL478" s="39">
        <v>18.302178999999999</v>
      </c>
      <c r="AM478" s="36">
        <f>IF(ISBLANK(AL479),"",Short1[[#This Row],[Adj Close]]/AL479-1)</f>
        <v>-4.0852131662326707E-3</v>
      </c>
      <c r="AN478" s="29">
        <v>41750</v>
      </c>
      <c r="AO478" s="44">
        <v>35.574829000000001</v>
      </c>
      <c r="AP478" s="33">
        <f>IF(ISBLANK(AO479),"",Short2[[#This Row],[Adj Close]]/AO479-1)</f>
        <v>1.0204061349369908E-2</v>
      </c>
      <c r="AQ478" s="37">
        <v>41750</v>
      </c>
      <c r="AR478" s="39">
        <v>55.599997999999999</v>
      </c>
      <c r="AS478" s="36">
        <f>IF(ISBLANK(AR479),"",Short3[[#This Row],[Adj Close]]/AR479-1)</f>
        <v>-0.15552853314268122</v>
      </c>
    </row>
    <row r="479" spans="1:45" x14ac:dyDescent="0.25">
      <c r="A479" s="37">
        <v>41743</v>
      </c>
      <c r="B479" s="39">
        <v>1864.849976</v>
      </c>
      <c r="C479" s="36">
        <f>IF(ISBLANK(B480), "", GSPC[[#This Row],[Adj Close]]/B480-1)</f>
        <v>2.707512658957878E-2</v>
      </c>
      <c r="D47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7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19949.279628</v>
      </c>
      <c r="F479" s="11" t="e">
        <f>IF(ISBLANK(GSPC[[#This Row],[Long Exp.]]), "", (GSPC[[#This Row],[Long Exp.]]/D480-1)+(E480/GSPC[[#This Row],[Short Exp.]]-1))</f>
        <v>#VALUE!</v>
      </c>
      <c r="G479" s="37">
        <v>41743</v>
      </c>
      <c r="H479">
        <v>42.963794999999998</v>
      </c>
      <c r="I479" s="36">
        <f>IF(ISBLANK(H480), "", Long0[[#This Row],[Adj Close]]/H480-1)</f>
        <v>2.6246859217936569E-2</v>
      </c>
      <c r="J479" s="29">
        <v>41743</v>
      </c>
      <c r="K479">
        <v>9.6389490000000002</v>
      </c>
      <c r="L479" s="33">
        <f>IF(ISBLANK(K480),"",Long1[[#This Row],[Adj Close]]/K480-1)</f>
        <v>6.6182061367016543E-2</v>
      </c>
      <c r="M479" s="37">
        <v>41743</v>
      </c>
      <c r="N479">
        <v>41.603973000000003</v>
      </c>
      <c r="O479" s="36">
        <f>IF(ISBLANK(N480),"",Long2[[#This Row],[Adj Close]]/N480-1)</f>
        <v>3.22030746988613E-2</v>
      </c>
      <c r="P479" s="29">
        <v>41743</v>
      </c>
      <c r="Q479">
        <v>20.106506</v>
      </c>
      <c r="R479" s="33">
        <f>IF(ISBLANK(Q480),"",Long3[[#This Row],[Adj Close]]/Q480-1)</f>
        <v>1.6564796184292074E-2</v>
      </c>
      <c r="S479" s="37">
        <v>41743</v>
      </c>
      <c r="T479" s="35">
        <v>20.897601999999999</v>
      </c>
      <c r="U479" s="36">
        <f>IF(ISBLANK(T480),"",Long4[[#This Row],[Adj Close]]/T480-1)</f>
        <v>3.1999864491264018E-2</v>
      </c>
      <c r="Y479" s="37">
        <v>41743</v>
      </c>
      <c r="Z479" s="35">
        <v>28.670058999999998</v>
      </c>
      <c r="AA479" s="36">
        <f>IF(ISBLANK(Z480),"",Long6[[#This Row],[Adj Close]]/Z480-1)</f>
        <v>1.9757394275171203E-2</v>
      </c>
      <c r="AH479" s="29">
        <v>41743</v>
      </c>
      <c r="AI479" s="44">
        <v>57.035736</v>
      </c>
      <c r="AJ479" s="33">
        <f>IF(ISBLANK(AI480),"",Short0[[#This Row],[Adj Close]]/AI480-1)</f>
        <v>2.4658073399280056E-2</v>
      </c>
      <c r="AK479" s="37">
        <v>41743</v>
      </c>
      <c r="AL479" s="39">
        <v>18.377254000000001</v>
      </c>
      <c r="AM479" s="36">
        <f>IF(ISBLANK(AL480),"",Short1[[#This Row],[Adj Close]]/AL480-1)</f>
        <v>-4.0376525209493308E-2</v>
      </c>
      <c r="AN479" s="29">
        <v>41743</v>
      </c>
      <c r="AO479" s="44">
        <v>35.215488000000001</v>
      </c>
      <c r="AP479" s="33">
        <f>IF(ISBLANK(AO480),"",Short2[[#This Row],[Adj Close]]/AO480-1)</f>
        <v>-1.3168241736495001E-2</v>
      </c>
      <c r="AQ479" s="37">
        <v>41743</v>
      </c>
      <c r="AR479" s="39">
        <v>65.839995999999999</v>
      </c>
      <c r="AS479" s="36">
        <f>IF(ISBLANK(AR480),"",Short3[[#This Row],[Adj Close]]/AR480-1)</f>
        <v>0.14147011095700424</v>
      </c>
    </row>
    <row r="480" spans="1:45" x14ac:dyDescent="0.25">
      <c r="A480" s="37">
        <v>41736</v>
      </c>
      <c r="B480" s="39">
        <v>1815.6899410000001</v>
      </c>
      <c r="C480" s="36">
        <f>IF(ISBLANK(B481), "", GSPC[[#This Row],[Adj Close]]/B481-1)</f>
        <v>-2.6486671367358494E-2</v>
      </c>
      <c r="D48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8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19256.461771000002</v>
      </c>
      <c r="F480" s="11" t="e">
        <f>IF(ISBLANK(GSPC[[#This Row],[Long Exp.]]), "", (GSPC[[#This Row],[Long Exp.]]/D481-1)+(E481/GSPC[[#This Row],[Short Exp.]]-1))</f>
        <v>#VALUE!</v>
      </c>
      <c r="G480" s="37">
        <v>41736</v>
      </c>
      <c r="H480">
        <v>41.864970999999997</v>
      </c>
      <c r="I480" s="36">
        <f>IF(ISBLANK(H481), "", Long0[[#This Row],[Adj Close]]/H481-1)</f>
        <v>-9.6978240989183617E-2</v>
      </c>
      <c r="J480" s="29">
        <v>41736</v>
      </c>
      <c r="K480">
        <v>9.0406220000000008</v>
      </c>
      <c r="L480" s="33">
        <f>IF(ISBLANK(K481),"",Long1[[#This Row],[Adj Close]]/K481-1)</f>
        <v>-7.9901401527217919E-2</v>
      </c>
      <c r="M480" s="37">
        <v>41736</v>
      </c>
      <c r="N480">
        <v>40.305996</v>
      </c>
      <c r="O480" s="36">
        <f>IF(ISBLANK(N481),"",Long2[[#This Row],[Adj Close]]/N481-1)</f>
        <v>-4.0064898154486106E-2</v>
      </c>
      <c r="P480" s="29">
        <v>41736</v>
      </c>
      <c r="Q480">
        <v>19.778873000000001</v>
      </c>
      <c r="R480" s="33">
        <f>IF(ISBLANK(Q481),"",Long3[[#This Row],[Adj Close]]/Q481-1)</f>
        <v>-3.3631607422435206E-3</v>
      </c>
      <c r="S480" s="37">
        <v>41736</v>
      </c>
      <c r="T480" s="35">
        <v>20.249617000000001</v>
      </c>
      <c r="U480" s="36">
        <f>IF(ISBLANK(T481),"",Long4[[#This Row],[Adj Close]]/T481-1)</f>
        <v>-8.7645472672833735E-3</v>
      </c>
      <c r="Y480" s="37">
        <v>41736</v>
      </c>
      <c r="Z480" s="35">
        <v>28.114588000000001</v>
      </c>
      <c r="AA480" s="36">
        <f>IF(ISBLANK(Z481),"",Long6[[#This Row],[Adj Close]]/Z481-1)</f>
        <v>-1.198646835634265E-2</v>
      </c>
      <c r="AH480" s="29">
        <v>41736</v>
      </c>
      <c r="AI480" s="44">
        <v>55.663189000000003</v>
      </c>
      <c r="AJ480" s="33">
        <f>IF(ISBLANK(AI481),"",Short0[[#This Row],[Adj Close]]/AI481-1)</f>
        <v>-4.7120169596729711E-2</v>
      </c>
      <c r="AK480" s="37">
        <v>41736</v>
      </c>
      <c r="AL480" s="39">
        <v>19.150483999999999</v>
      </c>
      <c r="AM480" s="36">
        <f>IF(ISBLANK(AL481),"",Short1[[#This Row],[Adj Close]]/AL481-1)</f>
        <v>-7.9061420434192176E-2</v>
      </c>
      <c r="AN480" s="29">
        <v>41736</v>
      </c>
      <c r="AO480" s="44">
        <v>35.685402000000003</v>
      </c>
      <c r="AP480" s="33">
        <f>IF(ISBLANK(AO481),"",Short2[[#This Row],[Adj Close]]/AO481-1)</f>
        <v>-4.3231404285073771E-2</v>
      </c>
      <c r="AQ480" s="37">
        <v>41736</v>
      </c>
      <c r="AR480" s="39">
        <v>57.68</v>
      </c>
      <c r="AS480" s="36">
        <f>IF(ISBLANK(AR481),"",Short3[[#This Row],[Adj Close]]/AR481-1)</f>
        <v>-7.9770261646458174E-2</v>
      </c>
    </row>
    <row r="481" spans="1:45" x14ac:dyDescent="0.25">
      <c r="A481" s="37">
        <v>41729</v>
      </c>
      <c r="B481" s="39">
        <v>1865.089966</v>
      </c>
      <c r="C481" s="36">
        <f>IF(ISBLANK(B482), "", GSPC[[#This Row],[Adj Close]]/B482-1)</f>
        <v>4.0212589335313353E-3</v>
      </c>
      <c r="D48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8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20411.648874999999</v>
      </c>
      <c r="F481" s="11" t="e">
        <f>IF(ISBLANK(GSPC[[#This Row],[Long Exp.]]), "", (GSPC[[#This Row],[Long Exp.]]/D482-1)+(E482/GSPC[[#This Row],[Short Exp.]]-1))</f>
        <v>#VALUE!</v>
      </c>
      <c r="G481" s="37">
        <v>41729</v>
      </c>
      <c r="H481">
        <v>46.360976999999998</v>
      </c>
      <c r="I481" s="36">
        <f>IF(ISBLANK(H482), "", Long0[[#This Row],[Adj Close]]/H482-1)</f>
        <v>3.6862758271456464E-2</v>
      </c>
      <c r="J481" s="29">
        <v>41729</v>
      </c>
      <c r="K481">
        <v>9.8257100000000008</v>
      </c>
      <c r="L481" s="33">
        <f>IF(ISBLANK(K482),"",Long1[[#This Row],[Adj Close]]/K482-1)</f>
        <v>1.3556851943505865E-2</v>
      </c>
      <c r="M481" s="37">
        <v>41729</v>
      </c>
      <c r="N481">
        <v>41.988250999999998</v>
      </c>
      <c r="O481" s="36">
        <f>IF(ISBLANK(N482),"",Long2[[#This Row],[Adj Close]]/N482-1)</f>
        <v>0</v>
      </c>
      <c r="P481" s="29">
        <v>41729</v>
      </c>
      <c r="Q481">
        <v>19.845617000000001</v>
      </c>
      <c r="R481" s="33">
        <f>IF(ISBLANK(Q482),"",Long3[[#This Row],[Adj Close]]/Q482-1)</f>
        <v>-8.1866907939597278E-3</v>
      </c>
      <c r="S481" s="37">
        <v>41729</v>
      </c>
      <c r="T481" s="35">
        <v>20.428664999999999</v>
      </c>
      <c r="U481" s="36">
        <f>IF(ISBLANK(T482),"",Long4[[#This Row],[Adj Close]]/T482-1)</f>
        <v>-4.9833960669873889E-3</v>
      </c>
      <c r="Y481" s="37">
        <v>41729</v>
      </c>
      <c r="Z481" s="35">
        <v>28.455670999999999</v>
      </c>
      <c r="AA481" s="36">
        <f>IF(ISBLANK(Z482),"",Long6[[#This Row],[Adj Close]]/Z482-1)</f>
        <v>-7.653367572340064E-2</v>
      </c>
      <c r="AH481" s="29">
        <v>41729</v>
      </c>
      <c r="AI481" s="44">
        <v>58.415748999999998</v>
      </c>
      <c r="AJ481" s="33">
        <f>IF(ISBLANK(AI482),"",Short0[[#This Row],[Adj Close]]/AI482-1)</f>
        <v>7.6685357401951038E-4</v>
      </c>
      <c r="AK481" s="37">
        <v>41729</v>
      </c>
      <c r="AL481" s="39">
        <v>20.794529000000001</v>
      </c>
      <c r="AM481" s="36">
        <f>IF(ISBLANK(AL482),"",Short1[[#This Row],[Adj Close]]/AL482-1)</f>
        <v>6.2524235630752267E-2</v>
      </c>
      <c r="AN481" s="29">
        <v>41729</v>
      </c>
      <c r="AO481" s="44">
        <v>37.297840000000001</v>
      </c>
      <c r="AP481" s="33">
        <f>IF(ISBLANK(AO482),"",Short2[[#This Row],[Adj Close]]/AO482-1)</f>
        <v>2.2738633685740695E-2</v>
      </c>
      <c r="AQ481" s="37">
        <v>41729</v>
      </c>
      <c r="AR481" s="39">
        <v>62.68</v>
      </c>
      <c r="AS481" s="36">
        <f>IF(ISBLANK(AR482),"",Short3[[#This Row],[Adj Close]]/AR482-1)</f>
        <v>-0.12225183463090128</v>
      </c>
    </row>
    <row r="482" spans="1:45" x14ac:dyDescent="0.25">
      <c r="A482" s="37">
        <v>41722</v>
      </c>
      <c r="B482" s="39">
        <v>1857.619995</v>
      </c>
      <c r="C482" s="36">
        <f>IF(ISBLANK(B483), "", GSPC[[#This Row],[Adj Close]]/B483-1)</f>
        <v>-4.7682451324577713E-3</v>
      </c>
      <c r="D48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8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20831.215765000001</v>
      </c>
      <c r="F482" s="11" t="e">
        <f>IF(ISBLANK(GSPC[[#This Row],[Long Exp.]]), "", (GSPC[[#This Row],[Long Exp.]]/D483-1)+(E483/GSPC[[#This Row],[Short Exp.]]-1))</f>
        <v>#VALUE!</v>
      </c>
      <c r="G482" s="37">
        <v>41722</v>
      </c>
      <c r="H482">
        <v>44.712741999999999</v>
      </c>
      <c r="I482" s="36">
        <f>IF(ISBLANK(H483), "", Long0[[#This Row],[Adj Close]]/H483-1)</f>
        <v>-6.3483073018119951E-2</v>
      </c>
      <c r="J482" s="29">
        <v>41722</v>
      </c>
      <c r="K482">
        <v>9.694286</v>
      </c>
      <c r="L482" s="33">
        <f>IF(ISBLANK(K483),"",Long1[[#This Row],[Adj Close]]/K483-1)</f>
        <v>-5.8764234872853538E-2</v>
      </c>
      <c r="M482" s="37">
        <v>41722</v>
      </c>
      <c r="N482">
        <v>41.988250999999998</v>
      </c>
      <c r="O482" s="36">
        <f>IF(ISBLANK(N483),"",Long2[[#This Row],[Adj Close]]/N483-1)</f>
        <v>1.0688250802470378E-2</v>
      </c>
      <c r="P482" s="29">
        <v>41722</v>
      </c>
      <c r="Q482">
        <v>20.009428</v>
      </c>
      <c r="R482" s="33">
        <f>IF(ISBLANK(Q483),"",Long3[[#This Row],[Adj Close]]/Q483-1)</f>
        <v>1.6645983434954159E-2</v>
      </c>
      <c r="S482" s="37">
        <v>41722</v>
      </c>
      <c r="T482" s="35">
        <v>20.530978999999999</v>
      </c>
      <c r="U482" s="36">
        <f>IF(ISBLANK(T483),"",Long4[[#This Row],[Adj Close]]/T483-1)</f>
        <v>8.3752548751978573E-3</v>
      </c>
      <c r="Y482" s="37">
        <v>41722</v>
      </c>
      <c r="Z482" s="35">
        <v>30.813977999999999</v>
      </c>
      <c r="AA482" s="36">
        <f>IF(ISBLANK(Z483),"",Long6[[#This Row],[Adj Close]]/Z483-1)</f>
        <v>-9.2682942341747232E-2</v>
      </c>
      <c r="AH482" s="29">
        <v>41722</v>
      </c>
      <c r="AI482" s="44">
        <v>58.370987</v>
      </c>
      <c r="AJ482" s="33">
        <f>IF(ISBLANK(AI483),"",Short0[[#This Row],[Adj Close]]/AI483-1)</f>
        <v>-3.3148899293336087E-2</v>
      </c>
      <c r="AK482" s="37">
        <v>41722</v>
      </c>
      <c r="AL482" s="39">
        <v>19.570875000000001</v>
      </c>
      <c r="AM482" s="36">
        <f>IF(ISBLANK(AL483),"",Short1[[#This Row],[Adj Close]]/AL483-1)</f>
        <v>-2.6650142176332881E-2</v>
      </c>
      <c r="AN482" s="29">
        <v>41722</v>
      </c>
      <c r="AO482" s="44">
        <v>36.468594000000003</v>
      </c>
      <c r="AP482" s="33">
        <f>IF(ISBLANK(AO483),"",Short2[[#This Row],[Adj Close]]/AO483-1)</f>
        <v>2.5291164496987761E-4</v>
      </c>
      <c r="AQ482" s="37">
        <v>41722</v>
      </c>
      <c r="AR482" s="44">
        <v>71.410004000000001</v>
      </c>
      <c r="AS482" s="36">
        <f>IF(ISBLANK(AR483),"",Short3[[#This Row],[Adj Close]]/AR483-1)</f>
        <v>-0.15770223115949789</v>
      </c>
    </row>
    <row r="483" spans="1:45" x14ac:dyDescent="0.25">
      <c r="A483" s="37">
        <v>41715</v>
      </c>
      <c r="B483" s="39">
        <v>1866.5200199999999</v>
      </c>
      <c r="C483" s="36">
        <f>IF(ISBLANK(B484), "", GSPC[[#This Row],[Adj Close]]/B484-1)</f>
        <v>1.3790452021882116E-2</v>
      </c>
      <c r="D48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8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22181.642907999998</v>
      </c>
      <c r="F483" s="11" t="e">
        <f>IF(ISBLANK(GSPC[[#This Row],[Long Exp.]]), "", (GSPC[[#This Row],[Long Exp.]]/D484-1)+(E484/GSPC[[#This Row],[Short Exp.]]-1))</f>
        <v>#VALUE!</v>
      </c>
      <c r="G483" s="37">
        <v>41715</v>
      </c>
      <c r="H483">
        <v>47.743656000000001</v>
      </c>
      <c r="I483" s="36">
        <f>IF(ISBLANK(H484), "", Long0[[#This Row],[Adj Close]]/H484-1)</f>
        <v>-9.3102968374164652E-3</v>
      </c>
      <c r="J483" s="29">
        <v>41715</v>
      </c>
      <c r="K483">
        <v>10.299530000000001</v>
      </c>
      <c r="L483" s="33">
        <f>IF(ISBLANK(K484),"",Long1[[#This Row],[Adj Close]]/K484-1)</f>
        <v>-4.5818637420568797E-2</v>
      </c>
      <c r="M483" s="37">
        <v>41715</v>
      </c>
      <c r="N483">
        <v>41.544215999999999</v>
      </c>
      <c r="O483" s="36">
        <f>IF(ISBLANK(N484),"",Long2[[#This Row],[Adj Close]]/N484-1)</f>
        <v>1.5657755626592218E-2</v>
      </c>
      <c r="P483" s="29">
        <v>41715</v>
      </c>
      <c r="Q483">
        <v>19.681805000000001</v>
      </c>
      <c r="R483" s="33">
        <f>IF(ISBLANK(Q484),"",Long3[[#This Row],[Adj Close]]/Q484-1)</f>
        <v>-1.0070203627689622E-2</v>
      </c>
      <c r="S483" s="37">
        <v>41715</v>
      </c>
      <c r="T483" s="35">
        <v>20.360455000000002</v>
      </c>
      <c r="U483" s="36">
        <f>IF(ISBLANK(T484),"",Long4[[#This Row],[Adj Close]]/T484-1)</f>
        <v>-8.3685404515587702E-4</v>
      </c>
      <c r="Y483" s="37">
        <v>41715</v>
      </c>
      <c r="Z483" s="35">
        <v>33.961643000000002</v>
      </c>
      <c r="AA483" s="36">
        <f>IF(ISBLANK(Z484),"",Long6[[#This Row],[Adj Close]]/Z484-1)</f>
        <v>3.9058097181376095E-2</v>
      </c>
      <c r="AH483" s="29">
        <v>41715</v>
      </c>
      <c r="AI483" s="44">
        <v>60.372261000000002</v>
      </c>
      <c r="AJ483" s="33">
        <f>IF(ISBLANK(AI484),"",Short0[[#This Row],[Adj Close]]/AI484-1)</f>
        <v>-1.0091166254545314E-2</v>
      </c>
      <c r="AK483" s="37">
        <v>41715</v>
      </c>
      <c r="AL483" s="39">
        <v>20.106722000000001</v>
      </c>
      <c r="AM483" s="36">
        <f>IF(ISBLANK(AL484),"",Short1[[#This Row],[Adj Close]]/AL484-1)</f>
        <v>4.9027190824738165E-2</v>
      </c>
      <c r="AN483" s="29">
        <v>41715</v>
      </c>
      <c r="AO483" s="44">
        <v>36.459372999999999</v>
      </c>
      <c r="AP483" s="33">
        <f>IF(ISBLANK(AO484),"",Short2[[#This Row],[Adj Close]]/AO484-1)</f>
        <v>-1.1244239266411937E-2</v>
      </c>
      <c r="AQ483" s="37">
        <v>41715</v>
      </c>
      <c r="AR483" s="44">
        <v>84.779999000000004</v>
      </c>
      <c r="AS483" s="36">
        <f>IF(ISBLANK(AR484),"",Short3[[#This Row],[Adj Close]]/AR484-1)</f>
        <v>2.48313822868651E-3</v>
      </c>
    </row>
    <row r="484" spans="1:45" x14ac:dyDescent="0.25">
      <c r="A484" s="37">
        <v>41708</v>
      </c>
      <c r="B484" s="39">
        <v>1841.130005</v>
      </c>
      <c r="C484" s="36">
        <f>IF(ISBLANK(B485), "", GSPC[[#This Row],[Adj Close]]/B485-1)</f>
        <v>-1.9653486205572834E-2</v>
      </c>
      <c r="D48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8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22229.101512000001</v>
      </c>
      <c r="F484" s="11" t="e">
        <f>IF(ISBLANK(GSPC[[#This Row],[Long Exp.]]), "", (GSPC[[#This Row],[Long Exp.]]/D485-1)+(E485/GSPC[[#This Row],[Short Exp.]]-1))</f>
        <v>#VALUE!</v>
      </c>
      <c r="G484" s="37">
        <v>41708</v>
      </c>
      <c r="H484">
        <v>48.192340999999999</v>
      </c>
      <c r="I484" s="36">
        <f>IF(ISBLANK(H485), "", Long0[[#This Row],[Adj Close]]/H485-1)</f>
        <v>-4.0648891166216949E-2</v>
      </c>
      <c r="J484" s="29">
        <v>41708</v>
      </c>
      <c r="K484">
        <v>10.794101</v>
      </c>
      <c r="L484" s="33">
        <f>IF(ISBLANK(K485),"",Long1[[#This Row],[Adj Close]]/K485-1)</f>
        <v>-3.7916210541252271E-2</v>
      </c>
      <c r="M484" s="37">
        <v>41708</v>
      </c>
      <c r="N484">
        <v>40.903754999999997</v>
      </c>
      <c r="O484" s="36">
        <f>IF(ISBLANK(N485),"",Long2[[#This Row],[Adj Close]]/N485-1)</f>
        <v>-3.1857141741328032E-2</v>
      </c>
      <c r="P484" s="29">
        <v>41708</v>
      </c>
      <c r="Q484">
        <v>19.882021000000002</v>
      </c>
      <c r="R484" s="33">
        <f>IF(ISBLANK(Q485),"",Long3[[#This Row],[Adj Close]]/Q485-1)</f>
        <v>4.1346743482450155E-2</v>
      </c>
      <c r="S484" s="37">
        <v>41708</v>
      </c>
      <c r="T484" s="35">
        <v>20.377507999999999</v>
      </c>
      <c r="U484" s="36">
        <f>IF(ISBLANK(T485),"",Long4[[#This Row],[Adj Close]]/T485-1)</f>
        <v>-1.0761493196867145E-2</v>
      </c>
      <c r="Y484" s="37">
        <v>41708</v>
      </c>
      <c r="Z484" s="35">
        <v>32.685028000000003</v>
      </c>
      <c r="AA484" s="36">
        <f>IF(ISBLANK(Z485),"",Long6[[#This Row],[Adj Close]]/Z485-1)</f>
        <v>-1.6711202175345052E-2</v>
      </c>
      <c r="AH484" s="29">
        <v>41708</v>
      </c>
      <c r="AI484" s="44">
        <v>60.987698000000002</v>
      </c>
      <c r="AJ484" s="33">
        <f>IF(ISBLANK(AI485),"",Short0[[#This Row],[Adj Close]]/AI485-1)</f>
        <v>-5.4923360286312506E-2</v>
      </c>
      <c r="AK484" s="37">
        <v>41708</v>
      </c>
      <c r="AL484" s="39">
        <v>19.167017000000001</v>
      </c>
      <c r="AM484" s="36">
        <f>IF(ISBLANK(AL485),"",Short1[[#This Row],[Adj Close]]/AL485-1)</f>
        <v>-3.8756152688004253E-3</v>
      </c>
      <c r="AN484" s="29">
        <v>41708</v>
      </c>
      <c r="AO484" s="44">
        <v>36.873992999999999</v>
      </c>
      <c r="AP484" s="33">
        <f>IF(ISBLANK(AO485),"",Short2[[#This Row],[Adj Close]]/AO485-1)</f>
        <v>-4.8502168622767461E-2</v>
      </c>
      <c r="AQ484" s="37">
        <v>41708</v>
      </c>
      <c r="AR484" s="44">
        <v>84.57</v>
      </c>
      <c r="AS484" s="36">
        <f>IF(ISBLANK(AR485),"",Short3[[#This Row],[Adj Close]]/AR485-1)</f>
        <v>-4.5916054218367197E-2</v>
      </c>
    </row>
    <row r="485" spans="1:45" x14ac:dyDescent="0.25">
      <c r="A485" s="37">
        <v>41701</v>
      </c>
      <c r="B485" s="39">
        <v>1878.040039</v>
      </c>
      <c r="C485" s="36">
        <f>IF(ISBLANK(B486), "", GSPC[[#This Row],[Adj Close]]/B486-1)</f>
        <v>9.9976275188273789E-3</v>
      </c>
      <c r="D48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8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23332.592429999997</v>
      </c>
      <c r="F485" s="11" t="e">
        <f>IF(ISBLANK(GSPC[[#This Row],[Long Exp.]]), "", (GSPC[[#This Row],[Long Exp.]]/D486-1)+(E486/GSPC[[#This Row],[Short Exp.]]-1))</f>
        <v>#VALUE!</v>
      </c>
      <c r="G485" s="37">
        <v>41701</v>
      </c>
      <c r="H485">
        <v>50.234310000000001</v>
      </c>
      <c r="I485" s="36">
        <f>IF(ISBLANK(H486), "", Long0[[#This Row],[Adj Close]]/H486-1)</f>
        <v>-1.2776558522666681E-2</v>
      </c>
      <c r="J485" s="29">
        <v>41701</v>
      </c>
      <c r="K485">
        <v>11.219502</v>
      </c>
      <c r="L485" s="33">
        <f>IF(ISBLANK(K486),"",Long1[[#This Row],[Adj Close]]/K486-1)</f>
        <v>3.1806620924275109E-2</v>
      </c>
      <c r="M485" s="37">
        <v>41701</v>
      </c>
      <c r="N485">
        <v>42.24971</v>
      </c>
      <c r="O485" s="36">
        <f>IF(ISBLANK(N486),"",Long2[[#This Row],[Adj Close]]/N486-1)</f>
        <v>1.7806042706567382E-2</v>
      </c>
      <c r="P485" s="29">
        <v>41701</v>
      </c>
      <c r="Q485">
        <v>19.092604000000001</v>
      </c>
      <c r="R485" s="33">
        <f>IF(ISBLANK(Q486),"",Long3[[#This Row],[Adj Close]]/Q486-1)</f>
        <v>-1.3936359073641658E-2</v>
      </c>
      <c r="S485" s="37">
        <v>41701</v>
      </c>
      <c r="T485" s="35">
        <v>20.599186</v>
      </c>
      <c r="U485" s="36">
        <f>IF(ISBLANK(T486),"",Long4[[#This Row],[Adj Close]]/T486-1)</f>
        <v>3.3221503952636233E-3</v>
      </c>
      <c r="Y485" s="37">
        <v>41701</v>
      </c>
      <c r="Z485" s="35">
        <v>33.240516999999997</v>
      </c>
      <c r="AA485" s="36">
        <f>IF(ISBLANK(Z486),"",Long6[[#This Row],[Adj Close]]/Z486-1)</f>
        <v>-1.2448921616343034E-2</v>
      </c>
      <c r="AH485" s="29">
        <v>41701</v>
      </c>
      <c r="AI485" s="44">
        <v>64.532013000000006</v>
      </c>
      <c r="AJ485" s="33">
        <f>IF(ISBLANK(AI486),"",Short0[[#This Row],[Adj Close]]/AI486-1)</f>
        <v>2.0879700333616302E-2</v>
      </c>
      <c r="AK485" s="37">
        <v>41701</v>
      </c>
      <c r="AL485" s="39">
        <v>19.241589999999999</v>
      </c>
      <c r="AM485" s="36">
        <f>IF(ISBLANK(AL486),"",Short1[[#This Row],[Adj Close]]/AL486-1)</f>
        <v>-3.116808061304488E-2</v>
      </c>
      <c r="AN485" s="29">
        <v>41701</v>
      </c>
      <c r="AO485" s="44">
        <v>38.753627999999999</v>
      </c>
      <c r="AP485" s="33">
        <f>IF(ISBLANK(AO486),"",Short2[[#This Row],[Adj Close]]/AO486-1)</f>
        <v>-4.147667730391924E-2</v>
      </c>
      <c r="AQ485" s="37">
        <v>41701</v>
      </c>
      <c r="AR485" s="44">
        <v>88.639999000000003</v>
      </c>
      <c r="AS485" s="36">
        <f>IF(ISBLANK(AR486),"",Short3[[#This Row],[Adj Close]]/AR486-1)</f>
        <v>-4.4312679245283038E-2</v>
      </c>
    </row>
    <row r="486" spans="1:45" x14ac:dyDescent="0.25">
      <c r="A486" s="37">
        <v>41694</v>
      </c>
      <c r="B486" s="39">
        <v>1859.4499510000001</v>
      </c>
      <c r="C486" s="36">
        <f>IF(ISBLANK(B487), "", GSPC[[#This Row],[Adj Close]]/B487-1)</f>
        <v>1.2634418515997226E-2</v>
      </c>
      <c r="D48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8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23672.313503999998</v>
      </c>
      <c r="F486" s="11" t="e">
        <f>IF(ISBLANK(GSPC[[#This Row],[Long Exp.]]), "", (GSPC[[#This Row],[Long Exp.]]/D487-1)+(E487/GSPC[[#This Row],[Short Exp.]]-1))</f>
        <v>#VALUE!</v>
      </c>
      <c r="G486" s="37">
        <v>41694</v>
      </c>
      <c r="H486">
        <v>50.884438000000003</v>
      </c>
      <c r="I486" s="36">
        <f>IF(ISBLANK(H487), "", Long0[[#This Row],[Adj Close]]/H487-1)</f>
        <v>7.0300403839098635E-2</v>
      </c>
      <c r="J486" s="29">
        <v>41694</v>
      </c>
      <c r="K486">
        <v>10.873647999999999</v>
      </c>
      <c r="L486" s="33">
        <f>IF(ISBLANK(K487),"",Long1[[#This Row],[Adj Close]]/K487-1)</f>
        <v>0.14870301378974182</v>
      </c>
      <c r="M486" s="37">
        <v>41694</v>
      </c>
      <c r="N486">
        <v>41.510570999999999</v>
      </c>
      <c r="O486" s="36">
        <f>IF(ISBLANK(N487),"",Long2[[#This Row],[Adj Close]]/N487-1)</f>
        <v>1.7280817107139246E-2</v>
      </c>
      <c r="P486" s="29">
        <v>41694</v>
      </c>
      <c r="Q486">
        <v>19.362445999999998</v>
      </c>
      <c r="R486" s="33">
        <f>IF(ISBLANK(Q487),"",Long3[[#This Row],[Adj Close]]/Q487-1)</f>
        <v>1.5408662942853146E-2</v>
      </c>
      <c r="S486" s="37">
        <v>41694</v>
      </c>
      <c r="T486" s="35">
        <v>20.530978999999999</v>
      </c>
      <c r="U486" s="36">
        <f>IF(ISBLANK(T487),"",Long4[[#This Row],[Adj Close]]/T487-1)</f>
        <v>9.6539064731494761E-2</v>
      </c>
      <c r="Y486" s="37">
        <v>41694</v>
      </c>
      <c r="Z486" s="35">
        <v>33.659542000000002</v>
      </c>
      <c r="AA486" s="36">
        <f>IF(ISBLANK(Z487),"",Long6[[#This Row],[Adj Close]]/Z487-1)</f>
        <v>4.2559234648276822E-2</v>
      </c>
      <c r="AH486" s="29">
        <v>41694</v>
      </c>
      <c r="AI486" s="44">
        <v>63.212161999999999</v>
      </c>
      <c r="AJ486" s="33">
        <f>IF(ISBLANK(AI487),"",Short0[[#This Row],[Adj Close]]/AI487-1)</f>
        <v>5.3900401832260192E-2</v>
      </c>
      <c r="AK486" s="37">
        <v>41694</v>
      </c>
      <c r="AL486" s="39">
        <v>19.860607000000002</v>
      </c>
      <c r="AM486" s="36">
        <f>IF(ISBLANK(AL487),"",Short1[[#This Row],[Adj Close]]/AL487-1)</f>
        <v>8.0762781887622426E-2</v>
      </c>
      <c r="AN486" s="29">
        <v>41694</v>
      </c>
      <c r="AO486" s="44">
        <v>40.430553000000003</v>
      </c>
      <c r="AP486" s="33">
        <f>IF(ISBLANK(AO487),"",Short2[[#This Row],[Adj Close]]/AO487-1)</f>
        <v>4.8506928920345915E-2</v>
      </c>
      <c r="AQ486" s="37">
        <v>41694</v>
      </c>
      <c r="AR486" s="44">
        <v>92.75</v>
      </c>
      <c r="AS486" s="36">
        <f>IF(ISBLANK(AR487),"",Short3[[#This Row],[Adj Close]]/AR487-1)</f>
        <v>4.190073158506169E-2</v>
      </c>
    </row>
    <row r="487" spans="1:45" x14ac:dyDescent="0.25">
      <c r="A487" s="37">
        <v>41687</v>
      </c>
      <c r="B487" s="39">
        <v>1836.25</v>
      </c>
      <c r="C487" s="36">
        <f>IF(ISBLANK(B488), "", GSPC[[#This Row],[Adj Close]]/B488-1)</f>
        <v>-1.2944447732974318E-3</v>
      </c>
      <c r="D48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8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22515.808093</v>
      </c>
      <c r="F487" s="11" t="e">
        <f>IF(ISBLANK(GSPC[[#This Row],[Long Exp.]]), "", (GSPC[[#This Row],[Long Exp.]]/D488-1)+(E488/GSPC[[#This Row],[Short Exp.]]-1))</f>
        <v>#VALUE!</v>
      </c>
      <c r="G487" s="37">
        <v>41687</v>
      </c>
      <c r="H487">
        <v>47.542202000000003</v>
      </c>
      <c r="I487" s="36">
        <f>IF(ISBLANK(H488), "", Long0[[#This Row],[Adj Close]]/H488-1)</f>
        <v>0.12624730435101505</v>
      </c>
      <c r="J487" s="29">
        <v>41687</v>
      </c>
      <c r="K487">
        <v>9.4660220000000006</v>
      </c>
      <c r="L487" s="33">
        <f>IF(ISBLANK(K488),"",Long1[[#This Row],[Adj Close]]/K488-1)</f>
        <v>4.0352236715019973E-3</v>
      </c>
      <c r="M487" s="37">
        <v>41687</v>
      </c>
      <c r="N487">
        <v>40.805419999999998</v>
      </c>
      <c r="O487" s="36">
        <f>IF(ISBLANK(N488),"",Long2[[#This Row],[Adj Close]]/N488-1)</f>
        <v>5.232401894897043E-3</v>
      </c>
      <c r="P487" s="29">
        <v>41687</v>
      </c>
      <c r="Q487">
        <v>19.068624</v>
      </c>
      <c r="R487" s="33">
        <f>IF(ISBLANK(Q488),"",Long3[[#This Row],[Adj Close]]/Q488-1)</f>
        <v>8.883631240021117E-3</v>
      </c>
      <c r="S487" s="37">
        <v>41687</v>
      </c>
      <c r="T487" s="35">
        <v>18.723436</v>
      </c>
      <c r="U487" s="36">
        <f>IF(ISBLANK(T488),"",Long4[[#This Row],[Adj Close]]/T488-1)</f>
        <v>-1.4804735877999686E-2</v>
      </c>
      <c r="Y487" s="37">
        <v>41687</v>
      </c>
      <c r="Z487" s="35">
        <v>32.285496000000002</v>
      </c>
      <c r="AA487" s="36">
        <f>IF(ISBLANK(Z488),"",Long6[[#This Row],[Adj Close]]/Z488-1)</f>
        <v>3.1445028290902899E-2</v>
      </c>
      <c r="AH487" s="29">
        <v>41687</v>
      </c>
      <c r="AI487" s="44">
        <v>59.979255999999999</v>
      </c>
      <c r="AJ487" s="33">
        <f>IF(ISBLANK(AI488),"",Short0[[#This Row],[Adj Close]]/AI488-1)</f>
        <v>9.2325394673626882E-3</v>
      </c>
      <c r="AK487" s="37">
        <v>41687</v>
      </c>
      <c r="AL487" s="39">
        <v>18.376472</v>
      </c>
      <c r="AM487" s="36">
        <f>IF(ISBLANK(AL488),"",Short1[[#This Row],[Adj Close]]/AL488-1)</f>
        <v>-5.6497835466213786E-3</v>
      </c>
      <c r="AN487" s="29">
        <v>41687</v>
      </c>
      <c r="AO487" s="44">
        <v>38.560119999999998</v>
      </c>
      <c r="AP487" s="33">
        <f>IF(ISBLANK(AO488),"",Short2[[#This Row],[Adj Close]]/AO488-1)</f>
        <v>8.9195167573135059E-3</v>
      </c>
      <c r="AQ487" s="37">
        <v>41687</v>
      </c>
      <c r="AR487" s="44">
        <v>89.019997000000004</v>
      </c>
      <c r="AS487" s="36">
        <f>IF(ISBLANK(AR488),"",Short3[[#This Row],[Adj Close]]/AR488-1)</f>
        <v>3.4034163504897963E-2</v>
      </c>
    </row>
    <row r="488" spans="1:45" x14ac:dyDescent="0.25">
      <c r="A488" s="37">
        <v>41680</v>
      </c>
      <c r="B488" s="39">
        <v>1838.630005</v>
      </c>
      <c r="C488" s="36">
        <f>IF(ISBLANK(B489), "", GSPC[[#This Row],[Adj Close]]/B489-1)</f>
        <v>2.315499245244923E-2</v>
      </c>
      <c r="D48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8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22181.860884999998</v>
      </c>
      <c r="F488" s="11" t="e">
        <f>IF(ISBLANK(GSPC[[#This Row],[Long Exp.]]), "", (GSPC[[#This Row],[Long Exp.]]/D489-1)+(E489/GSPC[[#This Row],[Short Exp.]]-1))</f>
        <v>#VALUE!</v>
      </c>
      <c r="G488" s="37">
        <v>41680</v>
      </c>
      <c r="H488">
        <v>42.212933</v>
      </c>
      <c r="I488" s="36">
        <f>IF(ISBLANK(H489), "", Long0[[#This Row],[Adj Close]]/H489-1)</f>
        <v>2.2626529066860135E-2</v>
      </c>
      <c r="J488" s="29">
        <v>41680</v>
      </c>
      <c r="K488">
        <v>9.4279779999999995</v>
      </c>
      <c r="L488" s="33">
        <f>IF(ISBLANK(K489),"",Long1[[#This Row],[Adj Close]]/K489-1)</f>
        <v>5.4545450478080904E-2</v>
      </c>
      <c r="M488" s="37">
        <v>41680</v>
      </c>
      <c r="N488">
        <v>40.593021</v>
      </c>
      <c r="O488" s="36">
        <f>IF(ISBLANK(N489),"",Long2[[#This Row],[Adj Close]]/N489-1)</f>
        <v>2.8632916063972447E-2</v>
      </c>
      <c r="P488" s="29">
        <v>41680</v>
      </c>
      <c r="Q488">
        <v>18.900717</v>
      </c>
      <c r="R488" s="33">
        <f>IF(ISBLANK(Q489),"",Long3[[#This Row],[Adj Close]]/Q489-1)</f>
        <v>3.8892745044065036E-2</v>
      </c>
      <c r="S488" s="37">
        <v>41680</v>
      </c>
      <c r="T488" s="35">
        <v>19.004797</v>
      </c>
      <c r="U488" s="36">
        <f>IF(ISBLANK(T489),"",Long4[[#This Row],[Adj Close]]/T489-1)</f>
        <v>2.4356774689983984E-2</v>
      </c>
      <c r="Y488" s="37">
        <v>41680</v>
      </c>
      <c r="Z488" s="35">
        <v>31.301227999999998</v>
      </c>
      <c r="AA488" s="36">
        <f>IF(ISBLANK(Z489),"",Long6[[#This Row],[Adj Close]]/Z489-1)</f>
        <v>1.1653532923990628E-2</v>
      </c>
      <c r="AH488" s="29">
        <v>41680</v>
      </c>
      <c r="AI488" s="44">
        <v>59.430560999999997</v>
      </c>
      <c r="AJ488" s="33">
        <f>IF(ISBLANK(AI489),"",Short0[[#This Row],[Adj Close]]/AI489-1)</f>
        <v>4.1314804260684124E-2</v>
      </c>
      <c r="AK488" s="37">
        <v>41680</v>
      </c>
      <c r="AL488" s="39">
        <v>18.480885000000001</v>
      </c>
      <c r="AM488" s="36">
        <f>IF(ISBLANK(AL489),"",Short1[[#This Row],[Adj Close]]/AL489-1)</f>
        <v>9.3689861652614947E-3</v>
      </c>
      <c r="AN488" s="29">
        <v>41680</v>
      </c>
      <c r="AO488" s="44">
        <v>38.219223</v>
      </c>
      <c r="AP488" s="33">
        <f>IF(ISBLANK(AO489),"",Short2[[#This Row],[Adj Close]]/AO489-1)</f>
        <v>-6.9427080817565656E-3</v>
      </c>
      <c r="AQ488" s="37">
        <v>41680</v>
      </c>
      <c r="AR488" s="44">
        <v>86.089995999999999</v>
      </c>
      <c r="AS488" s="36">
        <f>IF(ISBLANK(AR489),"",Short3[[#This Row],[Adj Close]]/AR489-1)</f>
        <v>7.7741602819539457E-2</v>
      </c>
    </row>
    <row r="489" spans="1:45" x14ac:dyDescent="0.25">
      <c r="A489" s="37">
        <v>41673</v>
      </c>
      <c r="B489" s="39">
        <v>1797.0200199999999</v>
      </c>
      <c r="C489" s="36">
        <f>IF(ISBLANK(B490), "", GSPC[[#This Row],[Adj Close]]/B490-1)</f>
        <v>8.0949933945717589E-3</v>
      </c>
      <c r="D48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8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21359.934005999999</v>
      </c>
      <c r="F489" s="11" t="e">
        <f>IF(ISBLANK(GSPC[[#This Row],[Long Exp.]]), "", (GSPC[[#This Row],[Long Exp.]]/D490-1)+(E490/GSPC[[#This Row],[Short Exp.]]-1))</f>
        <v>#VALUE!</v>
      </c>
      <c r="G489" s="37">
        <v>41673</v>
      </c>
      <c r="H489">
        <v>41.278934</v>
      </c>
      <c r="I489" s="36">
        <f>IF(ISBLANK(H490), "", Long0[[#This Row],[Adj Close]]/H490-1)</f>
        <v>-7.2672893146976669E-3</v>
      </c>
      <c r="J489" s="29">
        <v>41673</v>
      </c>
      <c r="K489">
        <v>8.9403240000000004</v>
      </c>
      <c r="L489" s="33">
        <f>IF(ISBLANK(K490),"",Long1[[#This Row],[Adj Close]]/K490-1)</f>
        <v>3.7319403899437109E-2</v>
      </c>
      <c r="M489" s="37">
        <v>41673</v>
      </c>
      <c r="N489">
        <v>39.463078000000003</v>
      </c>
      <c r="O489" s="36">
        <f>IF(ISBLANK(N490),"",Long2[[#This Row],[Adj Close]]/N490-1)</f>
        <v>4.0080621309299902E-2</v>
      </c>
      <c r="P489" s="29">
        <v>41673</v>
      </c>
      <c r="Q489">
        <v>18.193135999999999</v>
      </c>
      <c r="R489" s="33">
        <f>IF(ISBLANK(Q490),"",Long3[[#This Row],[Adj Close]]/Q490-1)</f>
        <v>-7.5238978308780347E-3</v>
      </c>
      <c r="S489" s="37">
        <v>41673</v>
      </c>
      <c r="T489" s="35">
        <v>18.552907999999999</v>
      </c>
      <c r="U489" s="36">
        <f>IF(ISBLANK(T490),"",Long4[[#This Row],[Adj Close]]/T490-1)</f>
        <v>-2.7498825928761184E-3</v>
      </c>
      <c r="Y489" s="37">
        <v>41673</v>
      </c>
      <c r="Z489" s="35">
        <v>30.940660000000001</v>
      </c>
      <c r="AA489" s="36">
        <f>IF(ISBLANK(Z490),"",Long6[[#This Row],[Adj Close]]/Z490-1)</f>
        <v>-2.2475506804360501E-2</v>
      </c>
      <c r="AH489" s="29">
        <v>41673</v>
      </c>
      <c r="AI489" s="44">
        <v>57.072617000000001</v>
      </c>
      <c r="AJ489" s="33">
        <f>IF(ISBLANK(AI490),"",Short0[[#This Row],[Adj Close]]/AI490-1)</f>
        <v>5.881023425642784E-3</v>
      </c>
      <c r="AK489" s="37">
        <v>41673</v>
      </c>
      <c r="AL489" s="39">
        <v>18.309345</v>
      </c>
      <c r="AM489" s="36">
        <f>IF(ISBLANK(AL490),"",Short1[[#This Row],[Adj Close]]/AL490-1)</f>
        <v>4.2905445989605884E-2</v>
      </c>
      <c r="AN489" s="29">
        <v>41673</v>
      </c>
      <c r="AO489" s="44">
        <v>38.486423000000002</v>
      </c>
      <c r="AP489" s="33">
        <f>IF(ISBLANK(AO490),"",Short2[[#This Row],[Adj Close]]/AO490-1)</f>
        <v>4.1217879846032757E-2</v>
      </c>
      <c r="AQ489" s="37">
        <v>41673</v>
      </c>
      <c r="AR489" s="44">
        <v>79.879997000000003</v>
      </c>
      <c r="AS489" s="36">
        <f>IF(ISBLANK(AR490),"",Short3[[#This Row],[Adj Close]]/AR490-1)</f>
        <v>3.6998546501344265E-2</v>
      </c>
    </row>
    <row r="490" spans="1:45" x14ac:dyDescent="0.25">
      <c r="A490" s="37">
        <v>41666</v>
      </c>
      <c r="B490" s="39">
        <v>1782.589966</v>
      </c>
      <c r="C490" s="36">
        <f>IF(ISBLANK(B491), "", GSPC[[#This Row],[Adj Close]]/B491-1)</f>
        <v>-4.3010198527949628E-3</v>
      </c>
      <c r="D49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9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20848.417862999999</v>
      </c>
      <c r="F490" s="11" t="e">
        <f>IF(ISBLANK(GSPC[[#This Row],[Long Exp.]]), "", (GSPC[[#This Row],[Long Exp.]]/D491-1)+(E491/GSPC[[#This Row],[Short Exp.]]-1))</f>
        <v>#VALUE!</v>
      </c>
      <c r="G490" s="37">
        <v>41666</v>
      </c>
      <c r="H490">
        <v>41.581116000000002</v>
      </c>
      <c r="I490" s="36">
        <f>IF(ISBLANK(H491), "", Long0[[#This Row],[Adj Close]]/H491-1)</f>
        <v>2.48251435949014E-2</v>
      </c>
      <c r="J490" s="29">
        <v>41666</v>
      </c>
      <c r="K490">
        <v>8.6186799999999995</v>
      </c>
      <c r="L490" s="33">
        <f>IF(ISBLANK(K491),"",Long1[[#This Row],[Adj Close]]/K491-1)</f>
        <v>-0.12098765532828859</v>
      </c>
      <c r="M490" s="37">
        <v>41666</v>
      </c>
      <c r="N490">
        <v>37.942326000000001</v>
      </c>
      <c r="O490" s="36">
        <f>IF(ISBLANK(N491),"",Long2[[#This Row],[Adj Close]]/N491-1)</f>
        <v>-1.5866098349049285E-2</v>
      </c>
      <c r="P490" s="29">
        <v>41666</v>
      </c>
      <c r="Q490">
        <v>18.331057000000001</v>
      </c>
      <c r="R490" s="33">
        <f>IF(ISBLANK(Q491),"",Long3[[#This Row],[Adj Close]]/Q491-1)</f>
        <v>2.3434745978937466E-2</v>
      </c>
      <c r="S490" s="37">
        <v>41666</v>
      </c>
      <c r="T490" s="35">
        <v>18.604067000000001</v>
      </c>
      <c r="U490" s="36">
        <f>IF(ISBLANK(T491),"",Long4[[#This Row],[Adj Close]]/T491-1)</f>
        <v>-2.0646161690609954E-2</v>
      </c>
      <c r="Y490" s="37">
        <v>41666</v>
      </c>
      <c r="Z490" s="35">
        <v>31.652056000000002</v>
      </c>
      <c r="AA490" s="36">
        <f>IF(ISBLANK(Z491),"",Long6[[#This Row],[Adj Close]]/Z491-1)</f>
        <v>3.1438618398692109E-2</v>
      </c>
      <c r="AH490" s="29">
        <v>41666</v>
      </c>
      <c r="AI490" s="44">
        <v>56.738934</v>
      </c>
      <c r="AJ490" s="33">
        <f>IF(ISBLANK(AI491),"",Short0[[#This Row],[Adj Close]]/AI491-1)</f>
        <v>3.5313200535103118E-2</v>
      </c>
      <c r="AK490" s="37">
        <v>41666</v>
      </c>
      <c r="AL490" s="39">
        <v>17.556093000000001</v>
      </c>
      <c r="AM490" s="36">
        <f>IF(ISBLANK(AL491),"",Short1[[#This Row],[Adj Close]]/AL491-1)</f>
        <v>-5.9152851910392878E-2</v>
      </c>
      <c r="AN490" s="29">
        <v>41666</v>
      </c>
      <c r="AO490" s="44">
        <v>36.962890999999999</v>
      </c>
      <c r="AP490" s="33">
        <f>IF(ISBLANK(AO491),"",Short2[[#This Row],[Adj Close]]/AO491-1)</f>
        <v>8.4526030388589524E-2</v>
      </c>
      <c r="AQ490" s="37">
        <v>41666</v>
      </c>
      <c r="AR490" s="44">
        <v>77.029999000000004</v>
      </c>
      <c r="AS490" s="36">
        <f>IF(ISBLANK(AR491),"",Short3[[#This Row],[Adj Close]]/AR491-1)</f>
        <v>5.1956099544270273E-4</v>
      </c>
    </row>
    <row r="491" spans="1:45" x14ac:dyDescent="0.25">
      <c r="A491" s="37">
        <v>41659</v>
      </c>
      <c r="B491" s="39">
        <v>1790.290039</v>
      </c>
      <c r="C491" s="36">
        <f>IF(ISBLANK(B492), "", GSPC[[#This Row],[Adj Close]]/B492-1)</f>
        <v>-2.632833702620796E-2</v>
      </c>
      <c r="D49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9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20291.656417999999</v>
      </c>
      <c r="F491" s="11" t="e">
        <f>IF(ISBLANK(GSPC[[#This Row],[Long Exp.]]), "", (GSPC[[#This Row],[Long Exp.]]/D492-1)+(E492/GSPC[[#This Row],[Short Exp.]]-1))</f>
        <v>#VALUE!</v>
      </c>
      <c r="G491" s="37">
        <v>41659</v>
      </c>
      <c r="H491">
        <v>40.573864</v>
      </c>
      <c r="I491" s="36">
        <f>IF(ISBLANK(H492), "", Long0[[#This Row],[Adj Close]]/H492-1)</f>
        <v>-3.147555077463593E-2</v>
      </c>
      <c r="J491" s="29">
        <v>41659</v>
      </c>
      <c r="K491">
        <v>9.8049590000000002</v>
      </c>
      <c r="L491" s="33">
        <f>IF(ISBLANK(K492),"",Long1[[#This Row],[Adj Close]]/K492-1)</f>
        <v>-4.7058869265746206E-2</v>
      </c>
      <c r="M491" s="37">
        <v>41659</v>
      </c>
      <c r="N491">
        <v>38.554028000000002</v>
      </c>
      <c r="O491" s="36">
        <f>IF(ISBLANK(N492),"",Long2[[#This Row],[Adj Close]]/N492-1)</f>
        <v>-6.510106329218035E-2</v>
      </c>
      <c r="P491" s="29">
        <v>41659</v>
      </c>
      <c r="Q491">
        <v>17.91131</v>
      </c>
      <c r="R491" s="33">
        <f>IF(ISBLANK(Q492),"",Long3[[#This Row],[Adj Close]]/Q492-1)</f>
        <v>9.4626681117102596E-3</v>
      </c>
      <c r="S491" s="37">
        <v>41659</v>
      </c>
      <c r="T491" s="35">
        <v>18.996267</v>
      </c>
      <c r="U491" s="36">
        <f>IF(ISBLANK(T492),"",Long4[[#This Row],[Adj Close]]/T492-1)</f>
        <v>-3.1304597031487025E-2</v>
      </c>
      <c r="Y491" s="37">
        <v>41659</v>
      </c>
      <c r="Z491" s="35">
        <v>30.687290000000001</v>
      </c>
      <c r="AA491" s="36">
        <f>IF(ISBLANK(Z492),"",Long6[[#This Row],[Adj Close]]/Z492-1)</f>
        <v>-6.9994080651756274E-2</v>
      </c>
      <c r="AH491" s="29">
        <v>41659</v>
      </c>
      <c r="AI491" s="44">
        <v>54.803642000000004</v>
      </c>
      <c r="AJ491" s="33">
        <f>IF(ISBLANK(AI492),"",Short0[[#This Row],[Adj Close]]/AI492-1)</f>
        <v>-9.7888435441515709E-2</v>
      </c>
      <c r="AK491" s="37">
        <v>41659</v>
      </c>
      <c r="AL491" s="39">
        <v>18.659877999999999</v>
      </c>
      <c r="AM491" s="36">
        <f>IF(ISBLANK(AL492),"",Short1[[#This Row],[Adj Close]]/AL492-1)</f>
        <v>2.415119073173333E-2</v>
      </c>
      <c r="AN491" s="29">
        <v>41659</v>
      </c>
      <c r="AO491" s="44">
        <v>34.082068999999997</v>
      </c>
      <c r="AP491" s="33">
        <f>IF(ISBLANK(AO492),"",Short2[[#This Row],[Adj Close]]/AO492-1)</f>
        <v>-1.2006436874319681E-2</v>
      </c>
      <c r="AQ491" s="37">
        <v>41659</v>
      </c>
      <c r="AR491" s="44">
        <v>76.989998</v>
      </c>
      <c r="AS491" s="36">
        <f>IF(ISBLANK(AR492),"",Short3[[#This Row],[Adj Close]]/AR492-1)</f>
        <v>-3.3638760728976091E-2</v>
      </c>
    </row>
    <row r="492" spans="1:45" x14ac:dyDescent="0.25">
      <c r="A492" s="37">
        <v>41652</v>
      </c>
      <c r="B492" s="39">
        <v>1838.6999510000001</v>
      </c>
      <c r="C492" s="36">
        <f>IF(ISBLANK(B493), "", GSPC[[#This Row],[Adj Close]]/B493-1)</f>
        <v>-1.9920233231979223E-3</v>
      </c>
      <c r="D49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9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21465.008657999999</v>
      </c>
      <c r="F492" s="11" t="e">
        <f>IF(ISBLANK(GSPC[[#This Row],[Long Exp.]]), "", (GSPC[[#This Row],[Long Exp.]]/D493-1)+(E493/GSPC[[#This Row],[Short Exp.]]-1))</f>
        <v>#VALUE!</v>
      </c>
      <c r="G492" s="37">
        <v>41652</v>
      </c>
      <c r="H492">
        <v>41.892451999999999</v>
      </c>
      <c r="I492" s="36">
        <f>IF(ISBLANK(H493), "", Long0[[#This Row],[Adj Close]]/H493-1)</f>
        <v>-4.7856578930832727E-3</v>
      </c>
      <c r="J492" s="29">
        <v>41652</v>
      </c>
      <c r="K492">
        <v>10.289154999999999</v>
      </c>
      <c r="L492" s="33">
        <f>IF(ISBLANK(K493),"",Long1[[#This Row],[Adj Close]]/K493-1)</f>
        <v>7.7913863098366676E-3</v>
      </c>
      <c r="M492" s="37">
        <v>41652</v>
      </c>
      <c r="N492">
        <v>41.238712</v>
      </c>
      <c r="O492" s="36">
        <f>IF(ISBLANK(N493),"",Long2[[#This Row],[Adj Close]]/N493-1)</f>
        <v>4.2749962166261923E-2</v>
      </c>
      <c r="P492" s="29">
        <v>41652</v>
      </c>
      <c r="Q492">
        <v>17.743410000000001</v>
      </c>
      <c r="R492" s="33">
        <f>IF(ISBLANK(Q493),"",Long3[[#This Row],[Adj Close]]/Q493-1)</f>
        <v>-2.3109857878238937E-2</v>
      </c>
      <c r="S492" s="37">
        <v>41652</v>
      </c>
      <c r="T492" s="35">
        <v>19.610154999999999</v>
      </c>
      <c r="U492" s="36">
        <f>IF(ISBLANK(T493),"",Long4[[#This Row],[Adj Close]]/T493-1)</f>
        <v>4.8056075190634484E-3</v>
      </c>
      <c r="Y492" s="37">
        <v>41652</v>
      </c>
      <c r="Z492" s="35">
        <v>32.996876</v>
      </c>
      <c r="AA492" s="36">
        <f>IF(ISBLANK(Z493),"",Long6[[#This Row],[Adj Close]]/Z493-1)</f>
        <v>-2.2517290640113763E-2</v>
      </c>
      <c r="AH492" s="29">
        <v>41652</v>
      </c>
      <c r="AI492" s="44">
        <v>60.750404000000003</v>
      </c>
      <c r="AJ492" s="33">
        <f>IF(ISBLANK(AI493),"",Short0[[#This Row],[Adj Close]]/AI493-1)</f>
        <v>1.6627310203260803E-2</v>
      </c>
      <c r="AK492" s="37">
        <v>41652</v>
      </c>
      <c r="AL492" s="39">
        <v>18.219847000000001</v>
      </c>
      <c r="AM492" s="36">
        <f>IF(ISBLANK(AL493),"",Short1[[#This Row],[Adj Close]]/AL493-1)</f>
        <v>-0.35387485954550635</v>
      </c>
      <c r="AN492" s="29">
        <v>41652</v>
      </c>
      <c r="AO492" s="44">
        <v>34.496245999999999</v>
      </c>
      <c r="AP492" s="33">
        <f>IF(ISBLANK(AO493),"",Short2[[#This Row],[Adj Close]]/AO493-1)</f>
        <v>-4.3633468264998365E-2</v>
      </c>
      <c r="AQ492" s="37">
        <v>41652</v>
      </c>
      <c r="AR492" s="44">
        <v>79.669998000000007</v>
      </c>
      <c r="AS492" s="36">
        <f>IF(ISBLANK(AR493),"",Short3[[#This Row],[Adj Close]]/AR493-1)</f>
        <v>5.887825781175593E-2</v>
      </c>
    </row>
    <row r="493" spans="1:45" x14ac:dyDescent="0.25">
      <c r="A493" s="37">
        <v>41645</v>
      </c>
      <c r="B493" s="39">
        <v>1842.369995</v>
      </c>
      <c r="C493" s="36">
        <f>IF(ISBLANK(B494), "", GSPC[[#This Row],[Adj Close]]/B494-1)</f>
        <v>6.0064323593986835E-3</v>
      </c>
      <c r="D49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9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22083.427121000001</v>
      </c>
      <c r="F493" s="11" t="e">
        <f>IF(ISBLANK(GSPC[[#This Row],[Long Exp.]]), "", (GSPC[[#This Row],[Long Exp.]]/D494-1)+(E494/GSPC[[#This Row],[Short Exp.]]-1))</f>
        <v>#VALUE!</v>
      </c>
      <c r="G493" s="37">
        <v>41645</v>
      </c>
      <c r="H493">
        <v>42.093899</v>
      </c>
      <c r="I493" s="36">
        <f>IF(ISBLANK(H494), "", Long0[[#This Row],[Adj Close]]/H494-1)</f>
        <v>7.6076825228819089E-2</v>
      </c>
      <c r="J493" s="29">
        <v>41645</v>
      </c>
      <c r="K493">
        <v>10.209607999999999</v>
      </c>
      <c r="L493" s="33">
        <f>IF(ISBLANK(K494),"",Long1[[#This Row],[Adj Close]]/K494-1)</f>
        <v>5.3157292863032835E-2</v>
      </c>
      <c r="M493" s="37">
        <v>41645</v>
      </c>
      <c r="N493">
        <v>39.548034999999999</v>
      </c>
      <c r="O493" s="36">
        <f>IF(ISBLANK(N494),"",Long2[[#This Row],[Adj Close]]/N494-1)</f>
        <v>-5.9793001681223146E-3</v>
      </c>
      <c r="P493" s="29">
        <v>41645</v>
      </c>
      <c r="Q493">
        <v>18.163157999999999</v>
      </c>
      <c r="R493" s="33">
        <f>IF(ISBLANK(Q494),"",Long3[[#This Row],[Adj Close]]/Q494-1)</f>
        <v>2.2620013799591776E-2</v>
      </c>
      <c r="S493" s="37">
        <v>41645</v>
      </c>
      <c r="T493" s="35">
        <v>19.516366999999999</v>
      </c>
      <c r="U493" s="36">
        <f>IF(ISBLANK(T494),"",Long4[[#This Row],[Adj Close]]/T494-1)</f>
        <v>-4.1858498377582154E-2</v>
      </c>
      <c r="Y493" s="37">
        <v>41645</v>
      </c>
      <c r="Z493" s="35">
        <v>33.756991999999997</v>
      </c>
      <c r="AA493" s="36">
        <f>IF(ISBLANK(Z494),"",Long6[[#This Row],[Adj Close]]/Z494-1)</f>
        <v>2.3640717639722864E-2</v>
      </c>
      <c r="AH493" s="29">
        <v>41645</v>
      </c>
      <c r="AI493" s="44">
        <v>59.756808999999997</v>
      </c>
      <c r="AJ493" s="33">
        <f>IF(ISBLANK(AI494),"",Short0[[#This Row],[Adj Close]]/AI494-1)</f>
        <v>2.858974657111113E-2</v>
      </c>
      <c r="AK493" s="37">
        <v>41645</v>
      </c>
      <c r="AL493" s="39">
        <v>28.198634999999999</v>
      </c>
      <c r="AM493" s="36">
        <f>IF(ISBLANK(AL494),"",Short1[[#This Row],[Adj Close]]/AL494-1)</f>
        <v>-7.0550601822896741E-2</v>
      </c>
      <c r="AN493" s="29">
        <v>41645</v>
      </c>
      <c r="AO493" s="44">
        <v>36.07011</v>
      </c>
      <c r="AP493" s="33">
        <f>IF(ISBLANK(AO494),"",Short2[[#This Row],[Adj Close]]/AO494-1)</f>
        <v>8.7520932870508439E-3</v>
      </c>
      <c r="AQ493" s="37">
        <v>41645</v>
      </c>
      <c r="AR493" s="44">
        <v>75.239998</v>
      </c>
      <c r="AS493" s="36">
        <f>IF(ISBLANK(AR494),"",Short3[[#This Row],[Adj Close]]/AR494-1)</f>
        <v>6.0016833191737229E-2</v>
      </c>
    </row>
    <row r="494" spans="1:45" x14ac:dyDescent="0.25">
      <c r="A494" s="37">
        <v>41638</v>
      </c>
      <c r="B494" s="39">
        <v>1831.369995</v>
      </c>
      <c r="C494" s="36">
        <f>IF(ISBLANK(B495), "", GSPC[[#This Row],[Adj Close]]/B495-1)</f>
        <v>-5.4469582216102319E-3</v>
      </c>
      <c r="D49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9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21661.705667999999</v>
      </c>
      <c r="F494" s="11" t="e">
        <f>IF(ISBLANK(GSPC[[#This Row],[Long Exp.]]), "", (GSPC[[#This Row],[Long Exp.]]/D495-1)+(E495/GSPC[[#This Row],[Short Exp.]]-1))</f>
        <v>#VALUE!</v>
      </c>
      <c r="G494" s="37">
        <v>41638</v>
      </c>
      <c r="H494">
        <v>39.117930999999999</v>
      </c>
      <c r="I494" s="36">
        <f>IF(ISBLANK(H495), "", Long0[[#This Row],[Adj Close]]/H495-1)</f>
        <v>-1.4025012361233991E-3</v>
      </c>
      <c r="J494" s="29">
        <v>41638</v>
      </c>
      <c r="K494">
        <v>9.694286</v>
      </c>
      <c r="L494" s="33">
        <f>IF(ISBLANK(K495),"",Long1[[#This Row],[Adj Close]]/K495-1)</f>
        <v>6.3757159766586025E-2</v>
      </c>
      <c r="M494" s="37">
        <v>41638</v>
      </c>
      <c r="N494">
        <v>39.785927000000001</v>
      </c>
      <c r="O494" s="36">
        <f>IF(ISBLANK(N495),"",Long2[[#This Row],[Adj Close]]/N495-1)</f>
        <v>-4.0406943721060795E-3</v>
      </c>
      <c r="P494" s="29">
        <v>41638</v>
      </c>
      <c r="Q494">
        <v>17.761395</v>
      </c>
      <c r="R494" s="33">
        <f>IF(ISBLANK(Q495),"",Long3[[#This Row],[Adj Close]]/Q495-1)</f>
        <v>-7.7056554268175592E-3</v>
      </c>
      <c r="S494" s="37">
        <v>41638</v>
      </c>
      <c r="T494" s="35">
        <v>20.368981999999999</v>
      </c>
      <c r="U494" s="36">
        <f>IF(ISBLANK(T495),"",Long4[[#This Row],[Adj Close]]/T495-1)</f>
        <v>-4.9978276898373641E-3</v>
      </c>
      <c r="Y494" s="37">
        <v>41638</v>
      </c>
      <c r="Z494" s="35">
        <v>32.977383000000003</v>
      </c>
      <c r="AA494" s="36">
        <f>IF(ISBLANK(Z495),"",Long6[[#This Row],[Adj Close]]/Z495-1)</f>
        <v>1.287021608896044E-2</v>
      </c>
      <c r="AH494" s="29">
        <v>41638</v>
      </c>
      <c r="AI494" s="44">
        <v>58.095863000000001</v>
      </c>
      <c r="AJ494" s="33">
        <f>IF(ISBLANK(AI495),"",Short0[[#This Row],[Adj Close]]/AI495-1)</f>
        <v>1.4060155588553336E-3</v>
      </c>
      <c r="AK494" s="37">
        <v>41638</v>
      </c>
      <c r="AL494" s="39">
        <v>30.339075000000001</v>
      </c>
      <c r="AM494" s="36">
        <f>IF(ISBLANK(AL495),"",Short1[[#This Row],[Adj Close]]/AL495-1)</f>
        <v>1.2696375290950357E-2</v>
      </c>
      <c r="AN494" s="29">
        <v>41638</v>
      </c>
      <c r="AO494" s="44">
        <v>35.757159999999999</v>
      </c>
      <c r="AP494" s="33">
        <f>IF(ISBLANK(AO495),"",Short2[[#This Row],[Adj Close]]/AO495-1)</f>
        <v>-1.7699299807919733E-2</v>
      </c>
      <c r="AQ494" s="37">
        <v>41638</v>
      </c>
      <c r="AR494" s="44">
        <v>70.980002999999996</v>
      </c>
      <c r="AS494" s="36">
        <f>IF(ISBLANK(AR495),"",Short3[[#This Row],[Adj Close]]/AR495-1)</f>
        <v>2.8844833420635707E-2</v>
      </c>
    </row>
    <row r="495" spans="1:45" x14ac:dyDescent="0.25">
      <c r="A495" s="37">
        <v>41631</v>
      </c>
      <c r="B495" s="39">
        <v>1841.400024</v>
      </c>
      <c r="C495" s="36">
        <f>IF(ISBLANK(B496), "", GSPC[[#This Row],[Adj Close]]/B496-1)</f>
        <v>1.269307860301061E-2</v>
      </c>
      <c r="D49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9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21544.170832000003</v>
      </c>
      <c r="F495" s="11" t="e">
        <f>IF(ISBLANK(GSPC[[#This Row],[Long Exp.]]), "", (GSPC[[#This Row],[Long Exp.]]/D496-1)+(E496/GSPC[[#This Row],[Short Exp.]]-1))</f>
        <v>#VALUE!</v>
      </c>
      <c r="G495" s="37">
        <v>41631</v>
      </c>
      <c r="H495">
        <v>39.172871000000001</v>
      </c>
      <c r="I495" s="36">
        <f>IF(ISBLANK(H496), "", Long0[[#This Row],[Adj Close]]/H496-1)</f>
        <v>6.3512629360737982E-3</v>
      </c>
      <c r="J495" s="29">
        <v>41631</v>
      </c>
      <c r="K495">
        <v>9.113251</v>
      </c>
      <c r="L495" s="33">
        <f>IF(ISBLANK(K496),"",Long1[[#This Row],[Adj Close]]/K496-1)</f>
        <v>1.5203171807600668E-3</v>
      </c>
      <c r="M495" s="37">
        <v>41631</v>
      </c>
      <c r="N495">
        <v>39.947341999999999</v>
      </c>
      <c r="O495" s="36">
        <f>IF(ISBLANK(N496),"",Long2[[#This Row],[Adj Close]]/N496-1)</f>
        <v>2.8433667767717274E-2</v>
      </c>
      <c r="P495" s="29">
        <v>41631</v>
      </c>
      <c r="Q495">
        <v>17.899321</v>
      </c>
      <c r="R495" s="33">
        <f>IF(ISBLANK(Q496),"",Long3[[#This Row],[Adj Close]]/Q496-1)</f>
        <v>5.7282611315725429E-3</v>
      </c>
      <c r="S495" s="37">
        <v>41631</v>
      </c>
      <c r="T495" s="35">
        <v>20.471294</v>
      </c>
      <c r="U495" s="36">
        <f>IF(ISBLANK(T496),"",Long4[[#This Row],[Adj Close]]/T496-1)</f>
        <v>2.1701882043564158E-2</v>
      </c>
      <c r="Y495" s="37">
        <v>41631</v>
      </c>
      <c r="Z495" s="35">
        <v>32.558349999999997</v>
      </c>
      <c r="AA495" s="36">
        <f>IF(ISBLANK(Z496),"",Long6[[#This Row],[Adj Close]]/Z496-1)</f>
        <v>-1.5035208830378566E-2</v>
      </c>
      <c r="AH495" s="29">
        <v>41631</v>
      </c>
      <c r="AI495" s="44">
        <v>58.014294</v>
      </c>
      <c r="AJ495" s="33">
        <f>IF(ISBLANK(AI496),"",Short0[[#This Row],[Adj Close]]/AI496-1)</f>
        <v>2.6455212373452053E-2</v>
      </c>
      <c r="AK495" s="37">
        <v>41631</v>
      </c>
      <c r="AL495" s="39">
        <v>29.958708000000001</v>
      </c>
      <c r="AM495" s="36">
        <f>IF(ISBLANK(AL496),"",Short1[[#This Row],[Adj Close]]/AL496-1)</f>
        <v>1.2859201022477507E-2</v>
      </c>
      <c r="AN495" s="29">
        <v>41631</v>
      </c>
      <c r="AO495" s="44">
        <v>36.401440000000001</v>
      </c>
      <c r="AP495" s="33">
        <f>IF(ISBLANK(AO496),"",Short2[[#This Row],[Adj Close]]/AO496-1)</f>
        <v>5.8052645105453049E-2</v>
      </c>
      <c r="AQ495" s="37">
        <v>41631</v>
      </c>
      <c r="AR495" s="44">
        <v>68.989998</v>
      </c>
      <c r="AS495" s="36">
        <f>IF(ISBLANK(AR496),"",Short3[[#This Row],[Adj Close]]/AR496-1)</f>
        <v>-7.6236913531513295E-3</v>
      </c>
    </row>
    <row r="496" spans="1:45" x14ac:dyDescent="0.25">
      <c r="A496" s="37">
        <v>41624</v>
      </c>
      <c r="B496" s="39">
        <v>1818.3199460000001</v>
      </c>
      <c r="C496" s="36">
        <f>IF(ISBLANK(B497), "", GSPC[[#This Row],[Adj Close]]/B497-1)</f>
        <v>2.4220986249201992E-2</v>
      </c>
      <c r="D49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9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21068.470707</v>
      </c>
      <c r="F496" s="11" t="e">
        <f>IF(ISBLANK(GSPC[[#This Row],[Long Exp.]]), "", (GSPC[[#This Row],[Long Exp.]]/D497-1)+(E497/GSPC[[#This Row],[Short Exp.]]-1))</f>
        <v>#VALUE!</v>
      </c>
      <c r="G496" s="37">
        <v>41624</v>
      </c>
      <c r="H496">
        <v>38.925643999999998</v>
      </c>
      <c r="I496" s="36">
        <f>IF(ISBLANK(H497), "", Long0[[#This Row],[Adj Close]]/H497-1)</f>
        <v>1.7472610574048586E-2</v>
      </c>
      <c r="J496" s="29">
        <v>41624</v>
      </c>
      <c r="K496">
        <v>9.0994170000000008</v>
      </c>
      <c r="L496" s="33">
        <f>IF(ISBLANK(K497),"",Long1[[#This Row],[Adj Close]]/K497-1)</f>
        <v>0.10453396544238025</v>
      </c>
      <c r="M496" s="37">
        <v>41624</v>
      </c>
      <c r="N496">
        <v>38.842896000000003</v>
      </c>
      <c r="O496" s="36">
        <f>IF(ISBLANK(N497),"",Long2[[#This Row],[Adj Close]]/N497-1)</f>
        <v>3.9800259732590604E-2</v>
      </c>
      <c r="P496" s="29">
        <v>41624</v>
      </c>
      <c r="Q496">
        <v>17.797373</v>
      </c>
      <c r="R496" s="33">
        <f>IF(ISBLANK(Q497),"",Long3[[#This Row],[Adj Close]]/Q497-1)</f>
        <v>1.4700331867388172E-2</v>
      </c>
      <c r="S496" s="37">
        <v>41624</v>
      </c>
      <c r="T496" s="35">
        <v>20.036465</v>
      </c>
      <c r="U496" s="36">
        <f>IF(ISBLANK(T497),"",Long4[[#This Row],[Adj Close]]/T497-1)</f>
        <v>-1.0109533116615776E-2</v>
      </c>
      <c r="Y496" s="37">
        <v>41624</v>
      </c>
      <c r="Z496" s="35">
        <v>33.055343999999998</v>
      </c>
      <c r="AA496" s="36">
        <f>IF(ISBLANK(Z497),"",Long6[[#This Row],[Adj Close]]/Z497-1)</f>
        <v>6.2989487013140222E-2</v>
      </c>
      <c r="AH496" s="29">
        <v>41624</v>
      </c>
      <c r="AI496" s="44">
        <v>56.519069999999999</v>
      </c>
      <c r="AJ496" s="33">
        <f>IF(ISBLANK(AI497),"",Short0[[#This Row],[Adj Close]]/AI497-1)</f>
        <v>0</v>
      </c>
      <c r="AK496" s="37">
        <v>41624</v>
      </c>
      <c r="AL496" s="39">
        <v>29.578354000000001</v>
      </c>
      <c r="AM496" s="36">
        <f>IF(ISBLANK(AL497),"",Short1[[#This Row],[Adj Close]]/AL497-1)</f>
        <v>-2.0982719284105888E-2</v>
      </c>
      <c r="AN496" s="29">
        <v>41624</v>
      </c>
      <c r="AO496" s="44">
        <v>34.404186000000003</v>
      </c>
      <c r="AP496" s="33">
        <f>IF(ISBLANK(AO497),"",Short2[[#This Row],[Adj Close]]/AO497-1)</f>
        <v>6.7999380139044163E-2</v>
      </c>
      <c r="AQ496" s="37">
        <v>41624</v>
      </c>
      <c r="AR496" s="44">
        <v>69.519997000000004</v>
      </c>
      <c r="AS496" s="36">
        <f>IF(ISBLANK(AR497),"",Short3[[#This Row],[Adj Close]]/AR497-1)</f>
        <v>2.6428376210170912E-2</v>
      </c>
    </row>
    <row r="497" spans="1:45" x14ac:dyDescent="0.25">
      <c r="A497" s="37">
        <v>41617</v>
      </c>
      <c r="B497" s="39">
        <v>1775.3199460000001</v>
      </c>
      <c r="C497" s="36">
        <f>IF(ISBLANK(B498), "", GSPC[[#This Row],[Adj Close]]/B498-1)</f>
        <v>-1.6492263854288147E-2</v>
      </c>
      <c r="D49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9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20737.643077000001</v>
      </c>
      <c r="F497" s="11" t="e">
        <f>IF(ISBLANK(GSPC[[#This Row],[Long Exp.]]), "", (GSPC[[#This Row],[Long Exp.]]/D498-1)+(E498/GSPC[[#This Row],[Short Exp.]]-1))</f>
        <v>#VALUE!</v>
      </c>
      <c r="G497" s="37">
        <v>41617</v>
      </c>
      <c r="H497">
        <v>38.257190999999999</v>
      </c>
      <c r="I497" s="36">
        <f>IF(ISBLANK(H498), "", Long0[[#This Row],[Adj Close]]/H498-1)</f>
        <v>-5.3466258926269439E-2</v>
      </c>
      <c r="J497" s="29">
        <v>41617</v>
      </c>
      <c r="K497">
        <v>8.2382410000000004</v>
      </c>
      <c r="L497" s="33">
        <f>IF(ISBLANK(K498),"",Long1[[#This Row],[Adj Close]]/K498-1)</f>
        <v>5.3982325906416939E-2</v>
      </c>
      <c r="M497" s="37">
        <v>41617</v>
      </c>
      <c r="N497">
        <v>37.356113000000001</v>
      </c>
      <c r="O497" s="36">
        <f>IF(ISBLANK(N498),"",Long2[[#This Row],[Adj Close]]/N498-1)</f>
        <v>-5.5294156651915505E-2</v>
      </c>
      <c r="P497" s="29">
        <v>41617</v>
      </c>
      <c r="Q497">
        <v>17.539535999999998</v>
      </c>
      <c r="R497" s="33">
        <f>IF(ISBLANK(Q498),"",Long3[[#This Row],[Adj Close]]/Q498-1)</f>
        <v>-1.2350117068325339E-2</v>
      </c>
      <c r="S497" s="37">
        <v>41617</v>
      </c>
      <c r="T497" s="35">
        <v>20.241092999999999</v>
      </c>
      <c r="U497" s="36">
        <f>IF(ISBLANK(T498),"",Long4[[#This Row],[Adj Close]]/T498-1)</f>
        <v>-4.6968990638812325E-2</v>
      </c>
      <c r="Y497" s="37">
        <v>41617</v>
      </c>
      <c r="Z497" s="35">
        <v>31.096585999999999</v>
      </c>
      <c r="AA497" s="36">
        <f>IF(ISBLANK(Z498),"",Long6[[#This Row],[Adj Close]]/Z498-1)</f>
        <v>-4.4896746917457375E-2</v>
      </c>
      <c r="AH497" s="29">
        <v>41617</v>
      </c>
      <c r="AI497" s="44">
        <v>56.519069999999999</v>
      </c>
      <c r="AJ497" s="33">
        <f>IF(ISBLANK(AI498),"",Short0[[#This Row],[Adj Close]]/AI498-1)</f>
        <v>1.0558110103655372E-2</v>
      </c>
      <c r="AK497" s="37">
        <v>41617</v>
      </c>
      <c r="AL497" s="39">
        <v>30.212289999999999</v>
      </c>
      <c r="AM497" s="36">
        <f>IF(ISBLANK(AL498),"",Short1[[#This Row],[Adj Close]]/AL498-1)</f>
        <v>-9.1050473038581936E-3</v>
      </c>
      <c r="AN497" s="29">
        <v>41617</v>
      </c>
      <c r="AO497" s="44">
        <v>32.213676</v>
      </c>
      <c r="AP497" s="33">
        <f>IF(ISBLANK(AO498),"",Short2[[#This Row],[Adj Close]]/AO498-1)</f>
        <v>1.3318314907734496E-2</v>
      </c>
      <c r="AQ497" s="37">
        <v>41617</v>
      </c>
      <c r="AR497" s="44">
        <v>67.730002999999996</v>
      </c>
      <c r="AS497" s="36">
        <f>IF(ISBLANK(AR498),"",Short3[[#This Row],[Adj Close]]/AR498-1)</f>
        <v>-2.7985031572904884E-2</v>
      </c>
    </row>
    <row r="498" spans="1:45" x14ac:dyDescent="0.25">
      <c r="A498" s="37">
        <v>41610</v>
      </c>
      <c r="B498" s="39">
        <v>1805.089966</v>
      </c>
      <c r="C498" s="36">
        <f>IF(ISBLANK(B499), "", GSPC[[#This Row],[Adj Close]]/B499-1)</f>
        <v>-3.9876453030651682E-4</v>
      </c>
      <c r="D49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9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20759.321287999999</v>
      </c>
      <c r="F498" s="11" t="e">
        <f>IF(ISBLANK(GSPC[[#This Row],[Long Exp.]]), "", (GSPC[[#This Row],[Long Exp.]]/D499-1)+(E499/GSPC[[#This Row],[Short Exp.]]-1))</f>
        <v>#VALUE!</v>
      </c>
      <c r="G498" s="37">
        <v>41610</v>
      </c>
      <c r="H498">
        <v>40.418201000000003</v>
      </c>
      <c r="I498" s="36">
        <f>IF(ISBLANK(H499), "", Long0[[#This Row],[Adj Close]]/H499-1)</f>
        <v>2.2673144986207205E-4</v>
      </c>
      <c r="J498" s="29">
        <v>41610</v>
      </c>
      <c r="K498">
        <v>7.8162989999999999</v>
      </c>
      <c r="L498" s="33">
        <f>IF(ISBLANK(K499),"",Long1[[#This Row],[Adj Close]]/K499-1)</f>
        <v>-1.5679390731872855E-2</v>
      </c>
      <c r="M498" s="37">
        <v>41610</v>
      </c>
      <c r="N498">
        <v>39.542586999999997</v>
      </c>
      <c r="O498" s="36">
        <f>IF(ISBLANK(N499),"",Long2[[#This Row],[Adj Close]]/N499-1)</f>
        <v>-2.3173434684110816E-2</v>
      </c>
      <c r="P498" s="29">
        <v>41610</v>
      </c>
      <c r="Q498">
        <v>17.758859999999999</v>
      </c>
      <c r="R498" s="33">
        <f>IF(ISBLANK(Q499),"",Long3[[#This Row],[Adj Close]]/Q499-1)</f>
        <v>-2.3770729712257799E-2</v>
      </c>
      <c r="S498" s="37">
        <v>41610</v>
      </c>
      <c r="T498" s="35">
        <v>21.238651000000001</v>
      </c>
      <c r="U498" s="36">
        <f>IF(ISBLANK(T499),"",Long4[[#This Row],[Adj Close]]/T499-1)</f>
        <v>-2.9984339463469567E-2</v>
      </c>
      <c r="Y498" s="37">
        <v>41610</v>
      </c>
      <c r="Z498" s="35">
        <v>32.558349999999997</v>
      </c>
      <c r="AA498" s="36">
        <f>IF(ISBLANK(Z499),"",Long6[[#This Row],[Adj Close]]/Z499-1)</f>
        <v>-7.4771645849536772E-2</v>
      </c>
      <c r="AH498" s="29">
        <v>41610</v>
      </c>
      <c r="AI498" s="44">
        <v>55.928570000000001</v>
      </c>
      <c r="AJ498" s="33">
        <f>IF(ISBLANK(AI499),"",Short0[[#This Row],[Adj Close]]/AI499-1)</f>
        <v>5.7059341082704274E-2</v>
      </c>
      <c r="AK498" s="37">
        <v>41610</v>
      </c>
      <c r="AL498" s="39">
        <v>30.489902000000001</v>
      </c>
      <c r="AM498" s="36">
        <f>IF(ISBLANK(AL499),"",Short1[[#This Row],[Adj Close]]/AL499-1)</f>
        <v>1.2330215009801027E-2</v>
      </c>
      <c r="AN498" s="29">
        <v>41610</v>
      </c>
      <c r="AO498" s="44">
        <v>31.790282999999999</v>
      </c>
      <c r="AP498" s="33">
        <f>IF(ISBLANK(AO499),"",Short2[[#This Row],[Adj Close]]/AO499-1)</f>
        <v>-3.4116646922797256E-2</v>
      </c>
      <c r="AQ498" s="37">
        <v>41610</v>
      </c>
      <c r="AR498" s="44">
        <v>69.680000000000007</v>
      </c>
      <c r="AS498" s="36">
        <f>IF(ISBLANK(AR499),"",Short3[[#This Row],[Adj Close]]/AR499-1)</f>
        <v>-3.4368124480702589E-2</v>
      </c>
    </row>
    <row r="499" spans="1:45" x14ac:dyDescent="0.25">
      <c r="A499" s="37">
        <v>41603</v>
      </c>
      <c r="B499" s="39">
        <v>1805.8100589999999</v>
      </c>
      <c r="C499" s="36">
        <f>IF(ISBLANK(B500), "", GSPC[[#This Row],[Adj Close]]/B500-1)</f>
        <v>5.8182195648259771E-4</v>
      </c>
      <c r="D49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49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20546.601672000001</v>
      </c>
      <c r="F499" s="11" t="e">
        <f>IF(ISBLANK(GSPC[[#This Row],[Long Exp.]]), "", (GSPC[[#This Row],[Long Exp.]]/D500-1)+(E500/GSPC[[#This Row],[Short Exp.]]-1))</f>
        <v>#VALUE!</v>
      </c>
      <c r="G499" s="37">
        <v>41603</v>
      </c>
      <c r="H499">
        <v>40.409039</v>
      </c>
      <c r="I499" s="36">
        <f>IF(ISBLANK(H500), "", Long0[[#This Row],[Adj Close]]/H500-1)</f>
        <v>3.4215879233267854E-2</v>
      </c>
      <c r="J499" s="29">
        <v>41603</v>
      </c>
      <c r="K499">
        <v>7.9408060000000003</v>
      </c>
      <c r="L499" s="33">
        <f>IF(ISBLANK(K500),"",Long1[[#This Row],[Adj Close]]/K500-1)</f>
        <v>0.10278572340191805</v>
      </c>
      <c r="M499" s="37">
        <v>41603</v>
      </c>
      <c r="N499">
        <v>40.480663</v>
      </c>
      <c r="O499" s="36">
        <f>IF(ISBLANK(N500),"",Long2[[#This Row],[Adj Close]]/N500-1)</f>
        <v>8.2089227718138424E-3</v>
      </c>
      <c r="P499" s="29">
        <v>41603</v>
      </c>
      <c r="Q499">
        <v>18.191279999999999</v>
      </c>
      <c r="R499" s="33">
        <f>IF(ISBLANK(Q500),"",Long3[[#This Row],[Adj Close]]/Q500-1)</f>
        <v>3.2564659986333844E-4</v>
      </c>
      <c r="S499" s="37">
        <v>41603</v>
      </c>
      <c r="T499" s="35">
        <v>21.895163</v>
      </c>
      <c r="U499" s="36">
        <f>IF(ISBLANK(T500),"",Long4[[#This Row],[Adj Close]]/T500-1)</f>
        <v>3.897355979789463E-4</v>
      </c>
      <c r="Y499" s="37">
        <v>41603</v>
      </c>
      <c r="Z499" s="35">
        <v>35.189529</v>
      </c>
      <c r="AA499" s="36">
        <f>IF(ISBLANK(Z500),"",Long6[[#This Row],[Adj Close]]/Z500-1)</f>
        <v>2.4106670329713475E-2</v>
      </c>
      <c r="AH499" s="29">
        <v>41603</v>
      </c>
      <c r="AI499" s="44">
        <v>52.909584000000002</v>
      </c>
      <c r="AJ499" s="33">
        <f>IF(ISBLANK(AI500),"",Short0[[#This Row],[Adj Close]]/AI500-1)</f>
        <v>1.717002656466815E-2</v>
      </c>
      <c r="AK499" s="37">
        <v>41603</v>
      </c>
      <c r="AL499" s="39">
        <v>30.118534</v>
      </c>
      <c r="AM499" s="36">
        <f>IF(ISBLANK(AL500),"",Short1[[#This Row],[Adj Close]]/AL500-1)</f>
        <v>2.997200268517064E-2</v>
      </c>
      <c r="AN499" s="29">
        <v>41603</v>
      </c>
      <c r="AO499" s="44">
        <v>32.913170000000001</v>
      </c>
      <c r="AP499" s="33">
        <f>IF(ISBLANK(AO500),"",Short2[[#This Row],[Adj Close]]/AO500-1)</f>
        <v>3.5021587288429412E-2</v>
      </c>
      <c r="AQ499" s="37">
        <v>41603</v>
      </c>
      <c r="AR499" s="44">
        <v>72.160004000000001</v>
      </c>
      <c r="AS499" s="36">
        <f>IF(ISBLANK(AR500),"",Short3[[#This Row],[Adj Close]]/AR500-1)</f>
        <v>-1.9032001605002624E-2</v>
      </c>
    </row>
    <row r="500" spans="1:45" x14ac:dyDescent="0.25">
      <c r="A500" s="37">
        <v>41596</v>
      </c>
      <c r="B500" s="39">
        <v>1804.76001</v>
      </c>
      <c r="C500" s="36">
        <f>IF(ISBLANK(B501), "", GSPC[[#This Row],[Adj Close]]/B501-1)</f>
        <v>3.6592308903455883E-3</v>
      </c>
      <c r="D50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0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20291.176231999998</v>
      </c>
      <c r="F500" s="11" t="e">
        <f>IF(ISBLANK(GSPC[[#This Row],[Long Exp.]]), "", (GSPC[[#This Row],[Long Exp.]]/D501-1)+(E501/GSPC[[#This Row],[Short Exp.]]-1))</f>
        <v>#VALUE!</v>
      </c>
      <c r="G500" s="37">
        <v>41596</v>
      </c>
      <c r="H500">
        <v>39.072150999999998</v>
      </c>
      <c r="I500" s="36">
        <f>IF(ISBLANK(H501), "", Long0[[#This Row],[Adj Close]]/H501-1)</f>
        <v>7.3184735182894034E-3</v>
      </c>
      <c r="J500" s="29">
        <v>41596</v>
      </c>
      <c r="K500">
        <v>7.2006790000000001</v>
      </c>
      <c r="L500" s="33">
        <f>IF(ISBLANK(K501),"",Long1[[#This Row],[Adj Close]]/K501-1)</f>
        <v>-6.0469280046784202E-2</v>
      </c>
      <c r="M500" s="37">
        <v>41596</v>
      </c>
      <c r="N500">
        <v>40.151066</v>
      </c>
      <c r="O500" s="36">
        <f>IF(ISBLANK(N501),"",Long2[[#This Row],[Adj Close]]/N501-1)</f>
        <v>-3.1396210961177284E-2</v>
      </c>
      <c r="P500" s="29">
        <v>41596</v>
      </c>
      <c r="Q500">
        <v>18.185358000000001</v>
      </c>
      <c r="R500" s="33">
        <f>IF(ISBLANK(Q501),"",Long3[[#This Row],[Adj Close]]/Q501-1)</f>
        <v>-1.2226424424560456E-2</v>
      </c>
      <c r="S500" s="37">
        <v>41596</v>
      </c>
      <c r="T500" s="35">
        <v>21.886633</v>
      </c>
      <c r="U500" s="36">
        <f>IF(ISBLANK(T501),"",Long4[[#This Row],[Adj Close]]/T501-1)</f>
        <v>-1.2312433465240802E-2</v>
      </c>
      <c r="Y500" s="37">
        <v>41596</v>
      </c>
      <c r="Z500" s="35">
        <v>34.361195000000002</v>
      </c>
      <c r="AA500" s="36">
        <f>IF(ISBLANK(Z501),"",Long6[[#This Row],[Adj Close]]/Z501-1)</f>
        <v>-4.8569871099822359E-2</v>
      </c>
      <c r="AH500" s="29">
        <v>41596</v>
      </c>
      <c r="AI500" s="44">
        <v>52.016460000000002</v>
      </c>
      <c r="AJ500" s="33">
        <f>IF(ISBLANK(AI501),"",Short0[[#This Row],[Adj Close]]/AI501-1)</f>
        <v>-1.0530501883306176E-2</v>
      </c>
      <c r="AK500" s="37">
        <v>41596</v>
      </c>
      <c r="AL500" s="39">
        <v>29.242090000000001</v>
      </c>
      <c r="AM500" s="36">
        <f>IF(ISBLANK(AL501),"",Short1[[#This Row],[Adj Close]]/AL501-1)</f>
        <v>-9.8878532176812417E-2</v>
      </c>
      <c r="AN500" s="29">
        <v>41596</v>
      </c>
      <c r="AO500" s="44">
        <v>31.799500999999999</v>
      </c>
      <c r="AP500" s="33">
        <f>IF(ISBLANK(AO501),"",Short2[[#This Row],[Adj Close]]/AO501-1)</f>
        <v>1.1121236260737355E-2</v>
      </c>
      <c r="AQ500" s="37">
        <v>41596</v>
      </c>
      <c r="AR500" s="44">
        <v>73.559997999999993</v>
      </c>
      <c r="AS500" s="36">
        <f>IF(ISBLANK(AR501),"",Short3[[#This Row],[Adj Close]]/AR501-1)</f>
        <v>0.16135140511525092</v>
      </c>
    </row>
    <row r="501" spans="1:45" x14ac:dyDescent="0.25">
      <c r="A501" s="37">
        <v>41589</v>
      </c>
      <c r="B501" s="39">
        <v>1798.1800539999999</v>
      </c>
      <c r="C501" s="36">
        <f>IF(ISBLANK(B502), "", GSPC[[#This Row],[Adj Close]]/B502-1)</f>
        <v>1.5570944043896695E-2</v>
      </c>
      <c r="D50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0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19889.278725</v>
      </c>
      <c r="F501" s="11" t="e">
        <f>IF(ISBLANK(GSPC[[#This Row],[Long Exp.]]), "", (GSPC[[#This Row],[Long Exp.]]/D502-1)+(E502/GSPC[[#This Row],[Short Exp.]]-1))</f>
        <v>#VALUE!</v>
      </c>
      <c r="G501" s="37">
        <v>41589</v>
      </c>
      <c r="H501">
        <v>38.78828</v>
      </c>
      <c r="I501" s="36">
        <f>IF(ISBLANK(H502), "", Long0[[#This Row],[Adj Close]]/H502-1)</f>
        <v>4.8255170945866954E-2</v>
      </c>
      <c r="J501" s="29">
        <v>41589</v>
      </c>
      <c r="K501">
        <v>7.664123</v>
      </c>
      <c r="L501" s="33">
        <f>IF(ISBLANK(K502),"",Long1[[#This Row],[Adj Close]]/K502-1)</f>
        <v>0.1271617804164078</v>
      </c>
      <c r="M501" s="37">
        <v>41589</v>
      </c>
      <c r="N501">
        <v>41.452517999999998</v>
      </c>
      <c r="O501" s="36">
        <f>IF(ISBLANK(N502),"",Long2[[#This Row],[Adj Close]]/N502-1)</f>
        <v>2.1662186537281913E-2</v>
      </c>
      <c r="P501" s="29">
        <v>41589</v>
      </c>
      <c r="Q501">
        <v>18.410451999999999</v>
      </c>
      <c r="R501" s="33">
        <f>IF(ISBLANK(Q502),"",Long3[[#This Row],[Adj Close]]/Q502-1)</f>
        <v>1.8682375274369445E-2</v>
      </c>
      <c r="S501" s="37">
        <v>41589</v>
      </c>
      <c r="T501" s="35">
        <v>22.159469999999999</v>
      </c>
      <c r="U501" s="36">
        <f>IF(ISBLANK(T502),"",Long4[[#This Row],[Adj Close]]/T502-1)</f>
        <v>5.4158546620288739E-3</v>
      </c>
      <c r="Y501" s="37">
        <v>41589</v>
      </c>
      <c r="Z501" s="35">
        <v>36.115310999999998</v>
      </c>
      <c r="AA501" s="36">
        <f>IF(ISBLANK(Z502),"",Long6[[#This Row],[Adj Close]]/Z502-1)</f>
        <v>1.2291747957866583E-2</v>
      </c>
      <c r="AH501" s="29">
        <v>41589</v>
      </c>
      <c r="AI501" s="44">
        <v>52.570048999999997</v>
      </c>
      <c r="AJ501" s="33">
        <f>IF(ISBLANK(AI502),"",Short0[[#This Row],[Adj Close]]/AI502-1)</f>
        <v>2.0343677516265757E-2</v>
      </c>
      <c r="AK501" s="37">
        <v>41589</v>
      </c>
      <c r="AL501" s="39">
        <v>32.450775</v>
      </c>
      <c r="AM501" s="36">
        <f>IF(ISBLANK(AL502),"",Short1[[#This Row],[Adj Close]]/AL502-1)</f>
        <v>3.0181763532550754E-2</v>
      </c>
      <c r="AN501" s="29">
        <v>41589</v>
      </c>
      <c r="AO501" s="44">
        <v>31.449741</v>
      </c>
      <c r="AP501" s="33">
        <f>IF(ISBLANK(AO502),"",Short2[[#This Row],[Adj Close]]/AO502-1)</f>
        <v>4.2086008953994725E-2</v>
      </c>
      <c r="AQ501" s="37">
        <v>41589</v>
      </c>
      <c r="AR501" s="44">
        <v>63.34</v>
      </c>
      <c r="AS501" s="36">
        <f>IF(ISBLANK(AR502),"",Short3[[#This Row],[Adj Close]]/AR502-1)</f>
        <v>5.0414611117987063E-2</v>
      </c>
    </row>
    <row r="502" spans="1:45" x14ac:dyDescent="0.25">
      <c r="A502" s="37">
        <v>41582</v>
      </c>
      <c r="B502" s="39">
        <v>1770.6099850000001</v>
      </c>
      <c r="C502" s="36">
        <f>IF(ISBLANK(B503), "", GSPC[[#This Row],[Adj Close]]/B503-1)</f>
        <v>5.0918291612489508E-3</v>
      </c>
      <c r="D50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0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19259.167731000001</v>
      </c>
      <c r="F502" s="11" t="e">
        <f>IF(ISBLANK(GSPC[[#This Row],[Long Exp.]]), "", (GSPC[[#This Row],[Long Exp.]]/D503-1)+(E503/GSPC[[#This Row],[Short Exp.]]-1))</f>
        <v>#VALUE!</v>
      </c>
      <c r="G502" s="37">
        <v>41582</v>
      </c>
      <c r="H502">
        <v>37.002707999999998</v>
      </c>
      <c r="I502" s="36">
        <f>IF(ISBLANK(H503), "", Long0[[#This Row],[Adj Close]]/H503-1)</f>
        <v>6.3141348750091364E-2</v>
      </c>
      <c r="J502" s="29">
        <v>41582</v>
      </c>
      <c r="K502">
        <v>6.7994880000000002</v>
      </c>
      <c r="L502" s="33">
        <f>IF(ISBLANK(K503),"",Long1[[#This Row],[Adj Close]]/K503-1)</f>
        <v>-2.0428626440996744E-2</v>
      </c>
      <c r="M502" s="37">
        <v>41582</v>
      </c>
      <c r="N502">
        <v>40.573605000000001</v>
      </c>
      <c r="O502" s="36">
        <f>IF(ISBLANK(N503),"",Long2[[#This Row],[Adj Close]]/N503-1)</f>
        <v>4.1431668054862314E-2</v>
      </c>
      <c r="P502" s="29">
        <v>41582</v>
      </c>
      <c r="Q502">
        <v>18.072808999999999</v>
      </c>
      <c r="R502" s="33">
        <f>IF(ISBLANK(Q503),"",Long3[[#This Row],[Adj Close]]/Q503-1)</f>
        <v>-7.1592087272468463E-3</v>
      </c>
      <c r="S502" s="37">
        <v>41582</v>
      </c>
      <c r="T502" s="35">
        <v>22.040103999999999</v>
      </c>
      <c r="U502" s="36">
        <f>IF(ISBLANK(T503),"",Long4[[#This Row],[Adj Close]]/T503-1)</f>
        <v>1.2137835806943942E-2</v>
      </c>
      <c r="Y502" s="37">
        <v>41582</v>
      </c>
      <c r="Z502" s="35">
        <v>35.676780999999998</v>
      </c>
      <c r="AA502" s="36">
        <f>IF(ISBLANK(Z503),"",Long6[[#This Row],[Adj Close]]/Z503-1)</f>
        <v>0.16407001468792148</v>
      </c>
      <c r="AH502" s="29">
        <v>41582</v>
      </c>
      <c r="AI502" s="44">
        <v>51.521903999999999</v>
      </c>
      <c r="AJ502" s="33">
        <f>IF(ISBLANK(AI503),"",Short0[[#This Row],[Adj Close]]/AI503-1)</f>
        <v>-1.14476367167482E-3</v>
      </c>
      <c r="AK502" s="37">
        <v>41582</v>
      </c>
      <c r="AL502" s="39">
        <v>31.500048</v>
      </c>
      <c r="AM502" s="36">
        <f>IF(ISBLANK(AL503),"",Short1[[#This Row],[Adj Close]]/AL503-1)</f>
        <v>-1.2112547995576373E-2</v>
      </c>
      <c r="AN502" s="29">
        <v>41582</v>
      </c>
      <c r="AO502" s="44">
        <v>30.179601999999999</v>
      </c>
      <c r="AP502" s="33">
        <f>IF(ISBLANK(AO503),"",Short2[[#This Row],[Adj Close]]/AO503-1)</f>
        <v>-6.2607028595614955E-2</v>
      </c>
      <c r="AQ502" s="37">
        <v>41582</v>
      </c>
      <c r="AR502" s="44">
        <v>60.299999</v>
      </c>
      <c r="AS502" s="36">
        <f>IF(ISBLANK(AR503),"",Short3[[#This Row],[Adj Close]]/AR503-1)</f>
        <v>-3.4272902534799865E-2</v>
      </c>
    </row>
    <row r="503" spans="1:45" x14ac:dyDescent="0.25">
      <c r="A503" s="37">
        <v>41575</v>
      </c>
      <c r="B503" s="39">
        <v>1761.6400149999999</v>
      </c>
      <c r="C503" s="36">
        <f>IF(ISBLANK(B504), "", GSPC[[#This Row],[Adj Close]]/B504-1)</f>
        <v>1.0626360142218516E-3</v>
      </c>
      <c r="D50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0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19698.391745000001</v>
      </c>
      <c r="F503" s="11" t="e">
        <f>IF(ISBLANK(GSPC[[#This Row],[Long Exp.]]), "", (GSPC[[#This Row],[Long Exp.]]/D504-1)+(E504/GSPC[[#This Row],[Short Exp.]]-1))</f>
        <v>#VALUE!</v>
      </c>
      <c r="G503" s="37">
        <v>41575</v>
      </c>
      <c r="H503">
        <v>34.805069000000003</v>
      </c>
      <c r="I503" s="36">
        <f>IF(ISBLANK(H504), "", Long0[[#This Row],[Adj Close]]/H504-1)</f>
        <v>-1.0929062995466809E-2</v>
      </c>
      <c r="J503" s="29">
        <v>41575</v>
      </c>
      <c r="K503">
        <v>6.9412890000000003</v>
      </c>
      <c r="L503" s="33">
        <f>IF(ISBLANK(K504),"",Long1[[#This Row],[Adj Close]]/K504-1)</f>
        <v>-0.11973680706413181</v>
      </c>
      <c r="M503" s="37">
        <v>41575</v>
      </c>
      <c r="N503">
        <v>38.959449999999997</v>
      </c>
      <c r="O503" s="36">
        <f>IF(ISBLANK(N504),"",Long2[[#This Row],[Adj Close]]/N504-1)</f>
        <v>3.482669769333091E-3</v>
      </c>
      <c r="P503" s="29">
        <v>41575</v>
      </c>
      <c r="Q503">
        <v>18.203129000000001</v>
      </c>
      <c r="R503" s="33">
        <f>IF(ISBLANK(Q504),"",Long3[[#This Row],[Adj Close]]/Q504-1)</f>
        <v>-1.9484976615888883E-3</v>
      </c>
      <c r="S503" s="37">
        <v>41575</v>
      </c>
      <c r="T503" s="35">
        <v>21.775793</v>
      </c>
      <c r="U503" s="36">
        <f>IF(ISBLANK(T504),"",Long4[[#This Row],[Adj Close]]/T504-1)</f>
        <v>-4.3803994290345538E-2</v>
      </c>
      <c r="Y503" s="37">
        <v>41575</v>
      </c>
      <c r="Z503" s="35">
        <v>30.648312000000001</v>
      </c>
      <c r="AA503" s="36">
        <f>IF(ISBLANK(Z504),"",Long6[[#This Row],[Adj Close]]/Z504-1)</f>
        <v>8.3359595927494645E-3</v>
      </c>
      <c r="AH503" s="29">
        <v>41575</v>
      </c>
      <c r="AI503" s="44">
        <v>51.580952000000003</v>
      </c>
      <c r="AJ503" s="33">
        <f>IF(ISBLANK(AI504),"",Short0[[#This Row],[Adj Close]]/AI504-1)</f>
        <v>-2.8094448332246169E-2</v>
      </c>
      <c r="AK503" s="37">
        <v>41575</v>
      </c>
      <c r="AL503" s="39">
        <v>31.886272000000002</v>
      </c>
      <c r="AM503" s="36">
        <f>IF(ISBLANK(AL504),"",Short1[[#This Row],[Adj Close]]/AL504-1)</f>
        <v>3.74065383484945E-3</v>
      </c>
      <c r="AN503" s="29">
        <v>41575</v>
      </c>
      <c r="AO503" s="44">
        <v>32.195250999999999</v>
      </c>
      <c r="AP503" s="33">
        <f>IF(ISBLANK(AO504),"",Short2[[#This Row],[Adj Close]]/AO504-1)</f>
        <v>-5.43391937117087E-2</v>
      </c>
      <c r="AQ503" s="37">
        <v>41575</v>
      </c>
      <c r="AR503" s="44">
        <v>62.439999</v>
      </c>
      <c r="AS503" s="36">
        <f>IF(ISBLANK(AR504),"",Short3[[#This Row],[Adj Close]]/AR504-1)</f>
        <v>7.7469336305184822E-3</v>
      </c>
    </row>
    <row r="504" spans="1:45" x14ac:dyDescent="0.25">
      <c r="A504" s="37">
        <v>41568</v>
      </c>
      <c r="B504" s="39">
        <v>1759.7700199999999</v>
      </c>
      <c r="C504" s="36">
        <f>IF(ISBLANK(B505), "", GSPC[[#This Row],[Adj Close]]/B505-1)</f>
        <v>8.7532358842075109E-3</v>
      </c>
      <c r="D50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0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20113.755795000005</v>
      </c>
      <c r="F504" s="11" t="e">
        <f>IF(ISBLANK(GSPC[[#This Row],[Long Exp.]]), "", (GSPC[[#This Row],[Long Exp.]]/D505-1)+(E505/GSPC[[#This Row],[Short Exp.]]-1))</f>
        <v>#VALUE!</v>
      </c>
      <c r="G504" s="37">
        <v>41568</v>
      </c>
      <c r="H504">
        <v>35.189658999999999</v>
      </c>
      <c r="I504" s="36">
        <f>IF(ISBLANK(H505), "", Long0[[#This Row],[Adj Close]]/H505-1)</f>
        <v>-3.1126473227663931E-3</v>
      </c>
      <c r="J504" s="29">
        <v>41568</v>
      </c>
      <c r="K504">
        <v>7.8854699999999998</v>
      </c>
      <c r="L504" s="33">
        <f>IF(ISBLANK(K505),"",Long1[[#This Row],[Adj Close]]/K505-1)</f>
        <v>5.0691336343758886E-2</v>
      </c>
      <c r="M504" s="37">
        <v>41568</v>
      </c>
      <c r="N504">
        <v>38.824238000000001</v>
      </c>
      <c r="O504" s="36">
        <f>IF(ISBLANK(N505),"",Long2[[#This Row],[Adj Close]]/N505-1)</f>
        <v>-1.437489756406074E-2</v>
      </c>
      <c r="P504" s="29">
        <v>41568</v>
      </c>
      <c r="Q504">
        <v>18.238667</v>
      </c>
      <c r="R504" s="33">
        <f>IF(ISBLANK(Q505),"",Long3[[#This Row],[Adj Close]]/Q505-1)</f>
        <v>1.6171512424440371E-2</v>
      </c>
      <c r="S504" s="37">
        <v>41568</v>
      </c>
      <c r="T504" s="35">
        <v>22.773357000000001</v>
      </c>
      <c r="U504" s="36">
        <f>IF(ISBLANK(T505),"",Long4[[#This Row],[Adj Close]]/T505-1)</f>
        <v>3.3269035391121582E-2</v>
      </c>
      <c r="Y504" s="37">
        <v>41568</v>
      </c>
      <c r="Z504" s="35">
        <v>30.394940999999999</v>
      </c>
      <c r="AA504" s="36">
        <f>IF(ISBLANK(Z505),"",Long6[[#This Row],[Adj Close]]/Z505-1)</f>
        <v>3.8622432128938566E-3</v>
      </c>
      <c r="AH504" s="29">
        <v>41568</v>
      </c>
      <c r="AI504" s="44">
        <v>53.071980000000003</v>
      </c>
      <c r="AJ504" s="33">
        <f>IF(ISBLANK(AI505),"",Short0[[#This Row],[Adj Close]]/AI505-1)</f>
        <v>-8.5493039451931541E-3</v>
      </c>
      <c r="AK504" s="37">
        <v>41568</v>
      </c>
      <c r="AL504" s="39">
        <v>31.767441000000002</v>
      </c>
      <c r="AM504" s="36">
        <f>IF(ISBLANK(AL505),"",Short1[[#This Row],[Adj Close]]/AL505-1)</f>
        <v>-4.6543442535964541E-3</v>
      </c>
      <c r="AN504" s="29">
        <v>41568</v>
      </c>
      <c r="AO504" s="44">
        <v>34.045242000000002</v>
      </c>
      <c r="AP504" s="33">
        <f>IF(ISBLANK(AO505),"",Short2[[#This Row],[Adj Close]]/AO505-1)</f>
        <v>5.6918596767295604E-2</v>
      </c>
      <c r="AQ504" s="37">
        <v>41568</v>
      </c>
      <c r="AR504" s="44">
        <v>61.959999000000003</v>
      </c>
      <c r="AS504" s="36">
        <f>IF(ISBLANK(AR505),"",Short3[[#This Row],[Adj Close]]/AR505-1)</f>
        <v>1.2927924807242253E-3</v>
      </c>
    </row>
    <row r="505" spans="1:45" x14ac:dyDescent="0.25">
      <c r="A505" s="37">
        <v>41561</v>
      </c>
      <c r="B505" s="39">
        <v>1744.5</v>
      </c>
      <c r="C505" s="36">
        <f>IF(ISBLANK(B506), "", GSPC[[#This Row],[Adj Close]]/B506-1)</f>
        <v>2.4248502928708726E-2</v>
      </c>
      <c r="D50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0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19979.830740000001</v>
      </c>
      <c r="F505" s="11" t="e">
        <f>IF(ISBLANK(GSPC[[#This Row],[Long Exp.]]), "", (GSPC[[#This Row],[Long Exp.]]/D506-1)+(E506/GSPC[[#This Row],[Short Exp.]]-1))</f>
        <v>#VALUE!</v>
      </c>
      <c r="G505" s="37">
        <v>41561</v>
      </c>
      <c r="H505">
        <v>35.299534000000001</v>
      </c>
      <c r="I505" s="36">
        <f>IF(ISBLANK(H506), "", Long0[[#This Row],[Adj Close]]/H506-1)</f>
        <v>-3.407677111408125E-2</v>
      </c>
      <c r="J505" s="29">
        <v>41561</v>
      </c>
      <c r="K505">
        <v>7.5050299999999996</v>
      </c>
      <c r="L505" s="33">
        <f>IF(ISBLANK(K506),"",Long1[[#This Row],[Adj Close]]/K506-1)</f>
        <v>6.4247084712027558E-2</v>
      </c>
      <c r="M505" s="37">
        <v>41561</v>
      </c>
      <c r="N505">
        <v>39.390472000000003</v>
      </c>
      <c r="O505" s="36">
        <f>IF(ISBLANK(N506),"",Long2[[#This Row],[Adj Close]]/N506-1)</f>
        <v>2.5071827033446015E-2</v>
      </c>
      <c r="P505" s="29">
        <v>41561</v>
      </c>
      <c r="Q505">
        <v>17.948414</v>
      </c>
      <c r="R505" s="33">
        <f>IF(ISBLANK(Q506),"",Long3[[#This Row],[Adj Close]]/Q506-1)</f>
        <v>-6.5573561795516655E-3</v>
      </c>
      <c r="S505" s="37">
        <v>41561</v>
      </c>
      <c r="T505" s="35">
        <v>22.040103999999999</v>
      </c>
      <c r="U505" s="36">
        <f>IF(ISBLANK(T506),"",Long4[[#This Row],[Adj Close]]/T506-1)</f>
        <v>2.0528973231845882E-2</v>
      </c>
      <c r="Y505" s="37">
        <v>41561</v>
      </c>
      <c r="Z505" s="35">
        <v>30.277999999999999</v>
      </c>
      <c r="AA505" s="36">
        <f>IF(ISBLANK(Z506),"",Long6[[#This Row],[Adj Close]]/Z506-1)</f>
        <v>-3.087959823273001E-2</v>
      </c>
      <c r="AH505" s="29">
        <v>41561</v>
      </c>
      <c r="AI505" s="44">
        <v>53.529620999999999</v>
      </c>
      <c r="AJ505" s="33">
        <f>IF(ISBLANK(AI506),"",Short0[[#This Row],[Adj Close]]/AI506-1)</f>
        <v>6.1319880468324373E-2</v>
      </c>
      <c r="AK505" s="37">
        <v>41561</v>
      </c>
      <c r="AL505" s="39">
        <v>31.915989</v>
      </c>
      <c r="AM505" s="36">
        <f>IF(ISBLANK(AL506),"",Short1[[#This Row],[Adj Close]]/AL506-1)</f>
        <v>9.4498128574219464E-2</v>
      </c>
      <c r="AN505" s="29">
        <v>41561</v>
      </c>
      <c r="AO505" s="44">
        <v>32.211792000000003</v>
      </c>
      <c r="AP505" s="33">
        <f>IF(ISBLANK(AO506),"",Short2[[#This Row],[Adj Close]]/AO506-1)</f>
        <v>6.3182397952010749E-3</v>
      </c>
      <c r="AQ505" s="37">
        <v>41561</v>
      </c>
      <c r="AR505" s="44">
        <v>61.880001</v>
      </c>
      <c r="AS505" s="36">
        <f>IF(ISBLANK(AR506),"",Short3[[#This Row],[Adj Close]]/AR506-1)</f>
        <v>4.0874683921367838E-2</v>
      </c>
    </row>
    <row r="506" spans="1:45" x14ac:dyDescent="0.25">
      <c r="A506" s="37">
        <v>41554</v>
      </c>
      <c r="B506" s="39">
        <v>1703.1999510000001</v>
      </c>
      <c r="C506" s="36">
        <f>IF(ISBLANK(B507), "", GSPC[[#This Row],[Adj Close]]/B507-1)</f>
        <v>7.5125412599823527E-3</v>
      </c>
      <c r="D50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0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19020.937260999999</v>
      </c>
      <c r="F506" s="11" t="e">
        <f>IF(ISBLANK(GSPC[[#This Row],[Long Exp.]]), "", (GSPC[[#This Row],[Long Exp.]]/D507-1)+(E507/GSPC[[#This Row],[Short Exp.]]-1))</f>
        <v>#VALUE!</v>
      </c>
      <c r="G506" s="37">
        <v>41554</v>
      </c>
      <c r="H506">
        <v>36.544865000000001</v>
      </c>
      <c r="I506" s="36">
        <f>IF(ISBLANK(H507), "", Long0[[#This Row],[Adj Close]]/H507-1)</f>
        <v>-8.4471283171561051E-3</v>
      </c>
      <c r="J506" s="29">
        <v>41554</v>
      </c>
      <c r="K506">
        <v>7.0519619999999996</v>
      </c>
      <c r="L506" s="33">
        <f>IF(ISBLANK(K507),"",Long1[[#This Row],[Adj Close]]/K507-1)</f>
        <v>-3.7299257657075313E-2</v>
      </c>
      <c r="M506" s="37">
        <v>41554</v>
      </c>
      <c r="N506">
        <v>38.427036000000001</v>
      </c>
      <c r="O506" s="36">
        <f>IF(ISBLANK(N507),"",Long2[[#This Row],[Adj Close]]/N507-1)</f>
        <v>-1.3665850005582625E-2</v>
      </c>
      <c r="P506" s="29">
        <v>41554</v>
      </c>
      <c r="Q506">
        <v>18.066884999999999</v>
      </c>
      <c r="R506" s="33">
        <f>IF(ISBLANK(Q507),"",Long3[[#This Row],[Adj Close]]/Q507-1)</f>
        <v>1.2280173503471881E-2</v>
      </c>
      <c r="S506" s="37">
        <v>41554</v>
      </c>
      <c r="T506" s="35">
        <v>21.596744999999999</v>
      </c>
      <c r="U506" s="36">
        <f>IF(ISBLANK(T507),"",Long4[[#This Row],[Adj Close]]/T507-1)</f>
        <v>2.3434253157130769E-2</v>
      </c>
      <c r="Y506" s="37">
        <v>41554</v>
      </c>
      <c r="Z506" s="35">
        <v>31.242764000000001</v>
      </c>
      <c r="AA506" s="36">
        <f>IF(ISBLANK(Z507),"",Long6[[#This Row],[Adj Close]]/Z507-1)</f>
        <v>2.2321548356832199E-2</v>
      </c>
      <c r="AH506" s="29">
        <v>41554</v>
      </c>
      <c r="AI506" s="44">
        <v>50.436839999999997</v>
      </c>
      <c r="AJ506" s="33">
        <f>IF(ISBLANK(AI507),"",Short0[[#This Row],[Adj Close]]/AI507-1)</f>
        <v>2.9686471448418628E-2</v>
      </c>
      <c r="AK506" s="37">
        <v>41554</v>
      </c>
      <c r="AL506" s="39">
        <v>29.160387</v>
      </c>
      <c r="AM506" s="36">
        <f>IF(ISBLANK(AL507),"",Short1[[#This Row],[Adj Close]]/AL507-1)</f>
        <v>2.9095597900842263E-2</v>
      </c>
      <c r="AN506" s="29">
        <v>41554</v>
      </c>
      <c r="AO506" s="44">
        <v>32.009548000000002</v>
      </c>
      <c r="AP506" s="33">
        <f>IF(ISBLANK(AO507),"",Short2[[#This Row],[Adj Close]]/AO507-1)</f>
        <v>3.7472820281514441E-3</v>
      </c>
      <c r="AQ506" s="37">
        <v>41554</v>
      </c>
      <c r="AR506" s="44">
        <v>59.450001</v>
      </c>
      <c r="AS506" s="36">
        <f>IF(ISBLANK(AR507),"",Short3[[#This Row],[Adj Close]]/AR507-1)</f>
        <v>-5.5599681404294166E-2</v>
      </c>
    </row>
    <row r="507" spans="1:45" x14ac:dyDescent="0.25">
      <c r="A507" s="37">
        <v>41547</v>
      </c>
      <c r="B507" s="39">
        <v>1690.5</v>
      </c>
      <c r="C507" s="36">
        <f>IF(ISBLANK(B508), "", GSPC[[#This Row],[Adj Close]]/B508-1)</f>
        <v>-7.388798581350331E-4</v>
      </c>
      <c r="D50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0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18949.464439000003</v>
      </c>
      <c r="F507" s="11" t="e">
        <f>IF(ISBLANK(GSPC[[#This Row],[Long Exp.]]), "", (GSPC[[#This Row],[Long Exp.]]/D508-1)+(E508/GSPC[[#This Row],[Short Exp.]]-1))</f>
        <v>#VALUE!</v>
      </c>
      <c r="G507" s="37">
        <v>41547</v>
      </c>
      <c r="H507">
        <v>36.856194000000002</v>
      </c>
      <c r="I507" s="36">
        <f>IF(ISBLANK(H508), "", Long0[[#This Row],[Adj Close]]/H508-1)</f>
        <v>5.0365106539565829E-2</v>
      </c>
      <c r="J507" s="29">
        <v>41547</v>
      </c>
      <c r="K507">
        <v>7.3251860000000004</v>
      </c>
      <c r="L507" s="33">
        <f>IF(ISBLANK(K508),"",Long1[[#This Row],[Adj Close]]/K508-1)</f>
        <v>-3.727282679880517E-2</v>
      </c>
      <c r="M507" s="37">
        <v>41547</v>
      </c>
      <c r="N507">
        <v>38.959449999999997</v>
      </c>
      <c r="O507" s="36">
        <f>IF(ISBLANK(N508),"",Long2[[#This Row],[Adj Close]]/N508-1)</f>
        <v>6.1478105152006801E-2</v>
      </c>
      <c r="P507" s="29">
        <v>41547</v>
      </c>
      <c r="Q507">
        <v>17.847712000000001</v>
      </c>
      <c r="R507" s="33">
        <f>IF(ISBLANK(Q508),"",Long3[[#This Row],[Adj Close]]/Q508-1)</f>
        <v>-6.9215590581560571E-3</v>
      </c>
      <c r="S507" s="37">
        <v>41547</v>
      </c>
      <c r="T507" s="35">
        <v>21.102229999999999</v>
      </c>
      <c r="U507" s="36">
        <f>IF(ISBLANK(T508),"",Long4[[#This Row],[Adj Close]]/T508-1)</f>
        <v>-1.4337031405321943E-2</v>
      </c>
      <c r="Y507" s="37">
        <v>41547</v>
      </c>
      <c r="Z507" s="35">
        <v>30.560604000000001</v>
      </c>
      <c r="AA507" s="36">
        <f>IF(ISBLANK(Z508),"",Long6[[#This Row],[Adj Close]]/Z508-1)</f>
        <v>-1.7543794225528431E-2</v>
      </c>
      <c r="AH507" s="29">
        <v>41547</v>
      </c>
      <c r="AI507" s="44">
        <v>48.982716000000003</v>
      </c>
      <c r="AJ507" s="33">
        <f>IF(ISBLANK(AI508),"",Short0[[#This Row],[Adj Close]]/AI508-1)</f>
        <v>7.2862156124038346E-3</v>
      </c>
      <c r="AK507" s="37">
        <v>41547</v>
      </c>
      <c r="AL507" s="39">
        <v>28.335936</v>
      </c>
      <c r="AM507" s="36">
        <f>IF(ISBLANK(AL508),"",Short1[[#This Row],[Adj Close]]/AL508-1)</f>
        <v>4.4763033487003057E-3</v>
      </c>
      <c r="AN507" s="29">
        <v>41547</v>
      </c>
      <c r="AO507" s="44">
        <v>31.890046999999999</v>
      </c>
      <c r="AP507" s="33">
        <f>IF(ISBLANK(AO508),"",Short2[[#This Row],[Adj Close]]/AO508-1)</f>
        <v>-3.2626613867794307E-2</v>
      </c>
      <c r="AQ507" s="37">
        <v>41547</v>
      </c>
      <c r="AR507" s="44">
        <v>62.950001</v>
      </c>
      <c r="AS507" s="36">
        <f>IF(ISBLANK(AR508),"",Short3[[#This Row],[Adj Close]]/AR508-1)</f>
        <v>2.374368112721803E-2</v>
      </c>
    </row>
    <row r="508" spans="1:45" x14ac:dyDescent="0.25">
      <c r="A508" s="37">
        <v>41540</v>
      </c>
      <c r="B508" s="39">
        <v>1691.75</v>
      </c>
      <c r="C508" s="36">
        <f>IF(ISBLANK(B509), "", GSPC[[#This Row],[Adj Close]]/B509-1)</f>
        <v>-1.0620461684477167E-2</v>
      </c>
      <c r="D50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0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18900.429149</v>
      </c>
      <c r="F508" s="11" t="e">
        <f>IF(ISBLANK(GSPC[[#This Row],[Long Exp.]]), "", (GSPC[[#This Row],[Long Exp.]]/D509-1)+(E509/GSPC[[#This Row],[Short Exp.]]-1))</f>
        <v>#VALUE!</v>
      </c>
      <c r="G508" s="37">
        <v>41540</v>
      </c>
      <c r="H508">
        <v>35.088935999999997</v>
      </c>
      <c r="I508" s="36">
        <f>IF(ISBLANK(H509), "", Long0[[#This Row],[Adj Close]]/H509-1)</f>
        <v>-8.7944266851592845E-3</v>
      </c>
      <c r="J508" s="29">
        <v>41540</v>
      </c>
      <c r="K508">
        <v>7.6087870000000004</v>
      </c>
      <c r="L508" s="33">
        <f>IF(ISBLANK(K509),"",Long1[[#This Row],[Adj Close]]/K509-1)</f>
        <v>-1.56599700174751E-2</v>
      </c>
      <c r="M508" s="37">
        <v>41540</v>
      </c>
      <c r="N508">
        <v>36.703018</v>
      </c>
      <c r="O508" s="36">
        <f>IF(ISBLANK(N509),"",Long2[[#This Row],[Adj Close]]/N509-1)</f>
        <v>-2.9930910329958094E-2</v>
      </c>
      <c r="P508" s="29">
        <v>41540</v>
      </c>
      <c r="Q508">
        <v>17.972107000000001</v>
      </c>
      <c r="R508" s="33">
        <f>IF(ISBLANK(Q509),"",Long3[[#This Row],[Adj Close]]/Q509-1)</f>
        <v>7.6384279341814576E-3</v>
      </c>
      <c r="S508" s="37">
        <v>41540</v>
      </c>
      <c r="T508" s="35">
        <v>21.409174</v>
      </c>
      <c r="U508" s="36">
        <f>IF(ISBLANK(T509),"",Long4[[#This Row],[Adj Close]]/T509-1)</f>
        <v>-1.1417163928549745E-2</v>
      </c>
      <c r="Y508" s="37">
        <v>41540</v>
      </c>
      <c r="Z508" s="35">
        <v>31.106327</v>
      </c>
      <c r="AA508" s="36">
        <f>IF(ISBLANK(Z509),"",Long6[[#This Row],[Adj Close]]/Z509-1)</f>
        <v>-1.8148221634689987E-2</v>
      </c>
      <c r="AH508" s="29">
        <v>41540</v>
      </c>
      <c r="AI508" s="44">
        <v>48.628399000000002</v>
      </c>
      <c r="AJ508" s="33">
        <f>IF(ISBLANK(AI509),"",Short0[[#This Row],[Adj Close]]/AI509-1)</f>
        <v>1.7524363532517295E-2</v>
      </c>
      <c r="AK508" s="37">
        <v>41540</v>
      </c>
      <c r="AL508" s="39">
        <v>28.209661000000001</v>
      </c>
      <c r="AM508" s="36">
        <f>IF(ISBLANK(AL509),"",Short1[[#This Row],[Adj Close]]/AL509-1)</f>
        <v>-8.3548426717245938E-3</v>
      </c>
      <c r="AN508" s="29">
        <v>41540</v>
      </c>
      <c r="AO508" s="44">
        <v>32.965603000000002</v>
      </c>
      <c r="AP508" s="33">
        <f>IF(ISBLANK(AO509),"",Short2[[#This Row],[Adj Close]]/AO509-1)</f>
        <v>2.0199077074823935E-2</v>
      </c>
      <c r="AQ508" s="37">
        <v>41540</v>
      </c>
      <c r="AR508" s="44">
        <v>61.490001999999997</v>
      </c>
      <c r="AS508" s="36">
        <f>IF(ISBLANK(AR509),"",Short3[[#This Row],[Adj Close]]/AR509-1)</f>
        <v>-7.9057437883187642E-3</v>
      </c>
    </row>
    <row r="509" spans="1:45" x14ac:dyDescent="0.25">
      <c r="A509" s="37">
        <v>41533</v>
      </c>
      <c r="B509" s="39">
        <v>1709.910034</v>
      </c>
      <c r="C509" s="36">
        <f>IF(ISBLANK(B510), "", GSPC[[#This Row],[Adj Close]]/B510-1)</f>
        <v>1.2985885064401348E-2</v>
      </c>
      <c r="D50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0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18744.534066</v>
      </c>
      <c r="F509" s="11" t="e">
        <f>IF(ISBLANK(GSPC[[#This Row],[Long Exp.]]), "", (GSPC[[#This Row],[Long Exp.]]/D510-1)+(E510/GSPC[[#This Row],[Short Exp.]]-1))</f>
        <v>#VALUE!</v>
      </c>
      <c r="G509" s="37">
        <v>41533</v>
      </c>
      <c r="H509">
        <v>35.400261</v>
      </c>
      <c r="I509" s="36">
        <f>IF(ISBLANK(H510), "", Long0[[#This Row],[Adj Close]]/H510-1)</f>
        <v>-6.6803062859052131E-3</v>
      </c>
      <c r="J509" s="29">
        <v>41533</v>
      </c>
      <c r="K509">
        <v>7.7298359999999997</v>
      </c>
      <c r="L509" s="33">
        <f>IF(ISBLANK(K510),"",Long1[[#This Row],[Adj Close]]/K510-1)</f>
        <v>-8.869078956985077E-3</v>
      </c>
      <c r="M509" s="37">
        <v>41533</v>
      </c>
      <c r="N509">
        <v>37.835467999999999</v>
      </c>
      <c r="O509" s="36">
        <f>IF(ISBLANK(N510),"",Long2[[#This Row],[Adj Close]]/N510-1)</f>
        <v>-2.652744856321898E-2</v>
      </c>
      <c r="P509" s="29">
        <v>41533</v>
      </c>
      <c r="Q509">
        <v>17.835868999999999</v>
      </c>
      <c r="R509" s="33">
        <f>IF(ISBLANK(Q510),"",Long3[[#This Row],[Adj Close]]/Q510-1)</f>
        <v>3.666764430544811E-3</v>
      </c>
      <c r="S509" s="37">
        <v>41533</v>
      </c>
      <c r="T509" s="35">
        <v>21.656428999999999</v>
      </c>
      <c r="U509" s="36">
        <f>IF(ISBLANK(T510),"",Long4[[#This Row],[Adj Close]]/T510-1)</f>
        <v>1.8444311984095352E-2</v>
      </c>
      <c r="Y509" s="37">
        <v>41533</v>
      </c>
      <c r="Z509" s="35">
        <v>31.681286</v>
      </c>
      <c r="AA509" s="36">
        <f>IF(ISBLANK(Z510),"",Long6[[#This Row],[Adj Close]]/Z510-1)</f>
        <v>-3.042051507737431E-2</v>
      </c>
      <c r="AH509" s="29">
        <v>41533</v>
      </c>
      <c r="AI509" s="44">
        <v>47.790894000000002</v>
      </c>
      <c r="AJ509" s="33">
        <f>IF(ISBLANK(AI510),"",Short0[[#This Row],[Adj Close]]/AI510-1)</f>
        <v>2.4551275195177302E-2</v>
      </c>
      <c r="AK509" s="37">
        <v>41533</v>
      </c>
      <c r="AL509" s="39">
        <v>28.447334000000001</v>
      </c>
      <c r="AM509" s="36">
        <f>IF(ISBLANK(AL510),"",Short1[[#This Row],[Adj Close]]/AL510-1)</f>
        <v>5.2218435903972349E-4</v>
      </c>
      <c r="AN509" s="29">
        <v>41533</v>
      </c>
      <c r="AO509" s="44">
        <v>32.312911999999997</v>
      </c>
      <c r="AP509" s="33">
        <f>IF(ISBLANK(AO510),"",Short2[[#This Row],[Adj Close]]/AO510-1)</f>
        <v>1.9431464681838984E-2</v>
      </c>
      <c r="AQ509" s="37">
        <v>41533</v>
      </c>
      <c r="AR509" s="44">
        <v>61.98</v>
      </c>
      <c r="AS509" s="36">
        <f>IF(ISBLANK(AR510),"",Short3[[#This Row],[Adj Close]]/AR510-1)</f>
        <v>4.0980835724204967E-2</v>
      </c>
    </row>
    <row r="510" spans="1:45" x14ac:dyDescent="0.25">
      <c r="A510" s="37">
        <v>41526</v>
      </c>
      <c r="B510" s="39">
        <v>1687.98999</v>
      </c>
      <c r="C510" s="36">
        <f>IF(ISBLANK(B511), "", GSPC[[#This Row],[Adj Close]]/B511-1)</f>
        <v>1.9828745764806754E-2</v>
      </c>
      <c r="D51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1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18305.700379999998</v>
      </c>
      <c r="F510" s="11" t="e">
        <f>IF(ISBLANK(GSPC[[#This Row],[Long Exp.]]), "", (GSPC[[#This Row],[Long Exp.]]/D511-1)+(E511/GSPC[[#This Row],[Short Exp.]]-1))</f>
        <v>#VALUE!</v>
      </c>
      <c r="G510" s="37">
        <v>41526</v>
      </c>
      <c r="H510">
        <v>35.638336000000002</v>
      </c>
      <c r="I510" s="36">
        <f>IF(ISBLANK(H511), "", Long0[[#This Row],[Adj Close]]/H511-1)</f>
        <v>0.10286186520783391</v>
      </c>
      <c r="J510" s="29">
        <v>41526</v>
      </c>
      <c r="K510">
        <v>7.7990060000000003</v>
      </c>
      <c r="L510" s="33">
        <f>IF(ISBLANK(K511),"",Long1[[#This Row],[Adj Close]]/K511-1)</f>
        <v>-6.6079182930227631E-3</v>
      </c>
      <c r="M510" s="37">
        <v>41526</v>
      </c>
      <c r="N510">
        <v>38.866497000000003</v>
      </c>
      <c r="O510" s="36">
        <f>IF(ISBLANK(N511),"",Long2[[#This Row],[Adj Close]]/N511-1)</f>
        <v>9.0844188543380389E-2</v>
      </c>
      <c r="P510" s="29">
        <v>41526</v>
      </c>
      <c r="Q510">
        <v>17.770707999999999</v>
      </c>
      <c r="R510" s="33">
        <f>IF(ISBLANK(Q511),"",Long3[[#This Row],[Adj Close]]/Q511-1)</f>
        <v>9.8649704641891045E-3</v>
      </c>
      <c r="S510" s="37">
        <v>41526</v>
      </c>
      <c r="T510" s="35">
        <v>21.264225</v>
      </c>
      <c r="U510" s="36">
        <f>IF(ISBLANK(T511),"",Long4[[#This Row],[Adj Close]]/T511-1)</f>
        <v>5.2764874701313857E-2</v>
      </c>
      <c r="Y510" s="37">
        <v>41526</v>
      </c>
      <c r="Z510" s="35">
        <v>32.675285000000002</v>
      </c>
      <c r="AA510" s="36">
        <f>IF(ISBLANK(Z511),"",Long6[[#This Row],[Adj Close]]/Z511-1)</f>
        <v>-6.5496204317498474E-2</v>
      </c>
      <c r="AH510" s="29">
        <v>41526</v>
      </c>
      <c r="AI510" s="44">
        <v>46.645682999999998</v>
      </c>
      <c r="AJ510" s="33">
        <f>IF(ISBLANK(AI511),"",Short0[[#This Row],[Adj Close]]/AI511-1)</f>
        <v>7.2586298243515923E-2</v>
      </c>
      <c r="AK510" s="37">
        <v>41526</v>
      </c>
      <c r="AL510" s="39">
        <v>28.432486999999998</v>
      </c>
      <c r="AM510" s="36">
        <f>IF(ISBLANK(AL511),"",Short1[[#This Row],[Adj Close]]/AL511-1)</f>
        <v>3.8745546261124364E-2</v>
      </c>
      <c r="AN510" s="29">
        <v>41526</v>
      </c>
      <c r="AO510" s="44">
        <v>31.696992999999999</v>
      </c>
      <c r="AP510" s="33">
        <f>IF(ISBLANK(AO511),"",Short2[[#This Row],[Adj Close]]/AO511-1)</f>
        <v>6.914730348287712E-2</v>
      </c>
      <c r="AQ510" s="37">
        <v>41526</v>
      </c>
      <c r="AR510" s="44">
        <v>59.540000999999997</v>
      </c>
      <c r="AS510" s="36">
        <f>IF(ISBLANK(AR511),"",Short3[[#This Row],[Adj Close]]/AR511-1)</f>
        <v>5.6798029818956319E-2</v>
      </c>
    </row>
    <row r="511" spans="1:45" x14ac:dyDescent="0.25">
      <c r="A511" s="37">
        <v>41519</v>
      </c>
      <c r="B511" s="39">
        <v>1655.170044</v>
      </c>
      <c r="C511" s="36">
        <f>IF(ISBLANK(B512), "", GSPC[[#This Row],[Adj Close]]/B512-1)</f>
        <v>1.359490584288281E-2</v>
      </c>
      <c r="D51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1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17218.086721</v>
      </c>
      <c r="F511" s="11" t="e">
        <f>IF(ISBLANK(GSPC[[#This Row],[Long Exp.]]), "", (GSPC[[#This Row],[Long Exp.]]/D512-1)+(E512/GSPC[[#This Row],[Short Exp.]]-1))</f>
        <v>#VALUE!</v>
      </c>
      <c r="G511" s="37">
        <v>41519</v>
      </c>
      <c r="H511">
        <v>32.314414999999997</v>
      </c>
      <c r="I511" s="36">
        <f>IF(ISBLANK(H512), "", Long0[[#This Row],[Adj Close]]/H512-1)</f>
        <v>-1.4148244267596644E-3</v>
      </c>
      <c r="J511" s="29">
        <v>41519</v>
      </c>
      <c r="K511">
        <v>7.8508839999999998</v>
      </c>
      <c r="L511" s="33">
        <f>IF(ISBLANK(K512),"",Long1[[#This Row],[Adj Close]]/K512-1)</f>
        <v>-1.1324039398519559E-2</v>
      </c>
      <c r="M511" s="37">
        <v>41519</v>
      </c>
      <c r="N511">
        <v>35.629742</v>
      </c>
      <c r="O511" s="36">
        <f>IF(ISBLANK(N512),"",Long2[[#This Row],[Adj Close]]/N512-1)</f>
        <v>1.2245187162592597E-2</v>
      </c>
      <c r="P511" s="29">
        <v>41519</v>
      </c>
      <c r="Q511">
        <v>17.597113</v>
      </c>
      <c r="R511" s="33">
        <f>IF(ISBLANK(Q512),"",Long3[[#This Row],[Adj Close]]/Q512-1)</f>
        <v>-2.0521438598020358E-2</v>
      </c>
      <c r="S511" s="37">
        <v>41519</v>
      </c>
      <c r="T511" s="35">
        <v>20.198456</v>
      </c>
      <c r="U511" s="36">
        <f>IF(ISBLANK(T512),"",Long4[[#This Row],[Adj Close]]/T512-1)</f>
        <v>-3.18756307968181E-2</v>
      </c>
      <c r="Y511" s="37">
        <v>41519</v>
      </c>
      <c r="Z511" s="35">
        <v>34.965384999999998</v>
      </c>
      <c r="AA511" s="36">
        <f>IF(ISBLANK(Z512),"",Long6[[#This Row],[Adj Close]]/Z512-1)</f>
        <v>3.6694550720237418E-2</v>
      </c>
      <c r="AH511" s="29">
        <v>41519</v>
      </c>
      <c r="AI511" s="44">
        <v>43.488979</v>
      </c>
      <c r="AJ511" s="33">
        <f>IF(ISBLANK(AI512),"",Short0[[#This Row],[Adj Close]]/AI512-1)</f>
        <v>5.1286711834942933E-2</v>
      </c>
      <c r="AK511" s="37">
        <v>41519</v>
      </c>
      <c r="AL511" s="39">
        <v>27.371946000000001</v>
      </c>
      <c r="AM511" s="36">
        <f>IF(ISBLANK(AL512),"",Short1[[#This Row],[Adj Close]]/AL512-1)</f>
        <v>2.8333746278096594E-2</v>
      </c>
      <c r="AN511" s="29">
        <v>41519</v>
      </c>
      <c r="AO511" s="44">
        <v>29.646984</v>
      </c>
      <c r="AP511" s="33">
        <f>IF(ISBLANK(AO512),"",Short2[[#This Row],[Adj Close]]/AO512-1)</f>
        <v>1.3832128842070857E-2</v>
      </c>
      <c r="AQ511" s="37">
        <v>41519</v>
      </c>
      <c r="AR511" s="44">
        <v>56.34</v>
      </c>
      <c r="AS511" s="36">
        <f>IF(ISBLANK(AR512),"",Short3[[#This Row],[Adj Close]]/AR512-1)</f>
        <v>2.0467325130725023E-2</v>
      </c>
    </row>
    <row r="512" spans="1:45" x14ac:dyDescent="0.25">
      <c r="A512" s="37">
        <v>41512</v>
      </c>
      <c r="B512" s="39">
        <v>1632.969971</v>
      </c>
      <c r="C512" s="36">
        <f>IF(ISBLANK(B513), "", GSPC[[#This Row],[Adj Close]]/B513-1)</f>
        <v>-1.8352887886985303E-2</v>
      </c>
      <c r="D51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1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16672.662336999998</v>
      </c>
      <c r="F512" s="11" t="e">
        <f>IF(ISBLANK(GSPC[[#This Row],[Long Exp.]]), "", (GSPC[[#This Row],[Long Exp.]]/D513-1)+(E513/GSPC[[#This Row],[Short Exp.]]-1))</f>
        <v>#VALUE!</v>
      </c>
      <c r="G512" s="37">
        <v>41512</v>
      </c>
      <c r="H512">
        <v>32.360199000000001</v>
      </c>
      <c r="I512" s="36">
        <f>IF(ISBLANK(H513), "", Long0[[#This Row],[Adj Close]]/H513-1)</f>
        <v>-1.2573559537222057E-2</v>
      </c>
      <c r="J512" s="29">
        <v>41512</v>
      </c>
      <c r="K512">
        <v>7.9408060000000003</v>
      </c>
      <c r="L512" s="33">
        <f>IF(ISBLANK(K513),"",Long1[[#This Row],[Adj Close]]/K513-1)</f>
        <v>2.3628992005676031E-2</v>
      </c>
      <c r="M512" s="37">
        <v>41512</v>
      </c>
      <c r="N512">
        <v>35.198726999999998</v>
      </c>
      <c r="O512" s="36">
        <f>IF(ISBLANK(N513),"",Long2[[#This Row],[Adj Close]]/N513-1)</f>
        <v>-5.7295494475639863E-3</v>
      </c>
      <c r="P512" s="29">
        <v>41512</v>
      </c>
      <c r="Q512">
        <v>17.965796999999998</v>
      </c>
      <c r="R512" s="33">
        <f>IF(ISBLANK(Q513),"",Long3[[#This Row],[Adj Close]]/Q513-1)</f>
        <v>-5.8291299451236345E-3</v>
      </c>
      <c r="S512" s="37">
        <v>41512</v>
      </c>
      <c r="T512" s="35">
        <v>20.863492999999998</v>
      </c>
      <c r="U512" s="36">
        <f>IF(ISBLANK(T513),"",Long4[[#This Row],[Adj Close]]/T513-1)</f>
        <v>-1.1313354086274319E-2</v>
      </c>
      <c r="Y512" s="37">
        <v>41512</v>
      </c>
      <c r="Z512" s="35">
        <v>33.727760000000004</v>
      </c>
      <c r="AA512" s="36">
        <f>IF(ISBLANK(Z513),"",Long6[[#This Row],[Adj Close]]/Z513-1)</f>
        <v>-1.8991012511560212E-2</v>
      </c>
      <c r="AH512" s="29">
        <v>41512</v>
      </c>
      <c r="AI512" s="44">
        <v>41.367381999999999</v>
      </c>
      <c r="AJ512" s="33">
        <f>IF(ISBLANK(AI513),"",Short0[[#This Row],[Adj Close]]/AI513-1)</f>
        <v>-1.140356145227861E-2</v>
      </c>
      <c r="AK512" s="37">
        <v>41512</v>
      </c>
      <c r="AL512" s="39">
        <v>26.617764999999999</v>
      </c>
      <c r="AM512" s="36">
        <f>IF(ISBLANK(AL513),"",Short1[[#This Row],[Adj Close]]/AL513-1)</f>
        <v>2.6225580855052666E-2</v>
      </c>
      <c r="AN512" s="29">
        <v>41512</v>
      </c>
      <c r="AO512" s="44">
        <v>29.242498000000001</v>
      </c>
      <c r="AP512" s="33">
        <f>IF(ISBLANK(AO513),"",Short2[[#This Row],[Adj Close]]/AO513-1)</f>
        <v>-2.4233089867362723E-2</v>
      </c>
      <c r="AQ512" s="37">
        <v>41512</v>
      </c>
      <c r="AR512" s="44">
        <v>55.209999000000003</v>
      </c>
      <c r="AS512" s="36">
        <f>IF(ISBLANK(AR513),"",Short3[[#This Row],[Adj Close]]/AR513-1)</f>
        <v>9.9581758605492121E-2</v>
      </c>
    </row>
    <row r="513" spans="1:45" x14ac:dyDescent="0.25">
      <c r="A513" s="37">
        <v>41505</v>
      </c>
      <c r="B513" s="39">
        <v>1663.5</v>
      </c>
      <c r="C513" s="36">
        <f>IF(ISBLANK(B514), "", GSPC[[#This Row],[Adj Close]]/B514-1)</f>
        <v>4.6321447273054428E-3</v>
      </c>
      <c r="D51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1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16408.557033999998</v>
      </c>
      <c r="F513" s="11" t="e">
        <f>IF(ISBLANK(GSPC[[#This Row],[Long Exp.]]), "", (GSPC[[#This Row],[Long Exp.]]/D514-1)+(E514/GSPC[[#This Row],[Short Exp.]]-1))</f>
        <v>#VALUE!</v>
      </c>
      <c r="G513" s="37">
        <v>41505</v>
      </c>
      <c r="H513">
        <v>32.772263000000002</v>
      </c>
      <c r="I513" s="36">
        <f>IF(ISBLANK(H514), "", Long0[[#This Row],[Adj Close]]/H514-1)</f>
        <v>-1.1052512985866958E-2</v>
      </c>
      <c r="J513" s="29">
        <v>41505</v>
      </c>
      <c r="K513">
        <v>7.757504</v>
      </c>
      <c r="L513" s="33">
        <f>IF(ISBLANK(K514),"",Long1[[#This Row],[Adj Close]]/K514-1)</f>
        <v>3.0317004106656276E-2</v>
      </c>
      <c r="M513" s="37">
        <v>41505</v>
      </c>
      <c r="N513">
        <v>35.401561999999998</v>
      </c>
      <c r="O513" s="36">
        <f>IF(ISBLANK(N514),"",Long2[[#This Row],[Adj Close]]/N514-1)</f>
        <v>-2.2859685833440335E-2</v>
      </c>
      <c r="P513" s="29">
        <v>41505</v>
      </c>
      <c r="Q513">
        <v>18.071135999999999</v>
      </c>
      <c r="R513" s="33">
        <f>IF(ISBLANK(Q514),"",Long3[[#This Row],[Adj Close]]/Q514-1)</f>
        <v>1.0801923859685036E-2</v>
      </c>
      <c r="S513" s="37">
        <v>41505</v>
      </c>
      <c r="T513" s="35">
        <v>21.102229999999999</v>
      </c>
      <c r="U513" s="36">
        <f>IF(ISBLANK(T514),"",Long4[[#This Row],[Adj Close]]/T514-1)</f>
        <v>4.041015836666606E-4</v>
      </c>
      <c r="Y513" s="37">
        <v>41505</v>
      </c>
      <c r="Z513" s="35">
        <v>34.380684000000002</v>
      </c>
      <c r="AA513" s="36">
        <f>IF(ISBLANK(Z514),"",Long6[[#This Row],[Adj Close]]/Z514-1)</f>
        <v>-5.0761233293286079E-3</v>
      </c>
      <c r="AH513" s="29">
        <v>41505</v>
      </c>
      <c r="AI513" s="44">
        <v>41.844558999999997</v>
      </c>
      <c r="AJ513" s="33">
        <f>IF(ISBLANK(AI514),"",Short0[[#This Row],[Adj Close]]/AI514-1)</f>
        <v>1.22537578184998E-2</v>
      </c>
      <c r="AK513" s="37">
        <v>41505</v>
      </c>
      <c r="AL513" s="39">
        <v>25.937538</v>
      </c>
      <c r="AM513" s="36">
        <f>IF(ISBLANK(AL514),"",Short1[[#This Row],[Adj Close]]/AL514-1)</f>
        <v>0.15508707395441124</v>
      </c>
      <c r="AN513" s="29">
        <v>41505</v>
      </c>
      <c r="AO513" s="44">
        <v>29.968733</v>
      </c>
      <c r="AP513" s="33">
        <f>IF(ISBLANK(AO514),"",Short2[[#This Row],[Adj Close]]/AO514-1)</f>
        <v>-3.7780542014775542E-2</v>
      </c>
      <c r="AQ513" s="37">
        <v>41505</v>
      </c>
      <c r="AR513" s="44">
        <v>50.209999000000003</v>
      </c>
      <c r="AS513" s="36">
        <f>IF(ISBLANK(AR514),"",Short3[[#This Row],[Adj Close]]/AR514-1)</f>
        <v>8.232931892227624E-3</v>
      </c>
    </row>
    <row r="514" spans="1:45" x14ac:dyDescent="0.25">
      <c r="A514" s="37">
        <v>41498</v>
      </c>
      <c r="B514" s="39">
        <v>1655.829956</v>
      </c>
      <c r="C514" s="36">
        <f>IF(ISBLANK(B515), "", GSPC[[#This Row],[Adj Close]]/B515-1)</f>
        <v>-2.1041543244239791E-2</v>
      </c>
      <c r="D51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1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16114.520677999999</v>
      </c>
      <c r="F514" s="11" t="e">
        <f>IF(ISBLANK(GSPC[[#This Row],[Long Exp.]]), "", (GSPC[[#This Row],[Long Exp.]]/D515-1)+(E515/GSPC[[#This Row],[Short Exp.]]-1))</f>
        <v>#VALUE!</v>
      </c>
      <c r="G514" s="37">
        <v>41498</v>
      </c>
      <c r="H514">
        <v>33.138527000000003</v>
      </c>
      <c r="I514" s="36">
        <f>IF(ISBLANK(H515), "", Long0[[#This Row],[Adj Close]]/H515-1)</f>
        <v>-2.6888895107732069E-2</v>
      </c>
      <c r="J514" s="29">
        <v>41498</v>
      </c>
      <c r="K514">
        <v>7.5292399999999997</v>
      </c>
      <c r="L514" s="33">
        <f>IF(ISBLANK(K515),"",Long1[[#This Row],[Adj Close]]/K515-1)</f>
        <v>-4.4337202529449282E-2</v>
      </c>
      <c r="M514" s="37">
        <v>41498</v>
      </c>
      <c r="N514">
        <v>36.229762999999998</v>
      </c>
      <c r="O514" s="36">
        <f>IF(ISBLANK(N515),"",Long2[[#This Row],[Adj Close]]/N515-1)</f>
        <v>8.4688837019839536E-3</v>
      </c>
      <c r="P514" s="29">
        <v>41498</v>
      </c>
      <c r="Q514">
        <v>17.878018999999998</v>
      </c>
      <c r="R514" s="33">
        <f>IF(ISBLANK(Q515),"",Long3[[#This Row],[Adj Close]]/Q515-1)</f>
        <v>-4.2319388769222144E-2</v>
      </c>
      <c r="S514" s="37">
        <v>41498</v>
      </c>
      <c r="T514" s="35">
        <v>21.093706000000001</v>
      </c>
      <c r="U514" s="36">
        <f>IF(ISBLANK(T515),"",Long4[[#This Row],[Adj Close]]/T515-1)</f>
        <v>-2.2520751797395433E-2</v>
      </c>
      <c r="Y514" s="37">
        <v>41498</v>
      </c>
      <c r="Z514" s="35">
        <v>34.556094999999999</v>
      </c>
      <c r="AA514" s="36">
        <f>IF(ISBLANK(Z515),"",Long6[[#This Row],[Adj Close]]/Z515-1)</f>
        <v>0.12642957164826685</v>
      </c>
      <c r="AH514" s="29">
        <v>41498</v>
      </c>
      <c r="AI514" s="44">
        <v>41.338012999999997</v>
      </c>
      <c r="AJ514" s="33">
        <f>IF(ISBLANK(AI515),"",Short0[[#This Row],[Adj Close]]/AI515-1)</f>
        <v>3.2068487714564942E-3</v>
      </c>
      <c r="AK514" s="37">
        <v>41498</v>
      </c>
      <c r="AL514" s="39">
        <v>22.45505</v>
      </c>
      <c r="AM514" s="36">
        <f>IF(ISBLANK(AL515),"",Short1[[#This Row],[Adj Close]]/AL515-1)</f>
        <v>-8.4883890517757354E-3</v>
      </c>
      <c r="AN514" s="29">
        <v>41498</v>
      </c>
      <c r="AO514" s="44">
        <v>31.145423999999998</v>
      </c>
      <c r="AP514" s="33">
        <f>IF(ISBLANK(AO515),"",Short2[[#This Row],[Adj Close]]/AO515-1)</f>
        <v>2.8848934395248049E-2</v>
      </c>
      <c r="AQ514" s="37">
        <v>41498</v>
      </c>
      <c r="AR514" s="44">
        <v>49.799999</v>
      </c>
      <c r="AS514" s="36">
        <f>IF(ISBLANK(AR515),"",Short3[[#This Row],[Adj Close]]/AR515-1)</f>
        <v>-3.7309124299246044E-2</v>
      </c>
    </row>
    <row r="515" spans="1:45" x14ac:dyDescent="0.25">
      <c r="A515" s="37">
        <v>41491</v>
      </c>
      <c r="B515" s="39">
        <v>1691.420044</v>
      </c>
      <c r="C515" s="36">
        <f>IF(ISBLANK(B516), "", GSPC[[#This Row],[Adj Close]]/B516-1)</f>
        <v>-1.067457435079211E-2</v>
      </c>
      <c r="D51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1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16148.506232</v>
      </c>
      <c r="F515" s="11" t="e">
        <f>IF(ISBLANK(GSPC[[#This Row],[Long Exp.]]), "", (GSPC[[#This Row],[Long Exp.]]/D516-1)+(E516/GSPC[[#This Row],[Short Exp.]]-1))</f>
        <v>#VALUE!</v>
      </c>
      <c r="G515" s="37">
        <v>41491</v>
      </c>
      <c r="H515">
        <v>34.054206999999998</v>
      </c>
      <c r="I515" s="36">
        <f>IF(ISBLANK(H516), "", Long0[[#This Row],[Adj Close]]/H516-1)</f>
        <v>2.1703185117966761E-2</v>
      </c>
      <c r="J515" s="29">
        <v>41491</v>
      </c>
      <c r="K515">
        <v>7.8785530000000001</v>
      </c>
      <c r="L515" s="33">
        <f>IF(ISBLANK(K516),"",Long1[[#This Row],[Adj Close]]/K516-1)</f>
        <v>-0.1035025691985878</v>
      </c>
      <c r="M515" s="37">
        <v>41491</v>
      </c>
      <c r="N515">
        <v>35.925514</v>
      </c>
      <c r="O515" s="36">
        <f>IF(ISBLANK(N516),"",Long2[[#This Row],[Adj Close]]/N516-1)</f>
        <v>4.2231485918268863E-2</v>
      </c>
      <c r="P515" s="29">
        <v>41491</v>
      </c>
      <c r="Q515">
        <v>18.668039</v>
      </c>
      <c r="R515" s="33">
        <f>IF(ISBLANK(Q516),"",Long3[[#This Row],[Adj Close]]/Q516-1)</f>
        <v>-9.3954728227807482E-4</v>
      </c>
      <c r="S515" s="37">
        <v>41491</v>
      </c>
      <c r="T515" s="35">
        <v>21.579696999999999</v>
      </c>
      <c r="U515" s="36">
        <f>IF(ISBLANK(T516),"",Long4[[#This Row],[Adj Close]]/T516-1)</f>
        <v>-3.9352035520224815E-3</v>
      </c>
      <c r="Y515" s="37">
        <v>41491</v>
      </c>
      <c r="Z515" s="35">
        <v>30.677546</v>
      </c>
      <c r="AA515" s="36">
        <f>IF(ISBLANK(Z516),"",Long6[[#This Row],[Adj Close]]/Z516-1)</f>
        <v>0.10378674112953834</v>
      </c>
      <c r="AH515" s="29">
        <v>41491</v>
      </c>
      <c r="AI515" s="44">
        <v>41.205871999999999</v>
      </c>
      <c r="AJ515" s="33">
        <f>IF(ISBLANK(AI516),"",Short0[[#This Row],[Adj Close]]/AI516-1)</f>
        <v>-2.3656673724006927E-2</v>
      </c>
      <c r="AK515" s="37">
        <v>41491</v>
      </c>
      <c r="AL515" s="39">
        <v>22.647289000000001</v>
      </c>
      <c r="AM515" s="36">
        <f>IF(ISBLANK(AL516),"",Short1[[#This Row],[Adj Close]]/AL516-1)</f>
        <v>-2.1405651801760239E-2</v>
      </c>
      <c r="AN515" s="29">
        <v>41491</v>
      </c>
      <c r="AO515" s="44">
        <v>30.272106000000001</v>
      </c>
      <c r="AP515" s="33">
        <f>IF(ISBLANK(AO516),"",Short2[[#This Row],[Adj Close]]/AO516-1)</f>
        <v>-5.1281930744826343E-2</v>
      </c>
      <c r="AQ515" s="37">
        <v>41491</v>
      </c>
      <c r="AR515" s="44">
        <v>51.73</v>
      </c>
      <c r="AS515" s="36">
        <f>IF(ISBLANK(AR516),"",Short3[[#This Row],[Adj Close]]/AR516-1)</f>
        <v>-1.6539886560452022E-2</v>
      </c>
    </row>
    <row r="516" spans="1:45" x14ac:dyDescent="0.25">
      <c r="A516" s="37">
        <v>41484</v>
      </c>
      <c r="B516" s="39">
        <v>1709.670044</v>
      </c>
      <c r="C516" s="36">
        <f>IF(ISBLANK(B517), "", GSPC[[#This Row],[Adj Close]]/B517-1)</f>
        <v>1.0652333369399081E-2</v>
      </c>
      <c r="D51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1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16613.419201000001</v>
      </c>
      <c r="F516" s="11" t="e">
        <f>IF(ISBLANK(GSPC[[#This Row],[Long Exp.]]), "", (GSPC[[#This Row],[Long Exp.]]/D517-1)+(E517/GSPC[[#This Row],[Short Exp.]]-1))</f>
        <v>#VALUE!</v>
      </c>
      <c r="G516" s="37">
        <v>41484</v>
      </c>
      <c r="H516">
        <v>33.330821999999998</v>
      </c>
      <c r="I516" s="36">
        <f>IF(ISBLANK(H517), "", Long0[[#This Row],[Adj Close]]/H517-1)</f>
        <v>8.8842310512789124E-2</v>
      </c>
      <c r="J516" s="29">
        <v>41484</v>
      </c>
      <c r="K516">
        <v>8.7881490000000007</v>
      </c>
      <c r="L516" s="33">
        <f>IF(ISBLANK(K517),"",Long1[[#This Row],[Adj Close]]/K517-1)</f>
        <v>5.4794619198353045E-2</v>
      </c>
      <c r="M516" s="37">
        <v>41484</v>
      </c>
      <c r="N516">
        <v>34.469802999999999</v>
      </c>
      <c r="O516" s="36">
        <f>IF(ISBLANK(N517),"",Long2[[#This Row],[Adj Close]]/N517-1)</f>
        <v>-0.22106048012958446</v>
      </c>
      <c r="P516" s="29">
        <v>41484</v>
      </c>
      <c r="Q516">
        <v>18.685594999999999</v>
      </c>
      <c r="R516" s="33">
        <f>IF(ISBLANK(Q517),"",Long3[[#This Row],[Adj Close]]/Q517-1)</f>
        <v>1.9150751840412594E-2</v>
      </c>
      <c r="S516" s="37">
        <v>41484</v>
      </c>
      <c r="T516" s="35">
        <v>21.664953000000001</v>
      </c>
      <c r="U516" s="36">
        <f>IF(ISBLANK(T517),"",Long4[[#This Row],[Adj Close]]/T517-1)</f>
        <v>2.0891880223512072E-2</v>
      </c>
      <c r="Y516" s="37">
        <v>41484</v>
      </c>
      <c r="Z516" s="35">
        <v>27.793001</v>
      </c>
      <c r="AA516" s="36">
        <f>IF(ISBLANK(Z517),"",Long6[[#This Row],[Adj Close]]/Z517-1)</f>
        <v>-7.070707509768559E-2</v>
      </c>
      <c r="AH516" s="29">
        <v>41484</v>
      </c>
      <c r="AI516" s="44">
        <v>42.204284999999999</v>
      </c>
      <c r="AJ516" s="33">
        <f>IF(ISBLANK(AI517),"",Short0[[#This Row],[Adj Close]]/AI517-1)</f>
        <v>4.6033775727649662E-2</v>
      </c>
      <c r="AK516" s="37">
        <v>41484</v>
      </c>
      <c r="AL516" s="39">
        <v>23.142672999999998</v>
      </c>
      <c r="AM516" s="36">
        <f>IF(ISBLANK(AL517),"",Short1[[#This Row],[Adj Close]]/AL517-1)</f>
        <v>5.5649185070465457E-2</v>
      </c>
      <c r="AN516" s="29">
        <v>41484</v>
      </c>
      <c r="AO516" s="44">
        <v>31.908432000000001</v>
      </c>
      <c r="AP516" s="33">
        <f>IF(ISBLANK(AO517),"",Short2[[#This Row],[Adj Close]]/AO517-1)</f>
        <v>3.426690421507983E-2</v>
      </c>
      <c r="AQ516" s="37">
        <v>41484</v>
      </c>
      <c r="AR516" s="44">
        <v>52.599997999999999</v>
      </c>
      <c r="AS516" s="36">
        <f>IF(ISBLANK(AR517),"",Short3[[#This Row],[Adj Close]]/AR517-1)</f>
        <v>4.2409810590761099E-2</v>
      </c>
    </row>
    <row r="517" spans="1:45" x14ac:dyDescent="0.25">
      <c r="A517" s="37">
        <v>41477</v>
      </c>
      <c r="B517" s="39">
        <v>1691.650024</v>
      </c>
      <c r="C517" s="36">
        <f>IF(ISBLANK(B518), "", GSPC[[#This Row],[Adj Close]]/B518-1)</f>
        <v>-2.5999917784513826E-4</v>
      </c>
      <c r="D51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1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15917.470578999999</v>
      </c>
      <c r="F517" s="11" t="e">
        <f>IF(ISBLANK(GSPC[[#This Row],[Long Exp.]]), "", (GSPC[[#This Row],[Long Exp.]]/D518-1)+(E518/GSPC[[#This Row],[Short Exp.]]-1))</f>
        <v>#VALUE!</v>
      </c>
      <c r="G517" s="37">
        <v>41477</v>
      </c>
      <c r="H517">
        <v>30.611248</v>
      </c>
      <c r="I517" s="36">
        <f>IF(ISBLANK(H518), "", Long0[[#This Row],[Adj Close]]/H518-1)</f>
        <v>2.3263025003871673E-2</v>
      </c>
      <c r="J517" s="29">
        <v>41477</v>
      </c>
      <c r="K517">
        <v>8.3316210000000002</v>
      </c>
      <c r="L517" s="33">
        <f>IF(ISBLANK(K518),"",Long1[[#This Row],[Adj Close]]/K518-1)</f>
        <v>4.4666017670353941E-2</v>
      </c>
      <c r="M517" s="37">
        <v>41477</v>
      </c>
      <c r="N517">
        <v>44.252220000000001</v>
      </c>
      <c r="O517" s="36">
        <f>IF(ISBLANK(N518),"",Long2[[#This Row],[Adj Close]]/N518-1)</f>
        <v>-2.5740601444332545E-2</v>
      </c>
      <c r="P517" s="29">
        <v>41477</v>
      </c>
      <c r="Q517">
        <v>18.334475999999999</v>
      </c>
      <c r="R517" s="33">
        <f>IF(ISBLANK(Q518),"",Long3[[#This Row],[Adj Close]]/Q518-1)</f>
        <v>-6.9729444253464612E-3</v>
      </c>
      <c r="S517" s="37">
        <v>41477</v>
      </c>
      <c r="T517" s="35">
        <v>21.221594</v>
      </c>
      <c r="U517" s="36">
        <f>IF(ISBLANK(T518),"",Long4[[#This Row],[Adj Close]]/T518-1)</f>
        <v>1.6748158516092237E-2</v>
      </c>
      <c r="Y517" s="37">
        <v>41477</v>
      </c>
      <c r="Z517" s="35">
        <v>29.907686000000002</v>
      </c>
      <c r="AA517" s="36">
        <f>IF(ISBLANK(Z518),"",Long6[[#This Row],[Adj Close]]/Z518-1)</f>
        <v>2.3682612615511411E-2</v>
      </c>
      <c r="AH517" s="29">
        <v>41477</v>
      </c>
      <c r="AI517" s="44">
        <v>40.346961999999998</v>
      </c>
      <c r="AJ517" s="33">
        <f>IF(ISBLANK(AI518),"",Short0[[#This Row],[Adj Close]]/AI518-1)</f>
        <v>-1.7869930287613189E-2</v>
      </c>
      <c r="AK517" s="37">
        <v>41477</v>
      </c>
      <c r="AL517" s="39">
        <v>21.922692999999999</v>
      </c>
      <c r="AM517" s="36">
        <f>IF(ISBLANK(AL518),"",Short1[[#This Row],[Adj Close]]/AL518-1)</f>
        <v>2.347269432971455E-2</v>
      </c>
      <c r="AN517" s="29">
        <v>41477</v>
      </c>
      <c r="AO517" s="44">
        <v>30.851254999999998</v>
      </c>
      <c r="AP517" s="33">
        <f>IF(ISBLANK(AO518),"",Short2[[#This Row],[Adj Close]]/AO518-1)</f>
        <v>-5.5446466016346285E-2</v>
      </c>
      <c r="AQ517" s="37">
        <v>41477</v>
      </c>
      <c r="AR517" s="44">
        <v>50.459999000000003</v>
      </c>
      <c r="AS517" s="36">
        <f>IF(ISBLANK(AR518),"",Short3[[#This Row],[Adj Close]]/AR518-1)</f>
        <v>1.5904993593919725E-2</v>
      </c>
    </row>
    <row r="518" spans="1:45" x14ac:dyDescent="0.25">
      <c r="A518" s="37">
        <v>41470</v>
      </c>
      <c r="B518" s="39">
        <v>1692.089966</v>
      </c>
      <c r="C518" s="36">
        <f>IF(ISBLANK(B519), "", GSPC[[#This Row],[Adj Close]]/B519-1)</f>
        <v>7.0825474606266425E-3</v>
      </c>
      <c r="D51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1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16146.904203999999</v>
      </c>
      <c r="F518" s="11" t="e">
        <f>IF(ISBLANK(GSPC[[#This Row],[Long Exp.]]), "", (GSPC[[#This Row],[Long Exp.]]/D519-1)+(E519/GSPC[[#This Row],[Short Exp.]]-1))</f>
        <v>#VALUE!</v>
      </c>
      <c r="G518" s="37">
        <v>41470</v>
      </c>
      <c r="H518">
        <v>29.915327000000001</v>
      </c>
      <c r="I518" s="36">
        <f>IF(ISBLANK(H519), "", Long0[[#This Row],[Adj Close]]/H519-1)</f>
        <v>1.8074114781216233E-2</v>
      </c>
      <c r="J518" s="29">
        <v>41470</v>
      </c>
      <c r="K518">
        <v>7.9753920000000003</v>
      </c>
      <c r="L518" s="33">
        <f>IF(ISBLANK(K519),"",Long1[[#This Row],[Adj Close]]/K519-1)</f>
        <v>0.21560365129573933</v>
      </c>
      <c r="M518" s="37">
        <v>41470</v>
      </c>
      <c r="N518">
        <v>45.421393999999999</v>
      </c>
      <c r="O518" s="36">
        <f>IF(ISBLANK(N519),"",Long2[[#This Row],[Adj Close]]/N519-1)</f>
        <v>-3.7433082778341453E-2</v>
      </c>
      <c r="P518" s="29">
        <v>41470</v>
      </c>
      <c r="Q518">
        <v>18.463218999999999</v>
      </c>
      <c r="R518" s="33">
        <f>IF(ISBLANK(Q519),"",Long3[[#This Row],[Adj Close]]/Q519-1)</f>
        <v>3.6124530556360224E-2</v>
      </c>
      <c r="S518" s="37">
        <v>41470</v>
      </c>
      <c r="T518" s="35">
        <v>20.872026000000002</v>
      </c>
      <c r="U518" s="36">
        <f>IF(ISBLANK(T519),"",Long4[[#This Row],[Adj Close]]/T519-1)</f>
        <v>6.9930252117991198E-3</v>
      </c>
      <c r="Y518" s="37">
        <v>41470</v>
      </c>
      <c r="Z518" s="35">
        <v>29.215779999999999</v>
      </c>
      <c r="AA518" s="36">
        <f>IF(ISBLANK(Z519),"",Long6[[#This Row],[Adj Close]]/Z519-1)</f>
        <v>5.1560733254616853E-2</v>
      </c>
      <c r="AH518" s="29">
        <v>41470</v>
      </c>
      <c r="AI518" s="44">
        <v>41.081077999999998</v>
      </c>
      <c r="AJ518" s="33">
        <f>IF(ISBLANK(AI519),"",Short0[[#This Row],[Adj Close]]/AI519-1)</f>
        <v>3.39984519123675E-2</v>
      </c>
      <c r="AK518" s="37">
        <v>41470</v>
      </c>
      <c r="AL518" s="39">
        <v>21.419910000000002</v>
      </c>
      <c r="AM518" s="36">
        <f>IF(ISBLANK(AL519),"",Short1[[#This Row],[Adj Close]]/AL519-1)</f>
        <v>-2.5563374130645911E-2</v>
      </c>
      <c r="AN518" s="29">
        <v>41470</v>
      </c>
      <c r="AO518" s="44">
        <v>32.662261999999998</v>
      </c>
      <c r="AP518" s="33">
        <f>IF(ISBLANK(AO519),"",Short2[[#This Row],[Adj Close]]/AO519-1)</f>
        <v>-3.9893202129784422E-2</v>
      </c>
      <c r="AQ518" s="37">
        <v>41470</v>
      </c>
      <c r="AR518" s="44">
        <v>49.669998</v>
      </c>
      <c r="AS518" s="36">
        <f>IF(ISBLANK(AR519),"",Short3[[#This Row],[Adj Close]]/AR519-1)</f>
        <v>-2.0701951484583092E-2</v>
      </c>
    </row>
    <row r="519" spans="1:45" x14ac:dyDescent="0.25">
      <c r="A519" s="37">
        <v>41463</v>
      </c>
      <c r="B519" s="39">
        <v>1680.1899410000001</v>
      </c>
      <c r="C519" s="36">
        <f>IF(ISBLANK(B520), "", GSPC[[#This Row],[Adj Close]]/B520-1)</f>
        <v>2.9597537552186193E-2</v>
      </c>
      <c r="D51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1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16215.219509999999</v>
      </c>
      <c r="F519" s="11" t="e">
        <f>IF(ISBLANK(GSPC[[#This Row],[Long Exp.]]), "", (GSPC[[#This Row],[Long Exp.]]/D520-1)+(E520/GSPC[[#This Row],[Short Exp.]]-1))</f>
        <v>#VALUE!</v>
      </c>
      <c r="G519" s="37">
        <v>41463</v>
      </c>
      <c r="H519">
        <v>29.384232999999998</v>
      </c>
      <c r="I519" s="36">
        <f>IF(ISBLANK(H520), "", Long0[[#This Row],[Adj Close]]/H520-1)</f>
        <v>4.0531872445345174E-2</v>
      </c>
      <c r="J519" s="29">
        <v>41463</v>
      </c>
      <c r="K519">
        <v>6.5608490000000002</v>
      </c>
      <c r="L519" s="33">
        <f>IF(ISBLANK(K520),"",Long1[[#This Row],[Adj Close]]/K520-1)</f>
        <v>3.2661890908667335E-2</v>
      </c>
      <c r="M519" s="37">
        <v>41463</v>
      </c>
      <c r="N519">
        <v>47.187778000000002</v>
      </c>
      <c r="O519" s="36">
        <f>IF(ISBLANK(N520),"",Long2[[#This Row],[Adj Close]]/N520-1)</f>
        <v>4.3720869576545862E-2</v>
      </c>
      <c r="P519" s="29">
        <v>41463</v>
      </c>
      <c r="Q519">
        <v>17.819497999999999</v>
      </c>
      <c r="R519" s="33">
        <f>IF(ISBLANK(Q520),"",Long3[[#This Row],[Adj Close]]/Q520-1)</f>
        <v>3.7479085357823294E-2</v>
      </c>
      <c r="S519" s="37">
        <v>41463</v>
      </c>
      <c r="T519" s="35">
        <v>20.727080999999998</v>
      </c>
      <c r="U519" s="36">
        <f>IF(ISBLANK(T520),"",Long4[[#This Row],[Adj Close]]/T520-1)</f>
        <v>1.6481437952664546E-3</v>
      </c>
      <c r="Y519" s="37">
        <v>41463</v>
      </c>
      <c r="Z519" s="35">
        <v>27.783255</v>
      </c>
      <c r="AA519" s="36">
        <f>IF(ISBLANK(Z520),"",Long6[[#This Row],[Adj Close]]/Z520-1)</f>
        <v>2.1863778124856958E-2</v>
      </c>
      <c r="AH519" s="29">
        <v>41463</v>
      </c>
      <c r="AI519" s="44">
        <v>39.730308999999998</v>
      </c>
      <c r="AJ519" s="33">
        <f>IF(ISBLANK(AI520),"",Short0[[#This Row],[Adj Close]]/AI520-1)</f>
        <v>3.2036871665745537E-2</v>
      </c>
      <c r="AK519" s="37">
        <v>41463</v>
      </c>
      <c r="AL519" s="39">
        <v>21.981839999999998</v>
      </c>
      <c r="AM519" s="36">
        <f>IF(ISBLANK(AL520),"",Short1[[#This Row],[Adj Close]]/AL520-1)</f>
        <v>0</v>
      </c>
      <c r="AN519" s="29">
        <v>41463</v>
      </c>
      <c r="AO519" s="44">
        <v>34.019404999999999</v>
      </c>
      <c r="AP519" s="33">
        <f>IF(ISBLANK(AO520),"",Short2[[#This Row],[Adj Close]]/AO520-1)</f>
        <v>9.1954058038020037E-2</v>
      </c>
      <c r="AQ519" s="37">
        <v>41463</v>
      </c>
      <c r="AR519" s="44">
        <v>50.720001000000003</v>
      </c>
      <c r="AS519" s="36">
        <f>IF(ISBLANK(AR520),"",Short3[[#This Row],[Adj Close]]/AR520-1)</f>
        <v>2.8386070559610843E-2</v>
      </c>
    </row>
    <row r="520" spans="1:45" x14ac:dyDescent="0.25">
      <c r="A520" s="37">
        <v>41456</v>
      </c>
      <c r="B520" s="39">
        <v>1631.8900149999999</v>
      </c>
      <c r="C520" s="36">
        <f>IF(ISBLANK(B521), "", GSPC[[#This Row],[Adj Close]]/B521-1)</f>
        <v>1.5943662087328336E-2</v>
      </c>
      <c r="D52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2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15573.942213999999</v>
      </c>
      <c r="F520" s="11" t="e">
        <f>IF(ISBLANK(GSPC[[#This Row],[Long Exp.]]), "", (GSPC[[#This Row],[Long Exp.]]/D521-1)+(E521/GSPC[[#This Row],[Short Exp.]]-1))</f>
        <v>#VALUE!</v>
      </c>
      <c r="G520" s="37">
        <v>41456</v>
      </c>
      <c r="H520">
        <v>28.239628</v>
      </c>
      <c r="I520" s="36">
        <f>IF(ISBLANK(H521), "", Long0[[#This Row],[Adj Close]]/H521-1)</f>
        <v>-6.1231573926424643E-3</v>
      </c>
      <c r="J520" s="29">
        <v>41456</v>
      </c>
      <c r="K520">
        <v>6.3533369999999998</v>
      </c>
      <c r="L520" s="33">
        <f>IF(ISBLANK(K521),"",Long1[[#This Row],[Adj Close]]/K521-1)</f>
        <v>1.5478147679420573E-2</v>
      </c>
      <c r="M520" s="37">
        <v>41456</v>
      </c>
      <c r="N520">
        <v>45.211109</v>
      </c>
      <c r="O520" s="36">
        <f>IF(ISBLANK(N521),"",Long2[[#This Row],[Adj Close]]/N521-1)</f>
        <v>-1.1152061952757197E-3</v>
      </c>
      <c r="P520" s="29">
        <v>41456</v>
      </c>
      <c r="Q520">
        <v>17.175765999999999</v>
      </c>
      <c r="R520" s="33">
        <f>IF(ISBLANK(Q521),"",Long3[[#This Row],[Adj Close]]/Q521-1)</f>
        <v>-3.0072948249654896E-2</v>
      </c>
      <c r="S520" s="37">
        <v>41456</v>
      </c>
      <c r="T520" s="35">
        <v>20.692976000000002</v>
      </c>
      <c r="U520" s="36">
        <f>IF(ISBLANK(T521),"",Long4[[#This Row],[Adj Close]]/T521-1)</f>
        <v>3.5851630913817045E-2</v>
      </c>
      <c r="Y520" s="37">
        <v>41456</v>
      </c>
      <c r="Z520" s="35">
        <v>27.188804999999999</v>
      </c>
      <c r="AA520" s="36">
        <f>IF(ISBLANK(Z521),"",Long6[[#This Row],[Adj Close]]/Z521-1)</f>
        <v>-7.4705814711182317E-3</v>
      </c>
      <c r="AH520" s="29">
        <v>41456</v>
      </c>
      <c r="AI520" s="44">
        <v>38.496986</v>
      </c>
      <c r="AJ520" s="33">
        <f>IF(ISBLANK(AI521),"",Short0[[#This Row],[Adj Close]]/AI521-1)</f>
        <v>-9.2578590532457206E-3</v>
      </c>
      <c r="AK520" s="37">
        <v>41456</v>
      </c>
      <c r="AL520" s="39">
        <v>21.981839999999998</v>
      </c>
      <c r="AM520" s="36">
        <f>IF(ISBLANK(AL521),"",Short1[[#This Row],[Adj Close]]/AL521-1)</f>
        <v>8.7815325599471805E-2</v>
      </c>
      <c r="AN520" s="29">
        <v>41456</v>
      </c>
      <c r="AO520" s="44">
        <v>31.154612</v>
      </c>
      <c r="AP520" s="33">
        <f>IF(ISBLANK(AO521),"",Short2[[#This Row],[Adj Close]]/AO521-1)</f>
        <v>-5.854613537969966E-2</v>
      </c>
      <c r="AQ520" s="37">
        <v>41456</v>
      </c>
      <c r="AR520" s="44">
        <v>49.32</v>
      </c>
      <c r="AS520" s="36">
        <f>IF(ISBLANK(AR521),"",Short3[[#This Row],[Adj Close]]/AR521-1)</f>
        <v>6.3848122005001784E-2</v>
      </c>
    </row>
    <row r="521" spans="1:45" x14ac:dyDescent="0.25">
      <c r="A521" s="37">
        <v>41449</v>
      </c>
      <c r="B521" s="39">
        <v>1606.280029</v>
      </c>
      <c r="C521" s="36">
        <f>IF(ISBLANK(B522), "", GSPC[[#This Row],[Adj Close]]/B522-1)</f>
        <v>8.6973835775143726E-3</v>
      </c>
      <c r="D52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2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15481.857461</v>
      </c>
      <c r="F521" s="11" t="e">
        <f>IF(ISBLANK(GSPC[[#This Row],[Long Exp.]]), "", (GSPC[[#This Row],[Long Exp.]]/D522-1)+(E522/GSPC[[#This Row],[Short Exp.]]-1))</f>
        <v>#VALUE!</v>
      </c>
      <c r="G521" s="37">
        <v>41449</v>
      </c>
      <c r="H521">
        <v>28.413609000000001</v>
      </c>
      <c r="I521" s="36">
        <f>IF(ISBLANK(H522), "", Long0[[#This Row],[Adj Close]]/H522-1)</f>
        <v>1.3059065108391721E-2</v>
      </c>
      <c r="J521" s="29">
        <v>41449</v>
      </c>
      <c r="K521">
        <v>6.2564979999999997</v>
      </c>
      <c r="L521" s="33">
        <f>IF(ISBLANK(K522),"",Long1[[#This Row],[Adj Close]]/K522-1)</f>
        <v>3.6676298571485466E-2</v>
      </c>
      <c r="M521" s="37">
        <v>41449</v>
      </c>
      <c r="N521">
        <v>45.261584999999997</v>
      </c>
      <c r="O521" s="36">
        <f>IF(ISBLANK(N522),"",Long2[[#This Row],[Adj Close]]/N522-1)</f>
        <v>-5.0802675938080299E-2</v>
      </c>
      <c r="P521" s="29">
        <v>41449</v>
      </c>
      <c r="Q521">
        <v>17.708307000000001</v>
      </c>
      <c r="R521" s="33">
        <f>IF(ISBLANK(Q522),"",Long3[[#This Row],[Adj Close]]/Q522-1)</f>
        <v>4.4168542438394409E-2</v>
      </c>
      <c r="S521" s="37">
        <v>41449</v>
      </c>
      <c r="T521" s="35">
        <v>19.976776000000001</v>
      </c>
      <c r="U521" s="36">
        <f>IF(ISBLANK(T522),"",Long4[[#This Row],[Adj Close]]/T522-1)</f>
        <v>-1.013953140826751E-2</v>
      </c>
      <c r="Y521" s="37">
        <v>41449</v>
      </c>
      <c r="Z521" s="35">
        <v>27.393450000000001</v>
      </c>
      <c r="AA521" s="36">
        <f>IF(ISBLANK(Z522),"",Long6[[#This Row],[Adj Close]]/Z522-1)</f>
        <v>4.848949834048355E-2</v>
      </c>
      <c r="AH521" s="29">
        <v>41449</v>
      </c>
      <c r="AI521" s="44">
        <v>38.856715999999999</v>
      </c>
      <c r="AJ521" s="33">
        <f>IF(ISBLANK(AI522),"",Short0[[#This Row],[Adj Close]]/AI522-1)</f>
        <v>1.8481443736372061E-2</v>
      </c>
      <c r="AK521" s="37">
        <v>41449</v>
      </c>
      <c r="AL521" s="39">
        <v>20.207326999999999</v>
      </c>
      <c r="AM521" s="36">
        <f>IF(ISBLANK(AL522),"",Short1[[#This Row],[Adj Close]]/AL522-1)</f>
        <v>2.0919080071155394E-2</v>
      </c>
      <c r="AN521" s="29">
        <v>41449</v>
      </c>
      <c r="AO521" s="44">
        <v>33.092022</v>
      </c>
      <c r="AP521" s="33">
        <f>IF(ISBLANK(AO522),"",Short2[[#This Row],[Adj Close]]/AO522-1)</f>
        <v>2.2411345606998756E-2</v>
      </c>
      <c r="AQ521" s="37">
        <v>41449</v>
      </c>
      <c r="AR521" s="44">
        <v>46.360000999999997</v>
      </c>
      <c r="AS521" s="36">
        <f>IF(ISBLANK(AR522),"",Short3[[#This Row],[Adj Close]]/AR522-1)</f>
        <v>5.7240663956244608E-2</v>
      </c>
    </row>
    <row r="522" spans="1:45" x14ac:dyDescent="0.25">
      <c r="A522" s="37">
        <v>41442</v>
      </c>
      <c r="B522" s="39">
        <v>1592.4300539999999</v>
      </c>
      <c r="C522" s="36">
        <f>IF(ISBLANK(B523), "", GSPC[[#This Row],[Adj Close]]/B523-1)</f>
        <v>-2.1085199401070898E-2</v>
      </c>
      <c r="D52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2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15060.008346999999</v>
      </c>
      <c r="F522" s="11" t="e">
        <f>IF(ISBLANK(GSPC[[#This Row],[Long Exp.]]), "", (GSPC[[#This Row],[Long Exp.]]/D523-1)+(E523/GSPC[[#This Row],[Short Exp.]]-1))</f>
        <v>#VALUE!</v>
      </c>
      <c r="G522" s="37">
        <v>41442</v>
      </c>
      <c r="H522">
        <v>28.047336999999999</v>
      </c>
      <c r="I522" s="36">
        <f>IF(ISBLANK(H523), "", Long0[[#This Row],[Adj Close]]/H523-1)</f>
        <v>-3.3143972429887203E-2</v>
      </c>
      <c r="J522" s="29">
        <v>41442</v>
      </c>
      <c r="K522">
        <v>6.0351509999999999</v>
      </c>
      <c r="L522" s="33">
        <f>IF(ISBLANK(K523),"",Long1[[#This Row],[Adj Close]]/K523-1)</f>
        <v>9.837934687960237E-3</v>
      </c>
      <c r="M522" s="37">
        <v>41442</v>
      </c>
      <c r="N522">
        <v>47.684063000000002</v>
      </c>
      <c r="O522" s="36">
        <f>IF(ISBLANK(N523),"",Long2[[#This Row],[Adj Close]]/N523-1)</f>
        <v>-2.022099366686847E-2</v>
      </c>
      <c r="P522" s="29">
        <v>41442</v>
      </c>
      <c r="Q522">
        <v>16.959242</v>
      </c>
      <c r="R522" s="33">
        <f>IF(ISBLANK(Q523),"",Long3[[#This Row],[Adj Close]]/Q523-1)</f>
        <v>-5.1491697669152625E-3</v>
      </c>
      <c r="S522" s="37">
        <v>41442</v>
      </c>
      <c r="T522" s="35">
        <v>20.181405999999999</v>
      </c>
      <c r="U522" s="36">
        <f>IF(ISBLANK(T523),"",Long4[[#This Row],[Adj Close]]/T523-1)</f>
        <v>-2.1496533754781333E-2</v>
      </c>
      <c r="Y522" s="37">
        <v>41442</v>
      </c>
      <c r="Z522" s="35">
        <v>26.126584999999999</v>
      </c>
      <c r="AA522" s="36">
        <f>IF(ISBLANK(Z523),"",Long6[[#This Row],[Adj Close]]/Z523-1)</f>
        <v>-3.699733158473717E-2</v>
      </c>
      <c r="AH522" s="29">
        <v>41442</v>
      </c>
      <c r="AI522" s="44">
        <v>38.151618999999997</v>
      </c>
      <c r="AJ522" s="33">
        <f>IF(ISBLANK(AI523),"",Short0[[#This Row],[Adj Close]]/AI523-1)</f>
        <v>-7.3529630676985702E-2</v>
      </c>
      <c r="AK522" s="37">
        <v>41442</v>
      </c>
      <c r="AL522" s="39">
        <v>19.79327</v>
      </c>
      <c r="AM522" s="36">
        <f>IF(ISBLANK(AL523),"",Short1[[#This Row],[Adj Close]]/AL523-1)</f>
        <v>-3.72145956112091E-3</v>
      </c>
      <c r="AN522" s="29">
        <v>41442</v>
      </c>
      <c r="AO522" s="44">
        <v>32.366641999999999</v>
      </c>
      <c r="AP522" s="33">
        <f>IF(ISBLANK(AO523),"",Short2[[#This Row],[Adj Close]]/AO523-1)</f>
        <v>-9.6848480600346343E-2</v>
      </c>
      <c r="AQ522" s="37">
        <v>41442</v>
      </c>
      <c r="AR522" s="44">
        <v>43.849997999999999</v>
      </c>
      <c r="AS522" s="36">
        <f>IF(ISBLANK(AR523),"",Short3[[#This Row],[Adj Close]]/AR523-1)</f>
        <v>1.8110006965405212E-2</v>
      </c>
    </row>
    <row r="523" spans="1:45" x14ac:dyDescent="0.25">
      <c r="A523" s="37">
        <v>41435</v>
      </c>
      <c r="B523" s="39">
        <v>1626.7299800000001</v>
      </c>
      <c r="C523" s="36">
        <f>IF(ISBLANK(B524), "", GSPC[[#This Row],[Adj Close]]/B524-1)</f>
        <v>-1.0131573311919384E-2</v>
      </c>
      <c r="D52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2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15912.975457</v>
      </c>
      <c r="F523" s="11" t="e">
        <f>IF(ISBLANK(GSPC[[#This Row],[Long Exp.]]), "", (GSPC[[#This Row],[Long Exp.]]/D524-1)+(E524/GSPC[[#This Row],[Short Exp.]]-1))</f>
        <v>#VALUE!</v>
      </c>
      <c r="G523" s="37">
        <v>41435</v>
      </c>
      <c r="H523">
        <v>29.008804000000001</v>
      </c>
      <c r="I523" s="36">
        <f>IF(ISBLANK(H524), "", Long0[[#This Row],[Adj Close]]/H524-1)</f>
        <v>3.5971254880041936E-2</v>
      </c>
      <c r="J523" s="29">
        <v>41435</v>
      </c>
      <c r="K523">
        <v>5.976356</v>
      </c>
      <c r="L523" s="33">
        <f>IF(ISBLANK(K524),"",Long1[[#This Row],[Adj Close]]/K524-1)</f>
        <v>1.7068926140620277E-2</v>
      </c>
      <c r="M523" s="37">
        <v>41435</v>
      </c>
      <c r="N523">
        <v>48.668182000000002</v>
      </c>
      <c r="O523" s="36">
        <f>IF(ISBLANK(N524),"",Long2[[#This Row],[Adj Close]]/N524-1)</f>
        <v>-4.2845446923797437E-2</v>
      </c>
      <c r="P523" s="29">
        <v>41435</v>
      </c>
      <c r="Q523">
        <v>17.04702</v>
      </c>
      <c r="R523" s="33">
        <f>IF(ISBLANK(Q524),"",Long3[[#This Row],[Adj Close]]/Q524-1)</f>
        <v>7.0872939311998895E-3</v>
      </c>
      <c r="S523" s="37">
        <v>41435</v>
      </c>
      <c r="T523" s="35">
        <v>20.624766999999999</v>
      </c>
      <c r="U523" s="36">
        <f>IF(ISBLANK(T524),"",Long4[[#This Row],[Adj Close]]/T524-1)</f>
        <v>1.5959837976589064E-2</v>
      </c>
      <c r="Y523" s="37">
        <v>41435</v>
      </c>
      <c r="Z523" s="35">
        <v>27.130334999999999</v>
      </c>
      <c r="AA523" s="36">
        <f>IF(ISBLANK(Z524),"",Long6[[#This Row],[Adj Close]]/Z524-1)</f>
        <v>-1.792666986471847E-3</v>
      </c>
      <c r="AH523" s="29">
        <v>41435</v>
      </c>
      <c r="AI523" s="44">
        <v>41.179535000000001</v>
      </c>
      <c r="AJ523" s="33">
        <f>IF(ISBLANK(AI524),"",Short0[[#This Row],[Adj Close]]/AI524-1)</f>
        <v>-1.4492602747725236E-2</v>
      </c>
      <c r="AK523" s="37">
        <v>41435</v>
      </c>
      <c r="AL523" s="39">
        <v>19.867204999999998</v>
      </c>
      <c r="AM523" s="36">
        <f>IF(ISBLANK(AL524),"",Short1[[#This Row],[Adj Close]]/AL524-1)</f>
        <v>-1.1840581244821458E-2</v>
      </c>
      <c r="AN523" s="29">
        <v>41435</v>
      </c>
      <c r="AO523" s="44">
        <v>35.837443999999998</v>
      </c>
      <c r="AP523" s="33">
        <f>IF(ISBLANK(AO524),"",Short2[[#This Row],[Adj Close]]/AO524-1)</f>
        <v>1.1139837041952205E-2</v>
      </c>
      <c r="AQ523" s="37">
        <v>41435</v>
      </c>
      <c r="AR523" s="44">
        <v>43.07</v>
      </c>
      <c r="AS523" s="36">
        <f>IF(ISBLANK(AR524),"",Short3[[#This Row],[Adj Close]]/AR524-1)</f>
        <v>-8.0607557835447041E-3</v>
      </c>
    </row>
    <row r="524" spans="1:45" x14ac:dyDescent="0.25">
      <c r="A524" s="37">
        <v>41428</v>
      </c>
      <c r="B524" s="39">
        <v>1643.380005</v>
      </c>
      <c r="C524" s="36">
        <f>IF(ISBLANK(B525), "", GSPC[[#This Row],[Adj Close]]/B525-1)</f>
        <v>7.7510915765302002E-3</v>
      </c>
      <c r="D52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2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16012.546022</v>
      </c>
      <c r="F524" s="11" t="e">
        <f>IF(ISBLANK(GSPC[[#This Row],[Long Exp.]]), "", (GSPC[[#This Row],[Long Exp.]]/D525-1)+(E525/GSPC[[#This Row],[Short Exp.]]-1))</f>
        <v>#VALUE!</v>
      </c>
      <c r="G524" s="37">
        <v>41428</v>
      </c>
      <c r="H524">
        <v>28.001553000000001</v>
      </c>
      <c r="I524" s="36">
        <f>IF(ISBLANK(H525), "", Long0[[#This Row],[Adj Close]]/H525-1)</f>
        <v>3.280833006538808E-3</v>
      </c>
      <c r="J524" s="29">
        <v>41428</v>
      </c>
      <c r="K524">
        <v>5.8760579999999996</v>
      </c>
      <c r="L524" s="33">
        <f>IF(ISBLANK(K525),"",Long1[[#This Row],[Adj Close]]/K525-1)</f>
        <v>2.164755211246483E-2</v>
      </c>
      <c r="M524" s="37">
        <v>41428</v>
      </c>
      <c r="N524">
        <v>50.846733</v>
      </c>
      <c r="O524" s="36">
        <f>IF(ISBLANK(N525),"",Long2[[#This Row],[Adj Close]]/N525-1)</f>
        <v>-6.0834144481322072E-3</v>
      </c>
      <c r="P524" s="29">
        <v>41428</v>
      </c>
      <c r="Q524">
        <v>16.927053000000001</v>
      </c>
      <c r="R524" s="33">
        <f>IF(ISBLANK(Q525),"",Long3[[#This Row],[Adj Close]]/Q525-1)</f>
        <v>-1.3804882311815425E-2</v>
      </c>
      <c r="S524" s="37">
        <v>41428</v>
      </c>
      <c r="T524" s="35">
        <v>20.30077</v>
      </c>
      <c r="U524" s="36">
        <f>IF(ISBLANK(T525),"",Long4[[#This Row],[Adj Close]]/T525-1)</f>
        <v>5.8692631987367072E-2</v>
      </c>
      <c r="Y524" s="37">
        <v>41428</v>
      </c>
      <c r="Z524" s="35">
        <v>27.179058000000001</v>
      </c>
      <c r="AA524" s="36">
        <f>IF(ISBLANK(Z525),"",Long6[[#This Row],[Adj Close]]/Z525-1)</f>
        <v>-6.3779881027720031E-2</v>
      </c>
      <c r="AH524" s="29">
        <v>41428</v>
      </c>
      <c r="AI524" s="44">
        <v>41.785110000000003</v>
      </c>
      <c r="AJ524" s="33">
        <f>IF(ISBLANK(AI525),"",Short0[[#This Row],[Adj Close]]/AI525-1)</f>
        <v>-1.0880873537718383E-2</v>
      </c>
      <c r="AK524" s="37">
        <v>41428</v>
      </c>
      <c r="AL524" s="39">
        <v>20.105263000000001</v>
      </c>
      <c r="AM524" s="36">
        <f>IF(ISBLANK(AL525),"",Short1[[#This Row],[Adj Close]]/AL525-1)</f>
        <v>-6.8966065698374823E-3</v>
      </c>
      <c r="AN524" s="29">
        <v>41428</v>
      </c>
      <c r="AO524" s="44">
        <v>35.442619000000001</v>
      </c>
      <c r="AP524" s="33">
        <f>IF(ISBLANK(AO525),"",Short2[[#This Row],[Adj Close]]/AO525-1)</f>
        <v>-1.8311404896707462E-2</v>
      </c>
      <c r="AQ524" s="37">
        <v>41428</v>
      </c>
      <c r="AR524" s="44">
        <v>43.419998</v>
      </c>
      <c r="AS524" s="36">
        <f>IF(ISBLANK(AR525),"",Short3[[#This Row],[Adj Close]]/AR525-1)</f>
        <v>-7.1428574483685892E-2</v>
      </c>
    </row>
    <row r="525" spans="1:45" x14ac:dyDescent="0.25">
      <c r="A525" s="37">
        <v>41421</v>
      </c>
      <c r="B525" s="39">
        <v>1630.73999</v>
      </c>
      <c r="C525" s="36">
        <f>IF(ISBLANK(B526), "", GSPC[[#This Row],[Adj Close]]/B526-1)</f>
        <v>-1.1433066364205602E-2</v>
      </c>
      <c r="D52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2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16422.146714000002</v>
      </c>
      <c r="F525" s="11" t="e">
        <f>IF(ISBLANK(GSPC[[#This Row],[Long Exp.]]), "", (GSPC[[#This Row],[Long Exp.]]/D526-1)+(E526/GSPC[[#This Row],[Short Exp.]]-1))</f>
        <v>#VALUE!</v>
      </c>
      <c r="G525" s="37">
        <v>41421</v>
      </c>
      <c r="H525">
        <v>27.909984999999999</v>
      </c>
      <c r="I525" s="36">
        <f>IF(ISBLANK(H526), "", Long0[[#This Row],[Adj Close]]/H526-1)</f>
        <v>-2.2450276806785019E-2</v>
      </c>
      <c r="J525" s="29">
        <v>41421</v>
      </c>
      <c r="K525">
        <v>5.7515510000000001</v>
      </c>
      <c r="L525" s="33">
        <f>IF(ISBLANK(K526),"",Long1[[#This Row],[Adj Close]]/K526-1)</f>
        <v>-7.7565611871415197E-3</v>
      </c>
      <c r="M525" s="37">
        <v>41421</v>
      </c>
      <c r="N525">
        <v>51.157947999999998</v>
      </c>
      <c r="O525" s="36">
        <f>IF(ISBLANK(N526),"",Long2[[#This Row],[Adj Close]]/N526-1)</f>
        <v>1.7397053873036361E-2</v>
      </c>
      <c r="P525" s="29">
        <v>41421</v>
      </c>
      <c r="Q525">
        <v>17.164000000000001</v>
      </c>
      <c r="R525" s="33">
        <f>IF(ISBLANK(Q526),"",Long3[[#This Row],[Adj Close]]/Q526-1)</f>
        <v>-2.9094415590241063E-2</v>
      </c>
      <c r="S525" s="37">
        <v>41421</v>
      </c>
      <c r="T525" s="35">
        <v>19.175319999999999</v>
      </c>
      <c r="U525" s="36">
        <f>IF(ISBLANK(T526),"",Long4[[#This Row],[Adj Close]]/T526-1)</f>
        <v>-4.4433222038298137E-4</v>
      </c>
      <c r="Y525" s="37">
        <v>41421</v>
      </c>
      <c r="Z525" s="35">
        <v>29.030628</v>
      </c>
      <c r="AA525" s="36">
        <f>IF(ISBLANK(Z526),"",Long6[[#This Row],[Adj Close]]/Z526-1)</f>
        <v>3.8702996799053535E-2</v>
      </c>
      <c r="AH525" s="29">
        <v>41421</v>
      </c>
      <c r="AI525" s="44">
        <v>42.244770000000003</v>
      </c>
      <c r="AJ525" s="33">
        <f>IF(ISBLANK(AI526),"",Short0[[#This Row],[Adj Close]]/AI526-1)</f>
        <v>6.0817969792805737E-3</v>
      </c>
      <c r="AK525" s="37">
        <v>41421</v>
      </c>
      <c r="AL525" s="39">
        <v>20.244883999999999</v>
      </c>
      <c r="AM525" s="36">
        <f>IF(ISBLANK(AL526),"",Short1[[#This Row],[Adj Close]]/AL526-1)</f>
        <v>5.8393988099495031E-2</v>
      </c>
      <c r="AN525" s="29">
        <v>41421</v>
      </c>
      <c r="AO525" s="44">
        <v>36.103729000000001</v>
      </c>
      <c r="AP525" s="33">
        <f>IF(ISBLANK(AO526),"",Short2[[#This Row],[Adj Close]]/AO526-1)</f>
        <v>-8.1093847583926015E-2</v>
      </c>
      <c r="AQ525" s="37">
        <v>41421</v>
      </c>
      <c r="AR525" s="44">
        <v>46.759998000000003</v>
      </c>
      <c r="AS525" s="36">
        <f>IF(ISBLANK(AR526),"",Short3[[#This Row],[Adj Close]]/AR526-1)</f>
        <v>4.3284203480589145E-2</v>
      </c>
    </row>
    <row r="526" spans="1:45" x14ac:dyDescent="0.25">
      <c r="A526" s="37">
        <v>41414</v>
      </c>
      <c r="B526" s="39">
        <v>1649.599976</v>
      </c>
      <c r="C526" s="36">
        <f>IF(ISBLANK(B527), "", GSPC[[#This Row],[Adj Close]]/B527-1)</f>
        <v>-1.0716831673606153E-2</v>
      </c>
      <c r="D52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2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16512.109377000001</v>
      </c>
      <c r="F526" s="11" t="e">
        <f>IF(ISBLANK(GSPC[[#This Row],[Long Exp.]]), "", (GSPC[[#This Row],[Long Exp.]]/D527-1)+(E527/GSPC[[#This Row],[Short Exp.]]-1))</f>
        <v>#VALUE!</v>
      </c>
      <c r="G526" s="37">
        <v>41414</v>
      </c>
      <c r="H526">
        <v>28.550961999999998</v>
      </c>
      <c r="I526" s="36">
        <f>IF(ISBLANK(H527), "", Long0[[#This Row],[Adj Close]]/H527-1)</f>
        <v>-7.0063341818534797E-3</v>
      </c>
      <c r="J526" s="29">
        <v>41414</v>
      </c>
      <c r="K526">
        <v>5.7965119999999999</v>
      </c>
      <c r="L526" s="33">
        <f>IF(ISBLANK(K527),"",Long1[[#This Row],[Adj Close]]/K527-1)</f>
        <v>-5.3107390778413976E-2</v>
      </c>
      <c r="M526" s="37">
        <v>41414</v>
      </c>
      <c r="N526">
        <v>50.283169000000001</v>
      </c>
      <c r="O526" s="36">
        <f>IF(ISBLANK(N527),"",Long2[[#This Row],[Adj Close]]/N527-1)</f>
        <v>-1.5966695429105005E-2</v>
      </c>
      <c r="P526" s="29">
        <v>41414</v>
      </c>
      <c r="Q526">
        <v>17.678341</v>
      </c>
      <c r="R526" s="33">
        <f>IF(ISBLANK(Q527),"",Long3[[#This Row],[Adj Close]]/Q527-1)</f>
        <v>-4.8522428721560318E-2</v>
      </c>
      <c r="S526" s="37">
        <v>41414</v>
      </c>
      <c r="T526" s="35">
        <v>19.183844000000001</v>
      </c>
      <c r="U526" s="36">
        <f>IF(ISBLANK(T527),"",Long4[[#This Row],[Adj Close]]/T527-1)</f>
        <v>-1.4022843154860687E-2</v>
      </c>
      <c r="Y526" s="37">
        <v>41414</v>
      </c>
      <c r="Z526" s="35">
        <v>27.948920999999999</v>
      </c>
      <c r="AA526" s="36">
        <f>IF(ISBLANK(Z527),"",Long6[[#This Row],[Adj Close]]/Z527-1)</f>
        <v>-5.5335959161357473E-2</v>
      </c>
      <c r="AH526" s="29">
        <v>41414</v>
      </c>
      <c r="AI526" s="44">
        <v>41.989398999999999</v>
      </c>
      <c r="AJ526" s="33">
        <f>IF(ISBLANK(AI527),"",Short0[[#This Row],[Adj Close]]/AI527-1)</f>
        <v>-1.8588329307945295E-2</v>
      </c>
      <c r="AK526" s="37">
        <v>41414</v>
      </c>
      <c r="AL526" s="39">
        <v>19.127928000000001</v>
      </c>
      <c r="AM526" s="36">
        <f>IF(ISBLANK(AL527),"",Short1[[#This Row],[Adj Close]]/AL527-1)</f>
        <v>-3.2341849293353486E-2</v>
      </c>
      <c r="AN526" s="29">
        <v>41414</v>
      </c>
      <c r="AO526" s="44">
        <v>39.289898000000001</v>
      </c>
      <c r="AP526" s="33">
        <f>IF(ISBLANK(AO527),"",Short2[[#This Row],[Adj Close]]/AO527-1)</f>
        <v>-2.3504935948070238E-2</v>
      </c>
      <c r="AQ526" s="37">
        <v>41414</v>
      </c>
      <c r="AR526" s="44">
        <v>44.82</v>
      </c>
      <c r="AS526" s="36">
        <f>IF(ISBLANK(AR527),"",Short3[[#This Row],[Adj Close]]/AR527-1)</f>
        <v>-1.3644344490412519E-2</v>
      </c>
    </row>
    <row r="527" spans="1:45" x14ac:dyDescent="0.25">
      <c r="A527" s="37">
        <v>41407</v>
      </c>
      <c r="B527" s="39">
        <v>1667.469971</v>
      </c>
      <c r="C527" s="36">
        <f>IF(ISBLANK(B528), "", GSPC[[#This Row],[Adj Close]]/B528-1)</f>
        <v>2.0670882666874668E-2</v>
      </c>
      <c r="D52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2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16857.415827999997</v>
      </c>
      <c r="F527" s="11" t="e">
        <f>IF(ISBLANK(GSPC[[#This Row],[Long Exp.]]), "", (GSPC[[#This Row],[Long Exp.]]/D528-1)+(E528/GSPC[[#This Row],[Short Exp.]]-1))</f>
        <v>#VALUE!</v>
      </c>
      <c r="G527" s="37">
        <v>41407</v>
      </c>
      <c r="H527">
        <v>28.752410999999999</v>
      </c>
      <c r="I527" s="36">
        <f>IF(ISBLANK(H528), "", Long0[[#This Row],[Adj Close]]/H528-1)</f>
        <v>5.9021950192425621E-2</v>
      </c>
      <c r="J527" s="29">
        <v>41407</v>
      </c>
      <c r="K527">
        <v>6.1216150000000003</v>
      </c>
      <c r="L527" s="33">
        <f>IF(ISBLANK(K528),"",Long1[[#This Row],[Adj Close]]/K528-1)</f>
        <v>6.242494915329555E-2</v>
      </c>
      <c r="M527" s="37">
        <v>41407</v>
      </c>
      <c r="N527">
        <v>51.099052</v>
      </c>
      <c r="O527" s="36">
        <f>IF(ISBLANK(N528),"",Long2[[#This Row],[Adj Close]]/N528-1)</f>
        <v>-3.9981365899272481E-2</v>
      </c>
      <c r="P527" s="29">
        <v>41407</v>
      </c>
      <c r="Q527">
        <v>18.579882000000001</v>
      </c>
      <c r="R527" s="33">
        <f>IF(ISBLANK(Q528),"",Long3[[#This Row],[Adj Close]]/Q528-1)</f>
        <v>9.7358062199253137E-3</v>
      </c>
      <c r="S527" s="37">
        <v>41407</v>
      </c>
      <c r="T527" s="35">
        <v>19.456682000000001</v>
      </c>
      <c r="U527" s="36">
        <f>IF(ISBLANK(T528),"",Long4[[#This Row],[Adj Close]]/T528-1)</f>
        <v>2.7927737353381721E-2</v>
      </c>
      <c r="Y527" s="37">
        <v>41407</v>
      </c>
      <c r="Z527" s="35">
        <v>29.586096000000001</v>
      </c>
      <c r="AA527" s="36">
        <f>IF(ISBLANK(Z528),"",Long6[[#This Row],[Adj Close]]/Z528-1)</f>
        <v>0.10400008239114023</v>
      </c>
      <c r="AH527" s="29">
        <v>41407</v>
      </c>
      <c r="AI527" s="44">
        <v>42.784694999999999</v>
      </c>
      <c r="AJ527" s="33">
        <f>IF(ISBLANK(AI528),"",Short0[[#This Row],[Adj Close]]/AI528-1)</f>
        <v>7.2142810984774375E-3</v>
      </c>
      <c r="AK527" s="37">
        <v>41407</v>
      </c>
      <c r="AL527" s="39">
        <v>19.767237000000002</v>
      </c>
      <c r="AM527" s="36">
        <f>IF(ISBLANK(AL528),"",Short1[[#This Row],[Adj Close]]/AL528-1)</f>
        <v>6.0307362613743587E-2</v>
      </c>
      <c r="AN527" s="29">
        <v>41407</v>
      </c>
      <c r="AO527" s="44">
        <v>40.235633999999997</v>
      </c>
      <c r="AP527" s="33">
        <f>IF(ISBLANK(AO528),"",Short2[[#This Row],[Adj Close]]/AO528-1)</f>
        <v>2.6710459020251154E-2</v>
      </c>
      <c r="AQ527" s="37">
        <v>41407</v>
      </c>
      <c r="AR527" s="44">
        <v>45.439999</v>
      </c>
      <c r="AS527" s="36">
        <f>IF(ISBLANK(AR528),"",Short3[[#This Row],[Adj Close]]/AR528-1)</f>
        <v>1.2252172248878868E-2</v>
      </c>
    </row>
    <row r="528" spans="1:45" x14ac:dyDescent="0.25">
      <c r="A528" s="37">
        <v>41400</v>
      </c>
      <c r="B528" s="39">
        <v>1633.6999510000001</v>
      </c>
      <c r="C528" s="36">
        <f>IF(ISBLANK(B529), "", GSPC[[#This Row],[Adj Close]]/B529-1)</f>
        <v>1.1942311464512523E-2</v>
      </c>
      <c r="D52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2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16540.361472000004</v>
      </c>
      <c r="F528" s="11" t="e">
        <f>IF(ISBLANK(GSPC[[#This Row],[Long Exp.]]), "", (GSPC[[#This Row],[Long Exp.]]/D529-1)+(E529/GSPC[[#This Row],[Short Exp.]]-1))</f>
        <v>#VALUE!</v>
      </c>
      <c r="G528" s="37">
        <v>41400</v>
      </c>
      <c r="H528">
        <v>27.149967</v>
      </c>
      <c r="I528" s="36">
        <f>IF(ISBLANK(H529), "", Long0[[#This Row],[Adj Close]]/H529-1)</f>
        <v>2.595165823275436E-2</v>
      </c>
      <c r="J528" s="29">
        <v>41400</v>
      </c>
      <c r="K528">
        <v>5.761927</v>
      </c>
      <c r="L528" s="33">
        <f>IF(ISBLANK(K529),"",Long1[[#This Row],[Adj Close]]/K529-1)</f>
        <v>8.4746548835943347E-3</v>
      </c>
      <c r="M528" s="37">
        <v>41400</v>
      </c>
      <c r="N528">
        <v>53.227145999999998</v>
      </c>
      <c r="O528" s="36">
        <f>IF(ISBLANK(N529),"",Long2[[#This Row],[Adj Close]]/N529-1)</f>
        <v>4.4498922997737944E-2</v>
      </c>
      <c r="P528" s="29">
        <v>41400</v>
      </c>
      <c r="Q528">
        <v>18.400735999999998</v>
      </c>
      <c r="R528" s="33">
        <f>IF(ISBLANK(Q529),"",Long3[[#This Row],[Adj Close]]/Q529-1)</f>
        <v>-2.719211769531793E-2</v>
      </c>
      <c r="S528" s="37">
        <v>41400</v>
      </c>
      <c r="T528" s="35">
        <v>18.928063999999999</v>
      </c>
      <c r="U528" s="36">
        <f>IF(ISBLANK(T529),"",Long4[[#This Row],[Adj Close]]/T529-1)</f>
        <v>3.0162577152401226E-2</v>
      </c>
      <c r="Y528" s="37">
        <v>41400</v>
      </c>
      <c r="Z528" s="35">
        <v>26.798998000000001</v>
      </c>
      <c r="AA528" s="36">
        <f>IF(ISBLANK(Z529),"",Long6[[#This Row],[Adj Close]]/Z529-1)</f>
        <v>-0.14383557092392663</v>
      </c>
      <c r="AH528" s="29">
        <v>41400</v>
      </c>
      <c r="AI528" s="44">
        <v>42.478245000000001</v>
      </c>
      <c r="AJ528" s="33">
        <f>IF(ISBLANK(AI529),"",Short0[[#This Row],[Adj Close]]/AI529-1)</f>
        <v>1.9436327775279816E-2</v>
      </c>
      <c r="AK528" s="37">
        <v>41400</v>
      </c>
      <c r="AL528" s="39">
        <v>18.642931000000001</v>
      </c>
      <c r="AM528" s="36">
        <f>IF(ISBLANK(AL529),"",Short1[[#This Row],[Adj Close]]/AL529-1)</f>
        <v>-4.3363017087088784E-2</v>
      </c>
      <c r="AN528" s="29">
        <v>41400</v>
      </c>
      <c r="AO528" s="44">
        <v>39.188881000000002</v>
      </c>
      <c r="AP528" s="33">
        <f>IF(ISBLANK(AO529),"",Short2[[#This Row],[Adj Close]]/AO529-1)</f>
        <v>1.3535704528034875E-2</v>
      </c>
      <c r="AQ528" s="37">
        <v>41400</v>
      </c>
      <c r="AR528" s="44">
        <v>44.889999000000003</v>
      </c>
      <c r="AS528" s="36">
        <f>IF(ISBLANK(AR529),"",Short3[[#This Row],[Adj Close]]/AR529-1)</f>
        <v>3.7199631173743919E-2</v>
      </c>
    </row>
    <row r="529" spans="1:45" x14ac:dyDescent="0.25">
      <c r="A529" s="37">
        <v>41393</v>
      </c>
      <c r="B529" s="39">
        <v>1614.420044</v>
      </c>
      <c r="C529" s="36">
        <f>IF(ISBLANK(B530), "", GSPC[[#This Row],[Adj Close]]/B530-1)</f>
        <v>2.0338288883723576E-2</v>
      </c>
      <c r="D52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2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16306.809297999998</v>
      </c>
      <c r="F529" s="11" t="e">
        <f>IF(ISBLANK(GSPC[[#This Row],[Long Exp.]]), "", (GSPC[[#This Row],[Long Exp.]]/D530-1)+(E530/GSPC[[#This Row],[Short Exp.]]-1))</f>
        <v>#VALUE!</v>
      </c>
      <c r="G529" s="37">
        <v>41393</v>
      </c>
      <c r="H529">
        <v>26.463203</v>
      </c>
      <c r="I529" s="36">
        <f>IF(ISBLANK(H530), "", Long0[[#This Row],[Adj Close]]/H530-1)</f>
        <v>-1.3988527583890686E-2</v>
      </c>
      <c r="J529" s="29">
        <v>41393</v>
      </c>
      <c r="K529">
        <v>5.7135069999999999</v>
      </c>
      <c r="L529" s="33">
        <f>IF(ISBLANK(K530),"",Long1[[#This Row],[Adj Close]]/K530-1)</f>
        <v>2.1645044093312915E-2</v>
      </c>
      <c r="M529" s="37">
        <v>41393</v>
      </c>
      <c r="N529">
        <v>50.959502999999998</v>
      </c>
      <c r="O529" s="36">
        <f>IF(ISBLANK(N530),"",Long2[[#This Row],[Adj Close]]/N530-1)</f>
        <v>1.6204066295678166E-2</v>
      </c>
      <c r="P529" s="29">
        <v>41393</v>
      </c>
      <c r="Q529">
        <v>18.915077</v>
      </c>
      <c r="R529" s="33">
        <f>IF(ISBLANK(Q530),"",Long3[[#This Row],[Adj Close]]/Q530-1)</f>
        <v>-9.0823013127732111E-3</v>
      </c>
      <c r="S529" s="37">
        <v>41393</v>
      </c>
      <c r="T529" s="35">
        <v>18.373861000000002</v>
      </c>
      <c r="U529" s="36">
        <f>IF(ISBLANK(T530),"",Long4[[#This Row],[Adj Close]]/T530-1)</f>
        <v>2.8639778474080391E-2</v>
      </c>
      <c r="Y529" s="37">
        <v>41393</v>
      </c>
      <c r="Z529" s="35">
        <v>31.301227999999998</v>
      </c>
      <c r="AA529" s="36">
        <f>IF(ISBLANK(Z530),"",Long6[[#This Row],[Adj Close]]/Z530-1)</f>
        <v>1.3249055036655299E-2</v>
      </c>
      <c r="AH529" s="29">
        <v>41393</v>
      </c>
      <c r="AI529" s="44">
        <v>41.668365000000001</v>
      </c>
      <c r="AJ529" s="33">
        <f>IF(ISBLANK(AI530),"",Short0[[#This Row],[Adj Close]]/AI530-1)</f>
        <v>1.6734838399065088E-2</v>
      </c>
      <c r="AK529" s="37">
        <v>41393</v>
      </c>
      <c r="AL529" s="39">
        <v>19.487988999999999</v>
      </c>
      <c r="AM529" s="36">
        <f>IF(ISBLANK(AL530),"",Short1[[#This Row],[Adj Close]]/AL530-1)</f>
        <v>0.12851041174207412</v>
      </c>
      <c r="AN529" s="29">
        <v>41393</v>
      </c>
      <c r="AO529" s="44">
        <v>38.665515999999997</v>
      </c>
      <c r="AP529" s="33">
        <f>IF(ISBLANK(AO530),"",Short2[[#This Row],[Adj Close]]/AO530-1)</f>
        <v>-3.4475383794514425E-3</v>
      </c>
      <c r="AQ529" s="37">
        <v>41393</v>
      </c>
      <c r="AR529" s="44">
        <v>43.279998999999997</v>
      </c>
      <c r="AS529" s="36">
        <f>IF(ISBLANK(AR530),"",Short3[[#This Row],[Adj Close]]/AR530-1)</f>
        <v>5.2017502479764222E-2</v>
      </c>
    </row>
    <row r="530" spans="1:45" x14ac:dyDescent="0.25">
      <c r="A530" s="37">
        <v>41386</v>
      </c>
      <c r="B530" s="39">
        <v>1582.23999</v>
      </c>
      <c r="C530" s="36">
        <f>IF(ISBLANK(B531), "", GSPC[[#This Row],[Adj Close]]/B531-1)</f>
        <v>1.7354116701495004E-2</v>
      </c>
      <c r="D53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3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15850.413982</v>
      </c>
      <c r="F530" s="11" t="e">
        <f>IF(ISBLANK(GSPC[[#This Row],[Long Exp.]]), "", (GSPC[[#This Row],[Long Exp.]]/D531-1)+(E531/GSPC[[#This Row],[Short Exp.]]-1))</f>
        <v>#VALUE!</v>
      </c>
      <c r="G530" s="37">
        <v>41386</v>
      </c>
      <c r="H530">
        <v>26.838636000000001</v>
      </c>
      <c r="I530" s="36">
        <f>IF(ISBLANK(H531), "", Long0[[#This Row],[Adj Close]]/H531-1)</f>
        <v>3.4227343200815774E-2</v>
      </c>
      <c r="J530" s="29">
        <v>41386</v>
      </c>
      <c r="K530">
        <v>5.5924579999999997</v>
      </c>
      <c r="L530" s="33">
        <f>IF(ISBLANK(K531),"",Long1[[#This Row],[Adj Close]]/K531-1)</f>
        <v>1.2383760140690647E-3</v>
      </c>
      <c r="M530" s="37">
        <v>41386</v>
      </c>
      <c r="N530">
        <v>50.146918999999997</v>
      </c>
      <c r="O530" s="36">
        <f>IF(ISBLANK(N531),"",Long2[[#This Row],[Adj Close]]/N531-1)</f>
        <v>4.0500791534654246E-2</v>
      </c>
      <c r="P530" s="29">
        <v>41386</v>
      </c>
      <c r="Q530">
        <v>19.088443999999999</v>
      </c>
      <c r="R530" s="33">
        <f>IF(ISBLANK(Q531),"",Long3[[#This Row],[Adj Close]]/Q531-1)</f>
        <v>1.4123174954120188E-2</v>
      </c>
      <c r="S530" s="37">
        <v>41386</v>
      </c>
      <c r="T530" s="35">
        <v>17.862289000000001</v>
      </c>
      <c r="U530" s="36">
        <f>IF(ISBLANK(T531),"",Long4[[#This Row],[Adj Close]]/T531-1)</f>
        <v>1.3545899517929616E-2</v>
      </c>
      <c r="Y530" s="37">
        <v>41386</v>
      </c>
      <c r="Z530" s="35">
        <v>30.891939000000001</v>
      </c>
      <c r="AA530" s="36">
        <f>IF(ISBLANK(Z531),"",Long6[[#This Row],[Adj Close]]/Z531-1)</f>
        <v>5.1758488373708333E-2</v>
      </c>
      <c r="AH530" s="29">
        <v>41386</v>
      </c>
      <c r="AI530" s="44">
        <v>40.982529</v>
      </c>
      <c r="AJ530" s="33">
        <f>IF(ISBLANK(AI531),"",Short0[[#This Row],[Adj Close]]/AI531-1)</f>
        <v>5.8612763509343635E-2</v>
      </c>
      <c r="AK530" s="37">
        <v>41386</v>
      </c>
      <c r="AL530" s="39">
        <v>17.268771999999998</v>
      </c>
      <c r="AM530" s="36">
        <f>IF(ISBLANK(AL531),"",Short1[[#This Row],[Adj Close]]/AL531-1)</f>
        <v>1.0752431392421657E-2</v>
      </c>
      <c r="AN530" s="29">
        <v>41386</v>
      </c>
      <c r="AO530" s="44">
        <v>38.799278000000001</v>
      </c>
      <c r="AP530" s="33">
        <f>IF(ISBLANK(AO531),"",Short2[[#This Row],[Adj Close]]/AO531-1)</f>
        <v>0.10820003885627294</v>
      </c>
      <c r="AQ530" s="37">
        <v>41386</v>
      </c>
      <c r="AR530" s="44">
        <v>41.139999000000003</v>
      </c>
      <c r="AS530" s="36">
        <f>IF(ISBLANK(AR531),"",Short3[[#This Row],[Adj Close]]/AR531-1)</f>
        <v>1.2552251721578811E-2</v>
      </c>
    </row>
    <row r="531" spans="1:45" x14ac:dyDescent="0.25">
      <c r="A531" s="37">
        <v>41379</v>
      </c>
      <c r="B531" s="39">
        <v>1555.25</v>
      </c>
      <c r="C531" s="36">
        <f>IF(ISBLANK(B532), "", GSPC[[#This Row],[Adj Close]]/B532-1)</f>
        <v>-2.1147355954014846E-2</v>
      </c>
      <c r="D53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3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14979.412112999998</v>
      </c>
      <c r="F531" s="11" t="e">
        <f>IF(ISBLANK(GSPC[[#This Row],[Long Exp.]]), "", (GSPC[[#This Row],[Long Exp.]]/D532-1)+(E532/GSPC[[#This Row],[Short Exp.]]-1))</f>
        <v>#VALUE!</v>
      </c>
      <c r="G531" s="37">
        <v>41379</v>
      </c>
      <c r="H531">
        <v>25.950422</v>
      </c>
      <c r="I531" s="36">
        <f>IF(ISBLANK(H532), "", Long0[[#This Row],[Adj Close]]/H532-1)</f>
        <v>-1.1855071235332804E-2</v>
      </c>
      <c r="J531" s="29">
        <v>41379</v>
      </c>
      <c r="K531">
        <v>5.5855410000000001</v>
      </c>
      <c r="L531" s="33">
        <f>IF(ISBLANK(K532),"",Long1[[#This Row],[Adj Close]]/K532-1)</f>
        <v>7.4858780755331367E-3</v>
      </c>
      <c r="M531" s="37">
        <v>41379</v>
      </c>
      <c r="N531">
        <v>48.194983999999998</v>
      </c>
      <c r="O531" s="36">
        <f>IF(ISBLANK(N532),"",Long2[[#This Row],[Adj Close]]/N532-1)</f>
        <v>-2.8209419356800547E-2</v>
      </c>
      <c r="P531" s="29">
        <v>41379</v>
      </c>
      <c r="Q531">
        <v>18.822609</v>
      </c>
      <c r="R531" s="33">
        <f>IF(ISBLANK(Q532),"",Long3[[#This Row],[Adj Close]]/Q532-1)</f>
        <v>1.8130928526243428E-2</v>
      </c>
      <c r="S531" s="37">
        <v>41379</v>
      </c>
      <c r="T531" s="35">
        <v>17.623562</v>
      </c>
      <c r="U531" s="36">
        <f>IF(ISBLANK(T532),"",Long4[[#This Row],[Adj Close]]/T532-1)</f>
        <v>-3.6812504696776216E-2</v>
      </c>
      <c r="Y531" s="37">
        <v>41379</v>
      </c>
      <c r="Z531" s="35">
        <v>29.371704000000001</v>
      </c>
      <c r="AA531" s="36">
        <f>IF(ISBLANK(Z532),"",Long6[[#This Row],[Adj Close]]/Z532-1)</f>
        <v>-6.3975252903229252E-2</v>
      </c>
      <c r="AH531" s="29">
        <v>41379</v>
      </c>
      <c r="AI531" s="44">
        <v>38.713428</v>
      </c>
      <c r="AJ531" s="33">
        <f>IF(ISBLANK(AI532),"",Short0[[#This Row],[Adj Close]]/AI532-1)</f>
        <v>-5.2330702647657823E-2</v>
      </c>
      <c r="AK531" s="37">
        <v>41379</v>
      </c>
      <c r="AL531" s="39">
        <v>17.085066000000001</v>
      </c>
      <c r="AM531" s="36">
        <f>IF(ISBLANK(AL532),"",Short1[[#This Row],[Adj Close]]/AL532-1)</f>
        <v>-3.4868864125539134E-2</v>
      </c>
      <c r="AN531" s="29">
        <v>41379</v>
      </c>
      <c r="AO531" s="44">
        <v>35.011077999999998</v>
      </c>
      <c r="AP531" s="33">
        <f>IF(ISBLANK(AO532),"",Short2[[#This Row],[Adj Close]]/AO532-1)</f>
        <v>-5.7065267011448984E-2</v>
      </c>
      <c r="AQ531" s="37">
        <v>41379</v>
      </c>
      <c r="AR531" s="44">
        <v>40.630001</v>
      </c>
      <c r="AS531" s="36">
        <f>IF(ISBLANK(AR532),"",Short3[[#This Row],[Adj Close]]/AR532-1)</f>
        <v>-3.8570683320903187E-2</v>
      </c>
    </row>
    <row r="532" spans="1:45" x14ac:dyDescent="0.25">
      <c r="A532" s="37">
        <v>41372</v>
      </c>
      <c r="B532" s="39">
        <v>1588.849976</v>
      </c>
      <c r="C532" s="36">
        <f>IF(ISBLANK(B533), "", GSPC[[#This Row],[Adj Close]]/B533-1)</f>
        <v>2.2899893345631916E-2</v>
      </c>
      <c r="D53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3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15753.668354000001</v>
      </c>
      <c r="F532" s="11" t="e">
        <f>IF(ISBLANK(GSPC[[#This Row],[Long Exp.]]), "", (GSPC[[#This Row],[Long Exp.]]/D533-1)+(E533/GSPC[[#This Row],[Short Exp.]]-1))</f>
        <v>#VALUE!</v>
      </c>
      <c r="G532" s="37">
        <v>41372</v>
      </c>
      <c r="H532">
        <v>26.261756999999999</v>
      </c>
      <c r="I532" s="36">
        <f>IF(ISBLANK(H533), "", Long0[[#This Row],[Adj Close]]/H533-1)</f>
        <v>1.74656904728554E-3</v>
      </c>
      <c r="J532" s="29">
        <v>41372</v>
      </c>
      <c r="K532">
        <v>5.5440389999999997</v>
      </c>
      <c r="L532" s="33">
        <f>IF(ISBLANK(K533),"",Long1[[#This Row],[Adj Close]]/K533-1)</f>
        <v>-2.0171009354614688E-2</v>
      </c>
      <c r="M532" s="37">
        <v>41372</v>
      </c>
      <c r="N532">
        <v>49.594002000000003</v>
      </c>
      <c r="O532" s="36">
        <f>IF(ISBLANK(N533),"",Long2[[#This Row],[Adj Close]]/N533-1)</f>
        <v>1.014436878537861E-3</v>
      </c>
      <c r="P532" s="29">
        <v>41372</v>
      </c>
      <c r="Q532">
        <v>18.487414999999999</v>
      </c>
      <c r="R532" s="33">
        <f>IF(ISBLANK(Q533),"",Long3[[#This Row],[Adj Close]]/Q533-1)</f>
        <v>1.7493315334007109E-2</v>
      </c>
      <c r="S532" s="37">
        <v>41372</v>
      </c>
      <c r="T532" s="35">
        <v>18.297125000000001</v>
      </c>
      <c r="U532" s="36">
        <f>IF(ISBLANK(T533),"",Long4[[#This Row],[Adj Close]]/T533-1)</f>
        <v>1.6579573407300208E-2</v>
      </c>
      <c r="Y532" s="37">
        <v>41372</v>
      </c>
      <c r="Z532" s="35">
        <v>31.379196</v>
      </c>
      <c r="AA532" s="36">
        <f>IF(ISBLANK(Z533),"",Long6[[#This Row],[Adj Close]]/Z533-1)</f>
        <v>7.3333435264996583E-2</v>
      </c>
      <c r="AH532" s="29">
        <v>41372</v>
      </c>
      <c r="AI532" s="44">
        <v>40.851199999999999</v>
      </c>
      <c r="AJ532" s="33">
        <f>IF(ISBLANK(AI533),"",Short0[[#This Row],[Adj Close]]/AI533-1)</f>
        <v>6.2025704738645437E-2</v>
      </c>
      <c r="AK532" s="37">
        <v>41372</v>
      </c>
      <c r="AL532" s="39">
        <v>17.702325999999999</v>
      </c>
      <c r="AM532" s="36">
        <f>IF(ISBLANK(AL533),"",Short1[[#This Row],[Adj Close]]/AL533-1)</f>
        <v>-5.3438462361503958E-2</v>
      </c>
      <c r="AN532" s="29">
        <v>41372</v>
      </c>
      <c r="AO532" s="44">
        <v>37.129905999999998</v>
      </c>
      <c r="AP532" s="33">
        <f>IF(ISBLANK(AO533),"",Short2[[#This Row],[Adj Close]]/AO533-1)</f>
        <v>2.8978468162278004E-2</v>
      </c>
      <c r="AQ532" s="37">
        <v>41372</v>
      </c>
      <c r="AR532" s="44">
        <v>42.259998000000003</v>
      </c>
      <c r="AS532" s="36">
        <f>IF(ISBLANK(AR533),"",Short3[[#This Row],[Adj Close]]/AR533-1)</f>
        <v>5.8882435479829853E-2</v>
      </c>
    </row>
    <row r="533" spans="1:45" x14ac:dyDescent="0.25">
      <c r="A533" s="37">
        <v>41365</v>
      </c>
      <c r="B533" s="39">
        <v>1553.280029</v>
      </c>
      <c r="C533" s="36">
        <f>IF(ISBLANK(B534), "", GSPC[[#This Row],[Adj Close]]/B534-1)</f>
        <v>-1.0138933206429557E-2</v>
      </c>
      <c r="D53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3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15161.781800999999</v>
      </c>
      <c r="F533" s="11" t="e">
        <f>IF(ISBLANK(GSPC[[#This Row],[Long Exp.]]), "", (GSPC[[#This Row],[Long Exp.]]/D534-1)+(E534/GSPC[[#This Row],[Short Exp.]]-1))</f>
        <v>#VALUE!</v>
      </c>
      <c r="G533" s="37">
        <v>41365</v>
      </c>
      <c r="H533">
        <v>26.215969000000001</v>
      </c>
      <c r="I533" s="36">
        <f>IF(ISBLANK(H534), "", Long0[[#This Row],[Adj Close]]/H534-1)</f>
        <v>-1.1395140090293521E-2</v>
      </c>
      <c r="J533" s="29">
        <v>41365</v>
      </c>
      <c r="K533">
        <v>5.6581700000000001</v>
      </c>
      <c r="L533" s="33">
        <f>IF(ISBLANK(K534),"",Long1[[#This Row],[Adj Close]]/K534-1)</f>
        <v>-2.8503583337053495E-2</v>
      </c>
      <c r="M533" s="37">
        <v>41365</v>
      </c>
      <c r="N533">
        <v>49.543742999999999</v>
      </c>
      <c r="O533" s="36">
        <f>IF(ISBLANK(N534),"",Long2[[#This Row],[Adj Close]]/N534-1)</f>
        <v>-7.8846187696171022E-3</v>
      </c>
      <c r="P533" s="29">
        <v>41365</v>
      </c>
      <c r="Q533">
        <v>18.169568999999999</v>
      </c>
      <c r="R533" s="33">
        <f>IF(ISBLANK(Q534),"",Long3[[#This Row],[Adj Close]]/Q534-1)</f>
        <v>4.1522154018940327E-3</v>
      </c>
      <c r="S533" s="37">
        <v>41365</v>
      </c>
      <c r="T533" s="35">
        <v>17.998714</v>
      </c>
      <c r="U533" s="36">
        <f>IF(ISBLANK(T534),"",Long4[[#This Row],[Adj Close]]/T534-1)</f>
        <v>-4.7145065649573104E-3</v>
      </c>
      <c r="Y533" s="37">
        <v>41365</v>
      </c>
      <c r="Z533" s="35">
        <v>29.235272999999999</v>
      </c>
      <c r="AA533" s="36">
        <f>IF(ISBLANK(Z534),"",Long6[[#This Row],[Adj Close]]/Z534-1)</f>
        <v>2.0755339328063283E-2</v>
      </c>
      <c r="AH533" s="29">
        <v>41365</v>
      </c>
      <c r="AI533" s="44">
        <v>38.465358999999999</v>
      </c>
      <c r="AJ533" s="33">
        <f>IF(ISBLANK(AI534),"",Short0[[#This Row],[Adj Close]]/AI534-1)</f>
        <v>-6.4418712706160064E-2</v>
      </c>
      <c r="AK533" s="37">
        <v>41365</v>
      </c>
      <c r="AL533" s="39">
        <v>18.701716999999999</v>
      </c>
      <c r="AM533" s="36">
        <f>IF(ISBLANK(AL534),"",Short1[[#This Row],[Adj Close]]/AL534-1)</f>
        <v>0.14898440639545862</v>
      </c>
      <c r="AN533" s="29">
        <v>41365</v>
      </c>
      <c r="AO533" s="44">
        <v>36.084240000000001</v>
      </c>
      <c r="AP533" s="33">
        <f>IF(ISBLANK(AO534),"",Short2[[#This Row],[Adj Close]]/AO534-1)</f>
        <v>-5.1591038493809194E-2</v>
      </c>
      <c r="AQ533" s="37">
        <v>41365</v>
      </c>
      <c r="AR533" s="44">
        <v>39.909999999999997</v>
      </c>
      <c r="AS533" s="36">
        <f>IF(ISBLANK(AR534),"",Short3[[#This Row],[Adj Close]]/AR534-1)</f>
        <v>-2.9977267798583229E-3</v>
      </c>
    </row>
    <row r="534" spans="1:45" x14ac:dyDescent="0.25">
      <c r="A534" s="37">
        <v>41358</v>
      </c>
      <c r="B534" s="39">
        <v>1569.1899410000001</v>
      </c>
      <c r="C534" s="36">
        <f>IF(ISBLANK(B535), "", GSPC[[#This Row],[Adj Close]]/B535-1)</f>
        <v>7.9003178654211137E-3</v>
      </c>
      <c r="D53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3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15610.770531999999</v>
      </c>
      <c r="F534" s="11" t="e">
        <f>IF(ISBLANK(GSPC[[#This Row],[Long Exp.]]), "", (GSPC[[#This Row],[Long Exp.]]/D535-1)+(E535/GSPC[[#This Row],[Short Exp.]]-1))</f>
        <v>#VALUE!</v>
      </c>
      <c r="G534" s="37">
        <v>41358</v>
      </c>
      <c r="H534">
        <v>26.518146999999999</v>
      </c>
      <c r="I534" s="36">
        <f>IF(ISBLANK(H535), "", Long0[[#This Row],[Adj Close]]/H535-1)</f>
        <v>-2.8839583631654064E-2</v>
      </c>
      <c r="J534" s="29">
        <v>41358</v>
      </c>
      <c r="K534">
        <v>5.8241800000000001</v>
      </c>
      <c r="L534" s="33">
        <f>IF(ISBLANK(K535),"",Long1[[#This Row],[Adj Close]]/K535-1)</f>
        <v>-1.0575842691857296E-2</v>
      </c>
      <c r="M534" s="37">
        <v>41358</v>
      </c>
      <c r="N534">
        <v>49.937480999999998</v>
      </c>
      <c r="O534" s="36">
        <f>IF(ISBLANK(N535),"",Long2[[#This Row],[Adj Close]]/N535-1)</f>
        <v>-1.6743888535661888E-3</v>
      </c>
      <c r="P534" s="29">
        <v>41358</v>
      </c>
      <c r="Q534">
        <v>18.094436999999999</v>
      </c>
      <c r="R534" s="33">
        <f>IF(ISBLANK(Q535),"",Long3[[#This Row],[Adj Close]]/Q535-1)</f>
        <v>4.0544844967795646E-2</v>
      </c>
      <c r="S534" s="37">
        <v>41358</v>
      </c>
      <c r="T534" s="35">
        <v>18.083970999999998</v>
      </c>
      <c r="U534" s="36">
        <f>IF(ISBLANK(T535),"",Long4[[#This Row],[Adj Close]]/T535-1)</f>
        <v>3.6150622072392613E-2</v>
      </c>
      <c r="Y534" s="37">
        <v>41358</v>
      </c>
      <c r="Z534" s="35">
        <v>28.640823000000001</v>
      </c>
      <c r="AA534" s="36">
        <f>IF(ISBLANK(Z535),"",Long6[[#This Row],[Adj Close]]/Z535-1)</f>
        <v>-3.9856413043511063E-2</v>
      </c>
      <c r="AH534" s="29">
        <v>41358</v>
      </c>
      <c r="AI534" s="44">
        <v>41.113861</v>
      </c>
      <c r="AJ534" s="33">
        <f>IF(ISBLANK(AI535),"",Short0[[#This Row],[Adj Close]]/AI535-1)</f>
        <v>5.3512998811802381E-2</v>
      </c>
      <c r="AK534" s="37">
        <v>41358</v>
      </c>
      <c r="AL534" s="39">
        <v>16.276737000000001</v>
      </c>
      <c r="AM534" s="36">
        <f>IF(ISBLANK(AL535),"",Short1[[#This Row],[Adj Close]]/AL535-1)</f>
        <v>-2.0128830729381542E-2</v>
      </c>
      <c r="AN534" s="29">
        <v>41358</v>
      </c>
      <c r="AO534" s="44">
        <v>38.047131</v>
      </c>
      <c r="AP534" s="33">
        <f>IF(ISBLANK(AO535),"",Short2[[#This Row],[Adj Close]]/AO535-1)</f>
        <v>-1.5194634862414458E-2</v>
      </c>
      <c r="AQ534" s="37">
        <v>41358</v>
      </c>
      <c r="AR534" s="44">
        <v>40.029998999999997</v>
      </c>
      <c r="AS534" s="36">
        <f>IF(ISBLANK(AR535),"",Short3[[#This Row],[Adj Close]]/AR535-1)</f>
        <v>2.5096031372497496E-2</v>
      </c>
    </row>
    <row r="535" spans="1:45" x14ac:dyDescent="0.25">
      <c r="A535" s="37">
        <v>41351</v>
      </c>
      <c r="B535" s="39">
        <v>1556.8900149999999</v>
      </c>
      <c r="C535" s="36">
        <f>IF(ISBLANK(B536), "", GSPC[[#This Row],[Adj Close]]/B536-1)</f>
        <v>-2.4411713459456807E-3</v>
      </c>
      <c r="D53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3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15298.857139</v>
      </c>
      <c r="F535" s="11" t="e">
        <f>IF(ISBLANK(GSPC[[#This Row],[Long Exp.]]), "", (GSPC[[#This Row],[Long Exp.]]/D536-1)+(E536/GSPC[[#This Row],[Short Exp.]]-1))</f>
        <v>#VALUE!</v>
      </c>
      <c r="G535" s="37">
        <v>41351</v>
      </c>
      <c r="H535">
        <v>27.305630000000001</v>
      </c>
      <c r="I535" s="36">
        <f>IF(ISBLANK(H536), "", Long0[[#This Row],[Adj Close]]/H536-1)</f>
        <v>-2.1332593474738148E-2</v>
      </c>
      <c r="J535" s="29">
        <v>41351</v>
      </c>
      <c r="K535">
        <v>5.8864340000000004</v>
      </c>
      <c r="L535" s="33">
        <f>IF(ISBLANK(K536),"",Long1[[#This Row],[Adj Close]]/K536-1)</f>
        <v>-1.8454398095614999E-2</v>
      </c>
      <c r="M535" s="37">
        <v>41351</v>
      </c>
      <c r="N535">
        <v>50.021236000000002</v>
      </c>
      <c r="O535" s="36">
        <f>IF(ISBLANK(N536),"",Long2[[#This Row],[Adj Close]]/N536-1)</f>
        <v>-4.7535886559566864E-2</v>
      </c>
      <c r="P535" s="29">
        <v>41351</v>
      </c>
      <c r="Q535">
        <v>17.389386999999999</v>
      </c>
      <c r="R535" s="33">
        <f>IF(ISBLANK(Q536),"",Long3[[#This Row],[Adj Close]]/Q536-1)</f>
        <v>-1.3118719476683749E-2</v>
      </c>
      <c r="S535" s="37">
        <v>41351</v>
      </c>
      <c r="T535" s="35">
        <v>17.453033000000001</v>
      </c>
      <c r="U535" s="36">
        <f>IF(ISBLANK(T536),"",Long4[[#This Row],[Adj Close]]/T536-1)</f>
        <v>-1.1111251501985553E-2</v>
      </c>
      <c r="Y535" s="37">
        <v>41351</v>
      </c>
      <c r="Z535" s="35">
        <v>29.829729</v>
      </c>
      <c r="AA535" s="36">
        <f>IF(ISBLANK(Z536),"",Long6[[#This Row],[Adj Close]]/Z536-1)</f>
        <v>-7.1580198552299357E-2</v>
      </c>
      <c r="AH535" s="29">
        <v>41351</v>
      </c>
      <c r="AI535" s="44">
        <v>39.025489999999998</v>
      </c>
      <c r="AJ535" s="33">
        <f>IF(ISBLANK(AI536),"",Short0[[#This Row],[Adj Close]]/AI536-1)</f>
        <v>4.6652179588995146E-3</v>
      </c>
      <c r="AK535" s="37">
        <v>41351</v>
      </c>
      <c r="AL535" s="39">
        <v>16.611098999999999</v>
      </c>
      <c r="AM535" s="36">
        <f>IF(ISBLANK(AL536),"",Short1[[#This Row],[Adj Close]]/AL536-1)</f>
        <v>6.2005103041244514E-2</v>
      </c>
      <c r="AN535" s="29">
        <v>41351</v>
      </c>
      <c r="AO535" s="44">
        <v>38.634163000000001</v>
      </c>
      <c r="AP535" s="33">
        <f>IF(ISBLANK(AO536),"",Short2[[#This Row],[Adj Close]]/AO536-1)</f>
        <v>8.3792164299605343E-3</v>
      </c>
      <c r="AQ535" s="37">
        <v>41351</v>
      </c>
      <c r="AR535" s="44">
        <v>39.049999</v>
      </c>
      <c r="AS535" s="36">
        <f>IF(ISBLANK(AR536),"",Short3[[#This Row],[Adj Close]]/AR536-1)</f>
        <v>1.2820256410255304E-3</v>
      </c>
    </row>
    <row r="536" spans="1:45" x14ac:dyDescent="0.25">
      <c r="A536" s="37">
        <v>41344</v>
      </c>
      <c r="B536" s="39">
        <v>1560.6999510000001</v>
      </c>
      <c r="C536" s="36">
        <f>IF(ISBLANK(B537), "", GSPC[[#This Row],[Adj Close]]/B537-1)</f>
        <v>6.1371966300438618E-3</v>
      </c>
      <c r="D53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3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15138.561732999999</v>
      </c>
      <c r="F536" s="11" t="e">
        <f>IF(ISBLANK(GSPC[[#This Row],[Long Exp.]]), "", (GSPC[[#This Row],[Long Exp.]]/D537-1)+(E537/GSPC[[#This Row],[Short Exp.]]-1))</f>
        <v>#VALUE!</v>
      </c>
      <c r="G536" s="37">
        <v>41344</v>
      </c>
      <c r="H536">
        <v>27.900827</v>
      </c>
      <c r="I536" s="36">
        <f>IF(ISBLANK(H537), "", Long0[[#This Row],[Adj Close]]/H537-1)</f>
        <v>-8.4607420552250678E-3</v>
      </c>
      <c r="J536" s="29">
        <v>41344</v>
      </c>
      <c r="K536">
        <v>5.9971069999999997</v>
      </c>
      <c r="L536" s="33">
        <f>IF(ISBLANK(K537),"",Long1[[#This Row],[Adj Close]]/K537-1)</f>
        <v>1.4035097805211949E-2</v>
      </c>
      <c r="M536" s="37">
        <v>41344</v>
      </c>
      <c r="N536">
        <v>52.517712000000003</v>
      </c>
      <c r="O536" s="36">
        <f>IF(ISBLANK(N537),"",Long2[[#This Row],[Adj Close]]/N537-1)</f>
        <v>4.1016364847968445E-2</v>
      </c>
      <c r="P536" s="29">
        <v>41344</v>
      </c>
      <c r="Q536">
        <v>17.620546000000001</v>
      </c>
      <c r="R536" s="33">
        <f>IF(ISBLANK(Q537),"",Long3[[#This Row],[Adj Close]]/Q537-1)</f>
        <v>6.9067548663745981E-3</v>
      </c>
      <c r="S536" s="37">
        <v>41344</v>
      </c>
      <c r="T536" s="35">
        <v>17.649137</v>
      </c>
      <c r="U536" s="36">
        <f>IF(ISBLANK(T537),"",Long4[[#This Row],[Adj Close]]/T537-1)</f>
        <v>4.0200744395799237E-2</v>
      </c>
      <c r="Y536" s="37">
        <v>41344</v>
      </c>
      <c r="Z536" s="35">
        <v>32.129570000000001</v>
      </c>
      <c r="AA536" s="36">
        <f>IF(ISBLANK(Z537),"",Long6[[#This Row],[Adj Close]]/Z537-1)</f>
        <v>-1.3464683174993719E-2</v>
      </c>
      <c r="AH536" s="29">
        <v>41344</v>
      </c>
      <c r="AI536" s="44">
        <v>38.844273000000001</v>
      </c>
      <c r="AJ536" s="33">
        <f>IF(ISBLANK(AI537),"",Short0[[#This Row],[Adj Close]]/AI537-1)</f>
        <v>2.3882084743597209E-2</v>
      </c>
      <c r="AK536" s="37">
        <v>41344</v>
      </c>
      <c r="AL536" s="39">
        <v>15.641261</v>
      </c>
      <c r="AM536" s="36">
        <f>IF(ISBLANK(AL537),"",Short1[[#This Row],[Adj Close]]/AL537-1)</f>
        <v>6.3460058225863314E-2</v>
      </c>
      <c r="AN536" s="29">
        <v>41344</v>
      </c>
      <c r="AO536" s="44">
        <v>38.313129000000004</v>
      </c>
      <c r="AP536" s="33">
        <f>IF(ISBLANK(AO537),"",Short2[[#This Row],[Adj Close]]/AO537-1)</f>
        <v>1.1980992326057205E-3</v>
      </c>
      <c r="AQ536" s="37">
        <v>41344</v>
      </c>
      <c r="AR536" s="44">
        <v>39</v>
      </c>
      <c r="AS536" s="36">
        <f>IF(ISBLANK(AR537),"",Short3[[#This Row],[Adj Close]]/AR537-1)</f>
        <v>7.2313789454705457E-3</v>
      </c>
    </row>
    <row r="537" spans="1:45" x14ac:dyDescent="0.25">
      <c r="A537" s="37">
        <v>41337</v>
      </c>
      <c r="B537" s="39">
        <v>1551.1800539999999</v>
      </c>
      <c r="C537" s="36">
        <f>IF(ISBLANK(B538), "", GSPC[[#This Row],[Adj Close]]/B538-1)</f>
        <v>2.1723161681224346E-2</v>
      </c>
      <c r="D53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3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14879.157082000002</v>
      </c>
      <c r="F537" s="11" t="e">
        <f>IF(ISBLANK(GSPC[[#This Row],[Long Exp.]]), "", (GSPC[[#This Row],[Long Exp.]]/D538-1)+(E538/GSPC[[#This Row],[Short Exp.]]-1))</f>
        <v>#VALUE!</v>
      </c>
      <c r="G537" s="37">
        <v>41337</v>
      </c>
      <c r="H537">
        <v>28.138902999999999</v>
      </c>
      <c r="I537" s="36">
        <f>IF(ISBLANK(H538), "", Long0[[#This Row],[Adj Close]]/H538-1)</f>
        <v>2.0930248842764509E-2</v>
      </c>
      <c r="J537" s="29">
        <v>41337</v>
      </c>
      <c r="K537">
        <v>5.9141019999999997</v>
      </c>
      <c r="L537" s="33">
        <f>IF(ISBLANK(K538),"",Long1[[#This Row],[Adj Close]]/K538-1)</f>
        <v>-9.8437977678507149E-3</v>
      </c>
      <c r="M537" s="37">
        <v>41337</v>
      </c>
      <c r="N537">
        <v>50.448498000000001</v>
      </c>
      <c r="O537" s="36">
        <f>IF(ISBLANK(N538),"",Long2[[#This Row],[Adj Close]]/N538-1)</f>
        <v>2.9929772418145317E-2</v>
      </c>
      <c r="P537" s="29">
        <v>41337</v>
      </c>
      <c r="Q537">
        <v>17.499680000000001</v>
      </c>
      <c r="R537" s="33">
        <f>IF(ISBLANK(Q538),"",Long3[[#This Row],[Adj Close]]/Q538-1)</f>
        <v>-5.8401991264639408E-3</v>
      </c>
      <c r="S537" s="37">
        <v>41337</v>
      </c>
      <c r="T537" s="35">
        <v>16.967048999999999</v>
      </c>
      <c r="U537" s="36">
        <f>IF(ISBLANK(T538),"",Long4[[#This Row],[Adj Close]]/T538-1)</f>
        <v>4.188510963986869E-2</v>
      </c>
      <c r="Y537" s="37">
        <v>41337</v>
      </c>
      <c r="Z537" s="35">
        <v>32.568089000000001</v>
      </c>
      <c r="AA537" s="36">
        <f>IF(ISBLANK(Z538),"",Long6[[#This Row],[Adj Close]]/Z538-1)</f>
        <v>4.4374808958305145E-2</v>
      </c>
      <c r="AH537" s="29">
        <v>41337</v>
      </c>
      <c r="AI537" s="44">
        <v>37.938229</v>
      </c>
      <c r="AJ537" s="33">
        <f>IF(ISBLANK(AI538),"",Short0[[#This Row],[Adj Close]]/AI538-1)</f>
        <v>2.0074025769713844E-2</v>
      </c>
      <c r="AK537" s="37">
        <v>41337</v>
      </c>
      <c r="AL537" s="39">
        <v>14.707897000000001</v>
      </c>
      <c r="AM537" s="36">
        <f>IF(ISBLANK(AL538),"",Short1[[#This Row],[Adj Close]]/AL538-1)</f>
        <v>0.17540801920304738</v>
      </c>
      <c r="AN537" s="29">
        <v>41337</v>
      </c>
      <c r="AO537" s="44">
        <v>38.267280999999997</v>
      </c>
      <c r="AP537" s="33">
        <f>IF(ISBLANK(AO538),"",Short2[[#This Row],[Adj Close]]/AO538-1)</f>
        <v>7.4150778145185114E-2</v>
      </c>
      <c r="AQ537" s="37">
        <v>41337</v>
      </c>
      <c r="AR537" s="44">
        <v>38.720001000000003</v>
      </c>
      <c r="AS537" s="36">
        <f>IF(ISBLANK(AR538),"",Short3[[#This Row],[Adj Close]]/AR538-1)</f>
        <v>-6.4151910080781915E-3</v>
      </c>
    </row>
    <row r="538" spans="1:45" x14ac:dyDescent="0.25">
      <c r="A538" s="37">
        <v>41330</v>
      </c>
      <c r="B538" s="39">
        <v>1518.1999510000001</v>
      </c>
      <c r="C538" s="36">
        <f>IF(ISBLANK(B539), "", GSPC[[#This Row],[Adj Close]]/B539-1)</f>
        <v>1.7154757463522241E-3</v>
      </c>
      <c r="D53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3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14262.067622</v>
      </c>
      <c r="F538" s="11" t="e">
        <f>IF(ISBLANK(GSPC[[#This Row],[Long Exp.]]), "", (GSPC[[#This Row],[Long Exp.]]/D539-1)+(E539/GSPC[[#This Row],[Short Exp.]]-1))</f>
        <v>#VALUE!</v>
      </c>
      <c r="G538" s="37">
        <v>41330</v>
      </c>
      <c r="H538">
        <v>27.562023</v>
      </c>
      <c r="I538" s="36">
        <f>IF(ISBLANK(H539), "", Long0[[#This Row],[Adj Close]]/H539-1)</f>
        <v>3.8647356830841639E-2</v>
      </c>
      <c r="J538" s="29">
        <v>41330</v>
      </c>
      <c r="K538">
        <v>5.9728979999999998</v>
      </c>
      <c r="L538" s="33">
        <f>IF(ISBLANK(K539),"",Long1[[#This Row],[Adj Close]]/K539-1)</f>
        <v>-1.7340007718182893E-3</v>
      </c>
      <c r="M538" s="37">
        <v>41330</v>
      </c>
      <c r="N538">
        <v>48.982464</v>
      </c>
      <c r="O538" s="36">
        <f>IF(ISBLANK(N539),"",Long2[[#This Row],[Adj Close]]/N539-1)</f>
        <v>1.7400664172602553E-2</v>
      </c>
      <c r="P538" s="29">
        <v>41330</v>
      </c>
      <c r="Q538">
        <v>17.602481999999998</v>
      </c>
      <c r="R538" s="33">
        <f>IF(ISBLANK(Q539),"",Long3[[#This Row],[Adj Close]]/Q539-1)</f>
        <v>9.7410617654958287E-4</v>
      </c>
      <c r="S538" s="37">
        <v>41330</v>
      </c>
      <c r="T538" s="35">
        <v>16.284952000000001</v>
      </c>
      <c r="U538" s="36">
        <f>IF(ISBLANK(T539),"",Long4[[#This Row],[Adj Close]]/T539-1)</f>
        <v>4.6001932459742045E-2</v>
      </c>
      <c r="Y538" s="37">
        <v>41330</v>
      </c>
      <c r="Z538" s="35">
        <v>31.184291999999999</v>
      </c>
      <c r="AA538" s="36">
        <f>IF(ISBLANK(Z539),"",Long6[[#This Row],[Adj Close]]/Z539-1)</f>
        <v>-2.349716136063551E-2</v>
      </c>
      <c r="AH538" s="29">
        <v>41330</v>
      </c>
      <c r="AI538" s="44">
        <v>37.191642999999999</v>
      </c>
      <c r="AJ538" s="33">
        <f>IF(ISBLANK(AI539),"",Short0[[#This Row],[Adj Close]]/AI539-1)</f>
        <v>1.1433122190925626E-2</v>
      </c>
      <c r="AK538" s="37">
        <v>41330</v>
      </c>
      <c r="AL538" s="39">
        <v>12.513014</v>
      </c>
      <c r="AM538" s="36">
        <f>IF(ISBLANK(AL539),"",Short1[[#This Row],[Adj Close]]/AL539-1)</f>
        <v>8.225817835964655E-3</v>
      </c>
      <c r="AN538" s="29">
        <v>41330</v>
      </c>
      <c r="AO538" s="44">
        <v>35.625613999999999</v>
      </c>
      <c r="AP538" s="33">
        <f>IF(ISBLANK(AO539),"",Short2[[#This Row],[Adj Close]]/AO539-1)</f>
        <v>2.5343168169153385E-2</v>
      </c>
      <c r="AQ538" s="37">
        <v>41330</v>
      </c>
      <c r="AR538" s="44">
        <v>38.970001000000003</v>
      </c>
      <c r="AS538" s="36">
        <f>IF(ISBLANK(AR539),"",Short3[[#This Row],[Adj Close]]/AR539-1)</f>
        <v>0.11311063199717974</v>
      </c>
    </row>
    <row r="539" spans="1:45" x14ac:dyDescent="0.25">
      <c r="A539" s="37">
        <v>41323</v>
      </c>
      <c r="B539" s="39">
        <v>1515.599976</v>
      </c>
      <c r="C539" s="36">
        <f>IF(ISBLANK(B540), "", GSPC[[#This Row],[Adj Close]]/B540-1)</f>
        <v>-2.7570012254830578E-3</v>
      </c>
      <c r="D53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3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13791.163393000003</v>
      </c>
      <c r="F539" s="11" t="e">
        <f>IF(ISBLANK(GSPC[[#This Row],[Long Exp.]]), "", (GSPC[[#This Row],[Long Exp.]]/D540-1)+(E540/GSPC[[#This Row],[Short Exp.]]-1))</f>
        <v>#VALUE!</v>
      </c>
      <c r="G539" s="37">
        <v>41323</v>
      </c>
      <c r="H539">
        <v>26.536459000000001</v>
      </c>
      <c r="I539" s="36">
        <f>IF(ISBLANK(H540), "", Long0[[#This Row],[Adj Close]]/H540-1)</f>
        <v>-8.2135288008897689E-3</v>
      </c>
      <c r="J539" s="29">
        <v>41323</v>
      </c>
      <c r="K539">
        <v>5.9832729999999996</v>
      </c>
      <c r="L539" s="33">
        <f>IF(ISBLANK(K540),"",Long1[[#This Row],[Adj Close]]/K540-1)</f>
        <v>-6.9392208478985418E-2</v>
      </c>
      <c r="M539" s="37">
        <v>41323</v>
      </c>
      <c r="N539">
        <v>48.144714</v>
      </c>
      <c r="O539" s="36">
        <f>IF(ISBLANK(N540),"",Long2[[#This Row],[Adj Close]]/N540-1)</f>
        <v>-7.5748064914604507E-2</v>
      </c>
      <c r="P539" s="29">
        <v>41323</v>
      </c>
      <c r="Q539">
        <v>17.585352</v>
      </c>
      <c r="R539" s="33">
        <f>IF(ISBLANK(Q540),"",Long3[[#This Row],[Adj Close]]/Q540-1)</f>
        <v>1.2495912816893773E-2</v>
      </c>
      <c r="S539" s="37">
        <v>41323</v>
      </c>
      <c r="T539" s="35">
        <v>15.568759</v>
      </c>
      <c r="U539" s="36">
        <f>IF(ISBLANK(T540),"",Long4[[#This Row],[Adj Close]]/T540-1)</f>
        <v>-1.0298169376082855E-2</v>
      </c>
      <c r="Y539" s="37">
        <v>41323</v>
      </c>
      <c r="Z539" s="35">
        <v>31.934666</v>
      </c>
      <c r="AA539" s="36">
        <f>IF(ISBLANK(Z540),"",Long6[[#This Row],[Adj Close]]/Z540-1)</f>
        <v>1.5283542118713633E-3</v>
      </c>
      <c r="AH539" s="29">
        <v>41323</v>
      </c>
      <c r="AI539" s="44">
        <v>36.771233000000002</v>
      </c>
      <c r="AJ539" s="33">
        <f>IF(ISBLANK(AI540),"",Short0[[#This Row],[Adj Close]]/AI540-1)</f>
        <v>-4.1020967293913135E-2</v>
      </c>
      <c r="AK539" s="37">
        <v>41323</v>
      </c>
      <c r="AL539" s="39">
        <v>12.410924</v>
      </c>
      <c r="AM539" s="36">
        <f>IF(ISBLANK(AL540),"",Short1[[#This Row],[Adj Close]]/AL540-1)</f>
        <v>8.8915667821860556E-3</v>
      </c>
      <c r="AN539" s="29">
        <v>41323</v>
      </c>
      <c r="AO539" s="44">
        <v>34.745063999999999</v>
      </c>
      <c r="AP539" s="33">
        <f>IF(ISBLANK(AO540),"",Short2[[#This Row],[Adj Close]]/AO540-1)</f>
        <v>-5.7711555637928291E-2</v>
      </c>
      <c r="AQ539" s="37">
        <v>41323</v>
      </c>
      <c r="AR539" s="44">
        <v>35.009998000000003</v>
      </c>
      <c r="AS539" s="36">
        <f>IF(ISBLANK(AR540),"",Short3[[#This Row],[Adj Close]]/AR540-1)</f>
        <v>8.5757575757594573E-4</v>
      </c>
    </row>
    <row r="540" spans="1:45" x14ac:dyDescent="0.25">
      <c r="A540" s="37">
        <v>41316</v>
      </c>
      <c r="B540" s="39">
        <v>1519.790039</v>
      </c>
      <c r="C540" s="36">
        <f>IF(ISBLANK(B541), "", GSPC[[#This Row],[Adj Close]]/B541-1)</f>
        <v>1.2253430222946005E-3</v>
      </c>
      <c r="D54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4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14286.399797000002</v>
      </c>
      <c r="F540" s="11" t="e">
        <f>IF(ISBLANK(GSPC[[#This Row],[Long Exp.]]), "", (GSPC[[#This Row],[Long Exp.]]/D541-1)+(E541/GSPC[[#This Row],[Short Exp.]]-1))</f>
        <v>#VALUE!</v>
      </c>
      <c r="G540" s="37">
        <v>41316</v>
      </c>
      <c r="H540">
        <v>26.756222000000001</v>
      </c>
      <c r="I540" s="36">
        <f>IF(ISBLANK(H541), "", Long0[[#This Row],[Adj Close]]/H541-1)</f>
        <v>1.2473918777001103E-2</v>
      </c>
      <c r="J540" s="29">
        <v>41316</v>
      </c>
      <c r="K540">
        <v>6.4294250000000002</v>
      </c>
      <c r="L540" s="33">
        <f>IF(ISBLANK(K541),"",Long1[[#This Row],[Adj Close]]/K541-1)</f>
        <v>8.2072163333120729E-2</v>
      </c>
      <c r="M540" s="37">
        <v>41316</v>
      </c>
      <c r="N540">
        <v>52.090465999999999</v>
      </c>
      <c r="O540" s="36">
        <f>IF(ISBLANK(N541),"",Long2[[#This Row],[Adj Close]]/N541-1)</f>
        <v>1.68717801747853E-2</v>
      </c>
      <c r="P540" s="29">
        <v>41316</v>
      </c>
      <c r="Q540">
        <v>17.368319</v>
      </c>
      <c r="R540" s="33">
        <f>IF(ISBLANK(Q541),"",Long3[[#This Row],[Adj Close]]/Q541-1)</f>
        <v>3.2992503988023003E-3</v>
      </c>
      <c r="S540" s="37">
        <v>41316</v>
      </c>
      <c r="T540" s="35">
        <v>15.730757000000001</v>
      </c>
      <c r="U540" s="36">
        <f>IF(ISBLANK(T541),"",Long4[[#This Row],[Adj Close]]/T541-1)</f>
        <v>-4.8540919341516497E-3</v>
      </c>
      <c r="Y540" s="37">
        <v>41316</v>
      </c>
      <c r="Z540" s="35">
        <v>31.885933000000001</v>
      </c>
      <c r="AA540" s="36">
        <f>IF(ISBLANK(Z541),"",Long6[[#This Row],[Adj Close]]/Z541-1)</f>
        <v>-1.0882671038074387E-2</v>
      </c>
      <c r="AH540" s="29">
        <v>41316</v>
      </c>
      <c r="AI540" s="44">
        <v>38.344147</v>
      </c>
      <c r="AJ540" s="33">
        <f>IF(ISBLANK(AI541),"",Short0[[#This Row],[Adj Close]]/AI541-1)</f>
        <v>-3.2021599386821475E-2</v>
      </c>
      <c r="AK540" s="37">
        <v>41316</v>
      </c>
      <c r="AL540" s="39">
        <v>12.301544</v>
      </c>
      <c r="AM540" s="36">
        <f>IF(ISBLANK(AL541),"",Short1[[#This Row],[Adj Close]]/AL541-1)</f>
        <v>0.10333537678882698</v>
      </c>
      <c r="AN540" s="29">
        <v>41316</v>
      </c>
      <c r="AO540" s="44">
        <v>36.873066000000001</v>
      </c>
      <c r="AP540" s="33">
        <f>IF(ISBLANK(AO541),"",Short2[[#This Row],[Adj Close]]/AO541-1)</f>
        <v>6.00593169479402E-3</v>
      </c>
      <c r="AQ540" s="37">
        <v>41316</v>
      </c>
      <c r="AR540" s="44">
        <v>34.979999999999997</v>
      </c>
      <c r="AS540" s="36">
        <f>IF(ISBLANK(AR541),"",Short3[[#This Row],[Adj Close]]/AR541-1)</f>
        <v>4.6678698185439682E-2</v>
      </c>
    </row>
    <row r="541" spans="1:45" x14ac:dyDescent="0.25">
      <c r="A541" s="37">
        <v>41309</v>
      </c>
      <c r="B541" s="39">
        <v>1517.9300539999999</v>
      </c>
      <c r="C541" s="36">
        <f>IF(ISBLANK(B542), "", GSPC[[#This Row],[Adj Close]]/B542-1)</f>
        <v>3.1457204818945428E-3</v>
      </c>
      <c r="D54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4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14247.30667</v>
      </c>
      <c r="F541" s="11" t="e">
        <f>IF(ISBLANK(GSPC[[#This Row],[Long Exp.]]), "", (GSPC[[#This Row],[Long Exp.]]/D542-1)+(E542/GSPC[[#This Row],[Short Exp.]]-1))</f>
        <v>#VALUE!</v>
      </c>
      <c r="G541" s="37">
        <v>41309</v>
      </c>
      <c r="H541">
        <v>26.426579</v>
      </c>
      <c r="I541" s="36">
        <f>IF(ISBLANK(H542), "", Long0[[#This Row],[Adj Close]]/H542-1)</f>
        <v>-1.0384421288989198E-3</v>
      </c>
      <c r="J541" s="29">
        <v>41309</v>
      </c>
      <c r="K541">
        <v>5.9417710000000001</v>
      </c>
      <c r="L541" s="33">
        <f>IF(ISBLANK(K542),"",Long1[[#This Row],[Adj Close]]/K542-1)</f>
        <v>1.3569423481600174E-2</v>
      </c>
      <c r="M541" s="37">
        <v>41309</v>
      </c>
      <c r="N541">
        <v>51.226188999999998</v>
      </c>
      <c r="O541" s="36">
        <f>IF(ISBLANK(N542),"",Long2[[#This Row],[Adj Close]]/N542-1)</f>
        <v>-1.143137053671861E-2</v>
      </c>
      <c r="P541" s="29">
        <v>41309</v>
      </c>
      <c r="Q541">
        <v>17.311205000000001</v>
      </c>
      <c r="R541" s="33">
        <f>IF(ISBLANK(Q542),"",Long3[[#This Row],[Adj Close]]/Q542-1)</f>
        <v>-1.9755588086619591E-3</v>
      </c>
      <c r="S541" s="37">
        <v>41309</v>
      </c>
      <c r="T541" s="35">
        <v>15.807487999999999</v>
      </c>
      <c r="U541" s="36">
        <f>IF(ISBLANK(T542),"",Long4[[#This Row],[Adj Close]]/T542-1)</f>
        <v>-1.2253625592757666E-2</v>
      </c>
      <c r="Y541" s="37">
        <v>41309</v>
      </c>
      <c r="Z541" s="35">
        <v>32.236755000000002</v>
      </c>
      <c r="AA541" s="36">
        <f>IF(ISBLANK(Z542),"",Long6[[#This Row],[Adj Close]]/Z542-1)</f>
        <v>7.8578108943808234E-2</v>
      </c>
      <c r="AH541" s="29">
        <v>41309</v>
      </c>
      <c r="AI541" s="44">
        <v>39.612606</v>
      </c>
      <c r="AJ541" s="33">
        <f>IF(ISBLANK(AI542),"",Short0[[#This Row],[Adj Close]]/AI542-1)</f>
        <v>-2.1836429314095351E-2</v>
      </c>
      <c r="AK541" s="37">
        <v>41309</v>
      </c>
      <c r="AL541" s="39">
        <v>11.149414999999999</v>
      </c>
      <c r="AM541" s="36">
        <f>IF(ISBLANK(AL542),"",Short1[[#This Row],[Adj Close]]/AL542-1)</f>
        <v>-5.0900130131398935E-2</v>
      </c>
      <c r="AN541" s="29">
        <v>41309</v>
      </c>
      <c r="AO541" s="44">
        <v>36.652931000000002</v>
      </c>
      <c r="AP541" s="33">
        <f>IF(ISBLANK(AO542),"",Short2[[#This Row],[Adj Close]]/AO542-1)</f>
        <v>-2.6113767067485916E-2</v>
      </c>
      <c r="AQ541" s="37">
        <v>41309</v>
      </c>
      <c r="AR541" s="44">
        <v>33.419998</v>
      </c>
      <c r="AS541" s="36">
        <f>IF(ISBLANK(AR542),"",Short3[[#This Row],[Adj Close]]/AR542-1)</f>
        <v>-1.4159409194135164E-2</v>
      </c>
    </row>
    <row r="542" spans="1:45" x14ac:dyDescent="0.25">
      <c r="A542" s="37">
        <v>41302</v>
      </c>
      <c r="B542" s="39">
        <v>1513.170044</v>
      </c>
      <c r="C542" s="36">
        <f>IF(ISBLANK(B543), "", GSPC[[#This Row],[Adj Close]]/B543-1)</f>
        <v>6.7933166983413784E-3</v>
      </c>
      <c r="D54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4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14597.471527999998</v>
      </c>
      <c r="F542" s="11" t="e">
        <f>IF(ISBLANK(GSPC[[#This Row],[Long Exp.]]), "", (GSPC[[#This Row],[Long Exp.]]/D543-1)+(E543/GSPC[[#This Row],[Short Exp.]]-1))</f>
        <v>#VALUE!</v>
      </c>
      <c r="G542" s="37">
        <v>41302</v>
      </c>
      <c r="H542">
        <v>26.454049999999999</v>
      </c>
      <c r="I542" s="36">
        <f>IF(ISBLANK(H543), "", Long0[[#This Row],[Adj Close]]/H543-1)</f>
        <v>1.5108916406855633E-2</v>
      </c>
      <c r="J542" s="29">
        <v>41302</v>
      </c>
      <c r="K542">
        <v>5.8622240000000003</v>
      </c>
      <c r="L542" s="33">
        <f>IF(ISBLANK(K543),"",Long1[[#This Row],[Adj Close]]/K543-1)</f>
        <v>1.1940336123284379E-2</v>
      </c>
      <c r="M542" s="37">
        <v>41302</v>
      </c>
      <c r="N542">
        <v>51.818545999999998</v>
      </c>
      <c r="O542" s="36">
        <f>IF(ISBLANK(N543),"",Long2[[#This Row],[Adj Close]]/N543-1)</f>
        <v>-1.7557640052633272E-2</v>
      </c>
      <c r="P542" s="29">
        <v>41302</v>
      </c>
      <c r="Q542">
        <v>17.345472000000001</v>
      </c>
      <c r="R542" s="33">
        <f>IF(ISBLANK(Q543),"",Long3[[#This Row],[Adj Close]]/Q543-1)</f>
        <v>2.6013662971402729E-2</v>
      </c>
      <c r="S542" s="37">
        <v>41302</v>
      </c>
      <c r="T542" s="35">
        <v>16.003589999999999</v>
      </c>
      <c r="U542" s="36">
        <f>IF(ISBLANK(T543),"",Long4[[#This Row],[Adj Close]]/T543-1)</f>
        <v>2.9621351615306546E-2</v>
      </c>
      <c r="Y542" s="37">
        <v>41302</v>
      </c>
      <c r="Z542" s="35">
        <v>29.888197000000002</v>
      </c>
      <c r="AA542" s="36">
        <f>IF(ISBLANK(Z543),"",Long6[[#This Row],[Adj Close]]/Z543-1)</f>
        <v>7.3128207348775787E-2</v>
      </c>
      <c r="AH542" s="29">
        <v>41302</v>
      </c>
      <c r="AI542" s="44">
        <v>40.496913999999997</v>
      </c>
      <c r="AJ542" s="33">
        <f>IF(ISBLANK(AI543),"",Short0[[#This Row],[Adj Close]]/AI543-1)</f>
        <v>5.9950472722896553E-2</v>
      </c>
      <c r="AK542" s="37">
        <v>41302</v>
      </c>
      <c r="AL542" s="39">
        <v>11.747356999999999</v>
      </c>
      <c r="AM542" s="36">
        <f>IF(ISBLANK(AL543),"",Short1[[#This Row],[Adj Close]]/AL543-1)</f>
        <v>2.0912558763477529E-2</v>
      </c>
      <c r="AN542" s="29">
        <v>41302</v>
      </c>
      <c r="AO542" s="44">
        <v>37.635742</v>
      </c>
      <c r="AP542" s="33">
        <f>IF(ISBLANK(AO543),"",Short2[[#This Row],[Adj Close]]/AO543-1)</f>
        <v>-4.6436282005354546E-2</v>
      </c>
      <c r="AQ542" s="37">
        <v>41302</v>
      </c>
      <c r="AR542" s="44">
        <v>33.900002000000001</v>
      </c>
      <c r="AS542" s="36">
        <f>IF(ISBLANK(AR543),"",Short3[[#This Row],[Adj Close]]/AR543-1)</f>
        <v>8.02857543774671E-3</v>
      </c>
    </row>
    <row r="543" spans="1:45" x14ac:dyDescent="0.25">
      <c r="A543" s="37">
        <v>41295</v>
      </c>
      <c r="B543" s="39">
        <v>1502.959961</v>
      </c>
      <c r="C543" s="36">
        <f>IF(ISBLANK(B544), "", GSPC[[#This Row],[Adj Close]]/B544-1)</f>
        <v>1.1426789881785693E-2</v>
      </c>
      <c r="D54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4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14398.539654</v>
      </c>
      <c r="F543" s="11" t="e">
        <f>IF(ISBLANK(GSPC[[#This Row],[Long Exp.]]), "", (GSPC[[#This Row],[Long Exp.]]/D544-1)+(E544/GSPC[[#This Row],[Short Exp.]]-1))</f>
        <v>#VALUE!</v>
      </c>
      <c r="G543" s="37">
        <v>41295</v>
      </c>
      <c r="H543">
        <v>26.060307000000002</v>
      </c>
      <c r="I543" s="36">
        <f>IF(ISBLANK(H544), "", Long0[[#This Row],[Adj Close]]/H544-1)</f>
        <v>1.6428663559094225E-2</v>
      </c>
      <c r="J543" s="29">
        <v>41295</v>
      </c>
      <c r="K543">
        <v>5.7930529999999996</v>
      </c>
      <c r="L543" s="33">
        <f>IF(ISBLANK(K544),"",Long1[[#This Row],[Adj Close]]/K544-1)</f>
        <v>-7.1133090504230667E-3</v>
      </c>
      <c r="M543" s="37">
        <v>41295</v>
      </c>
      <c r="N543">
        <v>52.744616999999998</v>
      </c>
      <c r="O543" s="36">
        <f>IF(ISBLANK(N544),"",Long2[[#This Row],[Adj Close]]/N544-1)</f>
        <v>6.4668187174729441E-2</v>
      </c>
      <c r="P543" s="29">
        <v>41295</v>
      </c>
      <c r="Q543">
        <v>16.905692999999999</v>
      </c>
      <c r="R543" s="33">
        <f>IF(ISBLANK(Q544),"",Long3[[#This Row],[Adj Close]]/Q544-1)</f>
        <v>7.4880618601513849E-3</v>
      </c>
      <c r="S543" s="37">
        <v>41295</v>
      </c>
      <c r="T543" s="35">
        <v>15.54318</v>
      </c>
      <c r="U543" s="36">
        <f>IF(ISBLANK(T544),"",Long4[[#This Row],[Adj Close]]/T544-1)</f>
        <v>9.4131573789564271E-3</v>
      </c>
      <c r="Y543" s="37">
        <v>41295</v>
      </c>
      <c r="Z543" s="35">
        <v>27.851469000000002</v>
      </c>
      <c r="AA543" s="36">
        <f>IF(ISBLANK(Z544),"",Long6[[#This Row],[Adj Close]]/Z544-1)</f>
        <v>3.7009879967504045E-2</v>
      </c>
      <c r="AH543" s="29">
        <v>41295</v>
      </c>
      <c r="AI543" s="44">
        <v>38.206420999999999</v>
      </c>
      <c r="AJ543" s="33">
        <f>IF(ISBLANK(AI544),"",Short0[[#This Row],[Adj Close]]/AI544-1)</f>
        <v>9.3832294169171604E-3</v>
      </c>
      <c r="AK543" s="37">
        <v>41295</v>
      </c>
      <c r="AL543" s="39">
        <v>11.506722</v>
      </c>
      <c r="AM543" s="36">
        <f>IF(ISBLANK(AL544),"",Short1[[#This Row],[Adj Close]]/AL544-1)</f>
        <v>6.0483683298945934E-2</v>
      </c>
      <c r="AN543" s="29">
        <v>41295</v>
      </c>
      <c r="AO543" s="44">
        <v>39.468513000000002</v>
      </c>
      <c r="AP543" s="33">
        <f>IF(ISBLANK(AO544),"",Short2[[#This Row],[Adj Close]]/AO544-1)</f>
        <v>2.3526249497229257E-2</v>
      </c>
      <c r="AQ543" s="37">
        <v>41295</v>
      </c>
      <c r="AR543" s="44">
        <v>33.630001</v>
      </c>
      <c r="AS543" s="36">
        <f>IF(ISBLANK(AR544),"",Short3[[#This Row],[Adj Close]]/AR544-1)</f>
        <v>3.8806268656716991E-3</v>
      </c>
    </row>
    <row r="544" spans="1:45" x14ac:dyDescent="0.25">
      <c r="A544" s="37">
        <v>41288</v>
      </c>
      <c r="B544" s="39">
        <v>1485.9799800000001</v>
      </c>
      <c r="C544" s="36">
        <f>IF(ISBLANK(B545), "", GSPC[[#This Row],[Adj Close]]/B545-1)</f>
        <v>9.4629465957785097E-3</v>
      </c>
      <c r="D54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4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14163.730105999999</v>
      </c>
      <c r="F544" s="11" t="e">
        <f>IF(ISBLANK(GSPC[[#This Row],[Long Exp.]]), "", (GSPC[[#This Row],[Long Exp.]]/D545-1)+(E545/GSPC[[#This Row],[Short Exp.]]-1))</f>
        <v>#VALUE!</v>
      </c>
      <c r="G544" s="37">
        <v>41288</v>
      </c>
      <c r="H544">
        <v>25.639091000000001</v>
      </c>
      <c r="I544" s="36">
        <f>IF(ISBLANK(H545), "", Long0[[#This Row],[Adj Close]]/H545-1)</f>
        <v>5.7471228296921417E-3</v>
      </c>
      <c r="J544" s="29">
        <v>41288</v>
      </c>
      <c r="K544">
        <v>5.8345560000000001</v>
      </c>
      <c r="L544" s="33">
        <f>IF(ISBLANK(K545),"",Long1[[#This Row],[Adj Close]]/K545-1)</f>
        <v>-1.2873047336296906E-2</v>
      </c>
      <c r="M544" s="37">
        <v>41288</v>
      </c>
      <c r="N544">
        <v>49.540897000000001</v>
      </c>
      <c r="O544" s="36">
        <f>IF(ISBLANK(N545),"",Long2[[#This Row],[Adj Close]]/N545-1)</f>
        <v>-6.0261532777028393E-3</v>
      </c>
      <c r="P544" s="29">
        <v>41288</v>
      </c>
      <c r="Q544">
        <v>16.780042999999999</v>
      </c>
      <c r="R544" s="33">
        <f>IF(ISBLANK(Q545),"",Long3[[#This Row],[Adj Close]]/Q545-1)</f>
        <v>1.4853350740221094E-2</v>
      </c>
      <c r="S544" s="37">
        <v>41288</v>
      </c>
      <c r="T544" s="35">
        <v>15.398234</v>
      </c>
      <c r="U544" s="36">
        <f>IF(ISBLANK(T545),"",Long4[[#This Row],[Adj Close]]/T545-1)</f>
        <v>-2.2727181854709677E-2</v>
      </c>
      <c r="Y544" s="37">
        <v>41288</v>
      </c>
      <c r="Z544" s="35">
        <v>26.857476999999999</v>
      </c>
      <c r="AA544" s="36">
        <f>IF(ISBLANK(Z545),"",Long6[[#This Row],[Adj Close]]/Z545-1)</f>
        <v>9.3650926929762512E-2</v>
      </c>
      <c r="AH544" s="29">
        <v>41288</v>
      </c>
      <c r="AI544" s="44">
        <v>37.851253999999997</v>
      </c>
      <c r="AJ544" s="33">
        <f>IF(ISBLANK(AI545),"",Short0[[#This Row],[Adj Close]]/AI545-1)</f>
        <v>-5.7115970403707195E-3</v>
      </c>
      <c r="AK544" s="37">
        <v>41288</v>
      </c>
      <c r="AL544" s="39">
        <v>10.850447000000001</v>
      </c>
      <c r="AM544" s="36">
        <f>IF(ISBLANK(AL545),"",Short1[[#This Row],[Adj Close]]/AL545-1)</f>
        <v>4.7149915290509492E-2</v>
      </c>
      <c r="AN544" s="29">
        <v>41288</v>
      </c>
      <c r="AO544" s="44">
        <v>38.561309999999999</v>
      </c>
      <c r="AP544" s="33">
        <f>IF(ISBLANK(AO545),"",Short2[[#This Row],[Adj Close]]/AO545-1)</f>
        <v>2.7594861358152256E-2</v>
      </c>
      <c r="AQ544" s="37">
        <v>41288</v>
      </c>
      <c r="AR544" s="44">
        <v>33.5</v>
      </c>
      <c r="AS544" s="36">
        <f>IF(ISBLANK(AR545),"",Short3[[#This Row],[Adj Close]]/AR545-1)</f>
        <v>3.8115897118066178E-2</v>
      </c>
    </row>
    <row r="545" spans="1:45" x14ac:dyDescent="0.25">
      <c r="A545" s="37">
        <v>41281</v>
      </c>
      <c r="B545" s="39">
        <v>1472.0500489999999</v>
      </c>
      <c r="C545" s="36">
        <f>IF(ISBLANK(B546), "", GSPC[[#This Row],[Adj Close]]/B546-1)</f>
        <v>3.8051089421182738E-3</v>
      </c>
      <c r="D54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4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13942.242738999998</v>
      </c>
      <c r="F545" s="11" t="e">
        <f>IF(ISBLANK(GSPC[[#This Row],[Long Exp.]]), "", (GSPC[[#This Row],[Long Exp.]]/D546-1)+(E546/GSPC[[#This Row],[Short Exp.]]-1))</f>
        <v>#VALUE!</v>
      </c>
      <c r="G545" s="37">
        <v>41281</v>
      </c>
      <c r="H545">
        <v>25.492581999999999</v>
      </c>
      <c r="I545" s="36">
        <f>IF(ISBLANK(H546), "", Long0[[#This Row],[Adj Close]]/H546-1)</f>
        <v>-1.2765939978763408E-2</v>
      </c>
      <c r="J545" s="29">
        <v>41281</v>
      </c>
      <c r="K545">
        <v>5.9106439999999996</v>
      </c>
      <c r="L545" s="33">
        <f>IF(ISBLANK(K546),"",Long1[[#This Row],[Adj Close]]/K546-1)</f>
        <v>6.478220890235864E-3</v>
      </c>
      <c r="M545" s="37">
        <v>41281</v>
      </c>
      <c r="N545">
        <v>49.841248</v>
      </c>
      <c r="O545" s="36">
        <f>IF(ISBLANK(N546),"",Long2[[#This Row],[Adj Close]]/N546-1)</f>
        <v>1.9106083955962916E-2</v>
      </c>
      <c r="P545" s="29">
        <v>41281</v>
      </c>
      <c r="Q545">
        <v>16.534451000000001</v>
      </c>
      <c r="R545" s="33">
        <f>IF(ISBLANK(Q546),"",Long3[[#This Row],[Adj Close]]/Q546-1)</f>
        <v>-8.9015405244453616E-3</v>
      </c>
      <c r="S545" s="37">
        <v>41281</v>
      </c>
      <c r="T545" s="35">
        <v>15.756330999999999</v>
      </c>
      <c r="U545" s="36">
        <f>IF(ISBLANK(T546),"",Long4[[#This Row],[Adj Close]]/T546-1)</f>
        <v>2.0430458989122657E-2</v>
      </c>
      <c r="Y545" s="37">
        <v>41281</v>
      </c>
      <c r="Z545" s="35">
        <v>24.557632000000002</v>
      </c>
      <c r="AA545" s="36">
        <f>IF(ISBLANK(Z546),"",Long6[[#This Row],[Adj Close]]/Z546-1)</f>
        <v>-0.10701607958766635</v>
      </c>
      <c r="AH545" s="29">
        <v>41281</v>
      </c>
      <c r="AI545" s="44">
        <v>38.068686999999997</v>
      </c>
      <c r="AJ545" s="33">
        <f>IF(ISBLANK(AI546),"",Short0[[#This Row],[Adj Close]]/AI546-1)</f>
        <v>2.5981402441785262E-2</v>
      </c>
      <c r="AK545" s="37">
        <v>41281</v>
      </c>
      <c r="AL545" s="39">
        <v>10.361884999999999</v>
      </c>
      <c r="AM545" s="36">
        <f>IF(ISBLANK(AL546),"",Short1[[#This Row],[Adj Close]]/AL546-1)</f>
        <v>0.1734107960653497</v>
      </c>
      <c r="AN545" s="29">
        <v>41281</v>
      </c>
      <c r="AO545" s="44">
        <v>37.525790999999998</v>
      </c>
      <c r="AP545" s="33">
        <f>IF(ISBLANK(AO546),"",Short2[[#This Row],[Adj Close]]/AO546-1)</f>
        <v>1.7897088202985412E-2</v>
      </c>
      <c r="AQ545" s="37">
        <v>41281</v>
      </c>
      <c r="AR545" s="44">
        <v>32.270000000000003</v>
      </c>
      <c r="AS545" s="36">
        <f>IF(ISBLANK(AR546),"",Short3[[#This Row],[Adj Close]]/AR546-1)</f>
        <v>8.7264150943396235E-2</v>
      </c>
    </row>
    <row r="546" spans="1:45" x14ac:dyDescent="0.25">
      <c r="A546" s="37">
        <v>41274</v>
      </c>
      <c r="B546" s="39">
        <v>1466.469971</v>
      </c>
      <c r="C546" s="36">
        <f>IF(ISBLANK(B547), "", GSPC[[#This Row],[Adj Close]]/B547-1)</f>
        <v>4.5663537241908081E-2</v>
      </c>
      <c r="D54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4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13377.298921999998</v>
      </c>
      <c r="F546" s="11" t="e">
        <f>IF(ISBLANK(GSPC[[#This Row],[Long Exp.]]), "", (GSPC[[#This Row],[Long Exp.]]/D547-1)+(E547/GSPC[[#This Row],[Short Exp.]]-1))</f>
        <v>#VALUE!</v>
      </c>
      <c r="G546" s="37">
        <v>41274</v>
      </c>
      <c r="H546">
        <v>25.822227000000002</v>
      </c>
      <c r="I546" s="36">
        <f>IF(ISBLANK(H547), "", Long0[[#This Row],[Adj Close]]/H547-1)</f>
        <v>4.7548303349342236E-2</v>
      </c>
      <c r="J546" s="29">
        <v>41274</v>
      </c>
      <c r="K546">
        <v>5.8726000000000003</v>
      </c>
      <c r="L546" s="33">
        <f>IF(ISBLANK(K547),"",Long1[[#This Row],[Adj Close]]/K547-1)</f>
        <v>1.2522303990830208E-2</v>
      </c>
      <c r="M546" s="37">
        <v>41274</v>
      </c>
      <c r="N546">
        <v>48.906829999999999</v>
      </c>
      <c r="O546" s="36">
        <f>IF(ISBLANK(N547),"",Long2[[#This Row],[Adj Close]]/N547-1)</f>
        <v>6.1764575622684781E-2</v>
      </c>
      <c r="P546" s="29">
        <v>41274</v>
      </c>
      <c r="Q546">
        <v>16.682955</v>
      </c>
      <c r="R546" s="33">
        <f>IF(ISBLANK(Q547),"",Long3[[#This Row],[Adj Close]]/Q547-1)</f>
        <v>3.6551090773676131E-2</v>
      </c>
      <c r="S546" s="37">
        <v>41274</v>
      </c>
      <c r="T546" s="35">
        <v>15.440867000000001</v>
      </c>
      <c r="U546" s="36">
        <f>IF(ISBLANK(T547),"",Long4[[#This Row],[Adj Close]]/T547-1)</f>
        <v>2.6644312254419544E-2</v>
      </c>
      <c r="Y546" s="37">
        <v>41274</v>
      </c>
      <c r="Z546" s="35">
        <v>27.500643</v>
      </c>
      <c r="AA546" s="36">
        <f>IF(ISBLANK(Z547),"",Long6[[#This Row],[Adj Close]]/Z547-1)</f>
        <v>0.14715416269360859</v>
      </c>
      <c r="AH546" s="29">
        <v>41274</v>
      </c>
      <c r="AI546" s="44">
        <v>37.104655999999999</v>
      </c>
      <c r="AJ546" s="33">
        <f>IF(ISBLANK(AI547),"",Short0[[#This Row],[Adj Close]]/AI547-1)</f>
        <v>0.14467789104107931</v>
      </c>
      <c r="AK546" s="37">
        <v>41274</v>
      </c>
      <c r="AL546" s="39">
        <v>8.8305690000000006</v>
      </c>
      <c r="AM546" s="36">
        <f>IF(ISBLANK(AL547),"",Short1[[#This Row],[Adj Close]]/AL547-1)</f>
        <v>7.2630113917395933E-2</v>
      </c>
      <c r="AN546" s="29">
        <v>41274</v>
      </c>
      <c r="AO546" s="44">
        <v>36.865997</v>
      </c>
      <c r="AP546" s="33">
        <f>IF(ISBLANK(AO547),"",Short2[[#This Row],[Adj Close]]/AO547-1)</f>
        <v>6.9377999105012966E-2</v>
      </c>
      <c r="AQ546" s="37">
        <v>41274</v>
      </c>
      <c r="AR546" s="44">
        <v>29.68</v>
      </c>
      <c r="AS546" s="36">
        <f>IF(ISBLANK(AR547),"",Short3[[#This Row],[Adj Close]]/AR547-1)</f>
        <v>4.4702569517775403E-2</v>
      </c>
    </row>
    <row r="547" spans="1:45" x14ac:dyDescent="0.25">
      <c r="A547" s="37">
        <v>41267</v>
      </c>
      <c r="B547" s="39">
        <v>1402.4300539999999</v>
      </c>
      <c r="C547" s="36">
        <f>IF(ISBLANK(B548), "", GSPC[[#This Row],[Adj Close]]/B548-1)</f>
        <v>-1.9382560944529392E-2</v>
      </c>
      <c r="D54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4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12182.926734000001</v>
      </c>
      <c r="F547" s="11" t="e">
        <f>IF(ISBLANK(GSPC[[#This Row],[Long Exp.]]), "", (GSPC[[#This Row],[Long Exp.]]/D548-1)+(E548/GSPC[[#This Row],[Short Exp.]]-1))</f>
        <v>#VALUE!</v>
      </c>
      <c r="G547" s="37">
        <v>41267</v>
      </c>
      <c r="H547">
        <v>24.650154000000001</v>
      </c>
      <c r="I547" s="36">
        <f>IF(ISBLANK(H548), "", Long0[[#This Row],[Adj Close]]/H548-1)</f>
        <v>-3.2002960285312576E-2</v>
      </c>
      <c r="J547" s="29">
        <v>41267</v>
      </c>
      <c r="K547">
        <v>5.7999710000000002</v>
      </c>
      <c r="L547" s="33">
        <f>IF(ISBLANK(K548),"",Long1[[#This Row],[Adj Close]]/K548-1)</f>
        <v>-1.5844975125357319E-2</v>
      </c>
      <c r="M547" s="37">
        <v>41267</v>
      </c>
      <c r="N547">
        <v>46.061839999999997</v>
      </c>
      <c r="O547" s="36">
        <f>IF(ISBLANK(N548),"",Long2[[#This Row],[Adj Close]]/N548-1)</f>
        <v>-7.550203004542233E-3</v>
      </c>
      <c r="P547" s="29">
        <v>41267</v>
      </c>
      <c r="Q547">
        <v>16.094677000000001</v>
      </c>
      <c r="R547" s="33">
        <f>IF(ISBLANK(Q548),"",Long3[[#This Row],[Adj Close]]/Q548-1)</f>
        <v>-2.5587926758824819E-2</v>
      </c>
      <c r="S547" s="37">
        <v>41267</v>
      </c>
      <c r="T547" s="35">
        <v>15.040133000000001</v>
      </c>
      <c r="U547" s="36">
        <f>IF(ISBLANK(T548),"",Long4[[#This Row],[Adj Close]]/T548-1)</f>
        <v>-6.7568335053882489E-3</v>
      </c>
      <c r="Y547" s="37">
        <v>41267</v>
      </c>
      <c r="Z547" s="35">
        <v>23.972926999999999</v>
      </c>
      <c r="AA547" s="36">
        <f>IF(ISBLANK(Z548),"",Long6[[#This Row],[Adj Close]]/Z548-1)</f>
        <v>-1.402796569532383E-2</v>
      </c>
      <c r="AH547" s="29">
        <v>41267</v>
      </c>
      <c r="AI547" s="44">
        <v>32.414932</v>
      </c>
      <c r="AJ547" s="33">
        <f>IF(ISBLANK(AI548),"",Short0[[#This Row],[Adj Close]]/AI548-1)</f>
        <v>-2.8492808703763584E-2</v>
      </c>
      <c r="AK547" s="37">
        <v>41267</v>
      </c>
      <c r="AL547" s="39">
        <v>8.2326320000000006</v>
      </c>
      <c r="AM547" s="36">
        <f>IF(ISBLANK(AL548),"",Short1[[#This Row],[Adj Close]]/AL548-1)</f>
        <v>-3.2562035487394114E-2</v>
      </c>
      <c r="AN547" s="29">
        <v>41267</v>
      </c>
      <c r="AO547" s="44">
        <v>34.474243000000001</v>
      </c>
      <c r="AP547" s="33">
        <f>IF(ISBLANK(AO548),"",Short2[[#This Row],[Adj Close]]/AO548-1)</f>
        <v>-2.1840989873824546E-2</v>
      </c>
      <c r="AQ547" s="37">
        <v>41267</v>
      </c>
      <c r="AR547" s="44">
        <v>28.41</v>
      </c>
      <c r="AS547" s="36">
        <f>IF(ISBLANK(AR548),"",Short3[[#This Row],[Adj Close]]/AR548-1)</f>
        <v>-3.2686447644315608E-2</v>
      </c>
    </row>
    <row r="548" spans="1:45" x14ac:dyDescent="0.25">
      <c r="A548" s="37">
        <v>41260</v>
      </c>
      <c r="B548" s="39">
        <v>1430.150024</v>
      </c>
      <c r="C548" s="36">
        <f>IF(ISBLANK(B549), "", GSPC[[#This Row],[Adj Close]]/B549-1)</f>
        <v>1.1722059250817596E-2</v>
      </c>
      <c r="D54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4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12524.292447</v>
      </c>
      <c r="F548" s="11" t="e">
        <f>IF(ISBLANK(GSPC[[#This Row],[Long Exp.]]), "", (GSPC[[#This Row],[Long Exp.]]/D549-1)+(E549/GSPC[[#This Row],[Short Exp.]]-1))</f>
        <v>#VALUE!</v>
      </c>
      <c r="G548" s="37">
        <v>41260</v>
      </c>
      <c r="H548">
        <v>25.465112999999999</v>
      </c>
      <c r="I548" s="36">
        <f>IF(ISBLANK(H549), "", Long0[[#This Row],[Adj Close]]/H549-1)</f>
        <v>-5.7204108353622329E-3</v>
      </c>
      <c r="J548" s="29">
        <v>41260</v>
      </c>
      <c r="K548">
        <v>5.893351</v>
      </c>
      <c r="L548" s="33">
        <f>IF(ISBLANK(K549),"",Long1[[#This Row],[Adj Close]]/K549-1)</f>
        <v>2.7744304494147443E-2</v>
      </c>
      <c r="M548" s="37">
        <v>41260</v>
      </c>
      <c r="N548">
        <v>46.412261999999998</v>
      </c>
      <c r="O548" s="36">
        <f>IF(ISBLANK(N549),"",Long2[[#This Row],[Adj Close]]/N549-1)</f>
        <v>1.260111053124735E-3</v>
      </c>
      <c r="P548" s="29">
        <v>41260</v>
      </c>
      <c r="Q548">
        <v>16.517320999999999</v>
      </c>
      <c r="R548" s="33">
        <f>IF(ISBLANK(Q549),"",Long3[[#This Row],[Adj Close]]/Q549-1)</f>
        <v>4.5154576641484034E-3</v>
      </c>
      <c r="S548" s="37">
        <v>41260</v>
      </c>
      <c r="T548" s="35">
        <v>15.142448</v>
      </c>
      <c r="U548" s="36">
        <f>IF(ISBLANK(T549),"",Long4[[#This Row],[Adj Close]]/T549-1)</f>
        <v>1.4277635250376619E-2</v>
      </c>
      <c r="Y548" s="37">
        <v>41260</v>
      </c>
      <c r="Z548" s="35">
        <v>24.314003</v>
      </c>
      <c r="AA548" s="36">
        <f>IF(ISBLANK(Z549),"",Long6[[#This Row],[Adj Close]]/Z549-1)</f>
        <v>-4.7864713847903806E-3</v>
      </c>
      <c r="AH548" s="29">
        <v>41260</v>
      </c>
      <c r="AI548" s="44">
        <v>33.365611999999999</v>
      </c>
      <c r="AJ548" s="33">
        <f>IF(ISBLANK(AI549),"",Short0[[#This Row],[Adj Close]]/AI549-1)</f>
        <v>-1.940743199352335E-3</v>
      </c>
      <c r="AK548" s="37">
        <v>41260</v>
      </c>
      <c r="AL548" s="39">
        <v>8.5097260000000006</v>
      </c>
      <c r="AM548" s="36">
        <f>IF(ISBLANK(AL549),"",Short1[[#This Row],[Adj Close]]/AL549-1)</f>
        <v>-3.1535075435148774E-2</v>
      </c>
      <c r="AN548" s="29">
        <v>41260</v>
      </c>
      <c r="AO548" s="44">
        <v>35.244007000000003</v>
      </c>
      <c r="AP548" s="33">
        <f>IF(ISBLANK(AO549),"",Short2[[#This Row],[Adj Close]]/AO549-1)</f>
        <v>3.0822806672210268E-2</v>
      </c>
      <c r="AQ548" s="37">
        <v>41260</v>
      </c>
      <c r="AR548" s="44">
        <v>29.370000999999998</v>
      </c>
      <c r="AS548" s="36">
        <f>IF(ISBLANK(AR549),"",Short3[[#This Row],[Adj Close]]/AR549-1)</f>
        <v>6.5288393180993776E-2</v>
      </c>
    </row>
    <row r="549" spans="1:45" x14ac:dyDescent="0.25">
      <c r="A549" s="37">
        <v>41253</v>
      </c>
      <c r="B549" s="39">
        <v>1413.579956</v>
      </c>
      <c r="C549" s="36">
        <f>IF(ISBLANK(B550), "", GSPC[[#This Row],[Adj Close]]/B550-1)</f>
        <v>-3.166268358387514E-3</v>
      </c>
      <c r="D54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4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12304.607604000001</v>
      </c>
      <c r="F549" s="11" t="e">
        <f>IF(ISBLANK(GSPC[[#This Row],[Long Exp.]]), "", (GSPC[[#This Row],[Long Exp.]]/D550-1)+(E550/GSPC[[#This Row],[Short Exp.]]-1))</f>
        <v>#VALUE!</v>
      </c>
      <c r="G549" s="37">
        <v>41253</v>
      </c>
      <c r="H549">
        <v>25.611622000000001</v>
      </c>
      <c r="I549" s="36">
        <f>IF(ISBLANK(H550), "", Long0[[#This Row],[Adj Close]]/H550-1)</f>
        <v>2.6045441439811468E-2</v>
      </c>
      <c r="J549" s="29">
        <v>41253</v>
      </c>
      <c r="K549">
        <v>5.7342579999999996</v>
      </c>
      <c r="L549" s="33">
        <f>IF(ISBLANK(K550),"",Long1[[#This Row],[Adj Close]]/K550-1)</f>
        <v>4.4080463045420348E-2</v>
      </c>
      <c r="M549" s="37">
        <v>41253</v>
      </c>
      <c r="N549">
        <v>46.353850999999999</v>
      </c>
      <c r="O549" s="36">
        <f>IF(ISBLANK(N550),"",Long2[[#This Row],[Adj Close]]/N550-1)</f>
        <v>3.6567279043292267E-2</v>
      </c>
      <c r="P549" s="29">
        <v>41253</v>
      </c>
      <c r="Q549">
        <v>16.443072999999998</v>
      </c>
      <c r="R549" s="33">
        <f>IF(ISBLANK(Q550),"",Long3[[#This Row],[Adj Close]]/Q550-1)</f>
        <v>5.7803825312692236E-3</v>
      </c>
      <c r="S549" s="37">
        <v>41253</v>
      </c>
      <c r="T549" s="35">
        <v>14.929292999999999</v>
      </c>
      <c r="U549" s="36">
        <f>IF(ISBLANK(T550),"",Long4[[#This Row],[Adj Close]]/T550-1)</f>
        <v>1.038635674242494E-2</v>
      </c>
      <c r="Y549" s="37">
        <v>41253</v>
      </c>
      <c r="Z549" s="35">
        <v>24.430941000000001</v>
      </c>
      <c r="AA549" s="36">
        <f>IF(ISBLANK(Z550),"",Long6[[#This Row],[Adj Close]]/Z550-1)</f>
        <v>-6.1048808438812885E-2</v>
      </c>
      <c r="AH549" s="29">
        <v>41253</v>
      </c>
      <c r="AI549" s="44">
        <v>33.430492000000001</v>
      </c>
      <c r="AJ549" s="33">
        <f>IF(ISBLANK(AI550),"",Short0[[#This Row],[Adj Close]]/AI550-1)</f>
        <v>0.13095486504385323</v>
      </c>
      <c r="AK549" s="37">
        <v>41253</v>
      </c>
      <c r="AL549" s="39">
        <v>8.7868189999999995</v>
      </c>
      <c r="AM549" s="36">
        <f>IF(ISBLANK(AL550),"",Short1[[#This Row],[Adj Close]]/AL550-1)</f>
        <v>1.9019774864704964E-2</v>
      </c>
      <c r="AN549" s="29">
        <v>41253</v>
      </c>
      <c r="AO549" s="44">
        <v>34.190170000000002</v>
      </c>
      <c r="AP549" s="33">
        <f>IF(ISBLANK(AO550),"",Short2[[#This Row],[Adj Close]]/AO550-1)</f>
        <v>1.6898363581026477E-2</v>
      </c>
      <c r="AQ549" s="37">
        <v>41253</v>
      </c>
      <c r="AR549" s="44">
        <v>27.57</v>
      </c>
      <c r="AS549" s="36">
        <f>IF(ISBLANK(AR550),"",Short3[[#This Row],[Adj Close]]/AR550-1)</f>
        <v>-1.1473611024510944E-2</v>
      </c>
    </row>
    <row r="550" spans="1:45" x14ac:dyDescent="0.25">
      <c r="A550" s="37">
        <v>41246</v>
      </c>
      <c r="B550" s="39">
        <v>1418.0699460000001</v>
      </c>
      <c r="C550" s="36">
        <f>IF(ISBLANK(B551), "", GSPC[[#This Row],[Adj Close]]/B551-1)</f>
        <v>1.3344998008284481E-3</v>
      </c>
      <c r="D55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5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11614.869505000001</v>
      </c>
      <c r="F550" s="11" t="e">
        <f>IF(ISBLANK(GSPC[[#This Row],[Long Exp.]]), "", (GSPC[[#This Row],[Long Exp.]]/D551-1)+(E551/GSPC[[#This Row],[Short Exp.]]-1))</f>
        <v>#VALUE!</v>
      </c>
      <c r="G550" s="37">
        <v>41246</v>
      </c>
      <c r="H550">
        <v>24.961489</v>
      </c>
      <c r="I550" s="36">
        <f>IF(ISBLANK(H551), "", Long0[[#This Row],[Adj Close]]/H551-1)</f>
        <v>2.9433989950191641E-3</v>
      </c>
      <c r="J550" s="29">
        <v>41246</v>
      </c>
      <c r="K550">
        <v>5.4921610000000003</v>
      </c>
      <c r="L550" s="33">
        <f>IF(ISBLANK(K551),"",Long1[[#This Row],[Adj Close]]/K551-1)</f>
        <v>6.3020364377597282E-4</v>
      </c>
      <c r="M550" s="37">
        <v>41246</v>
      </c>
      <c r="N550">
        <v>44.718612999999998</v>
      </c>
      <c r="O550" s="36">
        <f>IF(ISBLANK(N551),"",Long2[[#This Row],[Adj Close]]/N551-1)</f>
        <v>-8.5093686576278582E-3</v>
      </c>
      <c r="P550" s="29">
        <v>41246</v>
      </c>
      <c r="Q550">
        <v>16.348572000000001</v>
      </c>
      <c r="R550" s="33">
        <f>IF(ISBLANK(Q551),"",Long3[[#This Row],[Adj Close]]/Q551-1)</f>
        <v>-1.2606224313062575E-2</v>
      </c>
      <c r="S550" s="37">
        <v>41246</v>
      </c>
      <c r="T550" s="35">
        <v>14.775826</v>
      </c>
      <c r="U550" s="36">
        <f>IF(ISBLANK(T551),"",Long4[[#This Row],[Adj Close]]/T551-1)</f>
        <v>1.8213950660144862E-2</v>
      </c>
      <c r="Y550" s="37">
        <v>41246</v>
      </c>
      <c r="Z550" s="35">
        <v>26.019393999999998</v>
      </c>
      <c r="AA550" s="36">
        <f>IF(ISBLANK(Z551),"",Long6[[#This Row],[Adj Close]]/Z551-1)</f>
        <v>0.11809046327408401</v>
      </c>
      <c r="AH550" s="29">
        <v>41246</v>
      </c>
      <c r="AI550" s="44">
        <v>29.559528</v>
      </c>
      <c r="AJ550" s="33">
        <f>IF(ISBLANK(AI551),"",Short0[[#This Row],[Adj Close]]/AI551-1)</f>
        <v>-6.4308720756648174E-2</v>
      </c>
      <c r="AK550" s="37">
        <v>41246</v>
      </c>
      <c r="AL550" s="39">
        <v>8.6228149999999992</v>
      </c>
      <c r="AM550" s="36">
        <f>IF(ISBLANK(AL551),"",Short1[[#This Row],[Adj Close]]/AL551-1)</f>
        <v>-8.5430940652814646E-2</v>
      </c>
      <c r="AN550" s="29">
        <v>41246</v>
      </c>
      <c r="AO550" s="44">
        <v>33.622013000000003</v>
      </c>
      <c r="AP550" s="33">
        <f>IF(ISBLANK(AO551),"",Short2[[#This Row],[Adj Close]]/AO551-1)</f>
        <v>-3.5488733952226292E-2</v>
      </c>
      <c r="AQ550" s="37">
        <v>41246</v>
      </c>
      <c r="AR550" s="44">
        <v>27.889999</v>
      </c>
      <c r="AS550" s="36">
        <f>IF(ISBLANK(AR551),"",Short3[[#This Row],[Adj Close]]/AR551-1)</f>
        <v>-7.6490129917545446E-2</v>
      </c>
    </row>
    <row r="551" spans="1:45" x14ac:dyDescent="0.25">
      <c r="A551" s="37">
        <v>41239</v>
      </c>
      <c r="B551" s="39">
        <v>1416.1800539999999</v>
      </c>
      <c r="C551" s="36">
        <f>IF(ISBLANK(B552), "", GSPC[[#This Row],[Adj Close]]/B552-1)</f>
        <v>4.9888442538179589E-3</v>
      </c>
      <c r="D55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5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12334.729314999999</v>
      </c>
      <c r="F551" s="11" t="e">
        <f>IF(ISBLANK(GSPC[[#This Row],[Long Exp.]]), "", (GSPC[[#This Row],[Long Exp.]]/D552-1)+(E552/GSPC[[#This Row],[Short Exp.]]-1))</f>
        <v>#VALUE!</v>
      </c>
      <c r="G551" s="37">
        <v>41239</v>
      </c>
      <c r="H551">
        <v>24.888233</v>
      </c>
      <c r="I551" s="36">
        <f>IF(ISBLANK(H552), "", Long0[[#This Row],[Adj Close]]/H552-1)</f>
        <v>2.582003152818535E-3</v>
      </c>
      <c r="J551" s="29">
        <v>41239</v>
      </c>
      <c r="K551">
        <v>5.488702</v>
      </c>
      <c r="L551" s="33">
        <f>IF(ISBLANK(K552),"",Long1[[#This Row],[Adj Close]]/K552-1)</f>
        <v>-1.2586389267522646E-3</v>
      </c>
      <c r="M551" s="37">
        <v>41239</v>
      </c>
      <c r="N551">
        <v>45.102406000000002</v>
      </c>
      <c r="O551" s="36">
        <f>IF(ISBLANK(N552),"",Long2[[#This Row],[Adj Close]]/N552-1)</f>
        <v>2.6781120929286306E-2</v>
      </c>
      <c r="P551" s="29">
        <v>41239</v>
      </c>
      <c r="Q551">
        <v>16.557296999999998</v>
      </c>
      <c r="R551" s="33">
        <f>IF(ISBLANK(Q552),"",Long3[[#This Row],[Adj Close]]/Q552-1)</f>
        <v>4.5227680935343573E-2</v>
      </c>
      <c r="S551" s="37">
        <v>41239</v>
      </c>
      <c r="T551" s="35">
        <v>14.511514</v>
      </c>
      <c r="U551" s="36">
        <f>IF(ISBLANK(T552),"",Long4[[#This Row],[Adj Close]]/T552-1)</f>
        <v>1.6726452959658022E-2</v>
      </c>
      <c r="Y551" s="37">
        <v>41239</v>
      </c>
      <c r="Z551" s="35">
        <v>23.271277999999999</v>
      </c>
      <c r="AA551" s="36">
        <f>IF(ISBLANK(Z552),"",Long6[[#This Row],[Adj Close]]/Z552-1)</f>
        <v>1.1435723921114471E-2</v>
      </c>
      <c r="AH551" s="29">
        <v>41239</v>
      </c>
      <c r="AI551" s="44">
        <v>31.591111999999999</v>
      </c>
      <c r="AJ551" s="33">
        <f>IF(ISBLANK(AI552),"",Short0[[#This Row],[Adj Close]]/AI552-1)</f>
        <v>5.5907798395089969E-2</v>
      </c>
      <c r="AK551" s="37">
        <v>41239</v>
      </c>
      <c r="AL551" s="39">
        <v>9.4282819999999994</v>
      </c>
      <c r="AM551" s="36">
        <f>IF(ISBLANK(AL552),"",Short1[[#This Row],[Adj Close]]/AL552-1)</f>
        <v>0.1205131197608249</v>
      </c>
      <c r="AN551" s="29">
        <v>41239</v>
      </c>
      <c r="AO551" s="44">
        <v>34.859119</v>
      </c>
      <c r="AP551" s="33">
        <f>IF(ISBLANK(AO552),"",Short2[[#This Row],[Adj Close]]/AO552-1)</f>
        <v>-1.6546334900560566E-2</v>
      </c>
      <c r="AQ551" s="37">
        <v>41239</v>
      </c>
      <c r="AR551" s="44">
        <v>30.200001</v>
      </c>
      <c r="AS551" s="36">
        <f>IF(ISBLANK(AR552),"",Short3[[#This Row],[Adj Close]]/AR552-1)</f>
        <v>4.5344480628054074E-2</v>
      </c>
    </row>
    <row r="552" spans="1:45" x14ac:dyDescent="0.25">
      <c r="A552" s="37">
        <v>41232</v>
      </c>
      <c r="B552" s="39">
        <v>1409.150024</v>
      </c>
      <c r="C552" s="36">
        <f>IF(ISBLANK(B553), "", GSPC[[#This Row],[Adj Close]]/B553-1)</f>
        <v>3.6231151880198542E-2</v>
      </c>
      <c r="D55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5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11942.369140999999</v>
      </c>
      <c r="F552" s="11" t="e">
        <f>IF(ISBLANK(GSPC[[#This Row],[Long Exp.]]), "", (GSPC[[#This Row],[Long Exp.]]/D553-1)+(E553/GSPC[[#This Row],[Short Exp.]]-1))</f>
        <v>#VALUE!</v>
      </c>
      <c r="G552" s="37">
        <v>41232</v>
      </c>
      <c r="H552">
        <v>24.824137</v>
      </c>
      <c r="I552" s="36">
        <f>IF(ISBLANK(H553), "", Long0[[#This Row],[Adj Close]]/H553-1)</f>
        <v>6.1472172192208019E-2</v>
      </c>
      <c r="J552" s="29">
        <v>41232</v>
      </c>
      <c r="K552">
        <v>5.4956189999999996</v>
      </c>
      <c r="L552" s="33">
        <f>IF(ISBLANK(K553),"",Long1[[#This Row],[Adj Close]]/K553-1)</f>
        <v>0.1522842011638541</v>
      </c>
      <c r="M552" s="37">
        <v>41232</v>
      </c>
      <c r="N552">
        <v>43.926017999999999</v>
      </c>
      <c r="O552" s="36">
        <f>IF(ISBLANK(N553),"",Long2[[#This Row],[Adj Close]]/N553-1)</f>
        <v>6.3206210945776942E-2</v>
      </c>
      <c r="P552" s="29">
        <v>41232</v>
      </c>
      <c r="Q552">
        <v>15.840852</v>
      </c>
      <c r="R552" s="33">
        <f>IF(ISBLANK(Q553),"",Long3[[#This Row],[Adj Close]]/Q553-1)</f>
        <v>-1.6117721145617048E-2</v>
      </c>
      <c r="S552" s="37">
        <v>41232</v>
      </c>
      <c r="T552" s="35">
        <v>14.272781</v>
      </c>
      <c r="U552" s="36">
        <f>IF(ISBLANK(T553),"",Long4[[#This Row],[Adj Close]]/T553-1)</f>
        <v>3.6532653930329451E-2</v>
      </c>
      <c r="Y552" s="37">
        <v>41232</v>
      </c>
      <c r="Z552" s="35">
        <v>23.008163</v>
      </c>
      <c r="AA552" s="36">
        <f>IF(ISBLANK(Z553),"",Long6[[#This Row],[Adj Close]]/Z553-1)</f>
        <v>2.3851048171654732E-2</v>
      </c>
      <c r="AH552" s="29">
        <v>41232</v>
      </c>
      <c r="AI552" s="44">
        <v>29.918437999999998</v>
      </c>
      <c r="AJ552" s="33">
        <f>IF(ISBLANK(AI553),"",Short0[[#This Row],[Adj Close]]/AI553-1)</f>
        <v>4.5185680012973073E-2</v>
      </c>
      <c r="AK552" s="37">
        <v>41232</v>
      </c>
      <c r="AL552" s="39">
        <v>8.4142539999999997</v>
      </c>
      <c r="AM552" s="36">
        <f>IF(ISBLANK(AL553),"",Short1[[#This Row],[Adj Close]]/AL553-1)</f>
        <v>-0.14909122166546163</v>
      </c>
      <c r="AN552" s="29">
        <v>41232</v>
      </c>
      <c r="AO552" s="44">
        <v>35.445613999999999</v>
      </c>
      <c r="AP552" s="33">
        <f>IF(ISBLANK(AO553),"",Short2[[#This Row],[Adj Close]]/AO553-1)</f>
        <v>7.0578520099812581E-2</v>
      </c>
      <c r="AQ552" s="37">
        <v>41232</v>
      </c>
      <c r="AR552" s="44">
        <v>28.889999</v>
      </c>
      <c r="AS552" s="36">
        <f>IF(ISBLANK(AR553),"",Short3[[#This Row],[Adj Close]]/AR553-1)</f>
        <v>1.3684175438596569E-2</v>
      </c>
    </row>
    <row r="553" spans="1:45" x14ac:dyDescent="0.25">
      <c r="A553" s="37">
        <v>41225</v>
      </c>
      <c r="B553" s="39">
        <v>1359.880005</v>
      </c>
      <c r="C553" s="36">
        <f>IF(ISBLANK(B554), "", GSPC[[#This Row],[Adj Close]]/B554-1)</f>
        <v>-1.4472566835048495E-2</v>
      </c>
      <c r="D55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5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11562.964512</v>
      </c>
      <c r="F553" s="11" t="e">
        <f>IF(ISBLANK(GSPC[[#This Row],[Long Exp.]]), "", (GSPC[[#This Row],[Long Exp.]]/D554-1)+(E554/GSPC[[#This Row],[Short Exp.]]-1))</f>
        <v>#VALUE!</v>
      </c>
      <c r="G553" s="37">
        <v>41225</v>
      </c>
      <c r="H553">
        <v>23.386517000000001</v>
      </c>
      <c r="I553" s="36">
        <f>IF(ISBLANK(H554), "", Long0[[#This Row],[Adj Close]]/H554-1)</f>
        <v>-1.2756002970193747E-2</v>
      </c>
      <c r="J553" s="29">
        <v>41225</v>
      </c>
      <c r="K553">
        <v>4.7693260000000004</v>
      </c>
      <c r="L553" s="33">
        <f>IF(ISBLANK(K554),"",Long1[[#This Row],[Adj Close]]/K554-1)</f>
        <v>1.4524162036482213E-3</v>
      </c>
      <c r="M553" s="37">
        <v>41225</v>
      </c>
      <c r="N553">
        <v>41.314673999999997</v>
      </c>
      <c r="O553" s="36">
        <f>IF(ISBLANK(N554),"",Long2[[#This Row],[Adj Close]]/N554-1)</f>
        <v>-3.97515992219033E-2</v>
      </c>
      <c r="P553" s="29">
        <v>41225</v>
      </c>
      <c r="Q553">
        <v>16.100352999999998</v>
      </c>
      <c r="R553" s="33">
        <f>IF(ISBLANK(Q554),"",Long3[[#This Row],[Adj Close]]/Q554-1)</f>
        <v>-4.8812901944204068E-3</v>
      </c>
      <c r="S553" s="37">
        <v>41225</v>
      </c>
      <c r="T553" s="35">
        <v>13.769736</v>
      </c>
      <c r="U553" s="36">
        <f>IF(ISBLANK(T554),"",Long4[[#This Row],[Adj Close]]/T554-1)</f>
        <v>-3.4668474822661555E-2</v>
      </c>
      <c r="Y553" s="37">
        <v>41225</v>
      </c>
      <c r="Z553" s="35">
        <v>22.472178</v>
      </c>
      <c r="AA553" s="36">
        <f>IF(ISBLANK(Z554),"",Long6[[#This Row],[Adj Close]]/Z554-1)</f>
        <v>-5.5305275186191216E-2</v>
      </c>
      <c r="AH553" s="29">
        <v>41225</v>
      </c>
      <c r="AI553" s="44">
        <v>28.624998000000001</v>
      </c>
      <c r="AJ553" s="33">
        <f>IF(ISBLANK(AI554),"",Short0[[#This Row],[Adj Close]]/AI554-1)</f>
        <v>-2.8275999237014182E-2</v>
      </c>
      <c r="AK553" s="37">
        <v>41225</v>
      </c>
      <c r="AL553" s="39">
        <v>9.8885500000000004</v>
      </c>
      <c r="AM553" s="36">
        <f>IF(ISBLANK(AL554),"",Short1[[#This Row],[Adj Close]]/AL554-1)</f>
        <v>-0.10130708559228552</v>
      </c>
      <c r="AN553" s="29">
        <v>41225</v>
      </c>
      <c r="AO553" s="44">
        <v>33.108840999999998</v>
      </c>
      <c r="AP553" s="33">
        <f>IF(ISBLANK(AO554),"",Short2[[#This Row],[Adj Close]]/AO554-1)</f>
        <v>-5.1954863912390792E-2</v>
      </c>
      <c r="AQ553" s="37">
        <v>41225</v>
      </c>
      <c r="AR553" s="44">
        <v>28.5</v>
      </c>
      <c r="AS553" s="36">
        <f>IF(ISBLANK(AR554),"",Short3[[#This Row],[Adj Close]]/AR554-1)</f>
        <v>5.8692421991084709E-2</v>
      </c>
    </row>
    <row r="554" spans="1:45" x14ac:dyDescent="0.25">
      <c r="A554" s="37">
        <v>41218</v>
      </c>
      <c r="B554" s="39">
        <v>1379.849976</v>
      </c>
      <c r="C554" s="36">
        <f>IF(ISBLANK(B555), "", GSPC[[#This Row],[Adj Close]]/B555-1)</f>
        <v>-2.4289334033501198E-2</v>
      </c>
      <c r="D55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5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11900.052199</v>
      </c>
      <c r="F554" s="11" t="e">
        <f>IF(ISBLANK(GSPC[[#This Row],[Long Exp.]]), "", (GSPC[[#This Row],[Long Exp.]]/D555-1)+(E555/GSPC[[#This Row],[Short Exp.]]-1))</f>
        <v>#VALUE!</v>
      </c>
      <c r="G554" s="37">
        <v>41218</v>
      </c>
      <c r="H554">
        <v>23.688690000000001</v>
      </c>
      <c r="I554" s="36">
        <f>IF(ISBLANK(H555), "", Long0[[#This Row],[Adj Close]]/H555-1)</f>
        <v>7.3988157795190634E-3</v>
      </c>
      <c r="J554" s="29">
        <v>41218</v>
      </c>
      <c r="K554">
        <v>4.7624089999999999</v>
      </c>
      <c r="L554" s="33">
        <f>IF(ISBLANK(K555),"",Long1[[#This Row],[Adj Close]]/K555-1)</f>
        <v>5.1095363449276121E-3</v>
      </c>
      <c r="M554" s="37">
        <v>41218</v>
      </c>
      <c r="N554">
        <v>43.024985999999998</v>
      </c>
      <c r="O554" s="36">
        <f>IF(ISBLANK(N555),"",Long2[[#This Row],[Adj Close]]/N555-1)</f>
        <v>-7.1772168822711313E-3</v>
      </c>
      <c r="P554" s="29">
        <v>41218</v>
      </c>
      <c r="Q554">
        <v>16.179328999999999</v>
      </c>
      <c r="R554" s="33">
        <f>IF(ISBLANK(Q555),"",Long3[[#This Row],[Adj Close]]/Q555-1)</f>
        <v>-1.7471991476792903E-2</v>
      </c>
      <c r="S554" s="37">
        <v>41218</v>
      </c>
      <c r="T554" s="35">
        <v>14.264256</v>
      </c>
      <c r="U554" s="36">
        <f>IF(ISBLANK(T555),"",Long4[[#This Row],[Adj Close]]/T555-1)</f>
        <v>1.8879504089444943E-2</v>
      </c>
      <c r="Y554" s="37">
        <v>41218</v>
      </c>
      <c r="Z554" s="35">
        <v>23.787766999999999</v>
      </c>
      <c r="AA554" s="36">
        <f>IF(ISBLANK(Z555),"",Long6[[#This Row],[Adj Close]]/Z555-1)</f>
        <v>-0.22087451174804884</v>
      </c>
      <c r="AH554" s="29">
        <v>41218</v>
      </c>
      <c r="AI554" s="44">
        <v>29.457951000000001</v>
      </c>
      <c r="AJ554" s="33">
        <f>IF(ISBLANK(AI555),"",Short0[[#This Row],[Adj Close]]/AI555-1)</f>
        <v>-5.6398977649610771E-2</v>
      </c>
      <c r="AK554" s="37">
        <v>41218</v>
      </c>
      <c r="AL554" s="39">
        <v>11.003258000000001</v>
      </c>
      <c r="AM554" s="36">
        <f>IF(ISBLANK(AL555),"",Short1[[#This Row],[Adj Close]]/AL555-1)</f>
        <v>4.1524848252166846E-2</v>
      </c>
      <c r="AN554" s="29">
        <v>41218</v>
      </c>
      <c r="AO554" s="44">
        <v>34.923274999999997</v>
      </c>
      <c r="AP554" s="33">
        <f>IF(ISBLANK(AO555),"",Short2[[#This Row],[Adj Close]]/AO555-1)</f>
        <v>2.1441981715797143E-2</v>
      </c>
      <c r="AQ554" s="37">
        <v>41218</v>
      </c>
      <c r="AR554" s="44">
        <v>26.92</v>
      </c>
      <c r="AS554" s="36">
        <f>IF(ISBLANK(AR555),"",Short3[[#This Row],[Adj Close]]/AR555-1)</f>
        <v>-4.6404534183492663E-2</v>
      </c>
    </row>
    <row r="555" spans="1:45" x14ac:dyDescent="0.25">
      <c r="A555" s="37">
        <v>41211</v>
      </c>
      <c r="B555" s="39">
        <v>1414.1999510000001</v>
      </c>
      <c r="C555" s="36">
        <f>IF(ISBLANK(B556), "", GSPC[[#This Row],[Adj Close]]/B556-1)</f>
        <v>1.6006417372111947E-3</v>
      </c>
      <c r="D55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5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12155.810245000001</v>
      </c>
      <c r="F555" s="11" t="e">
        <f>IF(ISBLANK(GSPC[[#This Row],[Long Exp.]]), "", (GSPC[[#This Row],[Long Exp.]]/D556-1)+(E556/GSPC[[#This Row],[Short Exp.]]-1))</f>
        <v>#VALUE!</v>
      </c>
      <c r="G555" s="37">
        <v>41211</v>
      </c>
      <c r="H555">
        <v>23.514709</v>
      </c>
      <c r="I555" s="36">
        <f>IF(ISBLANK(H556), "", Long0[[#This Row],[Adj Close]]/H556-1)</f>
        <v>1.8239376295440479E-2</v>
      </c>
      <c r="J555" s="29">
        <v>41211</v>
      </c>
      <c r="K555">
        <v>4.7381989999999998</v>
      </c>
      <c r="L555" s="33">
        <f>IF(ISBLANK(K556),"",Long1[[#This Row],[Adj Close]]/K556-1)</f>
        <v>2.7756948509977564E-2</v>
      </c>
      <c r="M555" s="37">
        <v>41211</v>
      </c>
      <c r="N555">
        <v>43.336018000000003</v>
      </c>
      <c r="O555" s="36">
        <f>IF(ISBLANK(N556),"",Long2[[#This Row],[Adj Close]]/N556-1)</f>
        <v>-1.1178362028680722E-2</v>
      </c>
      <c r="P555" s="29">
        <v>41211</v>
      </c>
      <c r="Q555">
        <v>16.467040999999998</v>
      </c>
      <c r="R555" s="33">
        <f>IF(ISBLANK(Q556),"",Long3[[#This Row],[Adj Close]]/Q556-1)</f>
        <v>-1.017253021920661E-2</v>
      </c>
      <c r="S555" s="37">
        <v>41211</v>
      </c>
      <c r="T555" s="35">
        <v>13.999943999999999</v>
      </c>
      <c r="U555" s="36">
        <f>IF(ISBLANK(T556),"",Long4[[#This Row],[Adj Close]]/T556-1)</f>
        <v>-2.725111321133078E-2</v>
      </c>
      <c r="Y555" s="37">
        <v>41211</v>
      </c>
      <c r="Z555" s="35">
        <v>30.531368000000001</v>
      </c>
      <c r="AA555" s="36">
        <f>IF(ISBLANK(Z556),"",Long6[[#This Row],[Adj Close]]/Z556-1)</f>
        <v>-4.6271085468868267E-2</v>
      </c>
      <c r="AH555" s="29">
        <v>41211</v>
      </c>
      <c r="AI555" s="44">
        <v>31.218651000000001</v>
      </c>
      <c r="AJ555" s="33">
        <f>IF(ISBLANK(AI556),"",Short0[[#This Row],[Adj Close]]/AI556-1)</f>
        <v>2.8280845499628615E-3</v>
      </c>
      <c r="AK555" s="37">
        <v>41211</v>
      </c>
      <c r="AL555" s="39">
        <v>10.564565999999999</v>
      </c>
      <c r="AM555" s="36">
        <f>IF(ISBLANK(AL556),"",Short1[[#This Row],[Adj Close]]/AL556-1)</f>
        <v>-1.8047932940840061E-2</v>
      </c>
      <c r="AN555" s="29">
        <v>41211</v>
      </c>
      <c r="AO555" s="44">
        <v>34.190170000000002</v>
      </c>
      <c r="AP555" s="33">
        <f>IF(ISBLANK(AO556),"",Short2[[#This Row],[Adj Close]]/AO556-1)</f>
        <v>7.8338277462259853E-3</v>
      </c>
      <c r="AQ555" s="37">
        <v>41211</v>
      </c>
      <c r="AR555" s="44">
        <v>28.23</v>
      </c>
      <c r="AS555" s="36">
        <f>IF(ISBLANK(AR556),"",Short3[[#This Row],[Adj Close]]/AR556-1)</f>
        <v>-2.621593652983778E-2</v>
      </c>
    </row>
    <row r="556" spans="1:45" x14ac:dyDescent="0.25">
      <c r="A556" s="37">
        <v>41204</v>
      </c>
      <c r="B556" s="39">
        <v>1411.9399410000001</v>
      </c>
      <c r="C556" s="36">
        <f>IF(ISBLANK(B557), "", GSPC[[#This Row],[Adj Close]]/B557-1)</f>
        <v>-1.4827064712143456E-2</v>
      </c>
      <c r="D55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5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12183.444196999999</v>
      </c>
      <c r="F556" s="11" t="e">
        <f>IF(ISBLANK(GSPC[[#This Row],[Long Exp.]]), "", (GSPC[[#This Row],[Long Exp.]]/D557-1)+(E557/GSPC[[#This Row],[Short Exp.]]-1))</f>
        <v>#VALUE!</v>
      </c>
      <c r="G556" s="37">
        <v>41204</v>
      </c>
      <c r="H556">
        <v>23.093498</v>
      </c>
      <c r="I556" s="36">
        <f>IF(ISBLANK(H557), "", Long0[[#This Row],[Adj Close]]/H557-1)</f>
        <v>6.6384846311458467E-2</v>
      </c>
      <c r="J556" s="29">
        <v>41204</v>
      </c>
      <c r="K556">
        <v>4.610233</v>
      </c>
      <c r="L556" s="33">
        <f>IF(ISBLANK(K557),"",Long1[[#This Row],[Adj Close]]/K557-1)</f>
        <v>9.8023015399887559E-2</v>
      </c>
      <c r="M556" s="37">
        <v>41204</v>
      </c>
      <c r="N556">
        <v>43.825920000000004</v>
      </c>
      <c r="O556" s="36">
        <f>IF(ISBLANK(N557),"",Long2[[#This Row],[Adj Close]]/N557-1)</f>
        <v>-2.2049449006444233E-2</v>
      </c>
      <c r="P556" s="29">
        <v>41204</v>
      </c>
      <c r="Q556">
        <v>16.636274</v>
      </c>
      <c r="R556" s="33">
        <f>IF(ISBLANK(Q557),"",Long3[[#This Row],[Adj Close]]/Q557-1)</f>
        <v>-9.7384629972633308E-3</v>
      </c>
      <c r="S556" s="37">
        <v>41204</v>
      </c>
      <c r="T556" s="35">
        <v>14.392146</v>
      </c>
      <c r="U556" s="36">
        <f>IF(ISBLANK(T557),"",Long4[[#This Row],[Adj Close]]/T557-1)</f>
        <v>-7.6425640899052683E-3</v>
      </c>
      <c r="Y556" s="37">
        <v>41204</v>
      </c>
      <c r="Z556" s="35">
        <v>32.012627000000002</v>
      </c>
      <c r="AA556" s="36">
        <f>IF(ISBLANK(Z557),"",Long6[[#This Row],[Adj Close]]/Z557-1)</f>
        <v>1.7973436221724981E-2</v>
      </c>
      <c r="AH556" s="29">
        <v>41204</v>
      </c>
      <c r="AI556" s="44">
        <v>31.130610999999998</v>
      </c>
      <c r="AJ556" s="33">
        <f>IF(ISBLANK(AI557),"",Short0[[#This Row],[Adj Close]]/AI557-1)</f>
        <v>1.5238452916542133E-2</v>
      </c>
      <c r="AK556" s="37">
        <v>41204</v>
      </c>
      <c r="AL556" s="39">
        <v>10.758739</v>
      </c>
      <c r="AM556" s="36">
        <f>IF(ISBLANK(AL557),"",Short1[[#This Row],[Adj Close]]/AL557-1)</f>
        <v>-0.13275372566639687</v>
      </c>
      <c r="AN556" s="29">
        <v>41204</v>
      </c>
      <c r="AO556" s="44">
        <v>33.924411999999997</v>
      </c>
      <c r="AP556" s="33">
        <f>IF(ISBLANK(AO557),"",Short2[[#This Row],[Adj Close]]/AO557-1)</f>
        <v>-4.4151876122190181E-2</v>
      </c>
      <c r="AQ556" s="37">
        <v>41204</v>
      </c>
      <c r="AR556" s="44">
        <v>28.99</v>
      </c>
      <c r="AS556" s="36">
        <f>IF(ISBLANK(AR557),"",Short3[[#This Row],[Adj Close]]/AR557-1)</f>
        <v>-7.997461123452887E-2</v>
      </c>
    </row>
    <row r="557" spans="1:45" x14ac:dyDescent="0.25">
      <c r="A557" s="37">
        <v>41197</v>
      </c>
      <c r="B557" s="39">
        <v>1433.1899410000001</v>
      </c>
      <c r="C557" s="36">
        <f>IF(ISBLANK(B558), "", GSPC[[#This Row],[Adj Close]]/B558-1)</f>
        <v>3.2199407174053896E-3</v>
      </c>
      <c r="D55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5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12627.662273</v>
      </c>
      <c r="F557" s="11" t="e">
        <f>IF(ISBLANK(GSPC[[#This Row],[Long Exp.]]), "", (GSPC[[#This Row],[Long Exp.]]/D558-1)+(E558/GSPC[[#This Row],[Short Exp.]]-1))</f>
        <v>#VALUE!</v>
      </c>
      <c r="G557" s="37">
        <v>41197</v>
      </c>
      <c r="H557">
        <v>21.655875999999999</v>
      </c>
      <c r="I557" s="36">
        <f>IF(ISBLANK(H558), "", Long0[[#This Row],[Adj Close]]/H558-1)</f>
        <v>-5.4667494898027469E-3</v>
      </c>
      <c r="J557" s="29">
        <v>41197</v>
      </c>
      <c r="K557">
        <v>4.1986670000000004</v>
      </c>
      <c r="L557" s="33">
        <f>IF(ISBLANK(K558),"",Long1[[#This Row],[Adj Close]]/K558-1)</f>
        <v>0</v>
      </c>
      <c r="M557" s="37">
        <v>41197</v>
      </c>
      <c r="N557">
        <v>44.814045</v>
      </c>
      <c r="O557" s="36">
        <f>IF(ISBLANK(N558),"",Long2[[#This Row],[Adj Close]]/N558-1)</f>
        <v>-3.3239404556153485E-3</v>
      </c>
      <c r="P557" s="29">
        <v>41197</v>
      </c>
      <c r="Q557">
        <v>16.799879000000001</v>
      </c>
      <c r="R557" s="33">
        <f>IF(ISBLANK(Q558),"",Long3[[#This Row],[Adj Close]]/Q558-1)</f>
        <v>1.1548900853886046E-2</v>
      </c>
      <c r="S557" s="37">
        <v>41197</v>
      </c>
      <c r="T557" s="35">
        <v>14.502986</v>
      </c>
      <c r="U557" s="36">
        <f>IF(ISBLANK(T558),"",Long4[[#This Row],[Adj Close]]/T558-1)</f>
        <v>-2.9309856115439237E-3</v>
      </c>
      <c r="Y557" s="37">
        <v>41197</v>
      </c>
      <c r="Z557" s="35">
        <v>31.447409</v>
      </c>
      <c r="AA557" s="36">
        <f>IF(ISBLANK(Z558),"",Long6[[#This Row],[Adj Close]]/Z558-1)</f>
        <v>-4.3568540575195658E-2</v>
      </c>
      <c r="AH557" s="29">
        <v>41197</v>
      </c>
      <c r="AI557" s="44">
        <v>30.663349</v>
      </c>
      <c r="AJ557" s="33">
        <f>IF(ISBLANK(AI558),"",Short0[[#This Row],[Adj Close]]/AI558-1)</f>
        <v>3.0027013253615786E-2</v>
      </c>
      <c r="AK557" s="37">
        <v>41197</v>
      </c>
      <c r="AL557" s="39">
        <v>12.405633</v>
      </c>
      <c r="AM557" s="36">
        <f>IF(ISBLANK(AL558),"",Short1[[#This Row],[Adj Close]]/AL558-1)</f>
        <v>-2.3216344689638846E-2</v>
      </c>
      <c r="AN557" s="29">
        <v>41197</v>
      </c>
      <c r="AO557" s="44">
        <v>35.491425</v>
      </c>
      <c r="AP557" s="33">
        <f>IF(ISBLANK(AO558),"",Short2[[#This Row],[Adj Close]]/AO558-1)</f>
        <v>8.4232633926986766E-2</v>
      </c>
      <c r="AQ557" s="37">
        <v>41197</v>
      </c>
      <c r="AR557" s="44">
        <v>31.51</v>
      </c>
      <c r="AS557" s="36">
        <f>IF(ISBLANK(AR558),"",Short3[[#This Row],[Adj Close]]/AR558-1)</f>
        <v>6.3877676904429137E-3</v>
      </c>
    </row>
    <row r="558" spans="1:45" x14ac:dyDescent="0.25">
      <c r="A558" s="37">
        <v>41190</v>
      </c>
      <c r="B558" s="39">
        <v>1428.589966</v>
      </c>
      <c r="C558" s="36">
        <f>IF(ISBLANK(B559), "", GSPC[[#This Row],[Adj Close]]/B559-1)</f>
        <v>-2.2136643647964749E-2</v>
      </c>
      <c r="D55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5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12169.12609</v>
      </c>
      <c r="F558" s="11" t="e">
        <f>IF(ISBLANK(GSPC[[#This Row],[Long Exp.]]), "", (GSPC[[#This Row],[Long Exp.]]/D559-1)+(E559/GSPC[[#This Row],[Short Exp.]]-1))</f>
        <v>#VALUE!</v>
      </c>
      <c r="G558" s="37">
        <v>41190</v>
      </c>
      <c r="H558">
        <v>21.774913999999999</v>
      </c>
      <c r="I558" s="36">
        <f>IF(ISBLANK(H559), "", Long0[[#This Row],[Adj Close]]/H559-1)</f>
        <v>-3.4510863757704846E-2</v>
      </c>
      <c r="J558" s="29">
        <v>41190</v>
      </c>
      <c r="K558">
        <v>4.1986670000000004</v>
      </c>
      <c r="L558" s="33">
        <f>IF(ISBLANK(K559),"",Long1[[#This Row],[Adj Close]]/K559-1)</f>
        <v>4.9668303527405921E-3</v>
      </c>
      <c r="M558" s="37">
        <v>41190</v>
      </c>
      <c r="N558">
        <v>44.963501000000001</v>
      </c>
      <c r="O558" s="36">
        <f>IF(ISBLANK(N559),"",Long2[[#This Row],[Adj Close]]/N559-1)</f>
        <v>-1.6884481442023702E-2</v>
      </c>
      <c r="P558" s="29">
        <v>41190</v>
      </c>
      <c r="Q558">
        <v>16.608073999999998</v>
      </c>
      <c r="R558" s="33">
        <f>IF(ISBLANK(Q559),"",Long3[[#This Row],[Adj Close]]/Q559-1)</f>
        <v>1.0989285253604653E-2</v>
      </c>
      <c r="S558" s="37">
        <v>41190</v>
      </c>
      <c r="T558" s="35">
        <v>14.545619</v>
      </c>
      <c r="U558" s="36">
        <f>IF(ISBLANK(T559),"",Long4[[#This Row],[Adj Close]]/T559-1)</f>
        <v>-8.7158417641148844E-3</v>
      </c>
      <c r="Y558" s="37">
        <v>41190</v>
      </c>
      <c r="Z558" s="35">
        <v>32.879939999999998</v>
      </c>
      <c r="AA558" s="36">
        <f>IF(ISBLANK(Z559),"",Long6[[#This Row],[Adj Close]]/Z559-1)</f>
        <v>-6.1855691292141968E-3</v>
      </c>
      <c r="AH558" s="29">
        <v>41190</v>
      </c>
      <c r="AI558" s="44">
        <v>29.769461</v>
      </c>
      <c r="AJ558" s="33">
        <f>IF(ISBLANK(AI559),"",Short0[[#This Row],[Adj Close]]/AI559-1)</f>
        <v>-3.1077554028331345E-2</v>
      </c>
      <c r="AK558" s="37">
        <v>41190</v>
      </c>
      <c r="AL558" s="39">
        <v>12.700492000000001</v>
      </c>
      <c r="AM558" s="36">
        <f>IF(ISBLANK(AL559),"",Short1[[#This Row],[Adj Close]]/AL559-1)</f>
        <v>-2.0521364763456451E-2</v>
      </c>
      <c r="AN558" s="29">
        <v>41190</v>
      </c>
      <c r="AO558" s="44">
        <v>32.734141999999999</v>
      </c>
      <c r="AP558" s="33">
        <f>IF(ISBLANK(AO559),"",Short2[[#This Row],[Adj Close]]/AO559-1)</f>
        <v>-5.6962132529692955E-2</v>
      </c>
      <c r="AQ558" s="37">
        <v>41190</v>
      </c>
      <c r="AR558" s="44">
        <v>31.309999000000001</v>
      </c>
      <c r="AS558" s="36">
        <f>IF(ISBLANK(AR559),"",Short3[[#This Row],[Adj Close]]/AR559-1)</f>
        <v>-5.2073873813922811E-2</v>
      </c>
    </row>
    <row r="559" spans="1:45" x14ac:dyDescent="0.25">
      <c r="A559" s="37">
        <v>41183</v>
      </c>
      <c r="B559" s="39">
        <v>1460.9300539999999</v>
      </c>
      <c r="C559" s="36">
        <f>IF(ISBLANK(B560), "", GSPC[[#This Row],[Adj Close]]/B560-1)</f>
        <v>1.406290780069841E-2</v>
      </c>
      <c r="D55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5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12708.118434</v>
      </c>
      <c r="F559" s="11" t="e">
        <f>IF(ISBLANK(GSPC[[#This Row],[Long Exp.]]), "", (GSPC[[#This Row],[Long Exp.]]/D560-1)+(E560/GSPC[[#This Row],[Short Exp.]]-1))</f>
        <v>#VALUE!</v>
      </c>
      <c r="G559" s="37">
        <v>41183</v>
      </c>
      <c r="H559">
        <v>22.553246000000001</v>
      </c>
      <c r="I559" s="36">
        <f>IF(ISBLANK(H560), "", Long0[[#This Row],[Adj Close]]/H560-1)</f>
        <v>1.0668886741072248E-2</v>
      </c>
      <c r="J559" s="29">
        <v>41183</v>
      </c>
      <c r="K559">
        <v>4.1779159999999997</v>
      </c>
      <c r="L559" s="33">
        <f>IF(ISBLANK(K560),"",Long1[[#This Row],[Adj Close]]/K560-1)</f>
        <v>-1.3071747205221973E-2</v>
      </c>
      <c r="M559" s="37">
        <v>41183</v>
      </c>
      <c r="N559">
        <v>45.735725000000002</v>
      </c>
      <c r="O559" s="36">
        <f>IF(ISBLANK(N560),"",Long2[[#This Row],[Adj Close]]/N560-1)</f>
        <v>-4.3915853720587372E-2</v>
      </c>
      <c r="P559" s="29">
        <v>41183</v>
      </c>
      <c r="Q559">
        <v>16.427547000000001</v>
      </c>
      <c r="R559" s="33">
        <f>IF(ISBLANK(Q560),"",Long3[[#This Row],[Adj Close]]/Q560-1)</f>
        <v>2.4093758005063748E-3</v>
      </c>
      <c r="S559" s="37">
        <v>41183</v>
      </c>
      <c r="T559" s="35">
        <v>14.673511</v>
      </c>
      <c r="U559" s="36">
        <f>IF(ISBLANK(T560),"",Long4[[#This Row],[Adj Close]]/T560-1)</f>
        <v>9.3840625918770737E-3</v>
      </c>
      <c r="Y559" s="37">
        <v>41183</v>
      </c>
      <c r="Z559" s="35">
        <v>33.084586999999999</v>
      </c>
      <c r="AA559" s="36">
        <f>IF(ISBLANK(Z560),"",Long6[[#This Row],[Adj Close]]/Z560-1)</f>
        <v>-1.1069109959756962E-2</v>
      </c>
      <c r="AH559" s="29">
        <v>41183</v>
      </c>
      <c r="AI559" s="44">
        <v>30.724297</v>
      </c>
      <c r="AJ559" s="33">
        <f>IF(ISBLANK(AI560),"",Short0[[#This Row],[Adj Close]]/AI560-1)</f>
        <v>-2.1565726190152734E-2</v>
      </c>
      <c r="AK559" s="37">
        <v>41183</v>
      </c>
      <c r="AL559" s="39">
        <v>12.966583999999999</v>
      </c>
      <c r="AM559" s="36">
        <f>IF(ISBLANK(AL560),"",Short1[[#This Row],[Adj Close]]/AL560-1)</f>
        <v>4.8256089571332206E-2</v>
      </c>
      <c r="AN559" s="29">
        <v>41183</v>
      </c>
      <c r="AO559" s="44">
        <v>34.711376000000001</v>
      </c>
      <c r="AP559" s="33">
        <f>IF(ISBLANK(AO560),"",Short2[[#This Row],[Adj Close]]/AO560-1)</f>
        <v>9.0595552475659202E-2</v>
      </c>
      <c r="AQ559" s="37">
        <v>41183</v>
      </c>
      <c r="AR559" s="44">
        <v>33.029998999999997</v>
      </c>
      <c r="AS559" s="36">
        <f>IF(ISBLANK(AR560),"",Short3[[#This Row],[Adj Close]]/AR560-1)</f>
        <v>-0.10049024780799998</v>
      </c>
    </row>
    <row r="560" spans="1:45" x14ac:dyDescent="0.25">
      <c r="A560" s="37">
        <v>41176</v>
      </c>
      <c r="B560" s="39">
        <v>1440.670044</v>
      </c>
      <c r="C560" s="36">
        <f>IF(ISBLANK(B561), "", GSPC[[#This Row],[Adj Close]]/B561-1)</f>
        <v>-1.3341081176464153E-2</v>
      </c>
      <c r="D56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6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12692.706517999999</v>
      </c>
      <c r="F560" s="11" t="e">
        <f>IF(ISBLANK(GSPC[[#This Row],[Long Exp.]]), "", (GSPC[[#This Row],[Long Exp.]]/D561-1)+(E561/GSPC[[#This Row],[Short Exp.]]-1))</f>
        <v>#VALUE!</v>
      </c>
      <c r="G560" s="37">
        <v>41176</v>
      </c>
      <c r="H560">
        <v>22.315168</v>
      </c>
      <c r="I560" s="36">
        <f>IF(ISBLANK(H561), "", Long0[[#This Row],[Adj Close]]/H561-1)</f>
        <v>-7.3320310790145893E-3</v>
      </c>
      <c r="J560" s="29">
        <v>41176</v>
      </c>
      <c r="K560">
        <v>4.2332520000000002</v>
      </c>
      <c r="L560" s="33">
        <f>IF(ISBLANK(K561),"",Long1[[#This Row],[Adj Close]]/K561-1)</f>
        <v>-2.0799995558818507E-2</v>
      </c>
      <c r="M560" s="37">
        <v>41176</v>
      </c>
      <c r="N560">
        <v>47.836506</v>
      </c>
      <c r="O560" s="36">
        <f>IF(ISBLANK(N561),"",Long2[[#This Row],[Adj Close]]/N561-1)</f>
        <v>-3.983371370792077E-2</v>
      </c>
      <c r="P560" s="29">
        <v>41176</v>
      </c>
      <c r="Q560">
        <v>16.388062000000001</v>
      </c>
      <c r="R560" s="33">
        <f>IF(ISBLANK(Q561),"",Long3[[#This Row],[Adj Close]]/Q561-1)</f>
        <v>1.1138024507356015E-2</v>
      </c>
      <c r="S560" s="37">
        <v>41176</v>
      </c>
      <c r="T560" s="35">
        <v>14.537094</v>
      </c>
      <c r="U560" s="36">
        <f>IF(ISBLANK(T561),"",Long4[[#This Row],[Adj Close]]/T561-1)</f>
        <v>-5.8608712355245896E-4</v>
      </c>
      <c r="Y560" s="37">
        <v>41176</v>
      </c>
      <c r="Z560" s="35">
        <v>33.454903000000002</v>
      </c>
      <c r="AA560" s="36">
        <f>IF(ISBLANK(Z561),"",Long6[[#This Row],[Adj Close]]/Z561-1)</f>
        <v>-0.11951756634002353</v>
      </c>
      <c r="AH560" s="29">
        <v>41176</v>
      </c>
      <c r="AI560" s="44">
        <v>31.401492999999999</v>
      </c>
      <c r="AJ560" s="33">
        <f>IF(ISBLANK(AI561),"",Short0[[#This Row],[Adj Close]]/AI561-1)</f>
        <v>3.7851314971113048E-2</v>
      </c>
      <c r="AK560" s="37">
        <v>41176</v>
      </c>
      <c r="AL560" s="39">
        <v>12.369672</v>
      </c>
      <c r="AM560" s="36">
        <f>IF(ISBLANK(AL561),"",Short1[[#This Row],[Adj Close]]/AL561-1)</f>
        <v>-3.4250431983350871E-2</v>
      </c>
      <c r="AN560" s="29">
        <v>41176</v>
      </c>
      <c r="AO560" s="44">
        <v>31.827908999999998</v>
      </c>
      <c r="AP560" s="33">
        <f>IF(ISBLANK(AO561),"",Short2[[#This Row],[Adj Close]]/AO561-1)</f>
        <v>-7.3047032542118417E-2</v>
      </c>
      <c r="AQ560" s="37">
        <v>41176</v>
      </c>
      <c r="AR560" s="44">
        <v>36.720001000000003</v>
      </c>
      <c r="AS560" s="36">
        <f>IF(ISBLANK(AR561),"",Short3[[#This Row],[Adj Close]]/AR561-1)</f>
        <v>-1.1308508651279192E-2</v>
      </c>
    </row>
    <row r="561" spans="1:45" x14ac:dyDescent="0.25">
      <c r="A561" s="37">
        <v>41169</v>
      </c>
      <c r="B561" s="39">
        <v>1460.150024</v>
      </c>
      <c r="C561" s="36">
        <f>IF(ISBLANK(B562), "", GSPC[[#This Row],[Adj Close]]/B562-1)</f>
        <v>-3.8341594679360824E-3</v>
      </c>
      <c r="D56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6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12873.013424999999</v>
      </c>
      <c r="F561" s="11" t="e">
        <f>IF(ISBLANK(GSPC[[#This Row],[Long Exp.]]), "", (GSPC[[#This Row],[Long Exp.]]/D562-1)+(E562/GSPC[[#This Row],[Short Exp.]]-1))</f>
        <v>#VALUE!</v>
      </c>
      <c r="G561" s="37">
        <v>41169</v>
      </c>
      <c r="H561">
        <v>22.479991999999999</v>
      </c>
      <c r="I561" s="36">
        <f>IF(ISBLANK(H562), "", Long0[[#This Row],[Adj Close]]/H562-1)</f>
        <v>1.028831607438474E-2</v>
      </c>
      <c r="J561" s="29">
        <v>41169</v>
      </c>
      <c r="K561">
        <v>4.3231739999999999</v>
      </c>
      <c r="L561" s="33">
        <f>IF(ISBLANK(K562),"",Long1[[#This Row],[Adj Close]]/K562-1)</f>
        <v>-0.20331421216972867</v>
      </c>
      <c r="M561" s="37">
        <v>41169</v>
      </c>
      <c r="N561">
        <v>49.821064</v>
      </c>
      <c r="O561" s="36">
        <f>IF(ISBLANK(N562),"",Long2[[#This Row],[Adj Close]]/N562-1)</f>
        <v>-1.2995375797848041E-2</v>
      </c>
      <c r="P561" s="29">
        <v>41169</v>
      </c>
      <c r="Q561">
        <v>16.207542</v>
      </c>
      <c r="R561" s="33">
        <f>IF(ISBLANK(Q562),"",Long3[[#This Row],[Adj Close]]/Q562-1)</f>
        <v>-1.1695771995771764E-2</v>
      </c>
      <c r="S561" s="37">
        <v>41169</v>
      </c>
      <c r="T561" s="35">
        <v>14.545619</v>
      </c>
      <c r="U561" s="36">
        <f>IF(ISBLANK(T562),"",Long4[[#This Row],[Adj Close]]/T562-1)</f>
        <v>-3.995473029717167E-2</v>
      </c>
      <c r="Y561" s="37">
        <v>41169</v>
      </c>
      <c r="Z561" s="35">
        <v>37.996105</v>
      </c>
      <c r="AA561" s="36">
        <f>IF(ISBLANK(Z562),"",Long6[[#This Row],[Adj Close]]/Z562-1)</f>
        <v>-0.10532353863577193</v>
      </c>
      <c r="AH561" s="29">
        <v>41169</v>
      </c>
      <c r="AI561" s="44">
        <v>30.256253999999998</v>
      </c>
      <c r="AJ561" s="33">
        <f>IF(ISBLANK(AI562),"",Short0[[#This Row],[Adj Close]]/AI562-1)</f>
        <v>-3.9144162066971133E-2</v>
      </c>
      <c r="AK561" s="37">
        <v>41169</v>
      </c>
      <c r="AL561" s="39">
        <v>12.808363999999999</v>
      </c>
      <c r="AM561" s="36">
        <f>IF(ISBLANK(AL562),"",Short1[[#This Row],[Adj Close]]/AL562-1)</f>
        <v>-4.1442441444372369E-2</v>
      </c>
      <c r="AN561" s="29">
        <v>41169</v>
      </c>
      <c r="AO561" s="44">
        <v>34.336055999999999</v>
      </c>
      <c r="AP561" s="33">
        <f>IF(ISBLANK(AO562),"",Short2[[#This Row],[Adj Close]]/AO562-1)</f>
        <v>2.8516483615234289E-2</v>
      </c>
      <c r="AQ561" s="37">
        <v>41169</v>
      </c>
      <c r="AR561" s="44">
        <v>37.139999000000003</v>
      </c>
      <c r="AS561" s="36">
        <f>IF(ISBLANK(AR562),"",Short3[[#This Row],[Adj Close]]/AR562-1)</f>
        <v>-4.9641834716385058E-2</v>
      </c>
    </row>
    <row r="562" spans="1:45" x14ac:dyDescent="0.25">
      <c r="A562" s="37">
        <v>41162</v>
      </c>
      <c r="B562" s="39">
        <v>1465.7700199999999</v>
      </c>
      <c r="C562" s="36">
        <f>IF(ISBLANK(B563), "", GSPC[[#This Row],[Adj Close]]/B563-1)</f>
        <v>1.936823686143696E-2</v>
      </c>
      <c r="D56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6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13154.158559000001</v>
      </c>
      <c r="F562" s="11" t="e">
        <f>IF(ISBLANK(GSPC[[#This Row],[Long Exp.]]), "", (GSPC[[#This Row],[Long Exp.]]/D563-1)+(E563/GSPC[[#This Row],[Short Exp.]]-1))</f>
        <v>#VALUE!</v>
      </c>
      <c r="G562" s="37">
        <v>41162</v>
      </c>
      <c r="H562">
        <v>22.251066000000002</v>
      </c>
      <c r="I562" s="36">
        <f>IF(ISBLANK(H563), "", Long0[[#This Row],[Adj Close]]/H563-1)</f>
        <v>9.974942473902626E-3</v>
      </c>
      <c r="J562" s="29">
        <v>41162</v>
      </c>
      <c r="K562">
        <v>5.4264479999999997</v>
      </c>
      <c r="L562" s="33">
        <f>IF(ISBLANK(K563),"",Long1[[#This Row],[Adj Close]]/K563-1)</f>
        <v>6.1569674870752822E-2</v>
      </c>
      <c r="M562" s="37">
        <v>41162</v>
      </c>
      <c r="N562">
        <v>50.477032000000001</v>
      </c>
      <c r="O562" s="36">
        <f>IF(ISBLANK(N563),"",Long2[[#This Row],[Adj Close]]/N563-1)</f>
        <v>-3.6059032794228951E-3</v>
      </c>
      <c r="P562" s="29">
        <v>41162</v>
      </c>
      <c r="Q562">
        <v>16.399345</v>
      </c>
      <c r="R562" s="33">
        <f>IF(ISBLANK(Q563),"",Long3[[#This Row],[Adj Close]]/Q563-1)</f>
        <v>6.4096124302934765E-3</v>
      </c>
      <c r="S562" s="37">
        <v>41162</v>
      </c>
      <c r="T562" s="35">
        <v>15.150971999999999</v>
      </c>
      <c r="U562" s="36">
        <f>IF(ISBLANK(T563),"",Long4[[#This Row],[Adj Close]]/T563-1)</f>
        <v>2.4207397142205211E-2</v>
      </c>
      <c r="Y562" s="37">
        <v>41162</v>
      </c>
      <c r="Z562" s="35">
        <v>42.469101000000002</v>
      </c>
      <c r="AA562" s="36">
        <f>IF(ISBLANK(Z563),"",Long6[[#This Row],[Adj Close]]/Z563-1)</f>
        <v>5.0626864209478706E-2</v>
      </c>
      <c r="AH562" s="29">
        <v>41162</v>
      </c>
      <c r="AI562" s="44">
        <v>31.488859000000001</v>
      </c>
      <c r="AJ562" s="33">
        <f>IF(ISBLANK(AI563),"",Short0[[#This Row],[Adj Close]]/AI563-1)</f>
        <v>5.5304270762347452E-2</v>
      </c>
      <c r="AK562" s="37">
        <v>41162</v>
      </c>
      <c r="AL562" s="39">
        <v>13.362123</v>
      </c>
      <c r="AM562" s="36">
        <f>IF(ISBLANK(AL563),"",Short1[[#This Row],[Adj Close]]/AL563-1)</f>
        <v>2.8787697038131999E-2</v>
      </c>
      <c r="AN562" s="29">
        <v>41162</v>
      </c>
      <c r="AO562" s="44">
        <v>33.384059999999998</v>
      </c>
      <c r="AP562" s="33">
        <f>IF(ISBLANK(AO563),"",Short2[[#This Row],[Adj Close]]/AO563-1)</f>
        <v>7.4859910917249195E-2</v>
      </c>
      <c r="AQ562" s="37">
        <v>41162</v>
      </c>
      <c r="AR562" s="44">
        <v>39.080002</v>
      </c>
      <c r="AS562" s="36">
        <f>IF(ISBLANK(AR563),"",Short3[[#This Row],[Adj Close]]/AR563-1)</f>
        <v>2.0632044381508452E-2</v>
      </c>
    </row>
    <row r="563" spans="1:45" x14ac:dyDescent="0.25">
      <c r="A563" s="37">
        <v>41155</v>
      </c>
      <c r="B563" s="39">
        <v>1437.920044</v>
      </c>
      <c r="C563" s="36">
        <f>IF(ISBLANK(B564), "", GSPC[[#This Row],[Adj Close]]/B564-1)</f>
        <v>2.2281056875802507E-2</v>
      </c>
      <c r="D56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6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12518.747565</v>
      </c>
      <c r="F563" s="11" t="e">
        <f>IF(ISBLANK(GSPC[[#This Row],[Long Exp.]]), "", (GSPC[[#This Row],[Long Exp.]]/D564-1)+(E564/GSPC[[#This Row],[Short Exp.]]-1))</f>
        <v>#VALUE!</v>
      </c>
      <c r="G563" s="37">
        <v>41155</v>
      </c>
      <c r="H563">
        <v>22.031305</v>
      </c>
      <c r="I563" s="36">
        <f>IF(ISBLANK(H564), "", Long0[[#This Row],[Adj Close]]/H564-1)</f>
        <v>2.0789039404524479E-2</v>
      </c>
      <c r="J563" s="29">
        <v>41155</v>
      </c>
      <c r="K563">
        <v>5.1117210000000002</v>
      </c>
      <c r="L563" s="33">
        <f>IF(ISBLANK(K564),"",Long1[[#This Row],[Adj Close]]/K564-1)</f>
        <v>-3.3716031970276727E-3</v>
      </c>
      <c r="M563" s="37">
        <v>41155</v>
      </c>
      <c r="N563">
        <v>50.659706</v>
      </c>
      <c r="O563" s="36">
        <f>IF(ISBLANK(N564),"",Long2[[#This Row],[Adj Close]]/N564-1)</f>
        <v>5.353145856745134E-2</v>
      </c>
      <c r="P563" s="29">
        <v>41155</v>
      </c>
      <c r="Q563">
        <v>16.294900999999999</v>
      </c>
      <c r="R563" s="33">
        <f>IF(ISBLANK(Q564),"",Long3[[#This Row],[Adj Close]]/Q564-1)</f>
        <v>-3.0683289922645018E-3</v>
      </c>
      <c r="S563" s="37">
        <v>41155</v>
      </c>
      <c r="T563" s="35">
        <v>14.792875</v>
      </c>
      <c r="U563" s="36">
        <f>IF(ISBLANK(T564),"",Long4[[#This Row],[Adj Close]]/T564-1)</f>
        <v>5.0878118988284315E-2</v>
      </c>
      <c r="Y563" s="37">
        <v>41155</v>
      </c>
      <c r="Z563" s="35">
        <v>40.422629999999998</v>
      </c>
      <c r="AA563" s="36">
        <f>IF(ISBLANK(Z564),"",Long6[[#This Row],[Adj Close]]/Z564-1)</f>
        <v>2.7495510973037263E-2</v>
      </c>
      <c r="AH563" s="29">
        <v>41155</v>
      </c>
      <c r="AI563" s="44">
        <v>29.838653999999998</v>
      </c>
      <c r="AJ563" s="33">
        <f>IF(ISBLANK(AI564),"",Short0[[#This Row],[Adj Close]]/AI564-1)</f>
        <v>4.5057823304131439E-2</v>
      </c>
      <c r="AK563" s="37">
        <v>41155</v>
      </c>
      <c r="AL563" s="39">
        <v>12.988222</v>
      </c>
      <c r="AM563" s="36">
        <f>IF(ISBLANK(AL564),"",Short1[[#This Row],[Adj Close]]/AL564-1)</f>
        <v>2.7621321211385608E-2</v>
      </c>
      <c r="AN563" s="29">
        <v>41155</v>
      </c>
      <c r="AO563" s="44">
        <v>31.058986999999998</v>
      </c>
      <c r="AP563" s="33">
        <f>IF(ISBLANK(AO564),"",Short2[[#This Row],[Adj Close]]/AO564-1)</f>
        <v>4.6253527220608159E-2</v>
      </c>
      <c r="AQ563" s="37">
        <v>41155</v>
      </c>
      <c r="AR563" s="44">
        <v>38.290000999999997</v>
      </c>
      <c r="AS563" s="36">
        <f>IF(ISBLANK(AR564),"",Short3[[#This Row],[Adj Close]]/AR564-1)</f>
        <v>0.11308135970457189</v>
      </c>
    </row>
    <row r="564" spans="1:45" x14ac:dyDescent="0.25">
      <c r="A564" s="37">
        <v>41148</v>
      </c>
      <c r="B564" s="39">
        <v>1406.579956</v>
      </c>
      <c r="C564" s="36">
        <f>IF(ISBLANK(B565), "", GSPC[[#This Row],[Adj Close]]/B565-1)</f>
        <v>-3.2244010005300083E-3</v>
      </c>
      <c r="D56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6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11830.937232</v>
      </c>
      <c r="F564" s="11" t="e">
        <f>IF(ISBLANK(GSPC[[#This Row],[Long Exp.]]), "", (GSPC[[#This Row],[Long Exp.]]/D565-1)+(E565/GSPC[[#This Row],[Short Exp.]]-1))</f>
        <v>#VALUE!</v>
      </c>
      <c r="G564" s="37">
        <v>41148</v>
      </c>
      <c r="H564">
        <v>21.582623000000002</v>
      </c>
      <c r="I564" s="36">
        <f>IF(ISBLANK(H565), "", Long0[[#This Row],[Adj Close]]/H565-1)</f>
        <v>-9.247672898665682E-3</v>
      </c>
      <c r="J564" s="29">
        <v>41148</v>
      </c>
      <c r="K564">
        <v>5.1290139999999997</v>
      </c>
      <c r="L564" s="33">
        <f>IF(ISBLANK(K565),"",Long1[[#This Row],[Adj Close]]/K565-1)</f>
        <v>-3.2615791084812273E-2</v>
      </c>
      <c r="M564" s="37">
        <v>41148</v>
      </c>
      <c r="N564">
        <v>48.085613000000002</v>
      </c>
      <c r="O564" s="36">
        <f>IF(ISBLANK(N565),"",Long2[[#This Row],[Adj Close]]/N565-1)</f>
        <v>9.7642761230047892E-3</v>
      </c>
      <c r="P564" s="29">
        <v>41148</v>
      </c>
      <c r="Q564">
        <v>16.345053</v>
      </c>
      <c r="R564" s="33">
        <f>IF(ISBLANK(Q565),"",Long3[[#This Row],[Adj Close]]/Q565-1)</f>
        <v>1.7070945636621371E-3</v>
      </c>
      <c r="S564" s="37">
        <v>41148</v>
      </c>
      <c r="T564" s="35">
        <v>14.07668</v>
      </c>
      <c r="U564" s="36">
        <f>IF(ISBLANK(T565),"",Long4[[#This Row],[Adj Close]]/T565-1)</f>
        <v>-1.0191803692742862E-2</v>
      </c>
      <c r="Y564" s="37">
        <v>41148</v>
      </c>
      <c r="Z564" s="35">
        <v>39.340930999999998</v>
      </c>
      <c r="AA564" s="36">
        <f>IF(ISBLANK(Z565),"",Long6[[#This Row],[Adj Close]]/Z565-1)</f>
        <v>-5.523055359153517E-2</v>
      </c>
      <c r="AH564" s="29">
        <v>41148</v>
      </c>
      <c r="AI564" s="44">
        <v>28.552156</v>
      </c>
      <c r="AJ564" s="33">
        <f>IF(ISBLANK(AI565),"",Short0[[#This Row],[Adj Close]]/AI565-1)</f>
        <v>-5.6299730854284524E-3</v>
      </c>
      <c r="AK564" s="37">
        <v>41148</v>
      </c>
      <c r="AL564" s="39">
        <v>12.639113</v>
      </c>
      <c r="AM564" s="36">
        <f>IF(ISBLANK(AL565),"",Short1[[#This Row],[Adj Close]]/AL565-1)</f>
        <v>2.4841002679449886E-2</v>
      </c>
      <c r="AN564" s="29">
        <v>41148</v>
      </c>
      <c r="AO564" s="44">
        <v>29.685908999999999</v>
      </c>
      <c r="AP564" s="33">
        <f>IF(ISBLANK(AO565),"",Short2[[#This Row],[Adj Close]]/AO565-1)</f>
        <v>-6.129267738065769E-3</v>
      </c>
      <c r="AQ564" s="37">
        <v>41148</v>
      </c>
      <c r="AR564" s="44">
        <v>34.400002000000001</v>
      </c>
      <c r="AS564" s="36">
        <f>IF(ISBLANK(AR565),"",Short3[[#This Row],[Adj Close]]/AR565-1)</f>
        <v>0.11471162946495039</v>
      </c>
    </row>
    <row r="565" spans="1:45" x14ac:dyDescent="0.25">
      <c r="A565" s="37">
        <v>41141</v>
      </c>
      <c r="B565" s="39">
        <v>1411.130005</v>
      </c>
      <c r="C565" s="36">
        <f>IF(ISBLANK(B566), "", GSPC[[#This Row],[Adj Close]]/B566-1)</f>
        <v>-4.9571478757383103E-3</v>
      </c>
      <c r="D56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6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11592.285327</v>
      </c>
      <c r="F565" s="11" t="e">
        <f>IF(ISBLANK(GSPC[[#This Row],[Long Exp.]]), "", (GSPC[[#This Row],[Long Exp.]]/D566-1)+(E566/GSPC[[#This Row],[Short Exp.]]-1))</f>
        <v>#VALUE!</v>
      </c>
      <c r="G565" s="37">
        <v>41141</v>
      </c>
      <c r="H565">
        <v>21.784075000000001</v>
      </c>
      <c r="I565" s="36">
        <f>IF(ISBLANK(H566), "", Long0[[#This Row],[Adj Close]]/H566-1)</f>
        <v>6.7712342083643406E-3</v>
      </c>
      <c r="J565" s="29">
        <v>41141</v>
      </c>
      <c r="K565">
        <v>5.3019410000000002</v>
      </c>
      <c r="L565" s="33">
        <f>IF(ISBLANK(K566),"",Long1[[#This Row],[Adj Close]]/K566-1)</f>
        <v>2.0639202144636659E-2</v>
      </c>
      <c r="M565" s="37">
        <v>41141</v>
      </c>
      <c r="N565">
        <v>47.620632000000001</v>
      </c>
      <c r="O565" s="36">
        <f>IF(ISBLANK(N566),"",Long2[[#This Row],[Adj Close]]/N566-1)</f>
        <v>-3.7912900756133405E-2</v>
      </c>
      <c r="P565" s="29">
        <v>41141</v>
      </c>
      <c r="Q565">
        <v>16.317198000000001</v>
      </c>
      <c r="R565" s="33">
        <f>IF(ISBLANK(Q566),"",Long3[[#This Row],[Adj Close]]/Q566-1)</f>
        <v>-4.4196835377967592E-3</v>
      </c>
      <c r="S565" s="37">
        <v>41141</v>
      </c>
      <c r="T565" s="35">
        <v>14.221624</v>
      </c>
      <c r="U565" s="36">
        <f>IF(ISBLANK(T566),"",Long4[[#This Row],[Adj Close]]/T566-1)</f>
        <v>-1.9400280742186471E-2</v>
      </c>
      <c r="Y565" s="37">
        <v>41141</v>
      </c>
      <c r="Z565" s="35">
        <v>41.640774</v>
      </c>
      <c r="AA565" s="36">
        <f>IF(ISBLANK(Z566),"",Long6[[#This Row],[Adj Close]]/Z566-1)</f>
        <v>-5.3538865504416666E-3</v>
      </c>
      <c r="AH565" s="29">
        <v>41141</v>
      </c>
      <c r="AI565" s="44">
        <v>28.713813999999999</v>
      </c>
      <c r="AJ565" s="33">
        <f>IF(ISBLANK(AI566),"",Short0[[#This Row],[Adj Close]]/AI566-1)</f>
        <v>2.8965048467635146E-2</v>
      </c>
      <c r="AK565" s="37">
        <v>41141</v>
      </c>
      <c r="AL565" s="39">
        <v>12.332755000000001</v>
      </c>
      <c r="AM565" s="36">
        <f>IF(ISBLANK(AL566),"",Short1[[#This Row],[Adj Close]]/AL566-1)</f>
        <v>-0.14602896967141232</v>
      </c>
      <c r="AN565" s="29">
        <v>41141</v>
      </c>
      <c r="AO565" s="44">
        <v>29.868984000000001</v>
      </c>
      <c r="AP565" s="33">
        <f>IF(ISBLANK(AO566),"",Short2[[#This Row],[Adj Close]]/AO566-1)</f>
        <v>-3.3596963170068328E-3</v>
      </c>
      <c r="AQ565" s="37">
        <v>41141</v>
      </c>
      <c r="AR565" s="44">
        <v>30.860001</v>
      </c>
      <c r="AS565" s="36">
        <f>IF(ISBLANK(AR566),"",Short3[[#This Row],[Adj Close]]/AR566-1)</f>
        <v>-1.2944660194174062E-3</v>
      </c>
    </row>
    <row r="566" spans="1:45" x14ac:dyDescent="0.25">
      <c r="A566" s="37">
        <v>41134</v>
      </c>
      <c r="B566" s="39">
        <v>1418.160034</v>
      </c>
      <c r="C566" s="36">
        <f>IF(ISBLANK(B567), "", GSPC[[#This Row],[Adj Close]]/B567-1)</f>
        <v>8.7419455879347296E-3</v>
      </c>
      <c r="D56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6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11669.354900999999</v>
      </c>
      <c r="F566" s="11" t="e">
        <f>IF(ISBLANK(GSPC[[#This Row],[Long Exp.]]), "", (GSPC[[#This Row],[Long Exp.]]/D567-1)+(E567/GSPC[[#This Row],[Short Exp.]]-1))</f>
        <v>#VALUE!</v>
      </c>
      <c r="G566" s="37">
        <v>41134</v>
      </c>
      <c r="H566">
        <v>21.637561999999999</v>
      </c>
      <c r="I566" s="36">
        <f>IF(ISBLANK(H567), "", Long0[[#This Row],[Adj Close]]/H567-1)</f>
        <v>7.2463339713433328E-3</v>
      </c>
      <c r="J566" s="29">
        <v>41134</v>
      </c>
      <c r="K566">
        <v>5.1947260000000002</v>
      </c>
      <c r="L566" s="33">
        <f>IF(ISBLANK(K567),"",Long1[[#This Row],[Adj Close]]/K567-1)</f>
        <v>4.6689867668855412E-2</v>
      </c>
      <c r="M566" s="37">
        <v>41134</v>
      </c>
      <c r="N566">
        <v>49.497214999999997</v>
      </c>
      <c r="O566" s="36">
        <f>IF(ISBLANK(N567),"",Long2[[#This Row],[Adj Close]]/N567-1)</f>
        <v>1.8800310984166124E-2</v>
      </c>
      <c r="P566" s="29">
        <v>41134</v>
      </c>
      <c r="Q566">
        <v>16.389634999999998</v>
      </c>
      <c r="R566" s="33">
        <f>IF(ISBLANK(Q567),"",Long3[[#This Row],[Adj Close]]/Q567-1)</f>
        <v>-1.7045730222043032E-2</v>
      </c>
      <c r="S566" s="37">
        <v>41134</v>
      </c>
      <c r="T566" s="35">
        <v>14.502986</v>
      </c>
      <c r="U566" s="36">
        <f>IF(ISBLANK(T567),"",Long4[[#This Row],[Adj Close]]/T567-1)</f>
        <v>3.4042364477790521E-2</v>
      </c>
      <c r="Y566" s="37">
        <v>41134</v>
      </c>
      <c r="Z566" s="35">
        <v>41.864913999999999</v>
      </c>
      <c r="AA566" s="36">
        <f>IF(ISBLANK(Z567),"",Long6[[#This Row],[Adj Close]]/Z567-1)</f>
        <v>8.6220136084864896E-2</v>
      </c>
      <c r="AH566" s="29">
        <v>41134</v>
      </c>
      <c r="AI566" s="44">
        <v>27.905529000000001</v>
      </c>
      <c r="AJ566" s="33">
        <f>IF(ISBLANK(AI567),"",Short0[[#This Row],[Adj Close]]/AI567-1)</f>
        <v>3.7046015280576938E-2</v>
      </c>
      <c r="AK566" s="37">
        <v>41134</v>
      </c>
      <c r="AL566" s="39">
        <v>14.441655000000001</v>
      </c>
      <c r="AM566" s="36">
        <f>IF(ISBLANK(AL567),"",Short1[[#This Row],[Adj Close]]/AL567-1)</f>
        <v>5.5179798398999447E-2</v>
      </c>
      <c r="AN566" s="29">
        <v>41134</v>
      </c>
      <c r="AO566" s="44">
        <v>29.969673</v>
      </c>
      <c r="AP566" s="33">
        <f>IF(ISBLANK(AO567),"",Short2[[#This Row],[Adj Close]]/AO567-1)</f>
        <v>4.9358959680016579E-2</v>
      </c>
      <c r="AQ566" s="37">
        <v>41134</v>
      </c>
      <c r="AR566" s="44">
        <v>30.9</v>
      </c>
      <c r="AS566" s="36">
        <f>IF(ISBLANK(AR567),"",Short3[[#This Row],[Adj Close]]/AR567-1)</f>
        <v>2.385685884691835E-2</v>
      </c>
    </row>
    <row r="567" spans="1:45" x14ac:dyDescent="0.25">
      <c r="A567" s="37">
        <v>41127</v>
      </c>
      <c r="B567" s="39">
        <v>1405.869995</v>
      </c>
      <c r="C567" s="36">
        <f>IF(ISBLANK(B568), "", GSPC[[#This Row],[Adj Close]]/B568-1)</f>
        <v>1.0697420619108833E-2</v>
      </c>
      <c r="D56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6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11218.483565999999</v>
      </c>
      <c r="F567" s="11" t="e">
        <f>IF(ISBLANK(GSPC[[#This Row],[Long Exp.]]), "", (GSPC[[#This Row],[Long Exp.]]/D568-1)+(E568/GSPC[[#This Row],[Short Exp.]]-1))</f>
        <v>#VALUE!</v>
      </c>
      <c r="G567" s="37">
        <v>41127</v>
      </c>
      <c r="H567">
        <v>21.481897</v>
      </c>
      <c r="I567" s="36">
        <f>IF(ISBLANK(H568), "", Long0[[#This Row],[Adj Close]]/H568-1)</f>
        <v>1.4267184432354529E-2</v>
      </c>
      <c r="J567" s="29">
        <v>41127</v>
      </c>
      <c r="K567">
        <v>4.9630039999999997</v>
      </c>
      <c r="L567" s="33">
        <f>IF(ISBLANK(K568),"",Long1[[#This Row],[Adj Close]]/K568-1)</f>
        <v>0.11934489394875358</v>
      </c>
      <c r="M567" s="37">
        <v>41127</v>
      </c>
      <c r="N567">
        <v>48.583824</v>
      </c>
      <c r="O567" s="36">
        <f>IF(ISBLANK(N568),"",Long2[[#This Row],[Adj Close]]/N568-1)</f>
        <v>2.4259159251035056E-2</v>
      </c>
      <c r="P567" s="29">
        <v>41127</v>
      </c>
      <c r="Q567">
        <v>16.673853000000001</v>
      </c>
      <c r="R567" s="33">
        <f>IF(ISBLANK(Q568),"",Long3[[#This Row],[Adj Close]]/Q568-1)</f>
        <v>4.3235791324223616E-2</v>
      </c>
      <c r="S567" s="37">
        <v>41127</v>
      </c>
      <c r="T567" s="35">
        <v>14.025524000000001</v>
      </c>
      <c r="U567" s="36">
        <f>IF(ISBLANK(T568),"",Long4[[#This Row],[Adj Close]]/T568-1)</f>
        <v>1.2931016738917389E-2</v>
      </c>
      <c r="Y567" s="37">
        <v>41127</v>
      </c>
      <c r="Z567" s="35">
        <v>38.541831999999999</v>
      </c>
      <c r="AA567" s="36">
        <f>IF(ISBLANK(Z568),"",Long6[[#This Row],[Adj Close]]/Z568-1)</f>
        <v>0.2799352716955239</v>
      </c>
      <c r="AH567" s="29">
        <v>41127</v>
      </c>
      <c r="AI567" s="44">
        <v>26.908670000000001</v>
      </c>
      <c r="AJ567" s="33">
        <f>IF(ISBLANK(AI568),"",Short0[[#This Row],[Adj Close]]/AI568-1)</f>
        <v>3.0967685132500478E-2</v>
      </c>
      <c r="AK567" s="37">
        <v>41127</v>
      </c>
      <c r="AL567" s="39">
        <v>13.686439999999999</v>
      </c>
      <c r="AM567" s="36">
        <f>IF(ISBLANK(AL568),"",Short1[[#This Row],[Adj Close]]/AL568-1)</f>
        <v>8.9002352825100939E-2</v>
      </c>
      <c r="AN567" s="29">
        <v>41127</v>
      </c>
      <c r="AO567" s="44">
        <v>28.559982000000002</v>
      </c>
      <c r="AP567" s="33">
        <f>IF(ISBLANK(AO568),"",Short2[[#This Row],[Adj Close]]/AO568-1)</f>
        <v>3.6889133137265828E-2</v>
      </c>
      <c r="AQ567" s="37">
        <v>41127</v>
      </c>
      <c r="AR567" s="44">
        <v>30.18</v>
      </c>
      <c r="AS567" s="36">
        <f>IF(ISBLANK(AR568),"",Short3[[#This Row],[Adj Close]]/AR568-1)</f>
        <v>8.0171758046823305E-2</v>
      </c>
    </row>
    <row r="568" spans="1:45" x14ac:dyDescent="0.25">
      <c r="A568" s="37">
        <v>41120</v>
      </c>
      <c r="B568" s="39">
        <v>1390.98999</v>
      </c>
      <c r="C568" s="36">
        <f>IF(ISBLANK(B569), "", GSPC[[#This Row],[Adj Close]]/B569-1)</f>
        <v>3.6220258050598808E-3</v>
      </c>
      <c r="D56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6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10700.410974</v>
      </c>
      <c r="F568" s="11" t="e">
        <f>IF(ISBLANK(GSPC[[#This Row],[Long Exp.]]), "", (GSPC[[#This Row],[Long Exp.]]/D569-1)+(E569/GSPC[[#This Row],[Short Exp.]]-1))</f>
        <v>#VALUE!</v>
      </c>
      <c r="G568" s="37">
        <v>41120</v>
      </c>
      <c r="H568">
        <v>21.179722000000002</v>
      </c>
      <c r="I568" s="36">
        <f>IF(ISBLANK(H569), "", Long0[[#This Row],[Adj Close]]/H569-1)</f>
        <v>-6.0163083984229315E-3</v>
      </c>
      <c r="J568" s="29">
        <v>41120</v>
      </c>
      <c r="K568">
        <v>4.4338470000000001</v>
      </c>
      <c r="L568" s="33">
        <f>IF(ISBLANK(K569),"",Long1[[#This Row],[Adj Close]]/K569-1)</f>
        <v>-2.1374241919603021E-2</v>
      </c>
      <c r="M568" s="37">
        <v>41120</v>
      </c>
      <c r="N568">
        <v>47.433135999999998</v>
      </c>
      <c r="O568" s="36">
        <f>IF(ISBLANK(N569),"",Long2[[#This Row],[Adj Close]]/N569-1)</f>
        <v>-2.315643728032768E-2</v>
      </c>
      <c r="P568" s="29">
        <v>41120</v>
      </c>
      <c r="Q568">
        <v>15.982823</v>
      </c>
      <c r="R568" s="33">
        <f>IF(ISBLANK(Q569),"",Long3[[#This Row],[Adj Close]]/Q569-1)</f>
        <v>-1.6798034435518527E-2</v>
      </c>
      <c r="S568" s="37">
        <v>41120</v>
      </c>
      <c r="T568" s="35">
        <v>13.846475</v>
      </c>
      <c r="U568" s="36">
        <f>IF(ISBLANK(T569),"",Long4[[#This Row],[Adj Close]]/T569-1)</f>
        <v>-1.7543686622087495E-2</v>
      </c>
      <c r="Y568" s="37">
        <v>41120</v>
      </c>
      <c r="Z568" s="35">
        <v>30.112328999999999</v>
      </c>
      <c r="AA568" s="36">
        <f>IF(ISBLANK(Z569),"",Long6[[#This Row],[Adj Close]]/Z569-1)</f>
        <v>-6.3352709639184268E-2</v>
      </c>
      <c r="AH568" s="29">
        <v>41120</v>
      </c>
      <c r="AI568" s="44">
        <v>26.100401000000002</v>
      </c>
      <c r="AJ568" s="33">
        <f>IF(ISBLANK(AI569),"",Short0[[#This Row],[Adj Close]]/AI569-1)</f>
        <v>5.3848275797466316E-2</v>
      </c>
      <c r="AK568" s="37">
        <v>41120</v>
      </c>
      <c r="AL568" s="39">
        <v>12.567869999999999</v>
      </c>
      <c r="AM568" s="36">
        <f>IF(ISBLANK(AL569),"",Short1[[#This Row],[Adj Close]]/AL569-1)</f>
        <v>-6.7567006879198921E-3</v>
      </c>
      <c r="AN568" s="29">
        <v>41120</v>
      </c>
      <c r="AO568" s="44">
        <v>27.543911000000001</v>
      </c>
      <c r="AP568" s="33">
        <f>IF(ISBLANK(AO569),"",Short2[[#This Row],[Adj Close]]/AO569-1)</f>
        <v>-8.2398025143564091E-3</v>
      </c>
      <c r="AQ568" s="37">
        <v>41120</v>
      </c>
      <c r="AR568" s="44">
        <v>27.940000999999999</v>
      </c>
      <c r="AS568" s="36">
        <f>IF(ISBLANK(AR569),"",Short3[[#This Row],[Adj Close]]/AR569-1)</f>
        <v>-4.5438981892722996E-2</v>
      </c>
    </row>
    <row r="569" spans="1:45" x14ac:dyDescent="0.25">
      <c r="A569" s="37">
        <v>41113</v>
      </c>
      <c r="B569" s="39">
        <v>1385.969971</v>
      </c>
      <c r="C569" s="36">
        <f>IF(ISBLANK(B570), "", GSPC[[#This Row],[Adj Close]]/B570-1)</f>
        <v>1.7106201413697564E-2</v>
      </c>
      <c r="D56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6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10614.985335999998</v>
      </c>
      <c r="F569" s="11" t="e">
        <f>IF(ISBLANK(GSPC[[#This Row],[Long Exp.]]), "", (GSPC[[#This Row],[Long Exp.]]/D570-1)+(E570/GSPC[[#This Row],[Short Exp.]]-1))</f>
        <v>#VALUE!</v>
      </c>
      <c r="G569" s="37">
        <v>41113</v>
      </c>
      <c r="H569">
        <v>21.307917</v>
      </c>
      <c r="I569" s="36">
        <f>IF(ISBLANK(H570), "", Long0[[#This Row],[Adj Close]]/H570-1)</f>
        <v>4.3497736940972587E-2</v>
      </c>
      <c r="J569" s="29">
        <v>41113</v>
      </c>
      <c r="K569">
        <v>4.5306870000000004</v>
      </c>
      <c r="L569" s="33">
        <f>IF(ISBLANK(K570),"",Long1[[#This Row],[Adj Close]]/K570-1)</f>
        <v>-5.9583477332237345E-2</v>
      </c>
      <c r="M569" s="37">
        <v>41113</v>
      </c>
      <c r="N569">
        <v>48.557555999999998</v>
      </c>
      <c r="O569" s="36">
        <f>IF(ISBLANK(N570),"",Long2[[#This Row],[Adj Close]]/N570-1)</f>
        <v>2.1391165661809763E-2</v>
      </c>
      <c r="P569" s="29">
        <v>41113</v>
      </c>
      <c r="Q569">
        <v>16.255890000000001</v>
      </c>
      <c r="R569" s="33">
        <f>IF(ISBLANK(Q570),"",Long3[[#This Row],[Adj Close]]/Q570-1)</f>
        <v>4.8227615653682054E-3</v>
      </c>
      <c r="S569" s="37">
        <v>41113</v>
      </c>
      <c r="T569" s="35">
        <v>14.093731</v>
      </c>
      <c r="U569" s="36">
        <f>IF(ISBLANK(T570),"",Long4[[#This Row],[Adj Close]]/T570-1)</f>
        <v>2.3529499766734796E-2</v>
      </c>
      <c r="Y569" s="37">
        <v>41113</v>
      </c>
      <c r="Z569" s="35">
        <v>32.149059000000001</v>
      </c>
      <c r="AA569" s="36">
        <f>IF(ISBLANK(Z570),"",Long6[[#This Row],[Adj Close]]/Z570-1)</f>
        <v>-2.2807667904641837E-2</v>
      </c>
      <c r="AH569" s="29">
        <v>41113</v>
      </c>
      <c r="AI569" s="44">
        <v>24.766753999999999</v>
      </c>
      <c r="AJ569" s="33">
        <f>IF(ISBLANK(AI570),"",Short0[[#This Row],[Adj Close]]/AI570-1)</f>
        <v>-9.7447288678049526E-2</v>
      </c>
      <c r="AK569" s="37">
        <v>41113</v>
      </c>
      <c r="AL569" s="39">
        <v>12.653365000000001</v>
      </c>
      <c r="AM569" s="36">
        <f>IF(ISBLANK(AL570),"",Short1[[#This Row],[Adj Close]]/AL570-1)</f>
        <v>-2.5781588888763918E-2</v>
      </c>
      <c r="AN569" s="29">
        <v>41113</v>
      </c>
      <c r="AO569" s="44">
        <v>27.772753000000002</v>
      </c>
      <c r="AP569" s="33">
        <f>IF(ISBLANK(AO570),"",Short2[[#This Row],[Adj Close]]/AO570-1)</f>
        <v>-1.6212813909293855E-2</v>
      </c>
      <c r="AQ569" s="37">
        <v>41113</v>
      </c>
      <c r="AR569" s="44">
        <v>29.27</v>
      </c>
      <c r="AS569" s="36">
        <f>IF(ISBLANK(AR570),"",Short3[[#This Row],[Adj Close]]/AR570-1)</f>
        <v>2.5218950095234671E-2</v>
      </c>
    </row>
    <row r="570" spans="1:45" x14ac:dyDescent="0.25">
      <c r="A570" s="37">
        <v>41106</v>
      </c>
      <c r="B570" s="39">
        <v>1362.660034</v>
      </c>
      <c r="C570" s="36">
        <f>IF(ISBLANK(B571), "", GSPC[[#This Row],[Adj Close]]/B571-1)</f>
        <v>4.3337938901810702E-3</v>
      </c>
      <c r="D57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7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11083.107007000001</v>
      </c>
      <c r="F570" s="11" t="e">
        <f>IF(ISBLANK(GSPC[[#This Row],[Long Exp.]]), "", (GSPC[[#This Row],[Long Exp.]]/D571-1)+(E571/GSPC[[#This Row],[Short Exp.]]-1))</f>
        <v>#VALUE!</v>
      </c>
      <c r="G570" s="37">
        <v>41106</v>
      </c>
      <c r="H570">
        <v>20.419706000000001</v>
      </c>
      <c r="I570" s="36">
        <f>IF(ISBLANK(H571), "", Long0[[#This Row],[Adj Close]]/H571-1)</f>
        <v>1.0879437178582085E-2</v>
      </c>
      <c r="J570" s="29">
        <v>41106</v>
      </c>
      <c r="K570">
        <v>4.8177450000000004</v>
      </c>
      <c r="L570" s="33">
        <f>IF(ISBLANK(K571),"",Long1[[#This Row],[Adj Close]]/K571-1)</f>
        <v>-4.9146792032778386E-2</v>
      </c>
      <c r="M570" s="37">
        <v>41106</v>
      </c>
      <c r="N570">
        <v>47.540607000000001</v>
      </c>
      <c r="O570" s="36">
        <f>IF(ISBLANK(N571),"",Long2[[#This Row],[Adj Close]]/N571-1)</f>
        <v>4.6596229188791138E-2</v>
      </c>
      <c r="P570" s="29">
        <v>41106</v>
      </c>
      <c r="Q570">
        <v>16.177868</v>
      </c>
      <c r="R570" s="33">
        <f>IF(ISBLANK(Q571),"",Long3[[#This Row],[Adj Close]]/Q571-1)</f>
        <v>1.9669739777251616E-2</v>
      </c>
      <c r="S570" s="37">
        <v>41106</v>
      </c>
      <c r="T570" s="35">
        <v>13.769736</v>
      </c>
      <c r="U570" s="36">
        <f>IF(ISBLANK(T571),"",Long4[[#This Row],[Adj Close]]/T571-1)</f>
        <v>-1.2370536406912658E-3</v>
      </c>
      <c r="Y570" s="37">
        <v>41106</v>
      </c>
      <c r="Z570" s="35">
        <v>32.899417999999997</v>
      </c>
      <c r="AA570" s="36">
        <f>IF(ISBLANK(Z571),"",Long6[[#This Row],[Adj Close]]/Z571-1)</f>
        <v>-3.0442464377118728E-2</v>
      </c>
      <c r="AH570" s="29">
        <v>41106</v>
      </c>
      <c r="AI570" s="44">
        <v>27.440784000000001</v>
      </c>
      <c r="AJ570" s="33">
        <f>IF(ISBLANK(AI571),"",Short0[[#This Row],[Adj Close]]/AI571-1)</f>
        <v>3.0088846378500289E-2</v>
      </c>
      <c r="AK570" s="37">
        <v>41106</v>
      </c>
      <c r="AL570" s="39">
        <v>12.988222</v>
      </c>
      <c r="AM570" s="36">
        <f>IF(ISBLANK(AL571),"",Short1[[#This Row],[Adj Close]]/AL571-1)</f>
        <v>-4.0526427881405813E-2</v>
      </c>
      <c r="AN570" s="29">
        <v>41106</v>
      </c>
      <c r="AO570" s="44">
        <v>28.230447999999999</v>
      </c>
      <c r="AP570" s="33">
        <f>IF(ISBLANK(AO571),"",Short2[[#This Row],[Adj Close]]/AO571-1)</f>
        <v>-4.5506089828590834E-3</v>
      </c>
      <c r="AQ570" s="37">
        <v>41106</v>
      </c>
      <c r="AR570" s="44">
        <v>28.549999</v>
      </c>
      <c r="AS570" s="36">
        <f>IF(ISBLANK(AR571),"",Short3[[#This Row],[Adj Close]]/AR571-1)</f>
        <v>1.2770414587782497E-2</v>
      </c>
    </row>
    <row r="571" spans="1:45" x14ac:dyDescent="0.25">
      <c r="A571" s="37">
        <v>41099</v>
      </c>
      <c r="B571" s="39">
        <v>1356.780029</v>
      </c>
      <c r="C571" s="36">
        <f>IF(ISBLANK(B572), "", GSPC[[#This Row],[Adj Close]]/B572-1)</f>
        <v>1.5501630763659069E-3</v>
      </c>
      <c r="D57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7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10991.874843</v>
      </c>
      <c r="F571" s="11" t="e">
        <f>IF(ISBLANK(GSPC[[#This Row],[Long Exp.]]), "", (GSPC[[#This Row],[Long Exp.]]/D572-1)+(E572/GSPC[[#This Row],[Short Exp.]]-1))</f>
        <v>#VALUE!</v>
      </c>
      <c r="G571" s="37">
        <v>41099</v>
      </c>
      <c r="H571">
        <v>20.199942</v>
      </c>
      <c r="I571" s="36">
        <f>IF(ISBLANK(H572), "", Long0[[#This Row],[Adj Close]]/H572-1)</f>
        <v>2.1769468014198878E-2</v>
      </c>
      <c r="J571" s="29">
        <v>41099</v>
      </c>
      <c r="K571">
        <v>5.0667600000000004</v>
      </c>
      <c r="L571" s="33">
        <f>IF(ISBLANK(K572),"",Long1[[#This Row],[Adj Close]]/K572-1)</f>
        <v>-0.10397558708560217</v>
      </c>
      <c r="M571" s="37">
        <v>41099</v>
      </c>
      <c r="N571">
        <v>45.424019000000001</v>
      </c>
      <c r="O571" s="36">
        <f>IF(ISBLANK(N572),"",Long2[[#This Row],[Adj Close]]/N572-1)</f>
        <v>-9.7331436427211537E-3</v>
      </c>
      <c r="P571" s="29">
        <v>41099</v>
      </c>
      <c r="Q571">
        <v>15.865792000000001</v>
      </c>
      <c r="R571" s="33">
        <f>IF(ISBLANK(Q572),"",Long3[[#This Row],[Adj Close]]/Q572-1)</f>
        <v>2.0064270163571152E-2</v>
      </c>
      <c r="S571" s="37">
        <v>41099</v>
      </c>
      <c r="T571" s="35">
        <v>13.786790999999999</v>
      </c>
      <c r="U571" s="36">
        <f>IF(ISBLANK(T572),"",Long4[[#This Row],[Adj Close]]/T572-1)</f>
        <v>1.2385858378112236E-3</v>
      </c>
      <c r="Y571" s="37">
        <v>41099</v>
      </c>
      <c r="Z571" s="35">
        <v>33.932403999999998</v>
      </c>
      <c r="AA571" s="36">
        <f>IF(ISBLANK(Z572),"",Long6[[#This Row],[Adj Close]]/Z572-1)</f>
        <v>2.879950120232122E-3</v>
      </c>
      <c r="AH571" s="29">
        <v>41099</v>
      </c>
      <c r="AI571" s="44">
        <v>26.639240000000001</v>
      </c>
      <c r="AJ571" s="33">
        <f>IF(ISBLANK(AI572),"",Short0[[#This Row],[Adj Close]]/AI572-1)</f>
        <v>-6.6997252326584378E-2</v>
      </c>
      <c r="AK571" s="37">
        <v>41099</v>
      </c>
      <c r="AL571" s="39">
        <v>13.536821</v>
      </c>
      <c r="AM571" s="36">
        <f>IF(ISBLANK(AL572),"",Short1[[#This Row],[Adj Close]]/AL572-1)</f>
        <v>-0.11996326381512445</v>
      </c>
      <c r="AN571" s="29">
        <v>41099</v>
      </c>
      <c r="AO571" s="44">
        <v>28.359501000000002</v>
      </c>
      <c r="AP571" s="33">
        <f>IF(ISBLANK(AO572),"",Short2[[#This Row],[Adj Close]]/AO572-1)</f>
        <v>-2.483502796444792E-2</v>
      </c>
      <c r="AQ571" s="37">
        <v>41099</v>
      </c>
      <c r="AR571" s="44">
        <v>28.190000999999999</v>
      </c>
      <c r="AS571" s="36">
        <f>IF(ISBLANK(AR572),"",Short3[[#This Row],[Adj Close]]/AR572-1)</f>
        <v>-4.8599326648644303E-2</v>
      </c>
    </row>
    <row r="572" spans="1:45" x14ac:dyDescent="0.25">
      <c r="A572" s="37">
        <v>41092</v>
      </c>
      <c r="B572" s="39">
        <v>1354.6800539999999</v>
      </c>
      <c r="C572" s="36">
        <f>IF(ISBLANK(B573), "", GSPC[[#This Row],[Adj Close]]/B573-1)</f>
        <v>-5.491263737958163E-3</v>
      </c>
      <c r="D57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7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11663.791529</v>
      </c>
      <c r="F572" s="11" t="e">
        <f>IF(ISBLANK(GSPC[[#This Row],[Long Exp.]]), "", (GSPC[[#This Row],[Long Exp.]]/D573-1)+(E573/GSPC[[#This Row],[Short Exp.]]-1))</f>
        <v>#VALUE!</v>
      </c>
      <c r="G572" s="37">
        <v>41092</v>
      </c>
      <c r="H572">
        <v>19.769569000000001</v>
      </c>
      <c r="I572" s="36">
        <f>IF(ISBLANK(H573), "", Long0[[#This Row],[Adj Close]]/H573-1)</f>
        <v>1.029470330850879E-2</v>
      </c>
      <c r="J572" s="29">
        <v>41092</v>
      </c>
      <c r="K572">
        <v>5.654712</v>
      </c>
      <c r="L572" s="33">
        <f>IF(ISBLANK(K573),"",Long1[[#This Row],[Adj Close]]/K573-1)</f>
        <v>-2.6785668185681177E-2</v>
      </c>
      <c r="M572" s="37">
        <v>41092</v>
      </c>
      <c r="N572">
        <v>45.870483</v>
      </c>
      <c r="O572" s="36">
        <f>IF(ISBLANK(N573),"",Long2[[#This Row],[Adj Close]]/N573-1)</f>
        <v>1.3148371686496407E-2</v>
      </c>
      <c r="P572" s="29">
        <v>41092</v>
      </c>
      <c r="Q572">
        <v>15.553718</v>
      </c>
      <c r="R572" s="33">
        <f>IF(ISBLANK(Q573),"",Long3[[#This Row],[Adj Close]]/Q573-1)</f>
        <v>3.5958858920341896E-3</v>
      </c>
      <c r="S572" s="37">
        <v>41092</v>
      </c>
      <c r="T572" s="35">
        <v>13.769736</v>
      </c>
      <c r="U572" s="36">
        <f>IF(ISBLANK(T573),"",Long4[[#This Row],[Adj Close]]/T573-1)</f>
        <v>9.3748309429677601E-3</v>
      </c>
      <c r="Y572" s="37">
        <v>41092</v>
      </c>
      <c r="Z572" s="35">
        <v>33.834961</v>
      </c>
      <c r="AA572" s="36">
        <f>IF(ISBLANK(Z573),"",Long6[[#This Row],[Adj Close]]/Z573-1)</f>
        <v>-3.3945429374562575E-2</v>
      </c>
      <c r="AH572" s="29">
        <v>41092</v>
      </c>
      <c r="AI572" s="44">
        <v>28.552156</v>
      </c>
      <c r="AJ572" s="33">
        <f>IF(ISBLANK(AI573),"",Short0[[#This Row],[Adj Close]]/AI573-1)</f>
        <v>-2.5293282637390724E-2</v>
      </c>
      <c r="AK572" s="37">
        <v>41092</v>
      </c>
      <c r="AL572" s="39">
        <v>15.382109</v>
      </c>
      <c r="AM572" s="36">
        <f>IF(ISBLANK(AL573),"",Short1[[#This Row],[Adj Close]]/AL573-1)</f>
        <v>3.0057828009017129E-2</v>
      </c>
      <c r="AN572" s="29">
        <v>41092</v>
      </c>
      <c r="AO572" s="44">
        <v>29.081747</v>
      </c>
      <c r="AP572" s="33">
        <f>IF(ISBLANK(AO573),"",Short2[[#This Row],[Adj Close]]/AO573-1)</f>
        <v>2.9116515142373567E-2</v>
      </c>
      <c r="AQ572" s="37">
        <v>41092</v>
      </c>
      <c r="AR572" s="44">
        <v>29.629999000000002</v>
      </c>
      <c r="AS572" s="36">
        <f>IF(ISBLANK(AR573),"",Short3[[#This Row],[Adj Close]]/AR573-1)</f>
        <v>5.4448362989323762E-2</v>
      </c>
    </row>
    <row r="573" spans="1:45" x14ac:dyDescent="0.25">
      <c r="A573" s="37">
        <v>41085</v>
      </c>
      <c r="B573" s="39">
        <v>1362.160034</v>
      </c>
      <c r="C573" s="36">
        <f>IF(ISBLANK(B574), "", GSPC[[#This Row],[Adj Close]]/B574-1)</f>
        <v>2.0329293638607915E-2</v>
      </c>
      <c r="D57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7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11534.485388000001</v>
      </c>
      <c r="F573" s="11" t="e">
        <f>IF(ISBLANK(GSPC[[#This Row],[Long Exp.]]), "", (GSPC[[#This Row],[Long Exp.]]/D574-1)+(E574/GSPC[[#This Row],[Short Exp.]]-1))</f>
        <v>#VALUE!</v>
      </c>
      <c r="G573" s="37">
        <v>41085</v>
      </c>
      <c r="H573">
        <v>19.568121000000001</v>
      </c>
      <c r="I573" s="36">
        <f>IF(ISBLANK(H574), "", Long0[[#This Row],[Adj Close]]/H574-1)</f>
        <v>6.5945216658254147E-3</v>
      </c>
      <c r="J573" s="29">
        <v>41085</v>
      </c>
      <c r="K573">
        <v>5.810346</v>
      </c>
      <c r="L573" s="33">
        <f>IF(ISBLANK(K574),"",Long1[[#This Row],[Adj Close]]/K574-1)</f>
        <v>-1.2925992205128023E-2</v>
      </c>
      <c r="M573" s="37">
        <v>41085</v>
      </c>
      <c r="N573">
        <v>45.275188</v>
      </c>
      <c r="O573" s="36">
        <f>IF(ISBLANK(N574),"",Long2[[#This Row],[Adj Close]]/N574-1)</f>
        <v>8.2641023839620464E-2</v>
      </c>
      <c r="P573" s="29">
        <v>41085</v>
      </c>
      <c r="Q573">
        <v>15.497989</v>
      </c>
      <c r="R573" s="33">
        <f>IF(ISBLANK(Q574),"",Long3[[#This Row],[Adj Close]]/Q574-1)</f>
        <v>1.1640400421367048E-2</v>
      </c>
      <c r="S573" s="37">
        <v>41085</v>
      </c>
      <c r="T573" s="35">
        <v>13.641845999999999</v>
      </c>
      <c r="U573" s="36">
        <f>IF(ISBLANK(T574),"",Long4[[#This Row],[Adj Close]]/T574-1)</f>
        <v>1.9757977797550508E-2</v>
      </c>
      <c r="Y573" s="37">
        <v>41085</v>
      </c>
      <c r="Z573" s="35">
        <v>35.023860999999997</v>
      </c>
      <c r="AA573" s="36">
        <f>IF(ISBLANK(Z574),"",Long6[[#This Row],[Adj Close]]/Z574-1)</f>
        <v>0.11097403982393339</v>
      </c>
      <c r="AH573" s="29">
        <v>41085</v>
      </c>
      <c r="AI573" s="44">
        <v>29.293074000000001</v>
      </c>
      <c r="AJ573" s="33">
        <f>IF(ISBLANK(AI574),"",Short0[[#This Row],[Adj Close]]/AI574-1)</f>
        <v>-2.0779198117365616E-2</v>
      </c>
      <c r="AK573" s="37">
        <v>41085</v>
      </c>
      <c r="AL573" s="39">
        <v>14.933248000000001</v>
      </c>
      <c r="AM573" s="36">
        <f>IF(ISBLANK(AL574),"",Short1[[#This Row],[Adj Close]]/AL574-1)</f>
        <v>9.2235419817223052E-2</v>
      </c>
      <c r="AN573" s="29">
        <v>41085</v>
      </c>
      <c r="AO573" s="44">
        <v>28.258945000000001</v>
      </c>
      <c r="AP573" s="33">
        <f>IF(ISBLANK(AO574),"",Short2[[#This Row],[Adj Close]]/AO574-1)</f>
        <v>0.17216527832208017</v>
      </c>
      <c r="AQ573" s="37">
        <v>41085</v>
      </c>
      <c r="AR573" s="44">
        <v>28.1</v>
      </c>
      <c r="AS573" s="36">
        <f>IF(ISBLANK(AR574),"",Short3[[#This Row],[Adj Close]]/AR574-1)</f>
        <v>-3.9972668261018085E-2</v>
      </c>
    </row>
    <row r="574" spans="1:45" x14ac:dyDescent="0.25">
      <c r="A574" s="37">
        <v>41078</v>
      </c>
      <c r="B574" s="39">
        <v>1335.0200199999999</v>
      </c>
      <c r="C574" s="36">
        <f>IF(ISBLANK(B575), "", GSPC[[#This Row],[Adj Close]]/B575-1)</f>
        <v>-5.8234385317662563E-3</v>
      </c>
      <c r="D57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74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11115.426350999998</v>
      </c>
      <c r="F574" s="11" t="e">
        <f>IF(ISBLANK(GSPC[[#This Row],[Long Exp.]]), "", (GSPC[[#This Row],[Long Exp.]]/D575-1)+(E575/GSPC[[#This Row],[Short Exp.]]-1))</f>
        <v>#VALUE!</v>
      </c>
      <c r="G574" s="37">
        <v>41078</v>
      </c>
      <c r="H574">
        <v>19.439924000000001</v>
      </c>
      <c r="I574" s="36">
        <f>IF(ISBLANK(H575), "", Long0[[#This Row],[Adj Close]]/H575-1)</f>
        <v>1.4149162056096287E-3</v>
      </c>
      <c r="J574" s="29">
        <v>41078</v>
      </c>
      <c r="K574">
        <v>5.8864340000000004</v>
      </c>
      <c r="L574" s="33">
        <f>IF(ISBLANK(K575),"",Long1[[#This Row],[Adj Close]]/K575-1)</f>
        <v>-7.6505689912031327E-2</v>
      </c>
      <c r="M574" s="37">
        <v>41078</v>
      </c>
      <c r="N574">
        <v>41.819206000000001</v>
      </c>
      <c r="O574" s="36">
        <f>IF(ISBLANK(N575),"",Long2[[#This Row],[Adj Close]]/N575-1)</f>
        <v>1.7706407834336746E-2</v>
      </c>
      <c r="P574" s="29">
        <v>41078</v>
      </c>
      <c r="Q574">
        <v>15.319661999999999</v>
      </c>
      <c r="R574" s="33">
        <f>IF(ISBLANK(Q575),"",Long3[[#This Row],[Adj Close]]/Q575-1)</f>
        <v>-1.1506460612406011E-2</v>
      </c>
      <c r="S574" s="37">
        <v>41078</v>
      </c>
      <c r="T574" s="35">
        <v>13.377533</v>
      </c>
      <c r="U574" s="36">
        <f>IF(ISBLANK(T575),"",Long4[[#This Row],[Adj Close]]/T575-1)</f>
        <v>1.160512961747151E-2</v>
      </c>
      <c r="Y574" s="37">
        <v>41078</v>
      </c>
      <c r="Z574" s="35">
        <v>31.525364</v>
      </c>
      <c r="AA574" s="36">
        <f>IF(ISBLANK(Z575),"",Long6[[#This Row],[Adj Close]]/Z575-1)</f>
        <v>0.1252173848486704</v>
      </c>
      <c r="AH574" s="29">
        <v>41078</v>
      </c>
      <c r="AI574" s="44">
        <v>29.914677000000001</v>
      </c>
      <c r="AJ574" s="33">
        <f>IF(ISBLANK(AI575),"",Short0[[#This Row],[Adj Close]]/AI575-1)</f>
        <v>-1.1509700213081953E-2</v>
      </c>
      <c r="AK574" s="37">
        <v>41078</v>
      </c>
      <c r="AL574" s="39">
        <v>13.672188</v>
      </c>
      <c r="AM574" s="36">
        <f>IF(ISBLANK(AL575),"",Short1[[#This Row],[Adj Close]]/AL575-1)</f>
        <v>-4.1937434861996303E-2</v>
      </c>
      <c r="AN574" s="29">
        <v>41078</v>
      </c>
      <c r="AO574" s="44">
        <v>24.108328</v>
      </c>
      <c r="AP574" s="33">
        <f>IF(ISBLANK(AO575),"",Short2[[#This Row],[Adj Close]]/AO575-1)</f>
        <v>1.8146650314376123E-2</v>
      </c>
      <c r="AQ574" s="37">
        <v>41078</v>
      </c>
      <c r="AR574" s="44">
        <v>29.27</v>
      </c>
      <c r="AS574" s="36">
        <f>IF(ISBLANK(AR575),"",Short3[[#This Row],[Adj Close]]/AR575-1)</f>
        <v>-0.10571341277115787</v>
      </c>
    </row>
    <row r="575" spans="1:45" x14ac:dyDescent="0.25">
      <c r="A575" s="37">
        <v>41071</v>
      </c>
      <c r="B575" s="39">
        <v>1342.839966</v>
      </c>
      <c r="C575" s="36">
        <f>IF(ISBLANK(B576), "", GSPC[[#This Row],[Adj Close]]/B576-1)</f>
        <v>1.2959530769108163E-2</v>
      </c>
      <c r="D57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75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11429.138701</v>
      </c>
      <c r="F575" s="11" t="e">
        <f>IF(ISBLANK(GSPC[[#This Row],[Long Exp.]]), "", (GSPC[[#This Row],[Long Exp.]]/D576-1)+(E576/GSPC[[#This Row],[Short Exp.]]-1))</f>
        <v>#VALUE!</v>
      </c>
      <c r="G575" s="37">
        <v>41071</v>
      </c>
      <c r="H575">
        <v>19.412457</v>
      </c>
      <c r="I575" s="36">
        <f>IF(ISBLANK(H576), "", Long0[[#This Row],[Adj Close]]/H576-1)</f>
        <v>-1.624116585143931E-2</v>
      </c>
      <c r="J575" s="29">
        <v>41071</v>
      </c>
      <c r="K575">
        <v>6.3740880000000004</v>
      </c>
      <c r="L575" s="33">
        <f>IF(ISBLANK(K576),"",Long1[[#This Row],[Adj Close]]/K576-1)</f>
        <v>3.8895115907572553E-2</v>
      </c>
      <c r="M575" s="37">
        <v>41071</v>
      </c>
      <c r="N575">
        <v>41.091621000000004</v>
      </c>
      <c r="O575" s="36">
        <f>IF(ISBLANK(N576),"",Long2[[#This Row],[Adj Close]]/N576-1)</f>
        <v>2.4953477328669038E-2</v>
      </c>
      <c r="P575" s="29">
        <v>41071</v>
      </c>
      <c r="Q575">
        <v>15.497989</v>
      </c>
      <c r="R575" s="33">
        <f>IF(ISBLANK(Q576),"",Long3[[#This Row],[Adj Close]]/Q576-1)</f>
        <v>1.0671928407492315E-2</v>
      </c>
      <c r="S575" s="37">
        <v>41071</v>
      </c>
      <c r="T575" s="35">
        <v>13.224066000000001</v>
      </c>
      <c r="U575" s="36">
        <f>IF(ISBLANK(T576),"",Long4[[#This Row],[Adj Close]]/T576-1)</f>
        <v>5.8368518558944427E-3</v>
      </c>
      <c r="Y575" s="37">
        <v>41071</v>
      </c>
      <c r="Z575" s="35">
        <v>28.017132</v>
      </c>
      <c r="AA575" s="36">
        <f>IF(ISBLANK(Z576),"",Long6[[#This Row],[Adj Close]]/Z576-1)</f>
        <v>-5.706809567221971E-2</v>
      </c>
      <c r="AH575" s="29">
        <v>41071</v>
      </c>
      <c r="AI575" s="44">
        <v>30.262995</v>
      </c>
      <c r="AJ575" s="33">
        <f>IF(ISBLANK(AI576),"",Short0[[#This Row],[Adj Close]]/AI576-1)</f>
        <v>-2.0594065801668671E-2</v>
      </c>
      <c r="AK575" s="37">
        <v>41071</v>
      </c>
      <c r="AL575" s="39">
        <v>14.270663000000001</v>
      </c>
      <c r="AM575" s="36">
        <f>IF(ISBLANK(AL576),"",Short1[[#This Row],[Adj Close]]/AL576-1)</f>
        <v>1.0711700622263676E-2</v>
      </c>
      <c r="AN575" s="29">
        <v>41071</v>
      </c>
      <c r="AO575" s="44">
        <v>23.678640000000001</v>
      </c>
      <c r="AP575" s="33">
        <f>IF(ISBLANK(AO576),"",Short2[[#This Row],[Adj Close]]/AO576-1)</f>
        <v>-2.4481884848797875E-2</v>
      </c>
      <c r="AQ575" s="37">
        <v>41071</v>
      </c>
      <c r="AR575" s="44">
        <v>32.729999999999997</v>
      </c>
      <c r="AS575" s="36">
        <f>IF(ISBLANK(AR576),"",Short3[[#This Row],[Adj Close]]/AR576-1)</f>
        <v>2.2493034832429259E-2</v>
      </c>
    </row>
    <row r="576" spans="1:45" x14ac:dyDescent="0.25">
      <c r="A576" s="37">
        <v>41064</v>
      </c>
      <c r="B576" s="39">
        <v>1325.660034</v>
      </c>
      <c r="C576" s="36">
        <f>IF(ISBLANK(B577), "", GSPC[[#This Row],[Adj Close]]/B577-1)</f>
        <v>3.7260174600836526E-2</v>
      </c>
      <c r="D57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76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11536.509136000001</v>
      </c>
      <c r="F576" s="11" t="e">
        <f>IF(ISBLANK(GSPC[[#This Row],[Long Exp.]]), "", (GSPC[[#This Row],[Long Exp.]]/D577-1)+(E577/GSPC[[#This Row],[Short Exp.]]-1))</f>
        <v>#VALUE!</v>
      </c>
      <c r="G576" s="37">
        <v>41064</v>
      </c>
      <c r="H576">
        <v>19.732942999999999</v>
      </c>
      <c r="I576" s="36">
        <f>IF(ISBLANK(H577), "", Long0[[#This Row],[Adj Close]]/H577-1)</f>
        <v>2.7168858761245085E-2</v>
      </c>
      <c r="J576" s="29">
        <v>41064</v>
      </c>
      <c r="K576">
        <v>6.1354490000000004</v>
      </c>
      <c r="L576" s="33">
        <f>IF(ISBLANK(K577),"",Long1[[#This Row],[Adj Close]]/K577-1)</f>
        <v>3.7426983843024786E-2</v>
      </c>
      <c r="M576" s="37">
        <v>41064</v>
      </c>
      <c r="N576">
        <v>40.091206</v>
      </c>
      <c r="O576" s="36">
        <f>IF(ISBLANK(N577),"",Long2[[#This Row],[Adj Close]]/N577-1)</f>
        <v>5.481846920266098E-2</v>
      </c>
      <c r="P576" s="29">
        <v>41064</v>
      </c>
      <c r="Q576">
        <v>15.334341999999999</v>
      </c>
      <c r="R576" s="33">
        <f>IF(ISBLANK(Q577),"",Long3[[#This Row],[Adj Close]]/Q577-1)</f>
        <v>1.492537115861392E-2</v>
      </c>
      <c r="S576" s="37">
        <v>41064</v>
      </c>
      <c r="T576" s="35">
        <v>13.147327000000001</v>
      </c>
      <c r="U576" s="36">
        <f>IF(ISBLANK(T577),"",Long4[[#This Row],[Adj Close]]/T577-1)</f>
        <v>4.9693491056230332E-2</v>
      </c>
      <c r="Y576" s="37">
        <v>41064</v>
      </c>
      <c r="Z576" s="35">
        <v>29.712783999999999</v>
      </c>
      <c r="AA576" s="36">
        <f>IF(ISBLANK(Z577),"",Long6[[#This Row],[Adj Close]]/Z577-1)</f>
        <v>0.11480801322906609</v>
      </c>
      <c r="AH576" s="29">
        <v>41064</v>
      </c>
      <c r="AI576" s="44">
        <v>30.899338</v>
      </c>
      <c r="AJ576" s="33">
        <f>IF(ISBLANK(AI577),"",Short0[[#This Row],[Adj Close]]/AI577-1)</f>
        <v>7.3539630842460735E-2</v>
      </c>
      <c r="AK576" s="37">
        <v>41064</v>
      </c>
      <c r="AL576" s="39">
        <v>14.11942</v>
      </c>
      <c r="AM576" s="36">
        <f>IF(ISBLANK(AL577),"",Short1[[#This Row],[Adj Close]]/AL577-1)</f>
        <v>9.1803405453055209E-2</v>
      </c>
      <c r="AN576" s="29">
        <v>41064</v>
      </c>
      <c r="AO576" s="44">
        <v>24.272886</v>
      </c>
      <c r="AP576" s="33">
        <f>IF(ISBLANK(AO577),"",Short2[[#This Row],[Adj Close]]/AO577-1)</f>
        <v>6.1150917633396196E-2</v>
      </c>
      <c r="AQ576" s="37">
        <v>41064</v>
      </c>
      <c r="AR576" s="44">
        <v>32.009998000000003</v>
      </c>
      <c r="AS576" s="36">
        <f>IF(ISBLANK(AR577),"",Short3[[#This Row],[Adj Close]]/AR577-1)</f>
        <v>0.17511005873715146</v>
      </c>
    </row>
    <row r="577" spans="1:45" x14ac:dyDescent="0.25">
      <c r="A577" s="37">
        <v>41057</v>
      </c>
      <c r="B577" s="39">
        <v>1278.040039</v>
      </c>
      <c r="C577" s="36">
        <f>IF(ISBLANK(B578), "", GSPC[[#This Row],[Adj Close]]/B578-1)</f>
        <v>-3.0186147296331844E-2</v>
      </c>
      <c r="D57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77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10569.003107</v>
      </c>
      <c r="F577" s="11" t="e">
        <f>IF(ISBLANK(GSPC[[#This Row],[Long Exp.]]), "", (GSPC[[#This Row],[Long Exp.]]/D578-1)+(E578/GSPC[[#This Row],[Short Exp.]]-1))</f>
        <v>#VALUE!</v>
      </c>
      <c r="G577" s="37">
        <v>41057</v>
      </c>
      <c r="H577">
        <v>19.211002000000001</v>
      </c>
      <c r="I577" s="36">
        <f>IF(ISBLANK(H578), "", Long0[[#This Row],[Adj Close]]/H578-1)</f>
        <v>-3.0050997167654137E-2</v>
      </c>
      <c r="J577" s="29">
        <v>41057</v>
      </c>
      <c r="K577">
        <v>5.9141019999999997</v>
      </c>
      <c r="L577" s="33">
        <f>IF(ISBLANK(K578),"",Long1[[#This Row],[Adj Close]]/K578-1)</f>
        <v>-3.0612226499759254E-2</v>
      </c>
      <c r="M577" s="37">
        <v>41057</v>
      </c>
      <c r="N577">
        <v>38.007683</v>
      </c>
      <c r="O577" s="36">
        <f>IF(ISBLANK(N578),"",Long2[[#This Row],[Adj Close]]/N578-1)</f>
        <v>-5.1186929916059887E-2</v>
      </c>
      <c r="P577" s="29">
        <v>41057</v>
      </c>
      <c r="Q577">
        <v>15.108836999999999</v>
      </c>
      <c r="R577" s="33">
        <f>IF(ISBLANK(Q578),"",Long3[[#This Row],[Adj Close]]/Q578-1)</f>
        <v>-1.8167540678273308E-3</v>
      </c>
      <c r="S577" s="37">
        <v>41057</v>
      </c>
      <c r="T577" s="35">
        <v>12.52492</v>
      </c>
      <c r="U577" s="36">
        <f>IF(ISBLANK(T578),"",Long4[[#This Row],[Adj Close]]/T578-1)</f>
        <v>2.7304063025510583E-3</v>
      </c>
      <c r="Y577" s="37">
        <v>41057</v>
      </c>
      <c r="Z577" s="35">
        <v>26.652826000000001</v>
      </c>
      <c r="AA577" s="36">
        <f>IF(ISBLANK(Z578),"",Long6[[#This Row],[Adj Close]]/Z578-1)</f>
        <v>-8.4365517295635128E-2</v>
      </c>
      <c r="AH577" s="29">
        <v>41057</v>
      </c>
      <c r="AI577" s="44">
        <v>28.782671000000001</v>
      </c>
      <c r="AJ577" s="33">
        <f>IF(ISBLANK(AI578),"",Short0[[#This Row],[Adj Close]]/AI578-1)</f>
        <v>-0.10329718307230795</v>
      </c>
      <c r="AK577" s="37">
        <v>41057</v>
      </c>
      <c r="AL577" s="39">
        <v>12.9322</v>
      </c>
      <c r="AM577" s="36">
        <f>IF(ISBLANK(AL578),"",Short1[[#This Row],[Adj Close]]/AL578-1)</f>
        <v>-4.5383657637296126E-2</v>
      </c>
      <c r="AN577" s="29">
        <v>41057</v>
      </c>
      <c r="AO577" s="44">
        <v>22.874113000000001</v>
      </c>
      <c r="AP577" s="33">
        <f>IF(ISBLANK(AO578),"",Short2[[#This Row],[Adj Close]]/AO578-1)</f>
        <v>-0.11276594490270375</v>
      </c>
      <c r="AQ577" s="37">
        <v>41057</v>
      </c>
      <c r="AR577" s="44">
        <v>27.24</v>
      </c>
      <c r="AS577" s="36">
        <f>IF(ISBLANK(AR578),"",Short3[[#This Row],[Adj Close]]/AR578-1)</f>
        <v>-0.24185917060951856</v>
      </c>
    </row>
    <row r="578" spans="1:45" x14ac:dyDescent="0.25">
      <c r="A578" s="37">
        <v>41050</v>
      </c>
      <c r="B578" s="39">
        <v>1317.8199460000001</v>
      </c>
      <c r="C578" s="36">
        <f>IF(ISBLANK(B579), "", GSPC[[#This Row],[Adj Close]]/B579-1)</f>
        <v>1.7448754270327882E-2</v>
      </c>
      <c r="D57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78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12143.446585</v>
      </c>
      <c r="F578" s="11" t="e">
        <f>IF(ISBLANK(GSPC[[#This Row],[Long Exp.]]), "", (GSPC[[#This Row],[Long Exp.]]/D579-1)+(E579/GSPC[[#This Row],[Short Exp.]]-1))</f>
        <v>#VALUE!</v>
      </c>
      <c r="G578" s="37">
        <v>41050</v>
      </c>
      <c r="H578">
        <v>19.806197999999998</v>
      </c>
      <c r="I578" s="36">
        <f>IF(ISBLANK(H579), "", Long0[[#This Row],[Adj Close]]/H579-1)</f>
        <v>3.9404072559187986E-2</v>
      </c>
      <c r="J578" s="29">
        <v>41050</v>
      </c>
      <c r="K578">
        <v>6.1008630000000004</v>
      </c>
      <c r="L578" s="33">
        <f>IF(ISBLANK(K579),"",Long1[[#This Row],[Adj Close]]/K579-1)</f>
        <v>0.13367606388345843</v>
      </c>
      <c r="M578" s="37">
        <v>41050</v>
      </c>
      <c r="N578">
        <v>40.058135999999998</v>
      </c>
      <c r="O578" s="36">
        <f>IF(ISBLANK(N579),"",Long2[[#This Row],[Adj Close]]/N579-1)</f>
        <v>4.2608222225495762E-2</v>
      </c>
      <c r="P578" s="29">
        <v>41050</v>
      </c>
      <c r="Q578">
        <v>15.136336</v>
      </c>
      <c r="R578" s="33">
        <f>IF(ISBLANK(Q579),"",Long3[[#This Row],[Adj Close]]/Q579-1)</f>
        <v>1.2136813038087002E-2</v>
      </c>
      <c r="S578" s="37">
        <v>41050</v>
      </c>
      <c r="T578" s="35">
        <v>12.490815</v>
      </c>
      <c r="U578" s="36">
        <f>IF(ISBLANK(T579),"",Long4[[#This Row],[Adj Close]]/T579-1)</f>
        <v>1.3670293399032918E-3</v>
      </c>
      <c r="Y578" s="37">
        <v>41050</v>
      </c>
      <c r="Z578" s="35">
        <v>29.108587</v>
      </c>
      <c r="AA578" s="36">
        <f>IF(ISBLANK(Z579),"",Long6[[#This Row],[Adj Close]]/Z579-1)</f>
        <v>6.792995228128218E-2</v>
      </c>
      <c r="AH578" s="29">
        <v>41050</v>
      </c>
      <c r="AI578" s="44">
        <v>32.098339000000003</v>
      </c>
      <c r="AJ578" s="33">
        <f>IF(ISBLANK(AI579),"",Short0[[#This Row],[Adj Close]]/AI579-1)</f>
        <v>3.3204135360865861E-2</v>
      </c>
      <c r="AK578" s="37">
        <v>41050</v>
      </c>
      <c r="AL578" s="39">
        <v>13.547013</v>
      </c>
      <c r="AM578" s="36">
        <f>IF(ISBLANK(AL579),"",Short1[[#This Row],[Adj Close]]/AL579-1)</f>
        <v>6.3817692275616622E-2</v>
      </c>
      <c r="AN578" s="29">
        <v>41050</v>
      </c>
      <c r="AO578" s="44">
        <v>25.781374</v>
      </c>
      <c r="AP578" s="33">
        <f>IF(ISBLANK(AO579),"",Short2[[#This Row],[Adj Close]]/AO579-1)</f>
        <v>7.7157915301629076E-2</v>
      </c>
      <c r="AQ578" s="37">
        <v>41050</v>
      </c>
      <c r="AR578" s="44">
        <v>35.93</v>
      </c>
      <c r="AS578" s="36">
        <f>IF(ISBLANK(AR579),"",Short3[[#This Row],[Adj Close]]/AR579-1)</f>
        <v>0.23640747544416629</v>
      </c>
    </row>
    <row r="579" spans="1:45" x14ac:dyDescent="0.25">
      <c r="A579" s="37">
        <v>41043</v>
      </c>
      <c r="B579" s="39">
        <v>1295.219971</v>
      </c>
      <c r="C579" s="36">
        <f>IF(ISBLANK(B580), "", GSPC[[#This Row],[Adj Close]]/B580-1)</f>
        <v>-4.2980990959948784E-2</v>
      </c>
      <c r="D57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79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11181.112294</v>
      </c>
      <c r="F579" s="11" t="e">
        <f>IF(ISBLANK(GSPC[[#This Row],[Long Exp.]]), "", (GSPC[[#This Row],[Long Exp.]]/D580-1)+(E580/GSPC[[#This Row],[Short Exp.]]-1))</f>
        <v>#VALUE!</v>
      </c>
      <c r="G579" s="37">
        <v>41043</v>
      </c>
      <c r="H579">
        <v>19.055340000000001</v>
      </c>
      <c r="I579" s="36">
        <f>IF(ISBLANK(H580), "", Long0[[#This Row],[Adj Close]]/H580-1)</f>
        <v>-3.2992607384495831E-2</v>
      </c>
      <c r="J579" s="29">
        <v>41043</v>
      </c>
      <c r="K579">
        <v>5.3814869999999999</v>
      </c>
      <c r="L579" s="33">
        <f>IF(ISBLANK(K580),"",Long1[[#This Row],[Adj Close]]/K580-1)</f>
        <v>-4.1281555701916717E-2</v>
      </c>
      <c r="M579" s="37">
        <v>41043</v>
      </c>
      <c r="N579">
        <v>38.421081999999998</v>
      </c>
      <c r="O579" s="36">
        <f>IF(ISBLANK(N580),"",Long2[[#This Row],[Adj Close]]/N580-1)</f>
        <v>-5.0275918963181621E-2</v>
      </c>
      <c r="P579" s="29">
        <v>41043</v>
      </c>
      <c r="Q579">
        <v>14.954832</v>
      </c>
      <c r="R579" s="33">
        <f>IF(ISBLANK(Q580),"",Long3[[#This Row],[Adj Close]]/Q580-1)</f>
        <v>-1.1991277149238755E-2</v>
      </c>
      <c r="S579" s="37">
        <v>41043</v>
      </c>
      <c r="T579" s="35">
        <v>12.473763</v>
      </c>
      <c r="U579" s="36">
        <f>IF(ISBLANK(T580),"",Long4[[#This Row],[Adj Close]]/T580-1)</f>
        <v>-1.0818084213065626E-2</v>
      </c>
      <c r="Y579" s="37">
        <v>41043</v>
      </c>
      <c r="Z579" s="35">
        <v>27.257019</v>
      </c>
      <c r="AA579" s="36">
        <f>IF(ISBLANK(Z580),"",Long6[[#This Row],[Adj Close]]/Z580-1)</f>
        <v>-0.21233461119000174</v>
      </c>
      <c r="AH579" s="29">
        <v>41043</v>
      </c>
      <c r="AI579" s="44">
        <v>31.066793000000001</v>
      </c>
      <c r="AJ579" s="33">
        <f>IF(ISBLANK(AI580),"",Short0[[#This Row],[Adj Close]]/AI580-1)</f>
        <v>-0.10255428669894096</v>
      </c>
      <c r="AK579" s="37">
        <v>41043</v>
      </c>
      <c r="AL579" s="39">
        <v>12.734337</v>
      </c>
      <c r="AM579" s="36">
        <f>IF(ISBLANK(AL580),"",Short1[[#This Row],[Adj Close]]/AL580-1)</f>
        <v>-6.5352406176789835E-2</v>
      </c>
      <c r="AN579" s="29">
        <v>41043</v>
      </c>
      <c r="AO579" s="44">
        <v>23.934628</v>
      </c>
      <c r="AP579" s="33">
        <f>IF(ISBLANK(AO580),"",Short2[[#This Row],[Adj Close]]/AO580-1)</f>
        <v>-7.9788622219734373E-2</v>
      </c>
      <c r="AQ579" s="37">
        <v>41043</v>
      </c>
      <c r="AR579" s="44">
        <v>29.059999000000001</v>
      </c>
      <c r="AS579" s="36">
        <f>IF(ISBLANK(AR580),"",Short3[[#This Row],[Adj Close]]/AR580-1)</f>
        <v>-7.3341898171495612E-2</v>
      </c>
    </row>
    <row r="580" spans="1:45" x14ac:dyDescent="0.25">
      <c r="A580" s="37">
        <v>41036</v>
      </c>
      <c r="B580" s="39">
        <v>1353.3900149999999</v>
      </c>
      <c r="C580" s="36">
        <f>IF(ISBLANK(B581), "", GSPC[[#This Row],[Adj Close]]/B581-1)</f>
        <v>-1.1474663118393069E-2</v>
      </c>
      <c r="D58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80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12254.483344</v>
      </c>
      <c r="F580" s="11" t="e">
        <f>IF(ISBLANK(GSPC[[#This Row],[Long Exp.]]), "", (GSPC[[#This Row],[Long Exp.]]/D581-1)+(E581/GSPC[[#This Row],[Short Exp.]]-1))</f>
        <v>#VALUE!</v>
      </c>
      <c r="G580" s="37">
        <v>41036</v>
      </c>
      <c r="H580">
        <v>19.705475</v>
      </c>
      <c r="I580" s="36">
        <f>IF(ISBLANK(H581), "", Long0[[#This Row],[Adj Close]]/H581-1)</f>
        <v>2.476197935038682E-2</v>
      </c>
      <c r="J580" s="29">
        <v>41036</v>
      </c>
      <c r="K580">
        <v>5.6132090000000003</v>
      </c>
      <c r="L580" s="33">
        <f>IF(ISBLANK(K581),"",Long1[[#This Row],[Adj Close]]/K581-1)</f>
        <v>2.0754570129756456E-2</v>
      </c>
      <c r="M580" s="37">
        <v>41036</v>
      </c>
      <c r="N580">
        <v>40.454993999999999</v>
      </c>
      <c r="O580" s="36">
        <f>IF(ISBLANK(N581),"",Long2[[#This Row],[Adj Close]]/N581-1)</f>
        <v>-3.7368592941058876E-2</v>
      </c>
      <c r="P580" s="29">
        <v>41036</v>
      </c>
      <c r="Q580">
        <v>15.136336</v>
      </c>
      <c r="R580" s="33">
        <f>IF(ISBLANK(Q581),"",Long3[[#This Row],[Adj Close]]/Q581-1)</f>
        <v>6.2155163949459968E-3</v>
      </c>
      <c r="S580" s="37">
        <v>41036</v>
      </c>
      <c r="T580" s="35">
        <v>12.610181000000001</v>
      </c>
      <c r="U580" s="36">
        <f>IF(ISBLANK(T581),"",Long4[[#This Row],[Adj Close]]/T581-1)</f>
        <v>1.3013786831379326E-2</v>
      </c>
      <c r="Y580" s="37">
        <v>41036</v>
      </c>
      <c r="Z580" s="35">
        <v>34.604819999999997</v>
      </c>
      <c r="AA580" s="36">
        <f>IF(ISBLANK(Z581),"",Long6[[#This Row],[Adj Close]]/Z581-1)</f>
        <v>-0.12342609773562352</v>
      </c>
      <c r="AH580" s="29">
        <v>41036</v>
      </c>
      <c r="AI580" s="44">
        <v>34.616905000000003</v>
      </c>
      <c r="AJ580" s="33">
        <f>IF(ISBLANK(AI581),"",Short0[[#This Row],[Adj Close]]/AI581-1)</f>
        <v>-4.5261281458860769E-2</v>
      </c>
      <c r="AK580" s="37">
        <v>41036</v>
      </c>
      <c r="AL580" s="39">
        <v>13.624746999999999</v>
      </c>
      <c r="AM580" s="36">
        <f>IF(ISBLANK(AL581),"",Short1[[#This Row],[Adj Close]]/AL581-1)</f>
        <v>-7.3967229997303874E-2</v>
      </c>
      <c r="AN580" s="29">
        <v>41036</v>
      </c>
      <c r="AO580" s="44">
        <v>26.009924000000002</v>
      </c>
      <c r="AP580" s="33">
        <f>IF(ISBLANK(AO581),"",Short2[[#This Row],[Adj Close]]/AO581-1)</f>
        <v>1.1735032627869568E-2</v>
      </c>
      <c r="AQ580" s="37">
        <v>41036</v>
      </c>
      <c r="AR580" s="44">
        <v>31.360001</v>
      </c>
      <c r="AS580" s="36">
        <f>IF(ISBLANK(AR581),"",Short3[[#This Row],[Adj Close]]/AR581-1)</f>
        <v>-2.2139039600873045E-2</v>
      </c>
    </row>
    <row r="581" spans="1:45" x14ac:dyDescent="0.25">
      <c r="A581" s="37">
        <v>41029</v>
      </c>
      <c r="B581" s="39">
        <v>1369.099976</v>
      </c>
      <c r="C581" s="36">
        <f>IF(ISBLANK(B582), "", GSPC[[#This Row],[Adj Close]]/B582-1)</f>
        <v>-2.4412844434922421E-2</v>
      </c>
      <c r="D58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81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12638.332678000001</v>
      </c>
      <c r="F581" s="11" t="e">
        <f>IF(ISBLANK(GSPC[[#This Row],[Long Exp.]]), "", (GSPC[[#This Row],[Long Exp.]]/D582-1)+(E582/GSPC[[#This Row],[Short Exp.]]-1))</f>
        <v>#VALUE!</v>
      </c>
      <c r="G581" s="37">
        <v>41029</v>
      </c>
      <c r="H581">
        <v>19.229319</v>
      </c>
      <c r="I581" s="36">
        <f>IF(ISBLANK(H582), "", Long0[[#This Row],[Adj Close]]/H582-1)</f>
        <v>-4.8913071434054434E-2</v>
      </c>
      <c r="J581" s="29">
        <v>41029</v>
      </c>
      <c r="K581">
        <v>5.4990779999999999</v>
      </c>
      <c r="L581" s="33">
        <f>IF(ISBLANK(K582),"",Long1[[#This Row],[Adj Close]]/K582-1)</f>
        <v>-5.6379779186734091E-2</v>
      </c>
      <c r="M581" s="37">
        <v>41029</v>
      </c>
      <c r="N581">
        <v>42.025424999999998</v>
      </c>
      <c r="O581" s="36">
        <f>IF(ISBLANK(N582),"",Long2[[#This Row],[Adj Close]]/N582-1)</f>
        <v>-3.8678804620334128E-2</v>
      </c>
      <c r="P581" s="29">
        <v>41029</v>
      </c>
      <c r="Q581">
        <v>15.042837</v>
      </c>
      <c r="R581" s="33">
        <f>IF(ISBLANK(Q582),"",Long3[[#This Row],[Adj Close]]/Q582-1)</f>
        <v>1.4643654106982762E-3</v>
      </c>
      <c r="S581" s="37">
        <v>41029</v>
      </c>
      <c r="T581" s="35">
        <v>12.448183</v>
      </c>
      <c r="U581" s="36">
        <f>IF(ISBLANK(T582),"",Long4[[#This Row],[Adj Close]]/T582-1)</f>
        <v>-4.8860119775541055E-2</v>
      </c>
      <c r="Y581" s="37">
        <v>41029</v>
      </c>
      <c r="Z581" s="35">
        <v>39.477356</v>
      </c>
      <c r="AA581" s="36">
        <f>IF(ISBLANK(Z582),"",Long6[[#This Row],[Adj Close]]/Z582-1)</f>
        <v>-0.10296748368821851</v>
      </c>
      <c r="AH581" s="29">
        <v>41029</v>
      </c>
      <c r="AI581" s="44">
        <v>36.257987999999997</v>
      </c>
      <c r="AJ581" s="33">
        <f>IF(ISBLANK(AI582),"",Short0[[#This Row],[Adj Close]]/AI582-1)</f>
        <v>-3.1143853461060522E-2</v>
      </c>
      <c r="AK581" s="37">
        <v>41029</v>
      </c>
      <c r="AL581" s="39">
        <v>14.713029000000001</v>
      </c>
      <c r="AM581" s="36">
        <f>IF(ISBLANK(AL582),"",Short1[[#This Row],[Adj Close]]/AL582-1)</f>
        <v>-6.7622312306049426E-2</v>
      </c>
      <c r="AN581" s="29">
        <v>41029</v>
      </c>
      <c r="AO581" s="44">
        <v>25.708237</v>
      </c>
      <c r="AP581" s="33">
        <f>IF(ISBLANK(AO582),"",Short2[[#This Row],[Adj Close]]/AO582-1)</f>
        <v>-8.6689764605397679E-3</v>
      </c>
      <c r="AQ581" s="37">
        <v>41029</v>
      </c>
      <c r="AR581" s="44">
        <v>32.07</v>
      </c>
      <c r="AS581" s="36">
        <f>IF(ISBLANK(AR582),"",Short3[[#This Row],[Adj Close]]/AR582-1)</f>
        <v>-8.5282399164791745E-2</v>
      </c>
    </row>
    <row r="582" spans="1:45" x14ac:dyDescent="0.25">
      <c r="A582" s="37">
        <v>41022</v>
      </c>
      <c r="B582" s="39">
        <v>1403.3599850000001</v>
      </c>
      <c r="C582" s="36">
        <f>IF(ISBLANK(B583), "", GSPC[[#This Row],[Adj Close]]/B583-1)</f>
        <v>1.8011907958227047E-2</v>
      </c>
      <c r="D58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82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13171.281236999999</v>
      </c>
      <c r="F582" s="11" t="e">
        <f>IF(ISBLANK(GSPC[[#This Row],[Long Exp.]]), "", (GSPC[[#This Row],[Long Exp.]]/D583-1)+(E583/GSPC[[#This Row],[Short Exp.]]-1))</f>
        <v>#VALUE!</v>
      </c>
      <c r="G582" s="37">
        <v>41022</v>
      </c>
      <c r="H582">
        <v>20.218256</v>
      </c>
      <c r="I582" s="36">
        <f>IF(ISBLANK(H583), "", Long0[[#This Row],[Adj Close]]/H583-1)</f>
        <v>1.0988978019493834E-2</v>
      </c>
      <c r="J582" s="29">
        <v>41022</v>
      </c>
      <c r="K582">
        <v>5.8276389999999996</v>
      </c>
      <c r="L582" s="33">
        <f>IF(ISBLANK(K583),"",Long1[[#This Row],[Adj Close]]/K583-1)</f>
        <v>-5.3128935342358075E-3</v>
      </c>
      <c r="M582" s="37">
        <v>41022</v>
      </c>
      <c r="N582">
        <v>43.716320000000003</v>
      </c>
      <c r="O582" s="36">
        <f>IF(ISBLANK(N583),"",Long2[[#This Row],[Adj Close]]/N583-1)</f>
        <v>3.3742399834473913E-2</v>
      </c>
      <c r="P582" s="29">
        <v>41022</v>
      </c>
      <c r="Q582">
        <v>15.020841000000001</v>
      </c>
      <c r="R582" s="33">
        <f>IF(ISBLANK(Q583),"",Long3[[#This Row],[Adj Close]]/Q583-1)</f>
        <v>5.8939271248554803E-3</v>
      </c>
      <c r="S582" s="37">
        <v>41022</v>
      </c>
      <c r="T582" s="35">
        <v>13.087647</v>
      </c>
      <c r="U582" s="36">
        <f>IF(ISBLANK(T583),"",Long4[[#This Row],[Adj Close]]/T583-1)</f>
        <v>-1.5394357308189499E-2</v>
      </c>
      <c r="Y582" s="37">
        <v>41022</v>
      </c>
      <c r="Z582" s="35">
        <v>44.008834999999998</v>
      </c>
      <c r="AA582" s="36">
        <f>IF(ISBLANK(Z583),"",Long6[[#This Row],[Adj Close]]/Z583-1)</f>
        <v>0.13925331707910704</v>
      </c>
      <c r="AH582" s="29">
        <v>41022</v>
      </c>
      <c r="AI582" s="44">
        <v>37.423499999999997</v>
      </c>
      <c r="AJ582" s="33">
        <f>IF(ISBLANK(AI583),"",Short0[[#This Row],[Adj Close]]/AI583-1)</f>
        <v>-3.5226758770262712E-2</v>
      </c>
      <c r="AK582" s="37">
        <v>41022</v>
      </c>
      <c r="AL582" s="39">
        <v>15.780117000000001</v>
      </c>
      <c r="AM582" s="36">
        <f>IF(ISBLANK(AL583),"",Short1[[#This Row],[Adj Close]]/AL583-1)</f>
        <v>4.7727970935790065E-2</v>
      </c>
      <c r="AN582" s="29">
        <v>41022</v>
      </c>
      <c r="AO582" s="44">
        <v>25.933050000000001</v>
      </c>
      <c r="AP582" s="33">
        <f>IF(ISBLANK(AO583),"",Short2[[#This Row],[Adj Close]]/AO583-1)</f>
        <v>0.10244501452905208</v>
      </c>
      <c r="AQ582" s="37">
        <v>41022</v>
      </c>
      <c r="AR582" s="44">
        <v>35.060001</v>
      </c>
      <c r="AS582" s="36">
        <f>IF(ISBLANK(AR583),"",Short3[[#This Row],[Adj Close]]/AR583-1)</f>
        <v>-3.1491711837245528E-2</v>
      </c>
    </row>
    <row r="583" spans="1:45" x14ac:dyDescent="0.25">
      <c r="A583" s="37">
        <v>41015</v>
      </c>
      <c r="B583" s="39">
        <v>1378.530029</v>
      </c>
      <c r="C583" s="36">
        <f>IF(ISBLANK(B584), "", GSPC[[#This Row],[Adj Close]]/B584-1)</f>
        <v>6.035364777229324E-3</v>
      </c>
      <c r="D58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83" s="39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13126.737313</v>
      </c>
      <c r="F583" s="11" t="e">
        <f>IF(ISBLANK(GSPC[[#This Row],[Long Exp.]]), "", (GSPC[[#This Row],[Long Exp.]]/D584-1)+(E584/GSPC[[#This Row],[Short Exp.]]-1))</f>
        <v>#VALUE!</v>
      </c>
      <c r="G583" s="37">
        <v>41015</v>
      </c>
      <c r="H583">
        <v>19.998493</v>
      </c>
      <c r="I583" s="36">
        <f>IF(ISBLANK(H584), "", Long0[[#This Row],[Adj Close]]/H584-1)</f>
        <v>-1.0421443289337806E-2</v>
      </c>
      <c r="J583" s="29">
        <v>41015</v>
      </c>
      <c r="K583">
        <v>5.8587660000000001</v>
      </c>
      <c r="L583" s="33">
        <f>IF(ISBLANK(K584),"",Long1[[#This Row],[Adj Close]]/K584-1)</f>
        <v>-7.0339177813617537E-3</v>
      </c>
      <c r="M583" s="37">
        <v>41015</v>
      </c>
      <c r="N583">
        <v>42.289375</v>
      </c>
      <c r="O583" s="36">
        <f>IF(ISBLANK(N584),"",Long2[[#This Row],[Adj Close]]/N584-1)</f>
        <v>2.0501524669667814E-2</v>
      </c>
      <c r="P583" s="29">
        <v>41015</v>
      </c>
      <c r="Q583">
        <v>14.932828000000001</v>
      </c>
      <c r="R583" s="33">
        <f>IF(ISBLANK(Q584),"",Long3[[#This Row],[Adj Close]]/Q584-1)</f>
        <v>1.4194609296263927E-2</v>
      </c>
      <c r="S583" s="37">
        <v>41015</v>
      </c>
      <c r="T583" s="35">
        <v>13.292273</v>
      </c>
      <c r="U583" s="36">
        <f>IF(ISBLANK(T584),"",Long4[[#This Row],[Adj Close]]/T584-1)</f>
        <v>-1.8879900065389532E-2</v>
      </c>
      <c r="Y583" s="37">
        <v>41015</v>
      </c>
      <c r="Z583" s="35">
        <v>38.629542999999998</v>
      </c>
      <c r="AA583" s="36">
        <f>IF(ISBLANK(Z584),"",Long6[[#This Row],[Adj Close]]/Z584-1)</f>
        <v>9.7756750310582285E-2</v>
      </c>
      <c r="AH583" s="29">
        <v>41015</v>
      </c>
      <c r="AI583" s="44">
        <v>38.789943999999998</v>
      </c>
      <c r="AJ583" s="33">
        <f>IF(ISBLANK(AI584),"",Short0[[#This Row],[Adj Close]]/AI584-1)</f>
        <v>-4.6905838853928516E-2</v>
      </c>
      <c r="AK583" s="37">
        <v>41015</v>
      </c>
      <c r="AL583" s="39">
        <v>15.061273</v>
      </c>
      <c r="AM583" s="36">
        <f>IF(ISBLANK(AL584),"",Short1[[#This Row],[Adj Close]]/AL584-1)</f>
        <v>-2.5861955220860988E-2</v>
      </c>
      <c r="AN583" s="29">
        <v>41015</v>
      </c>
      <c r="AO583" s="44">
        <v>23.523213999999999</v>
      </c>
      <c r="AP583" s="33">
        <f>IF(ISBLANK(AO584),"",Short2[[#This Row],[Adj Close]]/AO584-1)</f>
        <v>-1.3021800762538005E-2</v>
      </c>
      <c r="AQ583" s="37">
        <v>41015</v>
      </c>
      <c r="AR583" s="44">
        <v>36.200001</v>
      </c>
      <c r="AS583" s="36" t="str">
        <f>IF(ISBLANK(AR584),"",Short3[[#This Row],[Adj Close]]/AR584-1)</f>
        <v/>
      </c>
    </row>
    <row r="584" spans="1:45" x14ac:dyDescent="0.25">
      <c r="A584" s="37">
        <v>41008</v>
      </c>
      <c r="B584" s="39">
        <v>1370.26001</v>
      </c>
      <c r="C584" s="36">
        <f>IF(ISBLANK(B585), "", GSPC[[#This Row],[Adj Close]]/B585-1)</f>
        <v>-1.9898680244007538E-2</v>
      </c>
      <c r="D58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8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584" s="11" t="e">
        <f>IF(ISBLANK(GSPC[[#This Row],[Long Exp.]]), "", (GSPC[[#This Row],[Long Exp.]]/D585-1)+(E585/GSPC[[#This Row],[Short Exp.]]-1))</f>
        <v>#VALUE!</v>
      </c>
      <c r="G584" s="37">
        <v>41008</v>
      </c>
      <c r="H584">
        <v>20.209101</v>
      </c>
      <c r="I584" s="36">
        <f>IF(ISBLANK(H585), "", Long0[[#This Row],[Adj Close]]/H585-1)</f>
        <v>-2.3019005567008977E-2</v>
      </c>
      <c r="J584" s="29">
        <v>41008</v>
      </c>
      <c r="K584">
        <v>5.9002679999999996</v>
      </c>
      <c r="L584" s="33">
        <f>IF(ISBLANK(K585),"",Long1[[#This Row],[Adj Close]]/K585-1)</f>
        <v>2.3395315317190413E-2</v>
      </c>
      <c r="M584" s="37">
        <v>41008</v>
      </c>
      <c r="N584">
        <v>41.439796000000001</v>
      </c>
      <c r="O584" s="36">
        <f>IF(ISBLANK(N585),"",Long2[[#This Row],[Adj Close]]/N585-1)</f>
        <v>-5.1359476780054591E-2</v>
      </c>
      <c r="P584" s="29">
        <v>41008</v>
      </c>
      <c r="Q584">
        <v>14.723829</v>
      </c>
      <c r="R584" s="33">
        <f>IF(ISBLANK(Q585),"",Long3[[#This Row],[Adj Close]]/Q585-1)</f>
        <v>-3.1125296813448333E-2</v>
      </c>
      <c r="S584" s="37">
        <v>41008</v>
      </c>
      <c r="T584" s="35">
        <v>13.548059</v>
      </c>
      <c r="U584" s="36">
        <f>IF(ISBLANK(T585),"",Long4[[#This Row],[Adj Close]]/T585-1)</f>
        <v>-5.6320117573886996E-3</v>
      </c>
      <c r="Y584" s="37">
        <v>41008</v>
      </c>
      <c r="Z584" s="35">
        <v>35.189529</v>
      </c>
      <c r="AA584" s="36">
        <f>IF(ISBLANK(Z585),"",Long6[[#This Row],[Adj Close]]/Z585-1)</f>
        <v>6.9718352016883145E-3</v>
      </c>
      <c r="AH584" s="29">
        <v>41008</v>
      </c>
      <c r="AI584" s="44">
        <v>40.698962999999999</v>
      </c>
      <c r="AJ584" s="33">
        <f>IF(ISBLANK(AI585),"",Short0[[#This Row],[Adj Close]]/AI585-1)</f>
        <v>3.4036496066623068E-2</v>
      </c>
      <c r="AK584" s="37">
        <v>41008</v>
      </c>
      <c r="AL584" s="39">
        <v>15.461128</v>
      </c>
      <c r="AM584" s="36">
        <f>IF(ISBLANK(AL585),"",Short1[[#This Row],[Adj Close]]/AL585-1)</f>
        <v>-2.6931574553410775E-2</v>
      </c>
      <c r="AN584" s="29">
        <v>41008</v>
      </c>
      <c r="AO584" s="44">
        <v>23.833570000000002</v>
      </c>
      <c r="AP584" s="33">
        <f>IF(ISBLANK(AO585),"",Short2[[#This Row],[Adj Close]]/AO585-1)</f>
        <v>-5.333667871772918E-3</v>
      </c>
    </row>
    <row r="585" spans="1:45" x14ac:dyDescent="0.25">
      <c r="A585" s="37">
        <v>41001</v>
      </c>
      <c r="B585" s="39">
        <v>1398.079956</v>
      </c>
      <c r="C585" s="36">
        <f>IF(ISBLANK(B586), "", GSPC[[#This Row],[Adj Close]]/B586-1)</f>
        <v>-7.3768097395950916E-3</v>
      </c>
      <c r="D58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8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585" s="11" t="e">
        <f>IF(ISBLANK(GSPC[[#This Row],[Long Exp.]]), "", (GSPC[[#This Row],[Long Exp.]]/D586-1)+(E586/GSPC[[#This Row],[Short Exp.]]-1))</f>
        <v>#VALUE!</v>
      </c>
      <c r="G585" s="37">
        <v>41001</v>
      </c>
      <c r="H585">
        <v>20.685255000000002</v>
      </c>
      <c r="I585" s="36">
        <f>IF(ISBLANK(H586), "", Long0[[#This Row],[Adj Close]]/H586-1)</f>
        <v>-3.6673618427235377E-2</v>
      </c>
      <c r="J585" s="29">
        <v>41001</v>
      </c>
      <c r="K585">
        <v>5.7653850000000002</v>
      </c>
      <c r="L585" s="33">
        <f>IF(ISBLANK(K586),"",Long1[[#This Row],[Adj Close]]/K586-1)</f>
        <v>-7.7380933940939256E-3</v>
      </c>
      <c r="M585" s="37">
        <v>41001</v>
      </c>
      <c r="N585">
        <v>43.683349999999997</v>
      </c>
      <c r="O585" s="36">
        <f>IF(ISBLANK(N586),"",Long2[[#This Row],[Adj Close]]/N586-1)</f>
        <v>-4.214121680705385E-2</v>
      </c>
      <c r="P585" s="29">
        <v>41001</v>
      </c>
      <c r="Q585">
        <v>15.196835</v>
      </c>
      <c r="R585" s="33">
        <f>IF(ISBLANK(Q586),"",Long3[[#This Row],[Adj Close]]/Q586-1)</f>
        <v>-2.2293205079524037E-2</v>
      </c>
      <c r="S585" s="37">
        <v>41001</v>
      </c>
      <c r="T585" s="35">
        <v>13.624794</v>
      </c>
      <c r="U585" s="36">
        <f>IF(ISBLANK(T586),"",Long4[[#This Row],[Adj Close]]/T586-1)</f>
        <v>-7.4534271894706183E-3</v>
      </c>
      <c r="Y585" s="37">
        <v>41001</v>
      </c>
      <c r="Z585" s="35">
        <v>34.945892000000001</v>
      </c>
      <c r="AA585" s="36">
        <f>IF(ISBLANK(Z586),"",Long6[[#This Row],[Adj Close]]/Z586-1)</f>
        <v>-1.834139240105237E-2</v>
      </c>
      <c r="AH585" s="29">
        <v>41001</v>
      </c>
      <c r="AI585" s="44">
        <v>39.359310000000001</v>
      </c>
      <c r="AJ585" s="33">
        <f>IF(ISBLANK(AI586),"",Short0[[#This Row],[Adj Close]]/AI586-1)</f>
        <v>2.0670707549325096E-2</v>
      </c>
      <c r="AK585" s="37">
        <v>41001</v>
      </c>
      <c r="AL585" s="39">
        <v>15.889044999999999</v>
      </c>
      <c r="AM585" s="36">
        <f>IF(ISBLANK(AL586),"",Short1[[#This Row],[Adj Close]]/AL586-1)</f>
        <v>-4.3496323169103457E-2</v>
      </c>
      <c r="AN585" s="29">
        <v>41001</v>
      </c>
      <c r="AO585" s="44">
        <v>23.961372000000001</v>
      </c>
      <c r="AP585" s="33">
        <f>IF(ISBLANK(AO586),"",Short2[[#This Row],[Adj Close]]/AO586-1)</f>
        <v>-3.4216211776035177E-2</v>
      </c>
    </row>
    <row r="586" spans="1:45" x14ac:dyDescent="0.25">
      <c r="A586" s="37">
        <v>40994</v>
      </c>
      <c r="B586" s="39">
        <v>1408.469971</v>
      </c>
      <c r="C586" s="36">
        <f>IF(ISBLANK(B587), "", GSPC[[#This Row],[Adj Close]]/B587-1)</f>
        <v>8.1310606337123836E-3</v>
      </c>
      <c r="D58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8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586" s="11" t="e">
        <f>IF(ISBLANK(GSPC[[#This Row],[Long Exp.]]), "", (GSPC[[#This Row],[Long Exp.]]/D587-1)+(E587/GSPC[[#This Row],[Short Exp.]]-1))</f>
        <v>#VALUE!</v>
      </c>
      <c r="G586" s="37">
        <v>40994</v>
      </c>
      <c r="H586">
        <v>21.472738</v>
      </c>
      <c r="I586" s="36">
        <f>IF(ISBLANK(H587), "", Long0[[#This Row],[Adj Close]]/H587-1)</f>
        <v>2.0452546025238272E-2</v>
      </c>
      <c r="J586" s="29">
        <v>40994</v>
      </c>
      <c r="K586">
        <v>5.810346</v>
      </c>
      <c r="L586" s="33">
        <f>IF(ISBLANK(K587),"",Long1[[#This Row],[Adj Close]]/K587-1)</f>
        <v>2.6894914786936397E-2</v>
      </c>
      <c r="M586" s="37">
        <v>40994</v>
      </c>
      <c r="N586">
        <v>45.605209000000002</v>
      </c>
      <c r="O586" s="36">
        <f>IF(ISBLANK(N587),"",Long2[[#This Row],[Adj Close]]/N587-1)</f>
        <v>-4.1767886758137585E-2</v>
      </c>
      <c r="P586" s="29">
        <v>40994</v>
      </c>
      <c r="Q586">
        <v>15.543346</v>
      </c>
      <c r="R586" s="33">
        <f>IF(ISBLANK(Q587),"",Long3[[#This Row],[Adj Close]]/Q587-1)</f>
        <v>2.1323119847625582E-2</v>
      </c>
      <c r="S586" s="37">
        <v>40994</v>
      </c>
      <c r="T586" s="35">
        <v>13.727107999999999</v>
      </c>
      <c r="U586" s="36">
        <f>IF(ISBLANK(T587),"",Long4[[#This Row],[Adj Close]]/T587-1)</f>
        <v>2.4907613392592953E-3</v>
      </c>
      <c r="Y586" s="37">
        <v>40994</v>
      </c>
      <c r="Z586" s="35">
        <v>35.598824</v>
      </c>
      <c r="AA586" s="36">
        <f>IF(ISBLANK(Z587),"",Long6[[#This Row],[Adj Close]]/Z587-1)</f>
        <v>-2.4575941503076626E-3</v>
      </c>
      <c r="AH586" s="29">
        <v>40994</v>
      </c>
      <c r="AI586" s="44">
        <v>38.562201999999999</v>
      </c>
      <c r="AJ586" s="33">
        <f>IF(ISBLANK(AI587),"",Short0[[#This Row],[Adj Close]]/AI587-1)</f>
        <v>6.9491906187191255E-4</v>
      </c>
      <c r="AK586" s="37">
        <v>40994</v>
      </c>
      <c r="AL586" s="39">
        <v>16.611588000000001</v>
      </c>
      <c r="AM586" s="36">
        <f>IF(ISBLANK(AL587),"",Short1[[#This Row],[Adj Close]]/AL587-1)</f>
        <v>-0.13922232414803981</v>
      </c>
      <c r="AN586" s="29">
        <v>40994</v>
      </c>
      <c r="AO586" s="44">
        <v>24.810286000000001</v>
      </c>
      <c r="AP586" s="33">
        <f>IF(ISBLANK(AO587),"",Short2[[#This Row],[Adj Close]]/AO587-1)</f>
        <v>5.1044103479670033E-2</v>
      </c>
    </row>
    <row r="587" spans="1:45" x14ac:dyDescent="0.25">
      <c r="A587" s="37">
        <v>40987</v>
      </c>
      <c r="B587" s="39">
        <v>1397.1099850000001</v>
      </c>
      <c r="C587" s="36">
        <f>IF(ISBLANK(B588), "", GSPC[[#This Row],[Adj Close]]/B588-1)</f>
        <v>-5.0279230996042035E-3</v>
      </c>
      <c r="D58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8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587" s="11" t="e">
        <f>IF(ISBLANK(GSPC[[#This Row],[Long Exp.]]), "", (GSPC[[#This Row],[Long Exp.]]/D588-1)+(E588/GSPC[[#This Row],[Short Exp.]]-1))</f>
        <v>#VALUE!</v>
      </c>
      <c r="G587" s="37">
        <v>40987</v>
      </c>
      <c r="H587">
        <v>21.042368</v>
      </c>
      <c r="I587" s="36">
        <f>IF(ISBLANK(H588), "", Long0[[#This Row],[Adj Close]]/H588-1)</f>
        <v>3.9317347901299815E-3</v>
      </c>
      <c r="J587" s="29">
        <v>40987</v>
      </c>
      <c r="K587">
        <v>5.6581700000000001</v>
      </c>
      <c r="L587" s="33">
        <f>IF(ISBLANK(K588),"",Long1[[#This Row],[Adj Close]]/K588-1)</f>
        <v>-1.0882759739487935E-2</v>
      </c>
      <c r="M587" s="37">
        <v>40987</v>
      </c>
      <c r="N587">
        <v>47.593071000000002</v>
      </c>
      <c r="O587" s="36">
        <f>IF(ISBLANK(N588),"",Long2[[#This Row],[Adj Close]]/N588-1)</f>
        <v>3.3036896847640218E-3</v>
      </c>
      <c r="P587" s="29">
        <v>40987</v>
      </c>
      <c r="Q587">
        <v>15.218833</v>
      </c>
      <c r="R587" s="33">
        <f>IF(ISBLANK(Q588),"",Long3[[#This Row],[Adj Close]]/Q588-1)</f>
        <v>-2.2607248019327453E-2</v>
      </c>
      <c r="S587" s="37">
        <v>40987</v>
      </c>
      <c r="T587" s="35">
        <v>13.693002</v>
      </c>
      <c r="U587" s="36">
        <f>IF(ISBLANK(T588),"",Long4[[#This Row],[Adj Close]]/T588-1)</f>
        <v>-2.4301397266034863E-2</v>
      </c>
      <c r="Y587" s="37">
        <v>40987</v>
      </c>
      <c r="Z587" s="35">
        <v>35.686526999999998</v>
      </c>
      <c r="AA587" s="36">
        <f>IF(ISBLANK(Z588),"",Long6[[#This Row],[Adj Close]]/Z588-1)</f>
        <v>-9.6694620896663808E-2</v>
      </c>
      <c r="AH587" s="29">
        <v>40987</v>
      </c>
      <c r="AI587" s="44">
        <v>38.535423000000002</v>
      </c>
      <c r="AJ587" s="33">
        <f>IF(ISBLANK(AI588),"",Short0[[#This Row],[Adj Close]]/AI588-1)</f>
        <v>2.0869052430130486E-2</v>
      </c>
      <c r="AK587" s="37">
        <v>40987</v>
      </c>
      <c r="AL587" s="39">
        <v>19.298349000000002</v>
      </c>
      <c r="AM587" s="36">
        <f>IF(ISBLANK(AL588),"",Short1[[#This Row],[Adj Close]]/AL588-1)</f>
        <v>7.7977991615518549E-2</v>
      </c>
      <c r="AN587" s="29">
        <v>40987</v>
      </c>
      <c r="AO587" s="44">
        <v>23.605371000000002</v>
      </c>
      <c r="AP587" s="33">
        <f>IF(ISBLANK(AO588),"",Short2[[#This Row],[Adj Close]]/AO588-1)</f>
        <v>-2.672194837596642E-2</v>
      </c>
    </row>
    <row r="588" spans="1:45" x14ac:dyDescent="0.25">
      <c r="A588" s="37">
        <v>40980</v>
      </c>
      <c r="B588" s="39">
        <v>1404.170044</v>
      </c>
      <c r="C588" s="36">
        <f>IF(ISBLANK(B589), "", GSPC[[#This Row],[Adj Close]]/B589-1)</f>
        <v>2.4291179412676556E-2</v>
      </c>
      <c r="D58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8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588" s="11" t="e">
        <f>IF(ISBLANK(GSPC[[#This Row],[Long Exp.]]), "", (GSPC[[#This Row],[Long Exp.]]/D589-1)+(E589/GSPC[[#This Row],[Short Exp.]]-1))</f>
        <v>#VALUE!</v>
      </c>
      <c r="G588" s="37">
        <v>40980</v>
      </c>
      <c r="H588">
        <v>20.959959000000001</v>
      </c>
      <c r="I588" s="36">
        <f>IF(ISBLANK(H589), "", Long0[[#This Row],[Adj Close]]/H589-1)</f>
        <v>-3.4828722095028297E-3</v>
      </c>
      <c r="J588" s="29">
        <v>40980</v>
      </c>
      <c r="K588">
        <v>5.7204240000000004</v>
      </c>
      <c r="L588" s="33">
        <f>IF(ISBLANK(K589),"",Long1[[#This Row],[Adj Close]]/K589-1)</f>
        <v>2.8607000734176768E-2</v>
      </c>
      <c r="M588" s="37">
        <v>40980</v>
      </c>
      <c r="N588">
        <v>47.436356000000004</v>
      </c>
      <c r="O588" s="36">
        <f>IF(ISBLANK(N589),"",Long2[[#This Row],[Adj Close]]/N589-1)</f>
        <v>3.5656795921644058E-2</v>
      </c>
      <c r="P588" s="29">
        <v>40980</v>
      </c>
      <c r="Q588">
        <v>15.570847000000001</v>
      </c>
      <c r="R588" s="33">
        <f>IF(ISBLANK(Q589),"",Long3[[#This Row],[Adj Close]]/Q589-1)</f>
        <v>1.4699901396345361E-2</v>
      </c>
      <c r="S588" s="37">
        <v>40980</v>
      </c>
      <c r="T588" s="35">
        <v>14.034049</v>
      </c>
      <c r="U588" s="36">
        <f>IF(ISBLANK(T589),"",Long4[[#This Row],[Adj Close]]/T589-1)</f>
        <v>4.441634007994355E-2</v>
      </c>
      <c r="Y588" s="37">
        <v>40980</v>
      </c>
      <c r="Z588" s="35">
        <v>39.506602999999998</v>
      </c>
      <c r="AA588" s="36">
        <f>IF(ISBLANK(Z589),"",Long6[[#This Row],[Adj Close]]/Z589-1)</f>
        <v>1.604005090255689E-2</v>
      </c>
      <c r="AH588" s="29">
        <v>40980</v>
      </c>
      <c r="AI588" s="44">
        <v>37.747664999999998</v>
      </c>
      <c r="AJ588" s="33">
        <f>IF(ISBLANK(AI589),"",Short0[[#This Row],[Adj Close]]/AI589-1)</f>
        <v>3.2281649012646962E-2</v>
      </c>
      <c r="AK588" s="37">
        <v>40980</v>
      </c>
      <c r="AL588" s="39">
        <v>17.902359000000001</v>
      </c>
      <c r="AM588" s="36">
        <f>IF(ISBLANK(AL589),"",Short1[[#This Row],[Adj Close]]/AL589-1)</f>
        <v>3.0278662287504199E-2</v>
      </c>
      <c r="AN588" s="29">
        <v>40980</v>
      </c>
      <c r="AO588" s="44">
        <v>24.253471000000001</v>
      </c>
      <c r="AP588" s="33">
        <f>IF(ISBLANK(AO589),"",Short2[[#This Row],[Adj Close]]/AO589-1)</f>
        <v>4.4007867206052431E-2</v>
      </c>
    </row>
    <row r="589" spans="1:45" x14ac:dyDescent="0.25">
      <c r="A589" s="37">
        <v>40973</v>
      </c>
      <c r="B589" s="39">
        <v>1370.869995</v>
      </c>
      <c r="C589" s="36">
        <f>IF(ISBLANK(B590), "", GSPC[[#This Row],[Adj Close]]/B590-1)</f>
        <v>9.0534669616859631E-4</v>
      </c>
      <c r="D58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8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589" s="11" t="e">
        <f>IF(ISBLANK(GSPC[[#This Row],[Long Exp.]]), "", (GSPC[[#This Row],[Long Exp.]]/D590-1)+(E590/GSPC[[#This Row],[Short Exp.]]-1))</f>
        <v>#VALUE!</v>
      </c>
      <c r="G589" s="37">
        <v>40973</v>
      </c>
      <c r="H589">
        <v>21.033214999999998</v>
      </c>
      <c r="I589" s="36">
        <f>IF(ISBLANK(H590), "", Long0[[#This Row],[Adj Close]]/H590-1)</f>
        <v>-8.2036324376955072E-3</v>
      </c>
      <c r="J589" s="29">
        <v>40973</v>
      </c>
      <c r="K589">
        <v>5.561331</v>
      </c>
      <c r="L589" s="33">
        <f>IF(ISBLANK(K590),"",Long1[[#This Row],[Adj Close]]/K590-1)</f>
        <v>-0.12322793723625292</v>
      </c>
      <c r="M589" s="37">
        <v>40973</v>
      </c>
      <c r="N589">
        <v>45.803162</v>
      </c>
      <c r="O589" s="36">
        <f>IF(ISBLANK(N590),"",Long2[[#This Row],[Adj Close]]/N590-1)</f>
        <v>-3.3924948068613903E-2</v>
      </c>
      <c r="P589" s="29">
        <v>40973</v>
      </c>
      <c r="Q589">
        <v>15.345273000000001</v>
      </c>
      <c r="R589" s="33">
        <f>IF(ISBLANK(Q590),"",Long3[[#This Row],[Adj Close]]/Q590-1)</f>
        <v>-7.0276858662918773E-3</v>
      </c>
      <c r="S589" s="37">
        <v>40973</v>
      </c>
      <c r="T589" s="35">
        <v>13.437217</v>
      </c>
      <c r="U589" s="36">
        <f>IF(ISBLANK(T590),"",Long4[[#This Row],[Adj Close]]/T590-1)</f>
        <v>1.285331328915662E-2</v>
      </c>
      <c r="Y589" s="37">
        <v>40973</v>
      </c>
      <c r="Z589" s="35">
        <v>38.882919000000001</v>
      </c>
      <c r="AA589" s="36">
        <f>IF(ISBLANK(Z590),"",Long6[[#This Row],[Adj Close]]/Z590-1)</f>
        <v>-2.0378082998131486E-2</v>
      </c>
      <c r="AH589" s="29">
        <v>40973</v>
      </c>
      <c r="AI589" s="44">
        <v>36.567214999999997</v>
      </c>
      <c r="AJ589" s="33">
        <f>IF(ISBLANK(AI590),"",Short0[[#This Row],[Adj Close]]/AI590-1)</f>
        <v>-2.7491921278451237E-2</v>
      </c>
      <c r="AK589" s="37">
        <v>40973</v>
      </c>
      <c r="AL589" s="39">
        <v>17.37623</v>
      </c>
      <c r="AM589" s="36">
        <f>IF(ISBLANK(AL590),"",Short1[[#This Row],[Adj Close]]/AL590-1)</f>
        <v>1.89219917526815E-2</v>
      </c>
      <c r="AN589" s="29">
        <v>40973</v>
      </c>
      <c r="AO589" s="44">
        <v>23.231119</v>
      </c>
      <c r="AP589" s="33">
        <f>IF(ISBLANK(AO590),"",Short2[[#This Row],[Adj Close]]/AO590-1)</f>
        <v>0.10893287131136464</v>
      </c>
    </row>
    <row r="590" spans="1:45" x14ac:dyDescent="0.25">
      <c r="A590" s="37">
        <v>40966</v>
      </c>
      <c r="B590" s="39">
        <v>1369.630005</v>
      </c>
      <c r="C590" s="36">
        <f>IF(ISBLANK(B591), "", GSPC[[#This Row],[Adj Close]]/B591-1)</f>
        <v>2.8482837351786472E-3</v>
      </c>
      <c r="D59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9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590" s="11" t="e">
        <f>IF(ISBLANK(GSPC[[#This Row],[Long Exp.]]), "", (GSPC[[#This Row],[Long Exp.]]/D591-1)+(E591/GSPC[[#This Row],[Short Exp.]]-1))</f>
        <v>#VALUE!</v>
      </c>
      <c r="G590" s="37">
        <v>40966</v>
      </c>
      <c r="H590">
        <v>21.207191000000002</v>
      </c>
      <c r="I590" s="36">
        <f>IF(ISBLANK(H591), "", Long0[[#This Row],[Adj Close]]/H591-1)</f>
        <v>-1.3628474071364582E-2</v>
      </c>
      <c r="J590" s="29">
        <v>40966</v>
      </c>
      <c r="K590">
        <v>6.3429609999999998</v>
      </c>
      <c r="L590" s="33">
        <f>IF(ISBLANK(K591),"",Long1[[#This Row],[Adj Close]]/K591-1)</f>
        <v>0.1696427616499383</v>
      </c>
      <c r="M590" s="37">
        <v>40966</v>
      </c>
      <c r="N590">
        <v>47.411597999999998</v>
      </c>
      <c r="O590" s="36">
        <f>IF(ISBLANK(N591),"",Long2[[#This Row],[Adj Close]]/N591-1)</f>
        <v>-2.0450288019436491E-2</v>
      </c>
      <c r="P590" s="29">
        <v>40966</v>
      </c>
      <c r="Q590">
        <v>15.453878</v>
      </c>
      <c r="R590" s="33">
        <f>IF(ISBLANK(Q591),"",Long3[[#This Row],[Adj Close]]/Q591-1)</f>
        <v>-1.3517672210157317E-2</v>
      </c>
      <c r="S590" s="37">
        <v>40966</v>
      </c>
      <c r="T590" s="35">
        <v>13.266696</v>
      </c>
      <c r="U590" s="36">
        <f>IF(ISBLANK(T591),"",Long4[[#This Row],[Adj Close]]/T591-1)</f>
        <v>-0.11339021301243124</v>
      </c>
      <c r="Y590" s="37">
        <v>40966</v>
      </c>
      <c r="Z590" s="35">
        <v>39.691761</v>
      </c>
      <c r="AA590" s="36">
        <f>IF(ISBLANK(Z591),"",Long6[[#This Row],[Adj Close]]/Z591-1)</f>
        <v>-0.10108114825231895</v>
      </c>
      <c r="AH590" s="29">
        <v>40966</v>
      </c>
      <c r="AI590" s="44">
        <v>37.600937000000002</v>
      </c>
      <c r="AJ590" s="33">
        <f>IF(ISBLANK(AI591),"",Short0[[#This Row],[Adj Close]]/AI591-1)</f>
        <v>5.6794753931754594E-2</v>
      </c>
      <c r="AK590" s="37">
        <v>40966</v>
      </c>
      <c r="AL590" s="39">
        <v>17.053543000000001</v>
      </c>
      <c r="AM590" s="36">
        <f>IF(ISBLANK(AL591),"",Short1[[#This Row],[Adj Close]]/AL591-1)</f>
        <v>-2.7210596809229104E-2</v>
      </c>
      <c r="AN590" s="29">
        <v>40966</v>
      </c>
      <c r="AO590" s="44">
        <v>20.949076000000002</v>
      </c>
      <c r="AP590" s="33">
        <f>IF(ISBLANK(AO591),"",Short2[[#This Row],[Adj Close]]/AO591-1)</f>
        <v>2.5468875328715335E-2</v>
      </c>
    </row>
    <row r="591" spans="1:45" x14ac:dyDescent="0.25">
      <c r="A591" s="37">
        <v>40959</v>
      </c>
      <c r="B591" s="39">
        <v>1365.73999</v>
      </c>
      <c r="C591" s="36">
        <f>IF(ISBLANK(B592), "", GSPC[[#This Row],[Adj Close]]/B592-1)</f>
        <v>3.3131873866016903E-3</v>
      </c>
      <c r="D59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9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591" s="11" t="e">
        <f>IF(ISBLANK(GSPC[[#This Row],[Long Exp.]]), "", (GSPC[[#This Row],[Long Exp.]]/D592-1)+(E592/GSPC[[#This Row],[Short Exp.]]-1))</f>
        <v>#VALUE!</v>
      </c>
      <c r="G591" s="37">
        <v>40959</v>
      </c>
      <c r="H591">
        <v>21.500205999999999</v>
      </c>
      <c r="I591" s="36">
        <f>IF(ISBLANK(H592), "", Long0[[#This Row],[Adj Close]]/H592-1)</f>
        <v>2.5616370154519785E-3</v>
      </c>
      <c r="J591" s="29">
        <v>40959</v>
      </c>
      <c r="K591">
        <v>5.4229900000000004</v>
      </c>
      <c r="L591" s="33">
        <f>IF(ISBLANK(K592),"",Long1[[#This Row],[Adj Close]]/K592-1)</f>
        <v>9.4207991102658317E-2</v>
      </c>
      <c r="M591" s="37">
        <v>40959</v>
      </c>
      <c r="N591">
        <v>48.401420999999999</v>
      </c>
      <c r="O591" s="36">
        <f>IF(ISBLANK(N592),"",Long2[[#This Row],[Adj Close]]/N592-1)</f>
        <v>5.4826598790131964E-2</v>
      </c>
      <c r="P591" s="29">
        <v>40959</v>
      </c>
      <c r="Q591">
        <v>15.665641000000001</v>
      </c>
      <c r="R591" s="33">
        <f>IF(ISBLANK(Q592),"",Long3[[#This Row],[Adj Close]]/Q592-1)</f>
        <v>1.334737019140575E-2</v>
      </c>
      <c r="S591" s="37">
        <v>40959</v>
      </c>
      <c r="T591" s="35">
        <v>14.963399000000001</v>
      </c>
      <c r="U591" s="36">
        <f>IF(ISBLANK(T592),"",Long4[[#This Row],[Adj Close]]/T592-1)</f>
        <v>9.7813166082429959E-3</v>
      </c>
      <c r="Y591" s="37">
        <v>40959</v>
      </c>
      <c r="Z591" s="35">
        <v>44.154998999999997</v>
      </c>
      <c r="AA591" s="36">
        <f>IF(ISBLANK(Z592),"",Long6[[#This Row],[Adj Close]]/Z592-1)</f>
        <v>3.0943914805249051E-2</v>
      </c>
      <c r="AH591" s="29">
        <v>40959</v>
      </c>
      <c r="AI591" s="44">
        <v>35.580170000000003</v>
      </c>
      <c r="AJ591" s="33">
        <f>IF(ISBLANK(AI592),"",Short0[[#This Row],[Adj Close]]/AI592-1)</f>
        <v>1.0607952764898565E-2</v>
      </c>
      <c r="AK591" s="37">
        <v>40959</v>
      </c>
      <c r="AL591" s="39">
        <v>17.530560000000001</v>
      </c>
      <c r="AM591" s="36">
        <f>IF(ISBLANK(AL592),"",Short1[[#This Row],[Adj Close]]/AL592-1)</f>
        <v>-2.8004604882077455E-2</v>
      </c>
      <c r="AN591" s="29">
        <v>40959</v>
      </c>
      <c r="AO591" s="44">
        <v>20.428778000000001</v>
      </c>
      <c r="AP591" s="33">
        <f>IF(ISBLANK(AO592),"",Short2[[#This Row],[Adj Close]]/AO592-1)</f>
        <v>-4.1952200825583597E-2</v>
      </c>
    </row>
    <row r="592" spans="1:45" x14ac:dyDescent="0.25">
      <c r="A592" s="37">
        <v>40952</v>
      </c>
      <c r="B592" s="39">
        <v>1361.2299800000001</v>
      </c>
      <c r="C592" s="36">
        <f>IF(ISBLANK(B593), "", GSPC[[#This Row],[Adj Close]]/B593-1)</f>
        <v>1.3845829702908263E-2</v>
      </c>
      <c r="D59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9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592" s="11" t="e">
        <f>IF(ISBLANK(GSPC[[#This Row],[Long Exp.]]), "", (GSPC[[#This Row],[Long Exp.]]/D593-1)+(E593/GSPC[[#This Row],[Short Exp.]]-1))</f>
        <v>#VALUE!</v>
      </c>
      <c r="G592" s="37">
        <v>40952</v>
      </c>
      <c r="H592">
        <v>21.445271000000002</v>
      </c>
      <c r="I592" s="36">
        <f>IF(ISBLANK(H593), "", Long0[[#This Row],[Adj Close]]/H593-1)</f>
        <v>2.7192893802194362E-2</v>
      </c>
      <c r="J592" s="29">
        <v>40952</v>
      </c>
      <c r="K592">
        <v>4.9560870000000001</v>
      </c>
      <c r="L592" s="33">
        <f>IF(ISBLANK(K593),"",Long1[[#This Row],[Adj Close]]/K593-1)</f>
        <v>5.9911312044945042E-2</v>
      </c>
      <c r="M592" s="37">
        <v>40952</v>
      </c>
      <c r="N592">
        <v>45.885666000000001</v>
      </c>
      <c r="O592" s="36">
        <f>IF(ISBLANK(N593),"",Long2[[#This Row],[Adj Close]]/N593-1)</f>
        <v>2.223469089595409E-2</v>
      </c>
      <c r="P592" s="29">
        <v>40952</v>
      </c>
      <c r="Q592">
        <v>15.459300000000001</v>
      </c>
      <c r="R592" s="33">
        <f>IF(ISBLANK(Q593),"",Long3[[#This Row],[Adj Close]]/Q593-1)</f>
        <v>7.0272449445396568E-4</v>
      </c>
      <c r="S592" s="37">
        <v>40952</v>
      </c>
      <c r="T592" s="35">
        <v>14.818455</v>
      </c>
      <c r="U592" s="36">
        <f>IF(ISBLANK(T593),"",Long4[[#This Row],[Adj Close]]/T593-1)</f>
        <v>2.6579970500414163E-2</v>
      </c>
      <c r="Y592" s="37">
        <v>40952</v>
      </c>
      <c r="Z592" s="35">
        <v>42.829681000000001</v>
      </c>
      <c r="AA592" s="36">
        <f>IF(ISBLANK(Z593),"",Long6[[#This Row],[Adj Close]]/Z593-1)</f>
        <v>-3.3215993367582075E-2</v>
      </c>
      <c r="AH592" s="29">
        <v>40952</v>
      </c>
      <c r="AI592" s="44">
        <v>35.206699</v>
      </c>
      <c r="AJ592" s="33">
        <f>IF(ISBLANK(AI593),"",Short0[[#This Row],[Adj Close]]/AI593-1)</f>
        <v>2.3260654185571994E-2</v>
      </c>
      <c r="AK592" s="37">
        <v>40952</v>
      </c>
      <c r="AL592" s="39">
        <v>18.035640999999998</v>
      </c>
      <c r="AM592" s="36">
        <f>IF(ISBLANK(AL593),"",Short1[[#This Row],[Adj Close]]/AL593-1)</f>
        <v>2.5119333916079789E-2</v>
      </c>
      <c r="AN592" s="29">
        <v>40952</v>
      </c>
      <c r="AO592" s="44">
        <v>21.323339000000001</v>
      </c>
      <c r="AP592" s="33">
        <f>IF(ISBLANK(AO593),"",Short2[[#This Row],[Adj Close]]/AO593-1)</f>
        <v>4.2825887385644634E-4</v>
      </c>
    </row>
    <row r="593" spans="1:42" x14ac:dyDescent="0.25">
      <c r="A593" s="37">
        <v>40945</v>
      </c>
      <c r="B593" s="39">
        <v>1342.6400149999999</v>
      </c>
      <c r="C593" s="36">
        <f>IF(ISBLANK(B594), "", GSPC[[#This Row],[Adj Close]]/B594-1)</f>
        <v>-1.6804289981929843E-3</v>
      </c>
      <c r="D59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9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593" s="11" t="e">
        <f>IF(ISBLANK(GSPC[[#This Row],[Long Exp.]]), "", (GSPC[[#This Row],[Long Exp.]]/D594-1)+(E594/GSPC[[#This Row],[Short Exp.]]-1))</f>
        <v>#VALUE!</v>
      </c>
      <c r="G593" s="37">
        <v>40945</v>
      </c>
      <c r="H593">
        <v>20.877549999999999</v>
      </c>
      <c r="I593" s="36">
        <f>IF(ISBLANK(H594), "", Long0[[#This Row],[Adj Close]]/H594-1)</f>
        <v>1.604295251373844E-2</v>
      </c>
      <c r="J593" s="29">
        <v>40945</v>
      </c>
      <c r="K593">
        <v>4.6759449999999996</v>
      </c>
      <c r="L593" s="33">
        <f>IF(ISBLANK(K594),"",Long1[[#This Row],[Adj Close]]/K594-1)</f>
        <v>0.17361115817156447</v>
      </c>
      <c r="M593" s="37">
        <v>40945</v>
      </c>
      <c r="N593">
        <v>44.887604000000003</v>
      </c>
      <c r="O593" s="36">
        <f>IF(ISBLANK(N594),"",Long2[[#This Row],[Adj Close]]/N594-1)</f>
        <v>-5.1238598138975577E-2</v>
      </c>
      <c r="P593" s="29">
        <v>40945</v>
      </c>
      <c r="Q593">
        <v>15.448444</v>
      </c>
      <c r="R593" s="33">
        <f>IF(ISBLANK(Q594),"",Long3[[#This Row],[Adj Close]]/Q594-1)</f>
        <v>3.3042777227063391E-2</v>
      </c>
      <c r="S593" s="37">
        <v>40945</v>
      </c>
      <c r="T593" s="35">
        <v>14.434779000000001</v>
      </c>
      <c r="U593" s="36">
        <f>IF(ISBLANK(T594),"",Long4[[#This Row],[Adj Close]]/T594-1)</f>
        <v>-5.7874355782765563E-2</v>
      </c>
      <c r="Y593" s="37">
        <v>40945</v>
      </c>
      <c r="Z593" s="35">
        <v>44.301189000000001</v>
      </c>
      <c r="AA593" s="36">
        <f>IF(ISBLANK(Z594),"",Long6[[#This Row],[Adj Close]]/Z594-1)</f>
        <v>-4.9550555677260855E-2</v>
      </c>
      <c r="AH593" s="29">
        <v>40945</v>
      </c>
      <c r="AI593" s="44">
        <v>34.406384000000003</v>
      </c>
      <c r="AJ593" s="33">
        <f>IF(ISBLANK(AI594),"",Short0[[#This Row],[Adj Close]]/AI594-1)</f>
        <v>-6.1647944436894475E-3</v>
      </c>
      <c r="AK593" s="37">
        <v>40945</v>
      </c>
      <c r="AL593" s="39">
        <v>17.593699000000001</v>
      </c>
      <c r="AM593" s="36">
        <f>IF(ISBLANK(AL594),"",Short1[[#This Row],[Adj Close]]/AL594-1)</f>
        <v>5.1131673671144906E-2</v>
      </c>
      <c r="AN593" s="29">
        <v>40945</v>
      </c>
      <c r="AO593" s="44">
        <v>21.314211</v>
      </c>
      <c r="AP593" s="33">
        <f>IF(ISBLANK(AO594),"",Short2[[#This Row],[Adj Close]]/AO594-1)</f>
        <v>4.2881801636474037E-4</v>
      </c>
    </row>
    <row r="594" spans="1:42" x14ac:dyDescent="0.25">
      <c r="A594" s="37">
        <v>40938</v>
      </c>
      <c r="B594" s="39">
        <v>1344.900024</v>
      </c>
      <c r="C594" s="36">
        <f>IF(ISBLANK(B595), "", GSPC[[#This Row],[Adj Close]]/B595-1)</f>
        <v>2.1704336264455559E-2</v>
      </c>
      <c r="D59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9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594" s="11" t="e">
        <f>IF(ISBLANK(GSPC[[#This Row],[Long Exp.]]), "", (GSPC[[#This Row],[Long Exp.]]/D595-1)+(E595/GSPC[[#This Row],[Short Exp.]]-1))</f>
        <v>#VALUE!</v>
      </c>
      <c r="G594" s="37">
        <v>40938</v>
      </c>
      <c r="H594">
        <v>20.547901</v>
      </c>
      <c r="I594" s="36">
        <f>IF(ISBLANK(H595), "", Long0[[#This Row],[Adj Close]]/H595-1)</f>
        <v>6.6539779587291514E-2</v>
      </c>
      <c r="J594" s="29">
        <v>40938</v>
      </c>
      <c r="K594">
        <v>3.9842369999999998</v>
      </c>
      <c r="L594" s="33">
        <f>IF(ISBLANK(K595),"",Long1[[#This Row],[Adj Close]]/K595-1)</f>
        <v>1.7391107579978193E-3</v>
      </c>
      <c r="M594" s="37">
        <v>40938</v>
      </c>
      <c r="N594">
        <v>47.311793999999999</v>
      </c>
      <c r="O594" s="36">
        <f>IF(ISBLANK(N595),"",Long2[[#This Row],[Adj Close]]/N595-1)</f>
        <v>1.5028132762533453E-2</v>
      </c>
      <c r="P594" s="29">
        <v>40938</v>
      </c>
      <c r="Q594">
        <v>14.954312</v>
      </c>
      <c r="R594" s="33">
        <f>IF(ISBLANK(Q595),"",Long3[[#This Row],[Adj Close]]/Q595-1)</f>
        <v>-9.352198484739227E-3</v>
      </c>
      <c r="S594" s="37">
        <v>40938</v>
      </c>
      <c r="T594" s="35">
        <v>15.321501</v>
      </c>
      <c r="U594" s="36">
        <f>IF(ISBLANK(T595),"",Long4[[#This Row],[Adj Close]]/T595-1)</f>
        <v>5.95521299752233E-2</v>
      </c>
      <c r="Y594" s="37">
        <v>40938</v>
      </c>
      <c r="Z594" s="35">
        <v>46.610779000000001</v>
      </c>
      <c r="AA594" s="36">
        <f>IF(ISBLANK(Z595),"",Long6[[#This Row],[Adj Close]]/Z595-1)</f>
        <v>0.10615166915639596</v>
      </c>
      <c r="AH594" s="29">
        <v>40938</v>
      </c>
      <c r="AI594" s="44">
        <v>34.619807999999999</v>
      </c>
      <c r="AJ594" s="33">
        <f>IF(ISBLANK(AI595),"",Short0[[#This Row],[Adj Close]]/AI595-1)</f>
        <v>4.8263157297119275E-2</v>
      </c>
      <c r="AK594" s="37">
        <v>40938</v>
      </c>
      <c r="AL594" s="39">
        <v>16.737863999999998</v>
      </c>
      <c r="AM594" s="36">
        <f>IF(ISBLANK(AL595),"",Short1[[#This Row],[Adj Close]]/AL595-1)</f>
        <v>-6.2106713264730717E-2</v>
      </c>
      <c r="AN594" s="29">
        <v>40938</v>
      </c>
      <c r="AO594" s="44">
        <v>21.305074999999999</v>
      </c>
      <c r="AP594" s="33">
        <f>IF(ISBLANK(AO595),"",Short2[[#This Row],[Adj Close]]/AO595-1)</f>
        <v>4.9452148992618072E-2</v>
      </c>
    </row>
    <row r="595" spans="1:42" x14ac:dyDescent="0.25">
      <c r="A595" s="37">
        <v>40931</v>
      </c>
      <c r="B595" s="39">
        <v>1316.329956</v>
      </c>
      <c r="C595" s="36">
        <f>IF(ISBLANK(B596), "", GSPC[[#This Row],[Adj Close]]/B596-1)</f>
        <v>7.2218750200625514E-4</v>
      </c>
      <c r="D59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9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595" s="11" t="e">
        <f>IF(ISBLANK(GSPC[[#This Row],[Long Exp.]]), "", (GSPC[[#This Row],[Long Exp.]]/D596-1)+(E596/GSPC[[#This Row],[Short Exp.]]-1))</f>
        <v>#VALUE!</v>
      </c>
      <c r="G595" s="37">
        <v>40931</v>
      </c>
      <c r="H595">
        <v>19.265948999999999</v>
      </c>
      <c r="I595" s="36">
        <f>IF(ISBLANK(H596), "", Long0[[#This Row],[Adj Close]]/H596-1)</f>
        <v>-2.4118657678903643E-2</v>
      </c>
      <c r="J595" s="29">
        <v>40931</v>
      </c>
      <c r="K595">
        <v>3.9773200000000002</v>
      </c>
      <c r="L595" s="33">
        <f>IF(ISBLANK(K596),"",Long1[[#This Row],[Adj Close]]/K596-1)</f>
        <v>-8.6892540379657213E-4</v>
      </c>
      <c r="M595" s="37">
        <v>40931</v>
      </c>
      <c r="N595">
        <v>46.611313000000003</v>
      </c>
      <c r="O595" s="36">
        <f>IF(ISBLANK(N596),"",Long2[[#This Row],[Adj Close]]/N596-1)</f>
        <v>2.8177081914464441E-2</v>
      </c>
      <c r="P595" s="29">
        <v>40931</v>
      </c>
      <c r="Q595">
        <v>15.095488</v>
      </c>
      <c r="R595" s="33">
        <f>IF(ISBLANK(Q596),"",Long3[[#This Row],[Adj Close]]/Q596-1)</f>
        <v>1.0908891223826656E-2</v>
      </c>
      <c r="S595" s="37">
        <v>40931</v>
      </c>
      <c r="T595" s="35">
        <v>14.460356000000001</v>
      </c>
      <c r="U595" s="36">
        <f>IF(ISBLANK(T596),"",Long4[[#This Row],[Adj Close]]/T596-1)</f>
        <v>4.7560161326088757E-2</v>
      </c>
      <c r="Y595" s="37">
        <v>40931</v>
      </c>
      <c r="Z595" s="35">
        <v>42.137782999999999</v>
      </c>
      <c r="AA595" s="36">
        <f>IF(ISBLANK(Z596),"",Long6[[#This Row],[Adj Close]]/Z596-1)</f>
        <v>6.0323983513132839E-2</v>
      </c>
      <c r="AH595" s="29">
        <v>40931</v>
      </c>
      <c r="AI595" s="44">
        <v>33.025874999999999</v>
      </c>
      <c r="AJ595" s="33">
        <f>IF(ISBLANK(AI596),"",Short0[[#This Row],[Adj Close]]/AI596-1)</f>
        <v>6.5863245994138619E-2</v>
      </c>
      <c r="AK595" s="37">
        <v>40931</v>
      </c>
      <c r="AL595" s="39">
        <v>17.846235</v>
      </c>
      <c r="AM595" s="36">
        <f>IF(ISBLANK(AL596),"",Short1[[#This Row],[Adj Close]]/AL596-1)</f>
        <v>1.7599924733037398E-2</v>
      </c>
      <c r="AN595" s="29">
        <v>40931</v>
      </c>
      <c r="AO595" s="44">
        <v>20.30114</v>
      </c>
      <c r="AP595" s="33">
        <f>IF(ISBLANK(AO596),"",Short2[[#This Row],[Adj Close]]/AO596-1)</f>
        <v>9.9730984145107726E-3</v>
      </c>
    </row>
    <row r="596" spans="1:42" x14ac:dyDescent="0.25">
      <c r="A596" s="37">
        <v>40924</v>
      </c>
      <c r="B596" s="39">
        <v>1315.380005</v>
      </c>
      <c r="C596" s="36">
        <f>IF(ISBLANK(B597), "", GSPC[[#This Row],[Adj Close]]/B597-1)</f>
        <v>2.0394262381528749E-2</v>
      </c>
      <c r="D59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9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596" s="11" t="e">
        <f>IF(ISBLANK(GSPC[[#This Row],[Long Exp.]]), "", (GSPC[[#This Row],[Long Exp.]]/D597-1)+(E597/GSPC[[#This Row],[Short Exp.]]-1))</f>
        <v>#VALUE!</v>
      </c>
      <c r="G596" s="37">
        <v>40924</v>
      </c>
      <c r="H596">
        <v>19.742101999999999</v>
      </c>
      <c r="I596" s="36">
        <f>IF(ISBLANK(H597), "", Long0[[#This Row],[Adj Close]]/H597-1)</f>
        <v>-6.9092440868848692E-3</v>
      </c>
      <c r="J596" s="29">
        <v>40924</v>
      </c>
      <c r="K596">
        <v>3.9807790000000001</v>
      </c>
      <c r="L596" s="33">
        <f>IF(ISBLANK(K597),"",Long1[[#This Row],[Adj Close]]/K597-1)</f>
        <v>4.363078360816619E-3</v>
      </c>
      <c r="M596" s="37">
        <v>40924</v>
      </c>
      <c r="N596">
        <v>45.333934999999997</v>
      </c>
      <c r="O596" s="36">
        <f>IF(ISBLANK(N597),"",Long2[[#This Row],[Adj Close]]/N597-1)</f>
        <v>-3.0812516993208305E-3</v>
      </c>
      <c r="P596" s="29">
        <v>40924</v>
      </c>
      <c r="Q596">
        <v>14.932589999999999</v>
      </c>
      <c r="R596" s="33">
        <f>IF(ISBLANK(Q597),"",Long3[[#This Row],[Adj Close]]/Q597-1)</f>
        <v>-2.1003920418866895E-2</v>
      </c>
      <c r="S596" s="37">
        <v>40924</v>
      </c>
      <c r="T596" s="35">
        <v>13.803843000000001</v>
      </c>
      <c r="U596" s="36">
        <f>IF(ISBLANK(T597),"",Long4[[#This Row],[Adj Close]]/T597-1)</f>
        <v>4.9254803222960719E-2</v>
      </c>
      <c r="Y596" s="37">
        <v>40924</v>
      </c>
      <c r="Z596" s="35">
        <v>39.740479000000001</v>
      </c>
      <c r="AA596" s="36">
        <f>IF(ISBLANK(Z597),"",Long6[[#This Row],[Adj Close]]/Z597-1)</f>
        <v>-2.2999768561416167E-2</v>
      </c>
      <c r="AH596" s="29">
        <v>40924</v>
      </c>
      <c r="AI596" s="44">
        <v>30.985095999999999</v>
      </c>
      <c r="AJ596" s="33">
        <f>IF(ISBLANK(AI597),"",Short0[[#This Row],[Adj Close]]/AI597-1)</f>
        <v>8.9033942745779804E-3</v>
      </c>
      <c r="AK596" s="37">
        <v>40924</v>
      </c>
      <c r="AL596" s="39">
        <v>17.537575</v>
      </c>
      <c r="AM596" s="36">
        <f>IF(ISBLANK(AL597),"",Short1[[#This Row],[Adj Close]]/AL597-1)</f>
        <v>2.9229946798355888E-2</v>
      </c>
      <c r="AN596" s="29">
        <v>40924</v>
      </c>
      <c r="AO596" s="44">
        <v>20.100674000000001</v>
      </c>
      <c r="AP596" s="33">
        <f>IF(ISBLANK(AO597),"",Short2[[#This Row],[Adj Close]]/AO597-1)</f>
        <v>2.2719896461296241E-3</v>
      </c>
    </row>
    <row r="597" spans="1:42" x14ac:dyDescent="0.25">
      <c r="A597" s="37">
        <v>40917</v>
      </c>
      <c r="B597" s="39">
        <v>1289.089966</v>
      </c>
      <c r="C597" s="36">
        <f>IF(ISBLANK(B598), "", GSPC[[#This Row],[Adj Close]]/B598-1)</f>
        <v>8.8275302894607055E-3</v>
      </c>
      <c r="D59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9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597" s="11" t="e">
        <f>IF(ISBLANK(GSPC[[#This Row],[Long Exp.]]), "", (GSPC[[#This Row],[Long Exp.]]/D598-1)+(E598/GSPC[[#This Row],[Short Exp.]]-1))</f>
        <v>#VALUE!</v>
      </c>
      <c r="G597" s="37">
        <v>40917</v>
      </c>
      <c r="H597">
        <v>19.879453999999999</v>
      </c>
      <c r="I597" s="36">
        <f>IF(ISBLANK(H598), "", Long0[[#This Row],[Adj Close]]/H598-1)</f>
        <v>1.1178457604288594E-2</v>
      </c>
      <c r="J597" s="29">
        <v>40917</v>
      </c>
      <c r="K597">
        <v>3.9634860000000001</v>
      </c>
      <c r="L597" s="33">
        <f>IF(ISBLANK(K598),"",Long1[[#This Row],[Adj Close]]/K598-1)</f>
        <v>-3.1276427048392619E-2</v>
      </c>
      <c r="M597" s="37">
        <v>40917</v>
      </c>
      <c r="N597">
        <v>45.474052</v>
      </c>
      <c r="O597" s="36">
        <f>IF(ISBLANK(N598),"",Long2[[#This Row],[Adj Close]]/N598-1)</f>
        <v>4.7655556018117995E-2</v>
      </c>
      <c r="P597" s="29">
        <v>40917</v>
      </c>
      <c r="Q597">
        <v>15.252962</v>
      </c>
      <c r="R597" s="33">
        <f>IF(ISBLANK(Q598),"",Long3[[#This Row],[Adj Close]]/Q598-1)</f>
        <v>-1.5077049281526866E-2</v>
      </c>
      <c r="S597" s="37">
        <v>40917</v>
      </c>
      <c r="T597" s="35">
        <v>13.155854</v>
      </c>
      <c r="U597" s="36">
        <f>IF(ISBLANK(T598),"",Long4[[#This Row],[Adj Close]]/T598-1)</f>
        <v>-2.3417746231587433E-2</v>
      </c>
      <c r="Y597" s="37">
        <v>40917</v>
      </c>
      <c r="Z597" s="35">
        <v>40.676017999999999</v>
      </c>
      <c r="AA597" s="36">
        <f>IF(ISBLANK(Z598),"",Long6[[#This Row],[Adj Close]]/Z598-1)</f>
        <v>0.13300777247556095</v>
      </c>
      <c r="AH597" s="29">
        <v>40917</v>
      </c>
      <c r="AI597" s="44">
        <v>30.711658</v>
      </c>
      <c r="AJ597" s="33">
        <f>IF(ISBLANK(AI598),"",Short0[[#This Row],[Adj Close]]/AI598-1)</f>
        <v>9.2008656234819464E-2</v>
      </c>
      <c r="AK597" s="37">
        <v>40917</v>
      </c>
      <c r="AL597" s="39">
        <v>17.039511000000001</v>
      </c>
      <c r="AM597" s="36">
        <f>IF(ISBLANK(AL598),"",Short1[[#This Row],[Adj Close]]/AL598-1)</f>
        <v>2.8901604823334814E-3</v>
      </c>
      <c r="AN597" s="29">
        <v>40917</v>
      </c>
      <c r="AO597" s="44">
        <v>20.055109000000002</v>
      </c>
      <c r="AP597" s="33">
        <f>IF(ISBLANK(AO598),"",Short2[[#This Row],[Adj Close]]/AO598-1)</f>
        <v>7.8921480335707228E-2</v>
      </c>
    </row>
    <row r="598" spans="1:42" x14ac:dyDescent="0.25">
      <c r="A598" s="37">
        <v>40910</v>
      </c>
      <c r="B598" s="39">
        <v>1277.8100589999999</v>
      </c>
      <c r="C598" s="36">
        <f>IF(ISBLANK(B599), "", GSPC[[#This Row],[Adj Close]]/B599-1)</f>
        <v>1.6070358926279171E-2</v>
      </c>
      <c r="D59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9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598" s="11" t="e">
        <f>IF(ISBLANK(GSPC[[#This Row],[Long Exp.]]), "", (GSPC[[#This Row],[Long Exp.]]/D599-1)+(E599/GSPC[[#This Row],[Short Exp.]]-1))</f>
        <v>#VALUE!</v>
      </c>
      <c r="G598" s="37">
        <v>40910</v>
      </c>
      <c r="H598">
        <v>19.659689</v>
      </c>
      <c r="I598" s="36">
        <f>IF(ISBLANK(H599), "", Long0[[#This Row],[Adj Close]]/H599-1)</f>
        <v>4.6589064704294358E-4</v>
      </c>
      <c r="J598" s="29">
        <v>40910</v>
      </c>
      <c r="K598">
        <v>4.0914520000000003</v>
      </c>
      <c r="L598" s="33">
        <f>IF(ISBLANK(K599),"",Long1[[#This Row],[Adj Close]]/K599-1)</f>
        <v>-4.2105253300169343E-2</v>
      </c>
      <c r="M598" s="37">
        <v>40910</v>
      </c>
      <c r="N598">
        <v>43.405537000000002</v>
      </c>
      <c r="O598" s="36">
        <f>IF(ISBLANK(N599),"",Long2[[#This Row],[Adj Close]]/N599-1)</f>
        <v>4.4417550781272741E-2</v>
      </c>
      <c r="P598" s="29">
        <v>40910</v>
      </c>
      <c r="Q598">
        <v>15.486452</v>
      </c>
      <c r="R598" s="33">
        <f>IF(ISBLANK(Q599),"",Long3[[#This Row],[Adj Close]]/Q599-1)</f>
        <v>-3.0591440270845593E-2</v>
      </c>
      <c r="S598" s="37">
        <v>40910</v>
      </c>
      <c r="T598" s="35">
        <v>13.471322000000001</v>
      </c>
      <c r="U598" s="36">
        <f>IF(ISBLANK(T599),"",Long4[[#This Row],[Adj Close]]/T599-1)</f>
        <v>-2.4691419697808525E-2</v>
      </c>
      <c r="Y598" s="37">
        <v>40910</v>
      </c>
      <c r="Z598" s="35">
        <v>35.900917</v>
      </c>
      <c r="AA598" s="36">
        <f>IF(ISBLANK(Z599),"",Long6[[#This Row],[Adj Close]]/Z599-1)</f>
        <v>4.0883812377536799E-3</v>
      </c>
      <c r="AH598" s="29">
        <v>40910</v>
      </c>
      <c r="AI598" s="44">
        <v>28.124006000000001</v>
      </c>
      <c r="AJ598" s="33">
        <f>IF(ISBLANK(AI599),"",Short0[[#This Row],[Adj Close]]/AI599-1)</f>
        <v>-1.310544041827133E-2</v>
      </c>
      <c r="AK598" s="37">
        <v>40910</v>
      </c>
      <c r="AL598" s="39">
        <v>16.990406</v>
      </c>
      <c r="AM598" s="36">
        <f>IF(ISBLANK(AL599),"",Short1[[#This Row],[Adj Close]]/AL599-1)</f>
        <v>4.3631667880727143E-2</v>
      </c>
      <c r="AN598" s="29">
        <v>40910</v>
      </c>
      <c r="AO598" s="44">
        <v>18.588107999999998</v>
      </c>
      <c r="AP598" s="33">
        <f>IF(ISBLANK(AO599),"",Short2[[#This Row],[Adj Close]]/AO599-1)</f>
        <v>3.816780420630872E-2</v>
      </c>
    </row>
    <row r="599" spans="1:42" x14ac:dyDescent="0.25">
      <c r="A599" s="37">
        <v>40903</v>
      </c>
      <c r="B599" s="39">
        <v>1257.599976</v>
      </c>
      <c r="C599" s="36">
        <f>IF(ISBLANK(B600), "", GSPC[[#This Row],[Adj Close]]/B600-1)</f>
        <v>-6.1090626704486395E-3</v>
      </c>
      <c r="D59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59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599" s="11" t="e">
        <f>IF(ISBLANK(GSPC[[#This Row],[Long Exp.]]), "", (GSPC[[#This Row],[Long Exp.]]/D600-1)+(E600/GSPC[[#This Row],[Short Exp.]]-1))</f>
        <v>#VALUE!</v>
      </c>
      <c r="G599" s="37">
        <v>40903</v>
      </c>
      <c r="H599">
        <v>19.650534</v>
      </c>
      <c r="I599" s="36">
        <f>IF(ISBLANK(H600), "", Long0[[#This Row],[Adj Close]]/H600-1)</f>
        <v>-1.6949038922457249E-2</v>
      </c>
      <c r="J599" s="29">
        <v>40903</v>
      </c>
      <c r="K599">
        <v>4.2712960000000004</v>
      </c>
      <c r="L599" s="33">
        <f>IF(ISBLANK(K600),"",Long1[[#This Row],[Adj Close]]/K600-1)</f>
        <v>-8.8282660453803397E-3</v>
      </c>
      <c r="M599" s="37">
        <v>40903</v>
      </c>
      <c r="N599">
        <v>41.559562999999997</v>
      </c>
      <c r="O599" s="36">
        <f>IF(ISBLANK(N600),"",Long2[[#This Row],[Adj Close]]/N600-1)</f>
        <v>-3.851264671078225E-2</v>
      </c>
      <c r="P599" s="29">
        <v>40903</v>
      </c>
      <c r="Q599">
        <v>15.975155000000001</v>
      </c>
      <c r="R599" s="33">
        <f>IF(ISBLANK(Q600),"",Long3[[#This Row],[Adj Close]]/Q600-1)</f>
        <v>-7.7571828055645886E-3</v>
      </c>
      <c r="S599" s="37">
        <v>40903</v>
      </c>
      <c r="T599" s="35">
        <v>13.812369</v>
      </c>
      <c r="U599" s="36">
        <f>IF(ISBLANK(T600),"",Long4[[#This Row],[Adj Close]]/T600-1)</f>
        <v>-1.2195046074520599E-2</v>
      </c>
      <c r="Y599" s="37">
        <v>40903</v>
      </c>
      <c r="Z599" s="35">
        <v>35.754738000000003</v>
      </c>
      <c r="AA599" s="36">
        <f>IF(ISBLANK(Z600),"",Long6[[#This Row],[Adj Close]]/Z600-1)</f>
        <v>5.0988405180500962E-2</v>
      </c>
      <c r="AH599" s="29">
        <v>40903</v>
      </c>
      <c r="AI599" s="44">
        <v>28.497478000000001</v>
      </c>
      <c r="AJ599" s="33">
        <f>IF(ISBLANK(AI600),"",Short0[[#This Row],[Adj Close]]/AI600-1)</f>
        <v>-1.8603720055250905E-2</v>
      </c>
      <c r="AK599" s="37">
        <v>40903</v>
      </c>
      <c r="AL599" s="39">
        <v>16.280079000000001</v>
      </c>
      <c r="AM599" s="36">
        <f>IF(ISBLANK(AL600),"",Short1[[#This Row],[Adj Close]]/AL600-1)</f>
        <v>3.8659132693659171E-3</v>
      </c>
      <c r="AN599" s="29">
        <v>40903</v>
      </c>
      <c r="AO599" s="44">
        <v>17.904724000000002</v>
      </c>
      <c r="AP599" s="33">
        <f>IF(ISBLANK(AO600),"",Short2[[#This Row],[Adj Close]]/AO600-1)</f>
        <v>1.4455864795453577E-2</v>
      </c>
    </row>
    <row r="600" spans="1:42" x14ac:dyDescent="0.25">
      <c r="A600" s="37">
        <v>40896</v>
      </c>
      <c r="B600" s="39">
        <v>1265.329956</v>
      </c>
      <c r="C600" s="36">
        <f>IF(ISBLANK(B601), "", GSPC[[#This Row],[Adj Close]]/B601-1)</f>
        <v>3.7444796686680659E-2</v>
      </c>
      <c r="D60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0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00" s="11" t="e">
        <f>IF(ISBLANK(GSPC[[#This Row],[Long Exp.]]), "", (GSPC[[#This Row],[Long Exp.]]/D601-1)+(E601/GSPC[[#This Row],[Short Exp.]]-1))</f>
        <v>#VALUE!</v>
      </c>
      <c r="G600" s="37">
        <v>40896</v>
      </c>
      <c r="H600">
        <v>19.989333999999999</v>
      </c>
      <c r="I600" s="36">
        <f>IF(ISBLANK(H601), "", Long0[[#This Row],[Adj Close]]/H601-1)</f>
        <v>4.5498318150873907E-2</v>
      </c>
      <c r="J600" s="29">
        <v>40896</v>
      </c>
      <c r="K600">
        <v>4.3093399999999997</v>
      </c>
      <c r="L600" s="33">
        <f>IF(ISBLANK(K601),"",Long1[[#This Row],[Adj Close]]/K601-1)</f>
        <v>5.5932308048171508E-2</v>
      </c>
      <c r="M600" s="37">
        <v>40896</v>
      </c>
      <c r="N600">
        <v>43.224243000000001</v>
      </c>
      <c r="O600" s="36">
        <f>IF(ISBLANK(N601),"",Long2[[#This Row],[Adj Close]]/N601-1)</f>
        <v>8.9983502820225603E-2</v>
      </c>
      <c r="P600" s="29">
        <v>40896</v>
      </c>
      <c r="Q600">
        <v>16.100045999999999</v>
      </c>
      <c r="R600" s="33">
        <f>IF(ISBLANK(Q601),"",Long3[[#This Row],[Adj Close]]/Q601-1)</f>
        <v>3.1663389062220659E-2</v>
      </c>
      <c r="S600" s="37">
        <v>40896</v>
      </c>
      <c r="T600" s="35">
        <v>13.982891</v>
      </c>
      <c r="U600" s="36">
        <f>IF(ISBLANK(T601),"",Long4[[#This Row],[Adj Close]]/T601-1)</f>
        <v>3.8632019678527474E-2</v>
      </c>
      <c r="Y600" s="37">
        <v>40896</v>
      </c>
      <c r="Z600" s="35">
        <v>34.020107000000003</v>
      </c>
      <c r="AA600" s="36">
        <f>IF(ISBLANK(Z601),"",Long6[[#This Row],[Adj Close]]/Z601-1)</f>
        <v>1.3058527530315001E-2</v>
      </c>
      <c r="AH600" s="29">
        <v>40896</v>
      </c>
      <c r="AI600" s="44">
        <v>29.037686999999998</v>
      </c>
      <c r="AJ600" s="33">
        <f>IF(ISBLANK(AI601),"",Short0[[#This Row],[Adj Close]]/AI601-1)</f>
        <v>4.8398606038693615E-2</v>
      </c>
      <c r="AK600" s="37">
        <v>40896</v>
      </c>
      <c r="AL600" s="39">
        <v>16.217383999999999</v>
      </c>
      <c r="AM600" s="36">
        <f>IF(ISBLANK(AL601),"",Short1[[#This Row],[Adj Close]]/AL601-1)</f>
        <v>3.8813515487334804E-3</v>
      </c>
      <c r="AN600" s="29">
        <v>40896</v>
      </c>
      <c r="AO600" s="44">
        <v>17.649584000000001</v>
      </c>
      <c r="AP600" s="33">
        <f>IF(ISBLANK(AO601),"",Short2[[#This Row],[Adj Close]]/AO601-1)</f>
        <v>3.1965670808990598E-2</v>
      </c>
    </row>
    <row r="601" spans="1:42" x14ac:dyDescent="0.25">
      <c r="A601" s="37">
        <v>40889</v>
      </c>
      <c r="B601" s="39">
        <v>1219.660034</v>
      </c>
      <c r="C601" s="36">
        <f>IF(ISBLANK(B602), "", GSPC[[#This Row],[Adj Close]]/B602-1)</f>
        <v>-2.8306398768375818E-2</v>
      </c>
      <c r="D60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0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01" s="11" t="e">
        <f>IF(ISBLANK(GSPC[[#This Row],[Long Exp.]]), "", (GSPC[[#This Row],[Long Exp.]]/D602-1)+(E602/GSPC[[#This Row],[Short Exp.]]-1))</f>
        <v>#VALUE!</v>
      </c>
      <c r="G601" s="37">
        <v>40889</v>
      </c>
      <c r="H601">
        <v>19.119432</v>
      </c>
      <c r="I601" s="36">
        <f>IF(ISBLANK(H602), "", Long0[[#This Row],[Adj Close]]/H602-1)</f>
        <v>4.3999611437137265E-2</v>
      </c>
      <c r="J601" s="29">
        <v>40889</v>
      </c>
      <c r="K601">
        <v>4.0810760000000004</v>
      </c>
      <c r="L601" s="33">
        <f>IF(ISBLANK(K602),"",Long1[[#This Row],[Adj Close]]/K602-1)</f>
        <v>2.6086912795550754E-2</v>
      </c>
      <c r="M601" s="37">
        <v>40889</v>
      </c>
      <c r="N601">
        <v>39.655869000000003</v>
      </c>
      <c r="O601" s="36">
        <f>IF(ISBLANK(N602),"",Long2[[#This Row],[Adj Close]]/N602-1)</f>
        <v>-4.7317093034275892E-2</v>
      </c>
      <c r="P601" s="29">
        <v>40889</v>
      </c>
      <c r="Q601">
        <v>15.60591</v>
      </c>
      <c r="R601" s="33">
        <f>IF(ISBLANK(Q602),"",Long3[[#This Row],[Adj Close]]/Q602-1)</f>
        <v>4.0539537395400949E-4</v>
      </c>
      <c r="S601" s="37">
        <v>40889</v>
      </c>
      <c r="T601" s="35">
        <v>13.462796000000001</v>
      </c>
      <c r="U601" s="36">
        <f>IF(ISBLANK(T602),"",Long4[[#This Row],[Adj Close]]/T602-1)</f>
        <v>-4.3030311086323825E-2</v>
      </c>
      <c r="Y601" s="37">
        <v>40889</v>
      </c>
      <c r="Z601" s="35">
        <v>33.581581</v>
      </c>
      <c r="AA601" s="36">
        <f>IF(ISBLANK(Z602),"",Long6[[#This Row],[Adj Close]]/Z602-1)</f>
        <v>-0.15039462665839509</v>
      </c>
      <c r="AH601" s="29">
        <v>40889</v>
      </c>
      <c r="AI601" s="44">
        <v>27.697182000000002</v>
      </c>
      <c r="AJ601" s="33">
        <f>IF(ISBLANK(AI602),"",Short0[[#This Row],[Adj Close]]/AI602-1)</f>
        <v>-5.5492462625665873E-2</v>
      </c>
      <c r="AK601" s="37">
        <v>40889</v>
      </c>
      <c r="AL601" s="39">
        <v>16.154682000000001</v>
      </c>
      <c r="AM601" s="36">
        <f>IF(ISBLANK(AL602),"",Short1[[#This Row],[Adj Close]]/AL602-1)</f>
        <v>-0.17502689066953125</v>
      </c>
      <c r="AN601" s="29">
        <v>40889</v>
      </c>
      <c r="AO601" s="44">
        <v>17.102879000000001</v>
      </c>
      <c r="AP601" s="33">
        <f>IF(ISBLANK(AO602),"",Short2[[#This Row],[Adj Close]]/AO602-1)</f>
        <v>-4.4297351858475498E-2</v>
      </c>
    </row>
    <row r="602" spans="1:42" x14ac:dyDescent="0.25">
      <c r="A602" s="37">
        <v>40882</v>
      </c>
      <c r="B602" s="39">
        <v>1255.1899410000001</v>
      </c>
      <c r="C602" s="36">
        <f>IF(ISBLANK(B603), "", GSPC[[#This Row],[Adj Close]]/B603-1)</f>
        <v>8.7680520025448239E-3</v>
      </c>
      <c r="D60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0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02" s="11" t="e">
        <f>IF(ISBLANK(GSPC[[#This Row],[Long Exp.]]), "", (GSPC[[#This Row],[Long Exp.]]/D603-1)+(E603/GSPC[[#This Row],[Short Exp.]]-1))</f>
        <v>#VALUE!</v>
      </c>
      <c r="G602" s="37">
        <v>40882</v>
      </c>
      <c r="H602">
        <v>18.313638999999998</v>
      </c>
      <c r="I602" s="36">
        <f>IF(ISBLANK(H603), "", Long0[[#This Row],[Adj Close]]/H603-1)</f>
        <v>2.5641199397730352E-2</v>
      </c>
      <c r="J602" s="29">
        <v>40882</v>
      </c>
      <c r="K602">
        <v>3.9773200000000002</v>
      </c>
      <c r="L602" s="33">
        <f>IF(ISBLANK(K603),"",Long1[[#This Row],[Adj Close]]/K603-1)</f>
        <v>8.5930104709969202E-2</v>
      </c>
      <c r="M602" s="37">
        <v>40882</v>
      </c>
      <c r="N602">
        <v>41.625464999999998</v>
      </c>
      <c r="O602" s="36">
        <f>IF(ISBLANK(N603),"",Long2[[#This Row],[Adj Close]]/N603-1)</f>
        <v>-1.3669335847064201E-2</v>
      </c>
      <c r="P602" s="29">
        <v>40882</v>
      </c>
      <c r="Q602">
        <v>15.599586</v>
      </c>
      <c r="R602" s="33">
        <f>IF(ISBLANK(Q603),"",Long3[[#This Row],[Adj Close]]/Q603-1)</f>
        <v>-2.0552370382676544E-2</v>
      </c>
      <c r="S602" s="37">
        <v>40882</v>
      </c>
      <c r="T602" s="35">
        <v>14.068153000000001</v>
      </c>
      <c r="U602" s="36">
        <f>IF(ISBLANK(T603),"",Long4[[#This Row],[Adj Close]]/T603-1)</f>
        <v>-6.1967232287339469E-2</v>
      </c>
      <c r="Y602" s="37">
        <v>40882</v>
      </c>
      <c r="Z602" s="35">
        <v>39.526093000000003</v>
      </c>
      <c r="AA602" s="36">
        <f>IF(ISBLANK(Z603),"",Long6[[#This Row],[Adj Close]]/Z603-1)</f>
        <v>-8.0702826450977927E-3</v>
      </c>
      <c r="AH602" s="29">
        <v>40882</v>
      </c>
      <c r="AI602" s="44">
        <v>29.324469000000001</v>
      </c>
      <c r="AJ602" s="33">
        <f>IF(ISBLANK(AI603),"",Short0[[#This Row],[Adj Close]]/AI603-1)</f>
        <v>-4.4545636650074938E-2</v>
      </c>
      <c r="AK602" s="37">
        <v>40882</v>
      </c>
      <c r="AL602" s="39">
        <v>19.582070999999999</v>
      </c>
      <c r="AM602" s="36">
        <f>IF(ISBLANK(AL603),"",Short1[[#This Row],[Adj Close]]/AL603-1)</f>
        <v>1.847817069875668E-2</v>
      </c>
      <c r="AN602" s="29">
        <v>40882</v>
      </c>
      <c r="AO602" s="44">
        <v>17.895606999999998</v>
      </c>
      <c r="AP602" s="33">
        <f>IF(ISBLANK(AO603),"",Short2[[#This Row],[Adj Close]]/AO603-1)</f>
        <v>6.681142698401854E-2</v>
      </c>
    </row>
    <row r="603" spans="1:42" x14ac:dyDescent="0.25">
      <c r="A603" s="37">
        <v>40875</v>
      </c>
      <c r="B603" s="39">
        <v>1244.280029</v>
      </c>
      <c r="C603" s="36">
        <f>IF(ISBLANK(B604), "", GSPC[[#This Row],[Adj Close]]/B604-1)</f>
        <v>7.3886423010000701E-2</v>
      </c>
      <c r="D60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0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03" s="11" t="e">
        <f>IF(ISBLANK(GSPC[[#This Row],[Long Exp.]]), "", (GSPC[[#This Row],[Long Exp.]]/D604-1)+(E604/GSPC[[#This Row],[Short Exp.]]-1))</f>
        <v>#VALUE!</v>
      </c>
      <c r="G603" s="37">
        <v>40875</v>
      </c>
      <c r="H603">
        <v>17.855795000000001</v>
      </c>
      <c r="I603" s="36">
        <f>IF(ISBLANK(H604), "", Long0[[#This Row],[Adj Close]]/H604-1)</f>
        <v>0.12004581351098387</v>
      </c>
      <c r="J603" s="29">
        <v>40875</v>
      </c>
      <c r="K603">
        <v>3.6625930000000002</v>
      </c>
      <c r="L603" s="33">
        <f>IF(ISBLANK(K604),"",Long1[[#This Row],[Adj Close]]/K604-1)</f>
        <v>0.16373613838782886</v>
      </c>
      <c r="M603" s="37">
        <v>40875</v>
      </c>
      <c r="N603">
        <v>42.202342999999999</v>
      </c>
      <c r="O603" s="36">
        <f>IF(ISBLANK(N604),"",Long2[[#This Row],[Adj Close]]/N604-1)</f>
        <v>3.8741938720926239E-2</v>
      </c>
      <c r="P603" s="29">
        <v>40875</v>
      </c>
      <c r="Q603">
        <v>15.926921999999999</v>
      </c>
      <c r="R603" s="33">
        <f>IF(ISBLANK(Q604),"",Long3[[#This Row],[Adj Close]]/Q604-1)</f>
        <v>3.8851758904592026E-2</v>
      </c>
      <c r="S603" s="37">
        <v>40875</v>
      </c>
      <c r="T603" s="35">
        <v>14.997507000000001</v>
      </c>
      <c r="U603" s="36">
        <f>IF(ISBLANK(T604),"",Long4[[#This Row],[Adj Close]]/T604-1)</f>
        <v>8.3795667088477854E-2</v>
      </c>
      <c r="Y603" s="37">
        <v>40875</v>
      </c>
      <c r="Z603" s="35">
        <v>39.847675000000002</v>
      </c>
      <c r="AA603" s="36">
        <f>IF(ISBLANK(Z604),"",Long6[[#This Row],[Adj Close]]/Z604-1)</f>
        <v>4.0457896073994082E-2</v>
      </c>
      <c r="AH603" s="29">
        <v>40875</v>
      </c>
      <c r="AI603" s="44">
        <v>30.691648000000001</v>
      </c>
      <c r="AJ603" s="33">
        <f>IF(ISBLANK(AI604),"",Short0[[#This Row],[Adj Close]]/AI604-1)</f>
        <v>8.5377029088982592E-2</v>
      </c>
      <c r="AK603" s="37">
        <v>40875</v>
      </c>
      <c r="AL603" s="39">
        <v>19.226794999999999</v>
      </c>
      <c r="AM603" s="36">
        <f>IF(ISBLANK(AL604),"",Short1[[#This Row],[Adj Close]]/AL604-1)</f>
        <v>7.6863031553817684E-2</v>
      </c>
      <c r="AN603" s="29">
        <v>40875</v>
      </c>
      <c r="AO603" s="44">
        <v>16.774854999999999</v>
      </c>
      <c r="AP603" s="33">
        <f>IF(ISBLANK(AO604),"",Short2[[#This Row],[Adj Close]]/AO604-1)</f>
        <v>0.11982946401928452</v>
      </c>
    </row>
    <row r="604" spans="1:42" x14ac:dyDescent="0.25">
      <c r="A604" s="37">
        <v>40868</v>
      </c>
      <c r="B604" s="39">
        <v>1158.670044</v>
      </c>
      <c r="C604" s="36">
        <f>IF(ISBLANK(B605), "", GSPC[[#This Row],[Adj Close]]/B605-1)</f>
        <v>-4.6872026385120225E-2</v>
      </c>
      <c r="D60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0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04" s="11" t="e">
        <f>IF(ISBLANK(GSPC[[#This Row],[Long Exp.]]), "", (GSPC[[#This Row],[Long Exp.]]/D605-1)+(E605/GSPC[[#This Row],[Short Exp.]]-1))</f>
        <v>#VALUE!</v>
      </c>
      <c r="G604" s="37">
        <v>40868</v>
      </c>
      <c r="H604">
        <v>15.942022</v>
      </c>
      <c r="I604" s="36">
        <f>IF(ISBLANK(H605), "", Long0[[#This Row],[Adj Close]]/H605-1)</f>
        <v>-2.5195917495318354E-2</v>
      </c>
      <c r="J604" s="29">
        <v>40868</v>
      </c>
      <c r="K604">
        <v>3.1472709999999999</v>
      </c>
      <c r="L604" s="33">
        <f>IF(ISBLANK(K605),"",Long1[[#This Row],[Adj Close]]/K605-1)</f>
        <v>-4.3112477657064829E-2</v>
      </c>
      <c r="M604" s="37">
        <v>40868</v>
      </c>
      <c r="N604">
        <v>40.628323000000002</v>
      </c>
      <c r="O604" s="36">
        <f>IF(ISBLANK(N605),"",Long2[[#This Row],[Adj Close]]/N605-1)</f>
        <v>-6.7347412553553698E-2</v>
      </c>
      <c r="P604" s="29">
        <v>40868</v>
      </c>
      <c r="Q604">
        <v>15.331275</v>
      </c>
      <c r="R604" s="33">
        <f>IF(ISBLANK(Q605),"",Long3[[#This Row],[Adj Close]]/Q605-1)</f>
        <v>-3.2508970792530678E-2</v>
      </c>
      <c r="S604" s="37">
        <v>40868</v>
      </c>
      <c r="T604" s="35">
        <v>13.837947</v>
      </c>
      <c r="U604" s="36">
        <f>IF(ISBLANK(T605),"",Long4[[#This Row],[Adj Close]]/T605-1)</f>
        <v>-8.4085726674328232E-2</v>
      </c>
      <c r="Y604" s="37">
        <v>40868</v>
      </c>
      <c r="Z604" s="35">
        <v>38.298209999999997</v>
      </c>
      <c r="AA604" s="36">
        <f>IF(ISBLANK(Z605),"",Long6[[#This Row],[Adj Close]]/Z605-1)</f>
        <v>-0.18447799574077461</v>
      </c>
      <c r="AH604" s="29">
        <v>40868</v>
      </c>
      <c r="AI604" s="44">
        <v>28.277407</v>
      </c>
      <c r="AJ604" s="33">
        <f>IF(ISBLANK(AI605),"",Short0[[#This Row],[Adj Close]]/AI605-1)</f>
        <v>-6.3397165953551049E-2</v>
      </c>
      <c r="AK604" s="37">
        <v>40868</v>
      </c>
      <c r="AL604" s="39">
        <v>17.854448000000001</v>
      </c>
      <c r="AM604" s="36">
        <f>IF(ISBLANK(AL605),"",Short1[[#This Row],[Adj Close]]/AL605-1)</f>
        <v>-5.2845381816700177E-2</v>
      </c>
      <c r="AN604" s="29">
        <v>40868</v>
      </c>
      <c r="AO604" s="44">
        <v>14.97983</v>
      </c>
      <c r="AP604" s="33">
        <f>IF(ISBLANK(AO605),"",Short2[[#This Row],[Adj Close]]/AO605-1)</f>
        <v>-6.9609178005907602E-2</v>
      </c>
    </row>
    <row r="605" spans="1:42" x14ac:dyDescent="0.25">
      <c r="A605" s="37">
        <v>40861</v>
      </c>
      <c r="B605" s="39">
        <v>1215.650024</v>
      </c>
      <c r="C605" s="36">
        <f>IF(ISBLANK(B606), "", GSPC[[#This Row],[Adj Close]]/B606-1)</f>
        <v>-3.8137399940892935E-2</v>
      </c>
      <c r="D60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0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05" s="11" t="e">
        <f>IF(ISBLANK(GSPC[[#This Row],[Long Exp.]]), "", (GSPC[[#This Row],[Long Exp.]]/D606-1)+(E606/GSPC[[#This Row],[Short Exp.]]-1))</f>
        <v>#VALUE!</v>
      </c>
      <c r="G605" s="37">
        <v>40861</v>
      </c>
      <c r="H605">
        <v>16.354078000000001</v>
      </c>
      <c r="I605" s="36">
        <f>IF(ISBLANK(H606), "", Long0[[#This Row],[Adj Close]]/H606-1)</f>
        <v>-4.6449645300667419E-2</v>
      </c>
      <c r="J605" s="29">
        <v>40861</v>
      </c>
      <c r="K605">
        <v>3.2890709999999999</v>
      </c>
      <c r="L605" s="33">
        <f>IF(ISBLANK(K606),"",Long1[[#This Row],[Adj Close]]/K606-1)</f>
        <v>-7.3099295722850011E-2</v>
      </c>
      <c r="M605" s="37">
        <v>40861</v>
      </c>
      <c r="N605">
        <v>43.562119000000003</v>
      </c>
      <c r="O605" s="36">
        <f>IF(ISBLANK(N606),"",Long2[[#This Row],[Adj Close]]/N606-1)</f>
        <v>-8.5150667893630794E-2</v>
      </c>
      <c r="P605" s="29">
        <v>40861</v>
      </c>
      <c r="Q605">
        <v>15.846425999999999</v>
      </c>
      <c r="R605" s="33">
        <f>IF(ISBLANK(Q606),"",Long3[[#This Row],[Adj Close]]/Q606-1)</f>
        <v>-2.3479130893908629E-2</v>
      </c>
      <c r="S605" s="37">
        <v>40861</v>
      </c>
      <c r="T605" s="35">
        <v>15.108343</v>
      </c>
      <c r="U605" s="36">
        <f>IF(ISBLANK(T606),"",Long4[[#This Row],[Adj Close]]/T606-1)</f>
        <v>1.8390674589639833E-2</v>
      </c>
      <c r="Y605" s="37">
        <v>40861</v>
      </c>
      <c r="Z605" s="35">
        <v>46.961590000000001</v>
      </c>
      <c r="AA605" s="36">
        <f>IF(ISBLANK(Z606),"",Long6[[#This Row],[Adj Close]]/Z606-1)</f>
        <v>-8.3666137021772169E-2</v>
      </c>
      <c r="AH605" s="29">
        <v>40861</v>
      </c>
      <c r="AI605" s="44">
        <v>30.191459999999999</v>
      </c>
      <c r="AJ605" s="33">
        <f>IF(ISBLANK(AI606),"",Short0[[#This Row],[Adj Close]]/AI606-1)</f>
        <v>-2.3721988093541202E-2</v>
      </c>
      <c r="AK605" s="37">
        <v>40861</v>
      </c>
      <c r="AL605" s="39">
        <v>18.850615999999999</v>
      </c>
      <c r="AM605" s="36">
        <f>IF(ISBLANK(AL606),"",Short1[[#This Row],[Adj Close]]/AL606-1)</f>
        <v>-3.6668168427215209E-2</v>
      </c>
      <c r="AN605" s="29">
        <v>40861</v>
      </c>
      <c r="AO605" s="44">
        <v>16.100577999999999</v>
      </c>
      <c r="AP605" s="33">
        <f>IF(ISBLANK(AO606),"",Short2[[#This Row],[Adj Close]]/AO606-1)</f>
        <v>-2.4296271679010162E-2</v>
      </c>
    </row>
    <row r="606" spans="1:42" x14ac:dyDescent="0.25">
      <c r="A606" s="37">
        <v>40854</v>
      </c>
      <c r="B606" s="39">
        <v>1263.849976</v>
      </c>
      <c r="C606" s="36">
        <f>IF(ISBLANK(B607), "", GSPC[[#This Row],[Adj Close]]/B607-1)</f>
        <v>8.4740998615433494E-3</v>
      </c>
      <c r="D60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0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06" s="11" t="e">
        <f>IF(ISBLANK(GSPC[[#This Row],[Long Exp.]]), "", (GSPC[[#This Row],[Long Exp.]]/D607-1)+(E607/GSPC[[#This Row],[Short Exp.]]-1))</f>
        <v>#VALUE!</v>
      </c>
      <c r="G606" s="37">
        <v>40854</v>
      </c>
      <c r="H606">
        <v>17.150722999999999</v>
      </c>
      <c r="I606" s="36">
        <f>IF(ISBLANK(H607), "", Long0[[#This Row],[Adj Close]]/H607-1)</f>
        <v>1.1885405829181739E-2</v>
      </c>
      <c r="J606" s="29">
        <v>40854</v>
      </c>
      <c r="K606">
        <v>3.5484610000000001</v>
      </c>
      <c r="L606" s="33">
        <f>IF(ISBLANK(K607),"",Long1[[#This Row],[Adj Close]]/K607-1)</f>
        <v>-0.16244912622078767</v>
      </c>
      <c r="M606" s="37">
        <v>40854</v>
      </c>
      <c r="N606">
        <v>47.616714000000002</v>
      </c>
      <c r="O606" s="36">
        <f>IF(ISBLANK(N607),"",Long2[[#This Row],[Adj Close]]/N607-1)</f>
        <v>-4.486517304251092E-3</v>
      </c>
      <c r="P606" s="29">
        <v>40854</v>
      </c>
      <c r="Q606">
        <v>16.227432</v>
      </c>
      <c r="R606" s="33">
        <f>IF(ISBLANK(Q607),"",Long3[[#This Row],[Adj Close]]/Q607-1)</f>
        <v>1.9211566911119249E-2</v>
      </c>
      <c r="S606" s="37">
        <v>40854</v>
      </c>
      <c r="T606" s="35">
        <v>14.835508000000001</v>
      </c>
      <c r="U606" s="36">
        <f>IF(ISBLANK(T607),"",Long4[[#This Row],[Adj Close]]/T607-1)</f>
        <v>1.398610432086822E-2</v>
      </c>
      <c r="Y606" s="37">
        <v>40854</v>
      </c>
      <c r="Z606" s="35">
        <v>51.249431999999999</v>
      </c>
      <c r="AA606" s="36">
        <f>IF(ISBLANK(Z607),"",Long6[[#This Row],[Adj Close]]/Z607-1)</f>
        <v>1.1929947134021734E-2</v>
      </c>
      <c r="AH606" s="29">
        <v>40854</v>
      </c>
      <c r="AI606" s="44">
        <v>30.925063999999999</v>
      </c>
      <c r="AJ606" s="33">
        <f>IF(ISBLANK(AI607),"",Short0[[#This Row],[Adj Close]]/AI607-1)</f>
        <v>-3.4763456672673554E-2</v>
      </c>
      <c r="AK606" s="37">
        <v>40854</v>
      </c>
      <c r="AL606" s="39">
        <v>19.568144</v>
      </c>
      <c r="AM606" s="36">
        <f>IF(ISBLANK(AL607),"",Short1[[#This Row],[Adj Close]]/AL607-1)</f>
        <v>2.8561072151388256E-2</v>
      </c>
      <c r="AN606" s="29">
        <v>40854</v>
      </c>
      <c r="AO606" s="44">
        <v>16.501503</v>
      </c>
      <c r="AP606" s="33">
        <f>IF(ISBLANK(AO607),"",Short2[[#This Row],[Adj Close]]/AO607-1)</f>
        <v>5.4746858562827905E-2</v>
      </c>
    </row>
    <row r="607" spans="1:42" x14ac:dyDescent="0.25">
      <c r="A607" s="37">
        <v>40847</v>
      </c>
      <c r="B607" s="39">
        <v>1253.2299800000001</v>
      </c>
      <c r="C607" s="36">
        <f>IF(ISBLANK(B608), "", GSPC[[#This Row],[Adj Close]]/B608-1)</f>
        <v>-2.4792027673492756E-2</v>
      </c>
      <c r="D60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0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07" s="11" t="e">
        <f>IF(ISBLANK(GSPC[[#This Row],[Long Exp.]]), "", (GSPC[[#This Row],[Long Exp.]]/D608-1)+(E608/GSPC[[#This Row],[Short Exp.]]-1))</f>
        <v>#VALUE!</v>
      </c>
      <c r="G607" s="37">
        <v>40847</v>
      </c>
      <c r="H607">
        <v>16.949273999999999</v>
      </c>
      <c r="I607" s="36">
        <f>IF(ISBLANK(H608), "", Long0[[#This Row],[Adj Close]]/H608-1)</f>
        <v>-8.7277754729880863E-2</v>
      </c>
      <c r="J607" s="29">
        <v>40847</v>
      </c>
      <c r="K607">
        <v>4.2367109999999997</v>
      </c>
      <c r="L607" s="33">
        <f>IF(ISBLANK(K608),"",Long1[[#This Row],[Adj Close]]/K608-1)</f>
        <v>-7.2933883619763495E-3</v>
      </c>
      <c r="M607" s="37">
        <v>40847</v>
      </c>
      <c r="N607">
        <v>47.831310000000002</v>
      </c>
      <c r="O607" s="36">
        <f>IF(ISBLANK(N608),"",Long2[[#This Row],[Adj Close]]/N608-1)</f>
        <v>-6.2459793504535566E-2</v>
      </c>
      <c r="P607" s="29">
        <v>40847</v>
      </c>
      <c r="Q607">
        <v>15.921554</v>
      </c>
      <c r="R607" s="33">
        <f>IF(ISBLANK(Q608),"",Long3[[#This Row],[Adj Close]]/Q608-1)</f>
        <v>-1.010437041628065E-3</v>
      </c>
      <c r="S607" s="37">
        <v>40847</v>
      </c>
      <c r="T607" s="35">
        <v>14.630879</v>
      </c>
      <c r="U607" s="36">
        <f>IF(ISBLANK(T608),"",Long4[[#This Row],[Adj Close]]/T608-1)</f>
        <v>-4.7195876422933658E-2</v>
      </c>
      <c r="Y607" s="37">
        <v>40847</v>
      </c>
      <c r="Z607" s="35">
        <v>50.645237000000002</v>
      </c>
      <c r="AA607" s="36">
        <f>IF(ISBLANK(Z608),"",Long6[[#This Row],[Adj Close]]/Z608-1)</f>
        <v>8.4063445059378017E-2</v>
      </c>
      <c r="AH607" s="29">
        <v>40847</v>
      </c>
      <c r="AI607" s="44">
        <v>32.038845000000002</v>
      </c>
      <c r="AJ607" s="33">
        <f>IF(ISBLANK(AI608),"",Short0[[#This Row],[Adj Close]]/AI608-1)</f>
        <v>-1.8695059954476623E-3</v>
      </c>
      <c r="AK607" s="37">
        <v>40847</v>
      </c>
      <c r="AL607" s="39">
        <v>19.024775999999999</v>
      </c>
      <c r="AM607" s="36">
        <f>IF(ISBLANK(AL608),"",Short1[[#This Row],[Adj Close]]/AL608-1)</f>
        <v>3.0566222771334361E-2</v>
      </c>
      <c r="AN607" s="29">
        <v>40847</v>
      </c>
      <c r="AO607" s="44">
        <v>15.644989000000001</v>
      </c>
      <c r="AP607" s="33">
        <f>IF(ISBLANK(AO608),"",Short2[[#This Row],[Adj Close]]/AO608-1)</f>
        <v>7.0380065873012487E-3</v>
      </c>
    </row>
    <row r="608" spans="1:42" x14ac:dyDescent="0.25">
      <c r="A608" s="37">
        <v>40840</v>
      </c>
      <c r="B608" s="39">
        <v>1285.089966</v>
      </c>
      <c r="C608" s="36">
        <f>IF(ISBLANK(B609), "", GSPC[[#This Row],[Adj Close]]/B609-1)</f>
        <v>3.7827551786795865E-2</v>
      </c>
      <c r="D60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0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08" s="11" t="e">
        <f>IF(ISBLANK(GSPC[[#This Row],[Long Exp.]]), "", (GSPC[[#This Row],[Long Exp.]]/D609-1)+(E609/GSPC[[#This Row],[Short Exp.]]-1))</f>
        <v>#VALUE!</v>
      </c>
      <c r="G608" s="37">
        <v>40840</v>
      </c>
      <c r="H608">
        <v>18.570024</v>
      </c>
      <c r="I608" s="36">
        <f>IF(ISBLANK(H609), "", Long0[[#This Row],[Adj Close]]/H609-1)</f>
        <v>0.12416818018534159</v>
      </c>
      <c r="J608" s="29">
        <v>40840</v>
      </c>
      <c r="K608">
        <v>4.2678380000000002</v>
      </c>
      <c r="L608" s="33">
        <f>IF(ISBLANK(K609),"",Long1[[#This Row],[Adj Close]]/K609-1)</f>
        <v>0.15868569430387169</v>
      </c>
      <c r="M608" s="37">
        <v>40840</v>
      </c>
      <c r="N608">
        <v>51.017876000000001</v>
      </c>
      <c r="O608" s="36">
        <f>IF(ISBLANK(N609),"",Long2[[#This Row],[Adj Close]]/N609-1)</f>
        <v>6.005155323029876E-2</v>
      </c>
      <c r="P608" s="29">
        <v>40840</v>
      </c>
      <c r="Q608">
        <v>15.937658000000001</v>
      </c>
      <c r="R608" s="33">
        <f>IF(ISBLANK(Q609),"",Long3[[#This Row],[Adj Close]]/Q609-1)</f>
        <v>9.5175260323090427E-3</v>
      </c>
      <c r="S608" s="37">
        <v>40840</v>
      </c>
      <c r="T608" s="35">
        <v>15.355600000000001</v>
      </c>
      <c r="U608" s="36">
        <f>IF(ISBLANK(T609),"",Long4[[#This Row],[Adj Close]]/T609-1)</f>
        <v>7.3301345939291052E-2</v>
      </c>
      <c r="Y608" s="37">
        <v>40840</v>
      </c>
      <c r="Z608" s="35">
        <v>46.717964000000002</v>
      </c>
      <c r="AA608" s="36">
        <f>IF(ISBLANK(Z609),"",Long6[[#This Row],[Adj Close]]/Z609-1)</f>
        <v>-8.0695951036248159E-3</v>
      </c>
      <c r="AH608" s="29">
        <v>40840</v>
      </c>
      <c r="AI608" s="44">
        <v>32.098854000000003</v>
      </c>
      <c r="AJ608" s="33">
        <f>IF(ISBLANK(AI609),"",Short0[[#This Row],[Adj Close]]/AI609-1)</f>
        <v>0.1656572900412856</v>
      </c>
      <c r="AK608" s="37">
        <v>40840</v>
      </c>
      <c r="AL608" s="39">
        <v>18.460508000000001</v>
      </c>
      <c r="AM608" s="36">
        <f>IF(ISBLANK(AL609),"",Short1[[#This Row],[Adj Close]]/AL609-1)</f>
        <v>1.6104147038443317E-2</v>
      </c>
      <c r="AN608" s="29">
        <v>40840</v>
      </c>
      <c r="AO608" s="44">
        <v>15.535648999999999</v>
      </c>
      <c r="AP608" s="33">
        <f>IF(ISBLANK(AO609),"",Short2[[#This Row],[Adj Close]]/AO609-1)</f>
        <v>2.1796672995380684E-2</v>
      </c>
    </row>
    <row r="609" spans="1:42" x14ac:dyDescent="0.25">
      <c r="A609" s="37">
        <v>40833</v>
      </c>
      <c r="B609" s="39">
        <v>1238.25</v>
      </c>
      <c r="C609" s="36">
        <f>IF(ISBLANK(B610), "", GSPC[[#This Row],[Adj Close]]/B610-1)</f>
        <v>1.1163047323305975E-2</v>
      </c>
      <c r="D60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0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09" s="11" t="e">
        <f>IF(ISBLANK(GSPC[[#This Row],[Long Exp.]]), "", (GSPC[[#This Row],[Long Exp.]]/D610-1)+(E610/GSPC[[#This Row],[Short Exp.]]-1))</f>
        <v>#VALUE!</v>
      </c>
      <c r="G609" s="37">
        <v>40833</v>
      </c>
      <c r="H609">
        <v>16.518902000000001</v>
      </c>
      <c r="I609" s="36">
        <f>IF(ISBLANK(H610), "", Long0[[#This Row],[Adj Close]]/H610-1)</f>
        <v>2.0939488689160735E-2</v>
      </c>
      <c r="J609" s="29">
        <v>40833</v>
      </c>
      <c r="K609">
        <v>3.683344</v>
      </c>
      <c r="L609" s="33">
        <f>IF(ISBLANK(K610),"",Long1[[#This Row],[Adj Close]]/K610-1)</f>
        <v>0.17549642772457208</v>
      </c>
      <c r="M609" s="37">
        <v>40833</v>
      </c>
      <c r="N609">
        <v>48.127730999999997</v>
      </c>
      <c r="O609" s="36">
        <f>IF(ISBLANK(N610),"",Long2[[#This Row],[Adj Close]]/N610-1)</f>
        <v>2.3463556302250943E-2</v>
      </c>
      <c r="P609" s="29">
        <v>40833</v>
      </c>
      <c r="Q609">
        <v>15.787400999999999</v>
      </c>
      <c r="R609" s="33">
        <f>IF(ISBLANK(Q610),"",Long3[[#This Row],[Adj Close]]/Q610-1)</f>
        <v>3.1556785931822873E-2</v>
      </c>
      <c r="S609" s="37">
        <v>40833</v>
      </c>
      <c r="T609" s="35">
        <v>14.306886</v>
      </c>
      <c r="U609" s="36">
        <f>IF(ISBLANK(T610),"",Long4[[#This Row],[Adj Close]]/T610-1)</f>
        <v>2.3895132980742417E-3</v>
      </c>
      <c r="Y609" s="37">
        <v>40833</v>
      </c>
      <c r="Z609" s="35">
        <v>47.098025999999997</v>
      </c>
      <c r="AA609" s="36">
        <f>IF(ISBLANK(Z610),"",Long6[[#This Row],[Adj Close]]/Z610-1)</f>
        <v>-5.8995408923890658E-2</v>
      </c>
      <c r="AH609" s="29">
        <v>40833</v>
      </c>
      <c r="AI609" s="44">
        <v>27.537127999999999</v>
      </c>
      <c r="AJ609" s="33">
        <f>IF(ISBLANK(AI610),"",Short0[[#This Row],[Adj Close]]/AI610-1)</f>
        <v>-8.7513621207414349E-2</v>
      </c>
      <c r="AK609" s="37">
        <v>40833</v>
      </c>
      <c r="AL609" s="39">
        <v>18.167929000000001</v>
      </c>
      <c r="AM609" s="36">
        <f>IF(ISBLANK(AL610),"",Short1[[#This Row],[Adj Close]]/AL610-1)</f>
        <v>1.6368133467424828E-2</v>
      </c>
      <c r="AN609" s="29">
        <v>40833</v>
      </c>
      <c r="AO609" s="44">
        <v>15.204247000000001</v>
      </c>
      <c r="AP609" s="33">
        <f>IF(ISBLANK(AO610),"",Short2[[#This Row],[Adj Close]]/AO610-1)</f>
        <v>9.275031168823511E-2</v>
      </c>
    </row>
    <row r="610" spans="1:42" x14ac:dyDescent="0.25">
      <c r="A610" s="37">
        <v>40826</v>
      </c>
      <c r="B610" s="39">
        <v>1224.579956</v>
      </c>
      <c r="C610" s="36">
        <f>IF(ISBLANK(B611), "", GSPC[[#This Row],[Adj Close]]/B611-1)</f>
        <v>5.982032898844869E-2</v>
      </c>
      <c r="D61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1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10" s="11" t="e">
        <f>IF(ISBLANK(GSPC[[#This Row],[Long Exp.]]), "", (GSPC[[#This Row],[Long Exp.]]/D611-1)+(E611/GSPC[[#This Row],[Short Exp.]]-1))</f>
        <v>#VALUE!</v>
      </c>
      <c r="G610" s="37">
        <v>40826</v>
      </c>
      <c r="H610">
        <v>16.180098999999998</v>
      </c>
      <c r="I610" s="36">
        <f>IF(ISBLANK(H611), "", Long0[[#This Row],[Adj Close]]/H611-1)</f>
        <v>2.0207938291542771E-2</v>
      </c>
      <c r="J610" s="29">
        <v>40826</v>
      </c>
      <c r="K610">
        <v>3.1334369999999998</v>
      </c>
      <c r="L610" s="33">
        <f>IF(ISBLANK(K611),"",Long1[[#This Row],[Adj Close]]/K611-1)</f>
        <v>0.22930790162514336</v>
      </c>
      <c r="M610" s="37">
        <v>40826</v>
      </c>
      <c r="N610">
        <v>47.024372</v>
      </c>
      <c r="O610" s="36">
        <f>IF(ISBLANK(N611),"",Long2[[#This Row],[Adj Close]]/N611-1)</f>
        <v>0.11564735468946941</v>
      </c>
      <c r="P610" s="29">
        <v>40826</v>
      </c>
      <c r="Q610">
        <v>15.304442</v>
      </c>
      <c r="R610" s="33">
        <f>IF(ISBLANK(Q611),"",Long3[[#This Row],[Adj Close]]/Q611-1)</f>
        <v>1.494601457516942E-2</v>
      </c>
      <c r="S610" s="37">
        <v>40826</v>
      </c>
      <c r="T610" s="35">
        <v>14.272781</v>
      </c>
      <c r="U610" s="36">
        <f>IF(ISBLANK(T611),"",Long4[[#This Row],[Adj Close]]/T611-1)</f>
        <v>6.2182816575783395E-2</v>
      </c>
      <c r="Y610" s="37">
        <v>40826</v>
      </c>
      <c r="Z610" s="35">
        <v>50.050792999999999</v>
      </c>
      <c r="AA610" s="36">
        <f>IF(ISBLANK(Z611),"",Long6[[#This Row],[Adj Close]]/Z611-1)</f>
        <v>0.15910627166371194</v>
      </c>
      <c r="AH610" s="29">
        <v>40826</v>
      </c>
      <c r="AI610" s="44">
        <v>30.178125000000001</v>
      </c>
      <c r="AJ610" s="33">
        <f>IF(ISBLANK(AI611),"",Short0[[#This Row],[Adj Close]]/AI611-1)</f>
        <v>8.7217832690773545E-2</v>
      </c>
      <c r="AK610" s="37">
        <v>40826</v>
      </c>
      <c r="AL610" s="39">
        <v>17.875343000000001</v>
      </c>
      <c r="AM610" s="36">
        <f>IF(ISBLANK(AL611),"",Short1[[#This Row],[Adj Close]]/AL611-1)</f>
        <v>3.5930479532434889E-2</v>
      </c>
      <c r="AN610" s="29">
        <v>40826</v>
      </c>
      <c r="AO610" s="44">
        <v>13.913743</v>
      </c>
      <c r="AP610" s="33">
        <f>IF(ISBLANK(AO611),"",Short2[[#This Row],[Adj Close]]/AO611-1)</f>
        <v>8.4277352889858159E-2</v>
      </c>
    </row>
    <row r="611" spans="1:42" x14ac:dyDescent="0.25">
      <c r="A611" s="37">
        <v>40819</v>
      </c>
      <c r="B611" s="39">
        <v>1155.459961</v>
      </c>
      <c r="C611" s="36">
        <f>IF(ISBLANK(B612), "", GSPC[[#This Row],[Adj Close]]/B612-1)</f>
        <v>2.1247561528970005E-2</v>
      </c>
      <c r="D61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1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11" s="11" t="e">
        <f>IF(ISBLANK(GSPC[[#This Row],[Long Exp.]]), "", (GSPC[[#This Row],[Long Exp.]]/D612-1)+(E612/GSPC[[#This Row],[Short Exp.]]-1))</f>
        <v>#VALUE!</v>
      </c>
      <c r="G611" s="37">
        <v>40819</v>
      </c>
      <c r="H611">
        <v>15.859609000000001</v>
      </c>
      <c r="I611" s="36">
        <f>IF(ISBLANK(H612), "", Long0[[#This Row],[Adj Close]]/H612-1)</f>
        <v>1.9423255751768398E-2</v>
      </c>
      <c r="J611" s="29">
        <v>40819</v>
      </c>
      <c r="K611">
        <v>2.5489440000000001</v>
      </c>
      <c r="L611" s="33">
        <f>IF(ISBLANK(K612),"",Long1[[#This Row],[Adj Close]]/K612-1)</f>
        <v>-3.9113356203113736E-2</v>
      </c>
      <c r="M611" s="37">
        <v>40819</v>
      </c>
      <c r="N611">
        <v>42.149853</v>
      </c>
      <c r="O611" s="36">
        <f>IF(ISBLANK(N612),"",Long2[[#This Row],[Adj Close]]/N612-1)</f>
        <v>4.5333818164899675E-2</v>
      </c>
      <c r="P611" s="29">
        <v>40819</v>
      </c>
      <c r="Q611">
        <v>15.07907</v>
      </c>
      <c r="R611" s="33">
        <f>IF(ISBLANK(Q612),"",Long3[[#This Row],[Adj Close]]/Q612-1)</f>
        <v>-1.5416280312341213E-2</v>
      </c>
      <c r="S611" s="37">
        <v>40819</v>
      </c>
      <c r="T611" s="35">
        <v>13.437217</v>
      </c>
      <c r="U611" s="36">
        <f>IF(ISBLANK(T612),"",Long4[[#This Row],[Adj Close]]/T612-1)</f>
        <v>3.4120818331371483E-2</v>
      </c>
      <c r="Y611" s="37">
        <v>40819</v>
      </c>
      <c r="Z611" s="35">
        <v>43.180503999999999</v>
      </c>
      <c r="AA611" s="36">
        <f>IF(ISBLANK(Z612),"",Long6[[#This Row],[Adj Close]]/Z612-1)</f>
        <v>-7.5719481268490263E-2</v>
      </c>
      <c r="AH611" s="29">
        <v>40819</v>
      </c>
      <c r="AI611" s="44">
        <v>27.757201999999999</v>
      </c>
      <c r="AJ611" s="33">
        <f>IF(ISBLANK(AI612),"",Short0[[#This Row],[Adj Close]]/AI612-1)</f>
        <v>8.555004452142434E-2</v>
      </c>
      <c r="AK611" s="37">
        <v>40819</v>
      </c>
      <c r="AL611" s="39">
        <v>17.25535</v>
      </c>
      <c r="AM611" s="36">
        <f>IF(ISBLANK(AL612),"",Short1[[#This Row],[Adj Close]]/AL612-1)</f>
        <v>7.0112762976970444E-2</v>
      </c>
      <c r="AN611" s="29">
        <v>40819</v>
      </c>
      <c r="AO611" s="44">
        <v>12.832273000000001</v>
      </c>
      <c r="AP611" s="33">
        <f>IF(ISBLANK(AO612),"",Short2[[#This Row],[Adj Close]]/AO612-1)</f>
        <v>4.283598217952167E-2</v>
      </c>
    </row>
    <row r="612" spans="1:42" x14ac:dyDescent="0.25">
      <c r="A612" s="37">
        <v>40812</v>
      </c>
      <c r="B612" s="39">
        <v>1131.420044</v>
      </c>
      <c r="C612" s="36">
        <f>IF(ISBLANK(B613), "", GSPC[[#This Row],[Adj Close]]/B613-1)</f>
        <v>-4.408551131119598E-3</v>
      </c>
      <c r="D61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1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12" s="11" t="e">
        <f>IF(ISBLANK(GSPC[[#This Row],[Long Exp.]]), "", (GSPC[[#This Row],[Long Exp.]]/D613-1)+(E613/GSPC[[#This Row],[Short Exp.]]-1))</f>
        <v>#VALUE!</v>
      </c>
      <c r="G612" s="37">
        <v>40812</v>
      </c>
      <c r="H612">
        <v>15.557433</v>
      </c>
      <c r="I612" s="36">
        <f>IF(ISBLANK(H613), "", Long0[[#This Row],[Adj Close]]/H613-1)</f>
        <v>-7.1077464024285941E-2</v>
      </c>
      <c r="J612" s="29">
        <v>40812</v>
      </c>
      <c r="K612">
        <v>2.6526999999999998</v>
      </c>
      <c r="L612" s="33">
        <f>IF(ISBLANK(K613),"",Long1[[#This Row],[Adj Close]]/K613-1)</f>
        <v>-6.6909750154682701E-2</v>
      </c>
      <c r="M612" s="37">
        <v>40812</v>
      </c>
      <c r="N612">
        <v>40.321907000000003</v>
      </c>
      <c r="O612" s="36">
        <f>IF(ISBLANK(N613),"",Long2[[#This Row],[Adj Close]]/N613-1)</f>
        <v>-0.15129972657441759</v>
      </c>
      <c r="P612" s="29">
        <v>40812</v>
      </c>
      <c r="Q612">
        <v>15.315173</v>
      </c>
      <c r="R612" s="33">
        <f>IF(ISBLANK(Q613),"",Long3[[#This Row],[Adj Close]]/Q613-1)</f>
        <v>1.7551939422588703E-3</v>
      </c>
      <c r="S612" s="37">
        <v>40812</v>
      </c>
      <c r="T612" s="35">
        <v>12.993855999999999</v>
      </c>
      <c r="U612" s="36">
        <f>IF(ISBLANK(T613),"",Long4[[#This Row],[Adj Close]]/T613-1)</f>
        <v>3.2520135915292681E-2</v>
      </c>
      <c r="Y612" s="37">
        <v>40812</v>
      </c>
      <c r="Z612" s="35">
        <v>46.717964000000002</v>
      </c>
      <c r="AA612" s="36">
        <f>IF(ISBLANK(Z613),"",Long6[[#This Row],[Adj Close]]/Z613-1)</f>
        <v>-6.2939756294748794E-2</v>
      </c>
      <c r="AH612" s="29">
        <v>40812</v>
      </c>
      <c r="AI612" s="44">
        <v>25.569711999999999</v>
      </c>
      <c r="AJ612" s="33">
        <f>IF(ISBLANK(AI613),"",Short0[[#This Row],[Adj Close]]/AI613-1)</f>
        <v>-0.13609732147285547</v>
      </c>
      <c r="AK612" s="37">
        <v>40812</v>
      </c>
      <c r="AL612" s="39">
        <v>16.124796</v>
      </c>
      <c r="AM612" s="36">
        <f>IF(ISBLANK(AL613),"",Short1[[#This Row],[Adj Close]]/AL613-1)</f>
        <v>-3.6393243301145128E-2</v>
      </c>
      <c r="AN612" s="29">
        <v>40812</v>
      </c>
      <c r="AO612" s="44">
        <v>12.305168999999999</v>
      </c>
      <c r="AP612" s="33">
        <f>IF(ISBLANK(AO613),"",Short2[[#This Row],[Adj Close]]/AO613-1)</f>
        <v>1.0447746609298481E-2</v>
      </c>
    </row>
    <row r="613" spans="1:42" x14ac:dyDescent="0.25">
      <c r="A613" s="37">
        <v>40805</v>
      </c>
      <c r="B613" s="39">
        <v>1136.4300539999999</v>
      </c>
      <c r="C613" s="36">
        <f>IF(ISBLANK(B614), "", GSPC[[#This Row],[Adj Close]]/B614-1)</f>
        <v>-6.5443504038260381E-2</v>
      </c>
      <c r="D61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1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13" s="11" t="e">
        <f>IF(ISBLANK(GSPC[[#This Row],[Long Exp.]]), "", (GSPC[[#This Row],[Long Exp.]]/D614-1)+(E614/GSPC[[#This Row],[Short Exp.]]-1))</f>
        <v>#VALUE!</v>
      </c>
      <c r="G613" s="37">
        <v>40805</v>
      </c>
      <c r="H613">
        <v>16.747826</v>
      </c>
      <c r="I613" s="36">
        <f>IF(ISBLANK(H614), "", Long0[[#This Row],[Adj Close]]/H614-1)</f>
        <v>-0.10823967835807058</v>
      </c>
      <c r="J613" s="29">
        <v>40805</v>
      </c>
      <c r="K613">
        <v>2.8429190000000002</v>
      </c>
      <c r="L613" s="33">
        <f>IF(ISBLANK(K614),"",Long1[[#This Row],[Adj Close]]/K614-1)</f>
        <v>-0.17552674408757807</v>
      </c>
      <c r="M613" s="37">
        <v>40805</v>
      </c>
      <c r="N613">
        <v>47.510185</v>
      </c>
      <c r="O613" s="36">
        <f>IF(ISBLANK(N614),"",Long2[[#This Row],[Adj Close]]/N614-1)</f>
        <v>-0.18720939448841156</v>
      </c>
      <c r="P613" s="29">
        <v>40805</v>
      </c>
      <c r="Q613">
        <v>15.288339000000001</v>
      </c>
      <c r="R613" s="33">
        <f>IF(ISBLANK(Q614),"",Long3[[#This Row],[Adj Close]]/Q614-1)</f>
        <v>-1.0764043597369155E-2</v>
      </c>
      <c r="S613" s="37">
        <v>40805</v>
      </c>
      <c r="T613" s="35">
        <v>12.584603</v>
      </c>
      <c r="U613" s="36">
        <f>IF(ISBLANK(T614),"",Long4[[#This Row],[Adj Close]]/T614-1)</f>
        <v>-0.11722474764001867</v>
      </c>
      <c r="Y613" s="37">
        <v>40805</v>
      </c>
      <c r="Z613" s="35">
        <v>49.855880999999997</v>
      </c>
      <c r="AA613" s="36">
        <f>IF(ISBLANK(Z614),"",Long6[[#This Row],[Adj Close]]/Z614-1)</f>
        <v>-7.9856182890832073E-2</v>
      </c>
      <c r="AH613" s="29">
        <v>40805</v>
      </c>
      <c r="AI613" s="44">
        <v>29.597908</v>
      </c>
      <c r="AJ613" s="33">
        <f>IF(ISBLANK(AI614),"",Short0[[#This Row],[Adj Close]]/AI614-1)</f>
        <v>-6.4896474827571771E-2</v>
      </c>
      <c r="AK613" s="37">
        <v>40805</v>
      </c>
      <c r="AL613" s="39">
        <v>16.733792999999999</v>
      </c>
      <c r="AM613" s="36">
        <f>IF(ISBLANK(AL614),"",Short1[[#This Row],[Adj Close]]/AL614-1)</f>
        <v>-4.915493409120042E-2</v>
      </c>
      <c r="AN613" s="29">
        <v>40805</v>
      </c>
      <c r="AO613" s="44">
        <v>12.177937</v>
      </c>
      <c r="AP613" s="33">
        <f>IF(ISBLANK(AO614),"",Short2[[#This Row],[Adj Close]]/AO614-1)</f>
        <v>-2.8985313107609878E-2</v>
      </c>
    </row>
    <row r="614" spans="1:42" x14ac:dyDescent="0.25">
      <c r="A614" s="37">
        <v>40798</v>
      </c>
      <c r="B614" s="39">
        <v>1216.01001</v>
      </c>
      <c r="C614" s="36">
        <f>IF(ISBLANK(B615), "", GSPC[[#This Row],[Adj Close]]/B615-1)</f>
        <v>5.3524887648473518E-2</v>
      </c>
      <c r="D61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1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14" s="11" t="e">
        <f>IF(ISBLANK(GSPC[[#This Row],[Long Exp.]]), "", (GSPC[[#This Row],[Long Exp.]]/D615-1)+(E615/GSPC[[#This Row],[Short Exp.]]-1))</f>
        <v>#VALUE!</v>
      </c>
      <c r="G614" s="37">
        <v>40798</v>
      </c>
      <c r="H614">
        <v>18.780636000000001</v>
      </c>
      <c r="I614" s="36">
        <f>IF(ISBLANK(H615), "", Long0[[#This Row],[Adj Close]]/H615-1)</f>
        <v>5.9400934136600636E-2</v>
      </c>
      <c r="J614" s="29">
        <v>40798</v>
      </c>
      <c r="K614">
        <v>3.4481639999999998</v>
      </c>
      <c r="L614" s="33">
        <f>IF(ISBLANK(K615),"",Long1[[#This Row],[Adj Close]]/K615-1)</f>
        <v>-0.11377776155741526</v>
      </c>
      <c r="M614" s="37">
        <v>40798</v>
      </c>
      <c r="N614">
        <v>58.453167000000001</v>
      </c>
      <c r="O614" s="36">
        <f>IF(ISBLANK(N615),"",Long2[[#This Row],[Adj Close]]/N615-1)</f>
        <v>1.4577658283764228E-2</v>
      </c>
      <c r="P614" s="29">
        <v>40798</v>
      </c>
      <c r="Q614">
        <v>15.454694</v>
      </c>
      <c r="R614" s="33">
        <f>IF(ISBLANK(Q615),"",Long3[[#This Row],[Adj Close]]/Q615-1)</f>
        <v>4.3150288500381828E-2</v>
      </c>
      <c r="S614" s="37">
        <v>40798</v>
      </c>
      <c r="T614" s="35">
        <v>14.255727</v>
      </c>
      <c r="U614" s="36">
        <f>IF(ISBLANK(T615),"",Long4[[#This Row],[Adj Close]]/T615-1)</f>
        <v>5.5555366331226264E-2</v>
      </c>
      <c r="Y614" s="37">
        <v>40798</v>
      </c>
      <c r="Z614" s="35">
        <v>54.182704999999999</v>
      </c>
      <c r="AA614" s="36">
        <f>IF(ISBLANK(Z615),"",Long6[[#This Row],[Adj Close]]/Z615-1)</f>
        <v>0.11736322784470388</v>
      </c>
      <c r="AH614" s="29">
        <v>40798</v>
      </c>
      <c r="AI614" s="44">
        <v>31.652011999999999</v>
      </c>
      <c r="AJ614" s="33">
        <f>IF(ISBLANK(AI615),"",Short0[[#This Row],[Adj Close]]/AI615-1)</f>
        <v>1.801783460304085E-2</v>
      </c>
      <c r="AK614" s="37">
        <v>40798</v>
      </c>
      <c r="AL614" s="39">
        <v>17.598863999999999</v>
      </c>
      <c r="AM614" s="36">
        <f>IF(ISBLANK(AL615),"",Short1[[#This Row],[Adj Close]]/AL615-1)</f>
        <v>3.7959141521711981E-2</v>
      </c>
      <c r="AN614" s="29">
        <v>40798</v>
      </c>
      <c r="AO614" s="44">
        <v>12.541454999999999</v>
      </c>
      <c r="AP614" s="33">
        <f>IF(ISBLANK(AO615),"",Short2[[#This Row],[Adj Close]]/AO615-1)</f>
        <v>2.3738759770917994E-2</v>
      </c>
    </row>
    <row r="615" spans="1:42" x14ac:dyDescent="0.25">
      <c r="A615" s="37">
        <v>40791</v>
      </c>
      <c r="B615" s="39">
        <v>1154.2299800000001</v>
      </c>
      <c r="C615" s="36">
        <f>IF(ISBLANK(B616), "", GSPC[[#This Row],[Adj Close]]/B616-1)</f>
        <v>-1.6814732478365846E-2</v>
      </c>
      <c r="D61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1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15" s="11" t="e">
        <f>IF(ISBLANK(GSPC[[#This Row],[Long Exp.]]), "", (GSPC[[#This Row],[Long Exp.]]/D616-1)+(E616/GSPC[[#This Row],[Short Exp.]]-1))</f>
        <v>#VALUE!</v>
      </c>
      <c r="G615" s="37">
        <v>40791</v>
      </c>
      <c r="H615">
        <v>17.727599999999999</v>
      </c>
      <c r="I615" s="36">
        <f>IF(ISBLANK(H616), "", Long0[[#This Row],[Adj Close]]/H616-1)</f>
        <v>-2.061840349146804E-3</v>
      </c>
      <c r="J615" s="29">
        <v>40791</v>
      </c>
      <c r="K615">
        <v>3.890857</v>
      </c>
      <c r="L615" s="33">
        <f>IF(ISBLANK(K616),"",Long1[[#This Row],[Adj Close]]/K616-1)</f>
        <v>-7.0247964494640547E-2</v>
      </c>
      <c r="M615" s="37">
        <v>40791</v>
      </c>
      <c r="N615">
        <v>57.613300000000002</v>
      </c>
      <c r="O615" s="36">
        <f>IF(ISBLANK(N616),"",Long2[[#This Row],[Adj Close]]/N616-1)</f>
        <v>-4.2874483596000434E-4</v>
      </c>
      <c r="P615" s="29">
        <v>40791</v>
      </c>
      <c r="Q615">
        <v>14.815405</v>
      </c>
      <c r="R615" s="33">
        <f>IF(ISBLANK(Q616),"",Long3[[#This Row],[Adj Close]]/Q616-1)</f>
        <v>-2.0672790968569332E-2</v>
      </c>
      <c r="S615" s="37">
        <v>40791</v>
      </c>
      <c r="T615" s="35">
        <v>13.505428</v>
      </c>
      <c r="U615" s="36">
        <f>IF(ISBLANK(T616),"",Long4[[#This Row],[Adj Close]]/T616-1)</f>
        <v>-3.7667033940098071E-2</v>
      </c>
      <c r="Y615" s="37">
        <v>40791</v>
      </c>
      <c r="Z615" s="35">
        <v>48.491576999999999</v>
      </c>
      <c r="AA615" s="36">
        <f>IF(ISBLANK(Z616),"",Long6[[#This Row],[Adj Close]]/Z616-1)</f>
        <v>-2.005535241868639E-3</v>
      </c>
      <c r="AH615" s="29">
        <v>40791</v>
      </c>
      <c r="AI615" s="44">
        <v>31.091805000000001</v>
      </c>
      <c r="AJ615" s="33">
        <f>IF(ISBLANK(AI616),"",Short0[[#This Row],[Adj Close]]/AI616-1)</f>
        <v>3.370280605260545E-2</v>
      </c>
      <c r="AK615" s="37">
        <v>40791</v>
      </c>
      <c r="AL615" s="39">
        <v>16.955257</v>
      </c>
      <c r="AM615" s="36">
        <f>IF(ISBLANK(AL616),"",Short1[[#This Row],[Adj Close]]/AL616-1)</f>
        <v>1.6597539481519652E-2</v>
      </c>
      <c r="AN615" s="29">
        <v>40791</v>
      </c>
      <c r="AO615" s="44">
        <v>12.250640000000001</v>
      </c>
      <c r="AP615" s="33">
        <f>IF(ISBLANK(AO616),"",Short2[[#This Row],[Adj Close]]/AO616-1)</f>
        <v>-2.8818484241639131E-2</v>
      </c>
    </row>
    <row r="616" spans="1:42" x14ac:dyDescent="0.25">
      <c r="A616" s="37">
        <v>40784</v>
      </c>
      <c r="B616" s="39">
        <v>1173.969971</v>
      </c>
      <c r="C616" s="36">
        <f>IF(ISBLANK(B617), "", GSPC[[#This Row],[Adj Close]]/B617-1)</f>
        <v>-2.4048928298437966E-3</v>
      </c>
      <c r="D61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1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16" s="11" t="e">
        <f>IF(ISBLANK(GSPC[[#This Row],[Long Exp.]]), "", (GSPC[[#This Row],[Long Exp.]]/D617-1)+(E617/GSPC[[#This Row],[Short Exp.]]-1))</f>
        <v>#VALUE!</v>
      </c>
      <c r="G616" s="37">
        <v>40784</v>
      </c>
      <c r="H616">
        <v>17.764227000000002</v>
      </c>
      <c r="I616" s="36">
        <f>IF(ISBLANK(H617), "", Long0[[#This Row],[Adj Close]]/H617-1)</f>
        <v>8.8401870816949835E-3</v>
      </c>
      <c r="J616" s="29">
        <v>40784</v>
      </c>
      <c r="K616">
        <v>4.1848330000000002</v>
      </c>
      <c r="L616" s="33">
        <f>IF(ISBLANK(K617),"",Long1[[#This Row],[Adj Close]]/K617-1)</f>
        <v>8.3334799109546775E-3</v>
      </c>
      <c r="M616" s="37">
        <v>40784</v>
      </c>
      <c r="N616">
        <v>57.638012000000003</v>
      </c>
      <c r="O616" s="36">
        <f>IF(ISBLANK(N617),"",Long2[[#This Row],[Adj Close]]/N617-1)</f>
        <v>8.9362556804073456E-3</v>
      </c>
      <c r="P616" s="29">
        <v>40784</v>
      </c>
      <c r="Q616">
        <v>15.128145999999999</v>
      </c>
      <c r="R616" s="33">
        <f>IF(ISBLANK(Q617),"",Long3[[#This Row],[Adj Close]]/Q617-1)</f>
        <v>2.6619021544065369E-2</v>
      </c>
      <c r="S616" s="37">
        <v>40784</v>
      </c>
      <c r="T616" s="35">
        <v>14.034049</v>
      </c>
      <c r="U616" s="36">
        <f>IF(ISBLANK(T617),"",Long4[[#This Row],[Adj Close]]/T617-1)</f>
        <v>-9.6269932651483758E-3</v>
      </c>
      <c r="Y616" s="37">
        <v>40784</v>
      </c>
      <c r="Z616" s="35">
        <v>48.589024000000002</v>
      </c>
      <c r="AA616" s="36">
        <f>IF(ISBLANK(Z617),"",Long6[[#This Row],[Adj Close]]/Z617-1)</f>
        <v>-3.5776352851901949E-2</v>
      </c>
      <c r="AH616" s="29">
        <v>40784</v>
      </c>
      <c r="AI616" s="44">
        <v>30.078088999999999</v>
      </c>
      <c r="AJ616" s="33">
        <f>IF(ISBLANK(AI617),"",Short0[[#This Row],[Adj Close]]/AI617-1)</f>
        <v>2.8975541188970499E-2</v>
      </c>
      <c r="AK616" s="37">
        <v>40784</v>
      </c>
      <c r="AL616" s="39">
        <v>16.678436000000001</v>
      </c>
      <c r="AM616" s="36">
        <f>IF(ISBLANK(AL617),"",Short1[[#This Row],[Adj Close]]/AL617-1)</f>
        <v>-2.7833838658443355E-2</v>
      </c>
      <c r="AN616" s="29">
        <v>40784</v>
      </c>
      <c r="AO616" s="44">
        <v>12.614160999999999</v>
      </c>
      <c r="AP616" s="33">
        <f>IF(ISBLANK(AO617),"",Short2[[#This Row],[Adj Close]]/AO617-1)</f>
        <v>2.2091197503841142E-2</v>
      </c>
    </row>
    <row r="617" spans="1:42" x14ac:dyDescent="0.25">
      <c r="A617" s="37">
        <v>40777</v>
      </c>
      <c r="B617" s="39">
        <v>1176.8000489999999</v>
      </c>
      <c r="C617" s="36">
        <f>IF(ISBLANK(B618), "", GSPC[[#This Row],[Adj Close]]/B618-1)</f>
        <v>4.7413080758876625E-2</v>
      </c>
      <c r="D61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1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17" s="11" t="e">
        <f>IF(ISBLANK(GSPC[[#This Row],[Long Exp.]]), "", (GSPC[[#This Row],[Long Exp.]]/D618-1)+(E618/GSPC[[#This Row],[Short Exp.]]-1))</f>
        <v>#VALUE!</v>
      </c>
      <c r="G617" s="37">
        <v>40777</v>
      </c>
      <c r="H617">
        <v>17.608564000000001</v>
      </c>
      <c r="I617" s="36">
        <f>IF(ISBLANK(H618), "", Long0[[#This Row],[Adj Close]]/H618-1)</f>
        <v>7.8519366758890374E-2</v>
      </c>
      <c r="J617" s="29">
        <v>40777</v>
      </c>
      <c r="K617">
        <v>4.1502470000000002</v>
      </c>
      <c r="L617" s="33">
        <f>IF(ISBLANK(K618),"",Long1[[#This Row],[Adj Close]]/K618-1)</f>
        <v>7.9136565315338636E-2</v>
      </c>
      <c r="M617" s="37">
        <v>40777</v>
      </c>
      <c r="N617">
        <v>57.127505999999997</v>
      </c>
      <c r="O617" s="36">
        <f>IF(ISBLANK(N618),"",Long2[[#This Row],[Adj Close]]/N618-1)</f>
        <v>0.10092046403327748</v>
      </c>
      <c r="P617" s="29">
        <v>40777</v>
      </c>
      <c r="Q617">
        <v>14.735891000000001</v>
      </c>
      <c r="R617" s="33">
        <f>IF(ISBLANK(Q618),"",Long3[[#This Row],[Adj Close]]/Q618-1)</f>
        <v>1.8315158295760803E-2</v>
      </c>
      <c r="S617" s="37">
        <v>40777</v>
      </c>
      <c r="T617" s="35">
        <v>14.170468</v>
      </c>
      <c r="U617" s="36">
        <f>IF(ISBLANK(T618),"",Long4[[#This Row],[Adj Close]]/T618-1)</f>
        <v>4.5283089014164446E-2</v>
      </c>
      <c r="Y617" s="37">
        <v>40777</v>
      </c>
      <c r="Z617" s="35">
        <v>50.391860999999999</v>
      </c>
      <c r="AA617" s="36">
        <f>IF(ISBLANK(Z618),"",Long6[[#This Row],[Adj Close]]/Z618-1)</f>
        <v>0.85207720116520358</v>
      </c>
      <c r="AH617" s="29">
        <v>40777</v>
      </c>
      <c r="AI617" s="44">
        <v>29.231102</v>
      </c>
      <c r="AJ617" s="33">
        <f>IF(ISBLANK(AI618),"",Short0[[#This Row],[Adj Close]]/AI618-1)</f>
        <v>5.8951525359809853E-2</v>
      </c>
      <c r="AK617" s="37">
        <v>40777</v>
      </c>
      <c r="AL617" s="39">
        <v>17.155951999999999</v>
      </c>
      <c r="AM617" s="36">
        <f>IF(ISBLANK(AL618),"",Short1[[#This Row],[Adj Close]]/AL618-1)</f>
        <v>3.0341033866880807E-2</v>
      </c>
      <c r="AN617" s="29">
        <v>40777</v>
      </c>
      <c r="AO617" s="44">
        <v>12.341521999999999</v>
      </c>
      <c r="AP617" s="33">
        <f>IF(ISBLANK(AO618),"",Short2[[#This Row],[Adj Close]]/AO618-1)</f>
        <v>6.7610049971656316E-2</v>
      </c>
    </row>
    <row r="618" spans="1:42" x14ac:dyDescent="0.25">
      <c r="A618" s="37">
        <v>40770</v>
      </c>
      <c r="B618" s="39">
        <v>1123.530029</v>
      </c>
      <c r="C618" s="36">
        <f>IF(ISBLANK(B619), "", GSPC[[#This Row],[Adj Close]]/B619-1)</f>
        <v>-4.6894772892330683E-2</v>
      </c>
      <c r="D61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1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18" s="11" t="e">
        <f>IF(ISBLANK(GSPC[[#This Row],[Long Exp.]]), "", (GSPC[[#This Row],[Long Exp.]]/D619-1)+(E619/GSPC[[#This Row],[Short Exp.]]-1))</f>
        <v>#VALUE!</v>
      </c>
      <c r="G618" s="37">
        <v>40770</v>
      </c>
      <c r="H618">
        <v>16.326609000000001</v>
      </c>
      <c r="I618" s="36">
        <f>IF(ISBLANK(H619), "", Long0[[#This Row],[Adj Close]]/H619-1)</f>
        <v>-7.3284584676015951E-2</v>
      </c>
      <c r="J618" s="29">
        <v>40770</v>
      </c>
      <c r="K618">
        <v>3.8458960000000002</v>
      </c>
      <c r="L618" s="33">
        <f>IF(ISBLANK(K619),"",Long1[[#This Row],[Adj Close]]/K619-1)</f>
        <v>-9.150317533659702E-2</v>
      </c>
      <c r="M618" s="37">
        <v>40770</v>
      </c>
      <c r="N618">
        <v>51.890675000000002</v>
      </c>
      <c r="O618" s="36">
        <f>IF(ISBLANK(N619),"",Long2[[#This Row],[Adj Close]]/N619-1)</f>
        <v>-2.7018641454058079E-2</v>
      </c>
      <c r="P618" s="29">
        <v>40770</v>
      </c>
      <c r="Q618">
        <v>14.470855</v>
      </c>
      <c r="R618" s="33">
        <f>IF(ISBLANK(Q619),"",Long3[[#This Row],[Adj Close]]/Q619-1)</f>
        <v>4.9999441291084912E-2</v>
      </c>
      <c r="S618" s="37">
        <v>40770</v>
      </c>
      <c r="T618" s="35">
        <v>13.556584000000001</v>
      </c>
      <c r="U618" s="36">
        <f>IF(ISBLANK(T619),"",Long4[[#This Row],[Adj Close]]/T619-1)</f>
        <v>-4.676259195152388E-2</v>
      </c>
      <c r="Y618" s="37">
        <v>40770</v>
      </c>
      <c r="Z618" s="35">
        <v>27.208293999999999</v>
      </c>
      <c r="AA618" s="36">
        <f>IF(ISBLANK(Z619),"",Long6[[#This Row],[Adj Close]]/Z619-1)</f>
        <v>-0.1448696963393068</v>
      </c>
      <c r="AH618" s="29">
        <v>40770</v>
      </c>
      <c r="AI618" s="44">
        <v>27.603815000000001</v>
      </c>
      <c r="AJ618" s="33">
        <f>IF(ISBLANK(AI619),"",Short0[[#This Row],[Adj Close]]/AI619-1)</f>
        <v>-5.0470069311608801E-2</v>
      </c>
      <c r="AK618" s="37">
        <v>40770</v>
      </c>
      <c r="AL618" s="39">
        <v>16.650751</v>
      </c>
      <c r="AM618" s="36">
        <f>IF(ISBLANK(AL619),"",Short1[[#This Row],[Adj Close]]/AL619-1)</f>
        <v>1.6047145878384628E-2</v>
      </c>
      <c r="AN618" s="29">
        <v>40770</v>
      </c>
      <c r="AO618" s="44">
        <v>11.559953</v>
      </c>
      <c r="AP618" s="33">
        <f>IF(ISBLANK(AO619),"",Short2[[#This Row],[Adj Close]]/AO619-1)</f>
        <v>-9.7231950403158685E-2</v>
      </c>
    </row>
    <row r="619" spans="1:42" x14ac:dyDescent="0.25">
      <c r="A619" s="37">
        <v>40763</v>
      </c>
      <c r="B619" s="39">
        <v>1178.8100589999999</v>
      </c>
      <c r="C619" s="36">
        <f>IF(ISBLANK(B620), "", GSPC[[#This Row],[Adj Close]]/B620-1)</f>
        <v>-1.7150482677923296E-2</v>
      </c>
      <c r="D61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1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19" s="11" t="e">
        <f>IF(ISBLANK(GSPC[[#This Row],[Long Exp.]]), "", (GSPC[[#This Row],[Long Exp.]]/D620-1)+(E620/GSPC[[#This Row],[Short Exp.]]-1))</f>
        <v>#VALUE!</v>
      </c>
      <c r="G619" s="37">
        <v>40763</v>
      </c>
      <c r="H619">
        <v>17.617716000000001</v>
      </c>
      <c r="I619" s="36">
        <f>IF(ISBLANK(H620), "", Long0[[#This Row],[Adj Close]]/H620-1)</f>
        <v>-1.038668898007189E-3</v>
      </c>
      <c r="J619" s="29">
        <v>40763</v>
      </c>
      <c r="K619">
        <v>4.2332520000000002</v>
      </c>
      <c r="L619" s="33">
        <f>IF(ISBLANK(K620),"",Long1[[#This Row],[Adj Close]]/K620-1)</f>
        <v>1.3244880940641357E-2</v>
      </c>
      <c r="M619" s="37">
        <v>40763</v>
      </c>
      <c r="N619">
        <v>53.331623</v>
      </c>
      <c r="O619" s="36">
        <f>IF(ISBLANK(N620),"",Long2[[#This Row],[Adj Close]]/N620-1)</f>
        <v>1.9269980652807162E-2</v>
      </c>
      <c r="P619" s="29">
        <v>40763</v>
      </c>
      <c r="Q619">
        <v>13.781774</v>
      </c>
      <c r="R619" s="33">
        <f>IF(ISBLANK(Q620),"",Long3[[#This Row],[Adj Close]]/Q620-1)</f>
        <v>-2.1084114204748428E-2</v>
      </c>
      <c r="S619" s="37">
        <v>40763</v>
      </c>
      <c r="T619" s="35">
        <v>14.221624</v>
      </c>
      <c r="U619" s="36">
        <f>IF(ISBLANK(T620),"",Long4[[#This Row],[Adj Close]]/T620-1)</f>
        <v>-9.1008253942525208E-2</v>
      </c>
      <c r="Y619" s="37">
        <v>40763</v>
      </c>
      <c r="Z619" s="35">
        <v>31.817716999999998</v>
      </c>
      <c r="AA619" s="36">
        <f>IF(ISBLANK(Z620),"",Long6[[#This Row],[Adj Close]]/Z620-1)</f>
        <v>0.2704277032844149</v>
      </c>
      <c r="AH619" s="29">
        <v>40763</v>
      </c>
      <c r="AI619" s="44">
        <v>29.071031999999999</v>
      </c>
      <c r="AJ619" s="33">
        <f>IF(ISBLANK(AI620),"",Short0[[#This Row],[Adj Close]]/AI620-1)</f>
        <v>4.107912274990122E-2</v>
      </c>
      <c r="AK619" s="37">
        <v>40763</v>
      </c>
      <c r="AL619" s="39">
        <v>16.387774</v>
      </c>
      <c r="AM619" s="36">
        <f>IF(ISBLANK(AL620),"",Short1[[#This Row],[Adj Close]]/AL620-1)</f>
        <v>-7.2100296084943061E-2</v>
      </c>
      <c r="AN619" s="29">
        <v>40763</v>
      </c>
      <c r="AO619" s="44">
        <v>12.805009</v>
      </c>
      <c r="AP619" s="33">
        <f>IF(ISBLANK(AO620),"",Short2[[#This Row],[Adj Close]]/AO620-1)</f>
        <v>-8.6843770595919412E-2</v>
      </c>
    </row>
    <row r="620" spans="1:42" x14ac:dyDescent="0.25">
      <c r="A620" s="37">
        <v>40756</v>
      </c>
      <c r="B620" s="39">
        <v>1199.380005</v>
      </c>
      <c r="C620" s="36">
        <f>IF(ISBLANK(B621), "", GSPC[[#This Row],[Adj Close]]/B621-1)</f>
        <v>-7.1888462187168933E-2</v>
      </c>
      <c r="D62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2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20" s="11" t="e">
        <f>IF(ISBLANK(GSPC[[#This Row],[Long Exp.]]), "", (GSPC[[#This Row],[Long Exp.]]/D621-1)+(E621/GSPC[[#This Row],[Short Exp.]]-1))</f>
        <v>#VALUE!</v>
      </c>
      <c r="G620" s="37">
        <v>40756</v>
      </c>
      <c r="H620">
        <v>17.636033999999999</v>
      </c>
      <c r="I620" s="36">
        <f>IF(ISBLANK(H621), "", Long0[[#This Row],[Adj Close]]/H621-1)</f>
        <v>-0.15452141286889187</v>
      </c>
      <c r="J620" s="29">
        <v>40756</v>
      </c>
      <c r="K620">
        <v>4.1779159999999997</v>
      </c>
      <c r="L620" s="33">
        <f>IF(ISBLANK(K621),"",Long1[[#This Row],[Adj Close]]/K621-1)</f>
        <v>-0.225640884017837</v>
      </c>
      <c r="M620" s="37">
        <v>40756</v>
      </c>
      <c r="N620">
        <v>52.323352999999997</v>
      </c>
      <c r="O620" s="36">
        <f>IF(ISBLANK(N621),"",Long2[[#This Row],[Adj Close]]/N621-1)</f>
        <v>-0.10081974481552358</v>
      </c>
      <c r="P620" s="29">
        <v>40756</v>
      </c>
      <c r="Q620">
        <v>14.078609</v>
      </c>
      <c r="R620" s="33">
        <f>IF(ISBLANK(Q621),"",Long3[[#This Row],[Adj Close]]/Q621-1)</f>
        <v>-4.8028527886256223E-2</v>
      </c>
      <c r="S620" s="37">
        <v>40756</v>
      </c>
      <c r="T620" s="35">
        <v>15.645493</v>
      </c>
      <c r="U620" s="36">
        <f>IF(ISBLANK(T621),"",Long4[[#This Row],[Adj Close]]/T621-1)</f>
        <v>-7.276390088765905E-2</v>
      </c>
      <c r="Y620" s="37">
        <v>40756</v>
      </c>
      <c r="Z620" s="35">
        <v>25.044886000000002</v>
      </c>
      <c r="AA620" s="36">
        <f>IF(ISBLANK(Z621),"",Long6[[#This Row],[Adj Close]]/Z621-1)</f>
        <v>-0.14075566911713944</v>
      </c>
      <c r="AH620" s="29">
        <v>40756</v>
      </c>
      <c r="AI620" s="44">
        <v>27.923940999999999</v>
      </c>
      <c r="AJ620" s="33">
        <f>IF(ISBLANK(AI621),"",Short0[[#This Row],[Adj Close]]/AI621-1)</f>
        <v>-0.11254737166606676</v>
      </c>
      <c r="AK620" s="37">
        <v>40756</v>
      </c>
      <c r="AL620" s="39">
        <v>17.661148000000001</v>
      </c>
      <c r="AM620" s="36">
        <f>IF(ISBLANK(AL621),"",Short1[[#This Row],[Adj Close]]/AL621-1)</f>
        <v>-7.5362337809541713E-2</v>
      </c>
      <c r="AN620" s="29">
        <v>40756</v>
      </c>
      <c r="AO620" s="44">
        <v>14.022802</v>
      </c>
      <c r="AP620" s="33">
        <f>IF(ISBLANK(AO621),"",Short2[[#This Row],[Adj Close]]/AO621-1)</f>
        <v>-0.12775597672556593</v>
      </c>
    </row>
    <row r="621" spans="1:42" x14ac:dyDescent="0.25">
      <c r="A621" s="37">
        <v>40749</v>
      </c>
      <c r="B621" s="39">
        <v>1292.280029</v>
      </c>
      <c r="C621" s="36">
        <f>IF(ISBLANK(B622), "", GSPC[[#This Row],[Adj Close]]/B622-1)</f>
        <v>-3.9211305568522259E-2</v>
      </c>
      <c r="D62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2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21" s="11" t="e">
        <f>IF(ISBLANK(GSPC[[#This Row],[Long Exp.]]), "", (GSPC[[#This Row],[Long Exp.]]/D622-1)+(E622/GSPC[[#This Row],[Short Exp.]]-1))</f>
        <v>#VALUE!</v>
      </c>
      <c r="G621" s="37">
        <v>40749</v>
      </c>
      <c r="H621">
        <v>20.859231999999999</v>
      </c>
      <c r="I621" s="36">
        <f>IF(ISBLANK(H622), "", Long0[[#This Row],[Adj Close]]/H622-1)</f>
        <v>-4.8454473051316116E-2</v>
      </c>
      <c r="J621" s="29">
        <v>40749</v>
      </c>
      <c r="K621">
        <v>5.395321</v>
      </c>
      <c r="L621" s="33">
        <f>IF(ISBLANK(K622),"",Long1[[#This Row],[Adj Close]]/K622-1)</f>
        <v>-7.8014316500647829E-2</v>
      </c>
      <c r="M621" s="37">
        <v>40749</v>
      </c>
      <c r="N621">
        <v>58.190060000000003</v>
      </c>
      <c r="O621" s="36">
        <f>IF(ISBLANK(N622),"",Long2[[#This Row],[Adj Close]]/N622-1)</f>
        <v>-2.9637805805728168E-2</v>
      </c>
      <c r="P621" s="29">
        <v>40749</v>
      </c>
      <c r="Q621">
        <v>14.788898</v>
      </c>
      <c r="R621" s="33">
        <f>IF(ISBLANK(Q622),"",Long3[[#This Row],[Adj Close]]/Q622-1)</f>
        <v>-3.9276731599392489E-3</v>
      </c>
      <c r="S621" s="37">
        <v>40749</v>
      </c>
      <c r="T621" s="35">
        <v>16.873256999999999</v>
      </c>
      <c r="U621" s="36">
        <f>IF(ISBLANK(T622),"",Long4[[#This Row],[Adj Close]]/T622-1)</f>
        <v>-7.3068023399443405E-2</v>
      </c>
      <c r="Y621" s="37">
        <v>40749</v>
      </c>
      <c r="Z621" s="35">
        <v>29.147572</v>
      </c>
      <c r="AA621" s="36">
        <f>IF(ISBLANK(Z622),"",Long6[[#This Row],[Adj Close]]/Z622-1)</f>
        <v>-8.8387605217121634E-2</v>
      </c>
      <c r="AH621" s="29">
        <v>40749</v>
      </c>
      <c r="AI621" s="44">
        <v>31.465274999999998</v>
      </c>
      <c r="AJ621" s="33">
        <f>IF(ISBLANK(AI622),"",Short0[[#This Row],[Adj Close]]/AI622-1)</f>
        <v>1.1794790580566872E-2</v>
      </c>
      <c r="AK621" s="37">
        <v>40749</v>
      </c>
      <c r="AL621" s="39">
        <v>19.100615000000001</v>
      </c>
      <c r="AM621" s="36">
        <f>IF(ISBLANK(AL622),"",Short1[[#This Row],[Adj Close]]/AL622-1)</f>
        <v>-6.6305613947595821E-2</v>
      </c>
      <c r="AN621" s="29">
        <v>40749</v>
      </c>
      <c r="AO621" s="44">
        <v>16.076695999999998</v>
      </c>
      <c r="AP621" s="33">
        <f>IF(ISBLANK(AO622),"",Short2[[#This Row],[Adj Close]]/AO622-1)</f>
        <v>-4.8924886776321674E-2</v>
      </c>
    </row>
    <row r="622" spans="1:42" x14ac:dyDescent="0.25">
      <c r="A622" s="37">
        <v>40742</v>
      </c>
      <c r="B622" s="39">
        <v>1345.0200199999999</v>
      </c>
      <c r="C622" s="36">
        <f>IF(ISBLANK(B623), "", GSPC[[#This Row],[Adj Close]]/B623-1)</f>
        <v>2.1942957945853436E-2</v>
      </c>
      <c r="D62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2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22" s="11" t="e">
        <f>IF(ISBLANK(GSPC[[#This Row],[Long Exp.]]), "", (GSPC[[#This Row],[Long Exp.]]/D623-1)+(E623/GSPC[[#This Row],[Short Exp.]]-1))</f>
        <v>#VALUE!</v>
      </c>
      <c r="G622" s="37">
        <v>40742</v>
      </c>
      <c r="H622">
        <v>21.921423000000001</v>
      </c>
      <c r="I622" s="36">
        <f>IF(ISBLANK(H623), "", Long0[[#This Row],[Adj Close]]/H623-1)</f>
        <v>1.5697813931142557E-2</v>
      </c>
      <c r="J622" s="29">
        <v>40742</v>
      </c>
      <c r="K622">
        <v>5.8518489999999996</v>
      </c>
      <c r="L622" s="33">
        <f>IF(ISBLANK(K623),"",Long1[[#This Row],[Adj Close]]/K623-1)</f>
        <v>0.22254355789411218</v>
      </c>
      <c r="M622" s="37">
        <v>40742</v>
      </c>
      <c r="N622">
        <v>59.967360999999997</v>
      </c>
      <c r="O622" s="36">
        <f>IF(ISBLANK(N623),"",Long2[[#This Row],[Adj Close]]/N623-1)</f>
        <v>9.1834893170442244E-2</v>
      </c>
      <c r="P622" s="29">
        <v>40742</v>
      </c>
      <c r="Q622">
        <v>14.847213</v>
      </c>
      <c r="R622" s="33">
        <f>IF(ISBLANK(Q623),"",Long3[[#This Row],[Adj Close]]/Q623-1)</f>
        <v>8.2794260977843148E-3</v>
      </c>
      <c r="S622" s="37">
        <v>40742</v>
      </c>
      <c r="T622" s="35">
        <v>18.203339</v>
      </c>
      <c r="U622" s="36">
        <f>IF(ISBLANK(T623),"",Long4[[#This Row],[Adj Close]]/T623-1)</f>
        <v>-1.1116381171654588E-2</v>
      </c>
      <c r="Y622" s="37">
        <v>40742</v>
      </c>
      <c r="Z622" s="35">
        <v>31.973645999999999</v>
      </c>
      <c r="AA622" s="36">
        <f>IF(ISBLANK(Z623),"",Long6[[#This Row],[Adj Close]]/Z623-1)</f>
        <v>8.3553676540633726E-2</v>
      </c>
      <c r="AH622" s="29">
        <v>40742</v>
      </c>
      <c r="AI622" s="44">
        <v>31.098475000000001</v>
      </c>
      <c r="AJ622" s="33">
        <f>IF(ISBLANK(AI623),"",Short0[[#This Row],[Adj Close]]/AI623-1)</f>
        <v>3.6222655916923419E-2</v>
      </c>
      <c r="AK622" s="37">
        <v>40742</v>
      </c>
      <c r="AL622" s="39">
        <v>20.457031000000001</v>
      </c>
      <c r="AM622" s="36">
        <f>IF(ISBLANK(AL623),"",Short1[[#This Row],[Adj Close]]/AL623-1)</f>
        <v>-1.6887377855042685E-3</v>
      </c>
      <c r="AN622" s="29">
        <v>40742</v>
      </c>
      <c r="AO622" s="44">
        <v>16.903708000000002</v>
      </c>
      <c r="AP622" s="33">
        <f>IF(ISBLANK(AO623),"",Short2[[#This Row],[Adj Close]]/AO623-1)</f>
        <v>4.8477996623152775E-2</v>
      </c>
    </row>
    <row r="623" spans="1:42" x14ac:dyDescent="0.25">
      <c r="A623" s="37">
        <v>40735</v>
      </c>
      <c r="B623" s="39">
        <v>1316.1400149999999</v>
      </c>
      <c r="C623" s="36">
        <f>IF(ISBLANK(B624), "", GSPC[[#This Row],[Adj Close]]/B624-1)</f>
        <v>-2.0583444702642617E-2</v>
      </c>
      <c r="D62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2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23" s="11" t="e">
        <f>IF(ISBLANK(GSPC[[#This Row],[Long Exp.]]), "", (GSPC[[#This Row],[Long Exp.]]/D624-1)+(E624/GSPC[[#This Row],[Short Exp.]]-1))</f>
        <v>#VALUE!</v>
      </c>
      <c r="G623" s="37">
        <v>40735</v>
      </c>
      <c r="H623">
        <v>21.582623000000002</v>
      </c>
      <c r="I623" s="36">
        <f>IF(ISBLANK(H624), "", Long0[[#This Row],[Adj Close]]/H624-1)</f>
        <v>-5.644505234213637E-2</v>
      </c>
      <c r="J623" s="29">
        <v>40735</v>
      </c>
      <c r="K623">
        <v>4.7866179999999998</v>
      </c>
      <c r="L623" s="33">
        <f>IF(ISBLANK(K624),"",Long1[[#This Row],[Adj Close]]/K624-1)</f>
        <v>-8.4656260708865783E-2</v>
      </c>
      <c r="M623" s="37">
        <v>40735</v>
      </c>
      <c r="N623">
        <v>54.923470000000002</v>
      </c>
      <c r="O623" s="36">
        <f>IF(ISBLANK(N624),"",Long2[[#This Row],[Adj Close]]/N624-1)</f>
        <v>-5.4264646559856189E-2</v>
      </c>
      <c r="P623" s="29">
        <v>40735</v>
      </c>
      <c r="Q623">
        <v>14.725296</v>
      </c>
      <c r="R623" s="33">
        <f>IF(ISBLANK(Q624),"",Long3[[#This Row],[Adj Close]]/Q624-1)</f>
        <v>-8.5648178539580178E-3</v>
      </c>
      <c r="S623" s="37">
        <v>40735</v>
      </c>
      <c r="T623" s="35">
        <v>18.407969000000001</v>
      </c>
      <c r="U623" s="36">
        <f>IF(ISBLANK(T624),"",Long4[[#This Row],[Adj Close]]/T624-1)</f>
        <v>-3.0098658437876513E-2</v>
      </c>
      <c r="Y623" s="37">
        <v>40735</v>
      </c>
      <c r="Z623" s="35">
        <v>29.508133000000001</v>
      </c>
      <c r="AA623" s="36">
        <f>IF(ISBLANK(Z624),"",Long6[[#This Row],[Adj Close]]/Z624-1)</f>
        <v>-0.166987673827516</v>
      </c>
      <c r="AH623" s="29">
        <v>40735</v>
      </c>
      <c r="AI623" s="44">
        <v>30.011382999999999</v>
      </c>
      <c r="AJ623" s="33">
        <f>IF(ISBLANK(AI624),"",Short0[[#This Row],[Adj Close]]/AI624-1)</f>
        <v>-2.1951914775754977E-2</v>
      </c>
      <c r="AK623" s="37">
        <v>40735</v>
      </c>
      <c r="AL623" s="39">
        <v>20.491636</v>
      </c>
      <c r="AM623" s="36">
        <f>IF(ISBLANK(AL624),"",Short1[[#This Row],[Adj Close]]/AL624-1)</f>
        <v>-6.9453210039294278E-2</v>
      </c>
      <c r="AN623" s="29">
        <v>40735</v>
      </c>
      <c r="AO623" s="44">
        <v>16.122139000000001</v>
      </c>
      <c r="AP623" s="33">
        <f>IF(ISBLANK(AO624),"",Short2[[#This Row],[Adj Close]]/AO624-1)</f>
        <v>-5.6874835874412222E-2</v>
      </c>
    </row>
    <row r="624" spans="1:42" x14ac:dyDescent="0.25">
      <c r="A624" s="37">
        <v>40728</v>
      </c>
      <c r="B624" s="39">
        <v>1343.8000489999999</v>
      </c>
      <c r="C624" s="36">
        <f>IF(ISBLANK(B625), "", GSPC[[#This Row],[Adj Close]]/B625-1)</f>
        <v>3.0828523922716844E-3</v>
      </c>
      <c r="D62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2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24" s="11" t="e">
        <f>IF(ISBLANK(GSPC[[#This Row],[Long Exp.]]), "", (GSPC[[#This Row],[Long Exp.]]/D625-1)+(E625/GSPC[[#This Row],[Short Exp.]]-1))</f>
        <v>#VALUE!</v>
      </c>
      <c r="G624" s="37">
        <v>40728</v>
      </c>
      <c r="H624">
        <v>22.873732</v>
      </c>
      <c r="I624" s="36">
        <f>IF(ISBLANK(H625), "", Long0[[#This Row],[Adj Close]]/H625-1)</f>
        <v>4.0044477535916556E-4</v>
      </c>
      <c r="J624" s="29">
        <v>40728</v>
      </c>
      <c r="K624">
        <v>5.2293120000000002</v>
      </c>
      <c r="L624" s="33">
        <f>IF(ISBLANK(K625),"",Long1[[#This Row],[Adj Close]]/K625-1)</f>
        <v>0.1886793739495396</v>
      </c>
      <c r="M624" s="37">
        <v>40728</v>
      </c>
      <c r="N624">
        <v>58.074883</v>
      </c>
      <c r="O624" s="36">
        <f>IF(ISBLANK(N625),"",Long2[[#This Row],[Adj Close]]/N625-1)</f>
        <v>4.0542595456201536E-2</v>
      </c>
      <c r="P624" s="29">
        <v>40728</v>
      </c>
      <c r="Q624">
        <v>14.852505000000001</v>
      </c>
      <c r="R624" s="33">
        <f>IF(ISBLANK(Q625),"",Long3[[#This Row],[Adj Close]]/Q625-1)</f>
        <v>0</v>
      </c>
      <c r="S624" s="37">
        <v>40728</v>
      </c>
      <c r="T624" s="35">
        <v>18.979217999999999</v>
      </c>
      <c r="U624" s="36">
        <f>IF(ISBLANK(T625),"",Long4[[#This Row],[Adj Close]]/T625-1)</f>
        <v>5.7482150492484951E-2</v>
      </c>
      <c r="Y624" s="37">
        <v>40728</v>
      </c>
      <c r="Z624" s="35">
        <v>35.423405000000002</v>
      </c>
      <c r="AA624" s="36">
        <f>IF(ISBLANK(Z625),"",Long6[[#This Row],[Adj Close]]/Z625-1)</f>
        <v>2.9161907516697783E-2</v>
      </c>
      <c r="AH624" s="29">
        <v>40728</v>
      </c>
      <c r="AI624" s="44">
        <v>30.684977</v>
      </c>
      <c r="AJ624" s="33">
        <f>IF(ISBLANK(AI625),"",Short0[[#This Row],[Adj Close]]/AI625-1)</f>
        <v>4.830258042512714E-2</v>
      </c>
      <c r="AK624" s="37">
        <v>40728</v>
      </c>
      <c r="AL624" s="39">
        <v>22.021070000000002</v>
      </c>
      <c r="AM624" s="36">
        <f>IF(ISBLANK(AL625),"",Short1[[#This Row],[Adj Close]]/AL625-1)</f>
        <v>-8.9293690582492591E-4</v>
      </c>
      <c r="AN624" s="29">
        <v>40728</v>
      </c>
      <c r="AO624" s="44">
        <v>17.094379</v>
      </c>
      <c r="AP624" s="33">
        <f>IF(ISBLANK(AO625),"",Short2[[#This Row],[Adj Close]]/AO625-1)</f>
        <v>4.7976348102993782E-3</v>
      </c>
    </row>
    <row r="625" spans="1:42" x14ac:dyDescent="0.25">
      <c r="A625" s="37">
        <v>40721</v>
      </c>
      <c r="B625" s="39">
        <v>1339.670044</v>
      </c>
      <c r="C625" s="36">
        <f>IF(ISBLANK(B626), "", GSPC[[#This Row],[Adj Close]]/B626-1)</f>
        <v>5.6147341835484088E-2</v>
      </c>
      <c r="D62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2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25" s="11" t="e">
        <f>IF(ISBLANK(GSPC[[#This Row],[Long Exp.]]), "", (GSPC[[#This Row],[Long Exp.]]/D626-1)+(E626/GSPC[[#This Row],[Short Exp.]]-1))</f>
        <v>#VALUE!</v>
      </c>
      <c r="G625" s="37">
        <v>40721</v>
      </c>
      <c r="H625">
        <v>22.864576</v>
      </c>
      <c r="I625" s="36">
        <f>IF(ISBLANK(H626), "", Long0[[#This Row],[Adj Close]]/H626-1)</f>
        <v>8.0484574538491227E-2</v>
      </c>
      <c r="J625" s="29">
        <v>40721</v>
      </c>
      <c r="K625">
        <v>4.3992620000000002</v>
      </c>
      <c r="L625" s="33">
        <f>IF(ISBLANK(K626),"",Long1[[#This Row],[Adj Close]]/K626-1)</f>
        <v>1.5974491067277663E-2</v>
      </c>
      <c r="M625" s="37">
        <v>40721</v>
      </c>
      <c r="N625">
        <v>55.812114999999999</v>
      </c>
      <c r="O625" s="36">
        <f>IF(ISBLANK(N626),"",Long2[[#This Row],[Adj Close]]/N626-1)</f>
        <v>6.6509714845485624E-2</v>
      </c>
      <c r="P625" s="29">
        <v>40721</v>
      </c>
      <c r="Q625">
        <v>14.852505000000001</v>
      </c>
      <c r="R625" s="33">
        <f>IF(ISBLANK(Q626),"",Long3[[#This Row],[Adj Close]]/Q626-1)</f>
        <v>3.4711754934638295E-2</v>
      </c>
      <c r="S625" s="37">
        <v>40721</v>
      </c>
      <c r="T625" s="35">
        <v>17.947554</v>
      </c>
      <c r="U625" s="36">
        <f>IF(ISBLANK(T626),"",Long4[[#This Row],[Adj Close]]/T626-1)</f>
        <v>3.796821059503408E-2</v>
      </c>
      <c r="Y625" s="37">
        <v>40721</v>
      </c>
      <c r="Z625" s="35">
        <v>34.419662000000002</v>
      </c>
      <c r="AA625" s="36">
        <f>IF(ISBLANK(Z626),"",Long6[[#This Row],[Adj Close]]/Z626-1)</f>
        <v>7.3229921844272461E-2</v>
      </c>
      <c r="AH625" s="29">
        <v>40721</v>
      </c>
      <c r="AI625" s="44">
        <v>29.271107000000001</v>
      </c>
      <c r="AJ625" s="33">
        <f>IF(ISBLANK(AI626),"",Short0[[#This Row],[Adj Close]]/AI626-1)</f>
        <v>0.11992843595072311</v>
      </c>
      <c r="AK625" s="37">
        <v>40721</v>
      </c>
      <c r="AL625" s="39">
        <v>22.040751</v>
      </c>
      <c r="AM625" s="36">
        <f>IF(ISBLANK(AL626),"",Short1[[#This Row],[Adj Close]]/AL626-1)</f>
        <v>-1.4778357492120531E-2</v>
      </c>
      <c r="AN625" s="29">
        <v>40721</v>
      </c>
      <c r="AO625" s="44">
        <v>17.012758000000002</v>
      </c>
      <c r="AP625" s="33">
        <f>IF(ISBLANK(AO626),"",Short2[[#This Row],[Adj Close]]/AO626-1)</f>
        <v>3.9911710466075334E-2</v>
      </c>
    </row>
    <row r="626" spans="1:42" x14ac:dyDescent="0.25">
      <c r="A626" s="37">
        <v>40714</v>
      </c>
      <c r="B626" s="39">
        <v>1268.4499510000001</v>
      </c>
      <c r="C626" s="36">
        <f>IF(ISBLANK(B627), "", GSPC[[#This Row],[Adj Close]]/B627-1)</f>
        <v>-2.3987801808886822E-3</v>
      </c>
      <c r="D62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2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26" s="11" t="e">
        <f>IF(ISBLANK(GSPC[[#This Row],[Long Exp.]]), "", (GSPC[[#This Row],[Long Exp.]]/D627-1)+(E627/GSPC[[#This Row],[Short Exp.]]-1))</f>
        <v>#VALUE!</v>
      </c>
      <c r="G626" s="37">
        <v>40714</v>
      </c>
      <c r="H626">
        <v>21.161408999999999</v>
      </c>
      <c r="I626" s="36">
        <f>IF(ISBLANK(H627), "", Long0[[#This Row],[Adj Close]]/H627-1)</f>
        <v>3.771896508646555E-2</v>
      </c>
      <c r="J626" s="29">
        <v>40714</v>
      </c>
      <c r="K626">
        <v>4.3300910000000004</v>
      </c>
      <c r="L626" s="33">
        <f>IF(ISBLANK(K627),"",Long1[[#This Row],[Adj Close]]/K627-1)</f>
        <v>0.10600687038050705</v>
      </c>
      <c r="M626" s="37">
        <v>40714</v>
      </c>
      <c r="N626">
        <v>52.331558000000001</v>
      </c>
      <c r="O626" s="36">
        <f>IF(ISBLANK(N627),"",Long2[[#This Row],[Adj Close]]/N627-1)</f>
        <v>7.2150947147400224E-2</v>
      </c>
      <c r="P626" s="29">
        <v>40714</v>
      </c>
      <c r="Q626">
        <v>14.354244</v>
      </c>
      <c r="R626" s="33">
        <f>IF(ISBLANK(Q627),"",Long3[[#This Row],[Adj Close]]/Q627-1)</f>
        <v>0</v>
      </c>
      <c r="S626" s="37">
        <v>40714</v>
      </c>
      <c r="T626" s="35">
        <v>17.291043999999999</v>
      </c>
      <c r="U626" s="36">
        <f>IF(ISBLANK(T627),"",Long4[[#This Row],[Adj Close]]/T627-1)</f>
        <v>5.3506618717239052E-2</v>
      </c>
      <c r="Y626" s="37">
        <v>40714</v>
      </c>
      <c r="Z626" s="35">
        <v>32.071097999999999</v>
      </c>
      <c r="AA626" s="36">
        <f>IF(ISBLANK(Z627),"",Long6[[#This Row],[Adj Close]]/Z627-1)</f>
        <v>3.686207846388001E-2</v>
      </c>
      <c r="AH626" s="29">
        <v>40714</v>
      </c>
      <c r="AI626" s="44">
        <v>26.136586999999999</v>
      </c>
      <c r="AJ626" s="33">
        <f>IF(ISBLANK(AI627),"",Short0[[#This Row],[Adj Close]]/AI627-1)</f>
        <v>2.591632689381429E-2</v>
      </c>
      <c r="AK626" s="37">
        <v>40714</v>
      </c>
      <c r="AL626" s="39">
        <v>22.371362999999999</v>
      </c>
      <c r="AM626" s="36">
        <f>IF(ISBLANK(AL627),"",Short1[[#This Row],[Adj Close]]/AL627-1)</f>
        <v>4.7404061620125226E-2</v>
      </c>
      <c r="AN626" s="29">
        <v>40714</v>
      </c>
      <c r="AO626" s="44">
        <v>16.35981</v>
      </c>
      <c r="AP626" s="33">
        <f>IF(ISBLANK(AO627),"",Short2[[#This Row],[Adj Close]]/AO627-1)</f>
        <v>3.3218225423299108E-2</v>
      </c>
    </row>
    <row r="627" spans="1:42" x14ac:dyDescent="0.25">
      <c r="A627" s="37">
        <v>40707</v>
      </c>
      <c r="B627" s="39">
        <v>1271.5</v>
      </c>
      <c r="C627" s="36">
        <f>IF(ISBLANK(B628), "", GSPC[[#This Row],[Adj Close]]/B628-1)</f>
        <v>4.0914885221088326E-4</v>
      </c>
      <c r="D62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2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27" s="11" t="e">
        <f>IF(ISBLANK(GSPC[[#This Row],[Long Exp.]]), "", (GSPC[[#This Row],[Long Exp.]]/D628-1)+(E628/GSPC[[#This Row],[Short Exp.]]-1))</f>
        <v>#VALUE!</v>
      </c>
      <c r="G627" s="37">
        <v>40707</v>
      </c>
      <c r="H627">
        <v>20.392234999999999</v>
      </c>
      <c r="I627" s="36">
        <f>IF(ISBLANK(H628), "", Long0[[#This Row],[Adj Close]]/H628-1)</f>
        <v>1.0435730522195374E-2</v>
      </c>
      <c r="J627" s="29">
        <v>40707</v>
      </c>
      <c r="K627">
        <v>3.9150670000000001</v>
      </c>
      <c r="L627" s="33">
        <f>IF(ISBLANK(K628),"",Long1[[#This Row],[Adj Close]]/K628-1)</f>
        <v>0.30414768495262501</v>
      </c>
      <c r="M627" s="37">
        <v>40707</v>
      </c>
      <c r="N627">
        <v>48.809879000000002</v>
      </c>
      <c r="O627" s="36">
        <f>IF(ISBLANK(N628),"",Long2[[#This Row],[Adj Close]]/N628-1)</f>
        <v>-0.12429909890494772</v>
      </c>
      <c r="P627" s="29">
        <v>40707</v>
      </c>
      <c r="Q627">
        <v>14.354244</v>
      </c>
      <c r="R627" s="33">
        <f>IF(ISBLANK(Q628),"",Long3[[#This Row],[Adj Close]]/Q628-1)</f>
        <v>1.7715347998281228E-2</v>
      </c>
      <c r="S627" s="37">
        <v>40707</v>
      </c>
      <c r="T627" s="35">
        <v>16.412848</v>
      </c>
      <c r="U627" s="36">
        <f>IF(ISBLANK(T628),"",Long4[[#This Row],[Adj Close]]/T628-1)</f>
        <v>2.2304800759899823E-2</v>
      </c>
      <c r="Y627" s="37">
        <v>40707</v>
      </c>
      <c r="Z627" s="35">
        <v>30.93092</v>
      </c>
      <c r="AA627" s="36">
        <f>IF(ISBLANK(Z628),"",Long6[[#This Row],[Adj Close]]/Z628-1)</f>
        <v>-0.13064900082556385</v>
      </c>
      <c r="AH627" s="29">
        <v>40707</v>
      </c>
      <c r="AI627" s="44">
        <v>25.476334000000001</v>
      </c>
      <c r="AJ627" s="33">
        <f>IF(ISBLANK(AI628),"",Short0[[#This Row],[Adj Close]]/AI628-1)</f>
        <v>-1.5717863219339212E-2</v>
      </c>
      <c r="AK627" s="37">
        <v>40707</v>
      </c>
      <c r="AL627" s="39">
        <v>21.358865999999999</v>
      </c>
      <c r="AM627" s="36">
        <f>IF(ISBLANK(AL628),"",Short1[[#This Row],[Adj Close]]/AL628-1)</f>
        <v>9.0749397387690056E-2</v>
      </c>
      <c r="AN627" s="29">
        <v>40707</v>
      </c>
      <c r="AO627" s="44">
        <v>15.833838</v>
      </c>
      <c r="AP627" s="33">
        <f>IF(ISBLANK(AO628),"",Short2[[#This Row],[Adj Close]]/AO628-1)</f>
        <v>4.6135551986181467E-2</v>
      </c>
    </row>
    <row r="628" spans="1:42" x14ac:dyDescent="0.25">
      <c r="A628" s="37">
        <v>40700</v>
      </c>
      <c r="B628" s="39">
        <v>1270.9799800000001</v>
      </c>
      <c r="C628" s="36">
        <f>IF(ISBLANK(B629), "", GSPC[[#This Row],[Adj Close]]/B629-1)</f>
        <v>-2.2443432529014262E-2</v>
      </c>
      <c r="D62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2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28" s="11" t="e">
        <f>IF(ISBLANK(GSPC[[#This Row],[Long Exp.]]), "", (GSPC[[#This Row],[Long Exp.]]/D629-1)+(E629/GSPC[[#This Row],[Short Exp.]]-1))</f>
        <v>#VALUE!</v>
      </c>
      <c r="G628" s="37">
        <v>40700</v>
      </c>
      <c r="H628">
        <v>20.181625</v>
      </c>
      <c r="I628" s="36">
        <f>IF(ISBLANK(H629), "", Long0[[#This Row],[Adj Close]]/H629-1)</f>
        <v>-3.502639095507154E-2</v>
      </c>
      <c r="J628" s="29">
        <v>40700</v>
      </c>
      <c r="K628">
        <v>3.0020120000000001</v>
      </c>
      <c r="L628" s="33">
        <f>IF(ISBLANK(K629),"",Long1[[#This Row],[Adj Close]]/K629-1)</f>
        <v>-4.5871042486916869E-3</v>
      </c>
      <c r="M628" s="37">
        <v>40700</v>
      </c>
      <c r="N628">
        <v>55.738070999999998</v>
      </c>
      <c r="O628" s="36">
        <f>IF(ISBLANK(N629),"",Long2[[#This Row],[Adj Close]]/N629-1)</f>
        <v>-1.8118455371833653E-2</v>
      </c>
      <c r="P628" s="29">
        <v>40700</v>
      </c>
      <c r="Q628">
        <v>14.104380000000001</v>
      </c>
      <c r="R628" s="33">
        <f>IF(ISBLANK(Q629),"",Long3[[#This Row],[Adj Close]]/Q629-1)</f>
        <v>-2.9528136595601495E-2</v>
      </c>
      <c r="S628" s="37">
        <v>40700</v>
      </c>
      <c r="T628" s="35">
        <v>16.054749999999999</v>
      </c>
      <c r="U628" s="36">
        <f>IF(ISBLANK(T629),"",Long4[[#This Row],[Adj Close]]/T629-1)</f>
        <v>3.5753837316440329E-2</v>
      </c>
      <c r="Y628" s="37">
        <v>40700</v>
      </c>
      <c r="Z628" s="35">
        <v>35.579323000000002</v>
      </c>
      <c r="AA628" s="36">
        <f>IF(ISBLANK(Z629),"",Long6[[#This Row],[Adj Close]]/Z629-1)</f>
        <v>-0.10972952527863256</v>
      </c>
      <c r="AH628" s="29">
        <v>40700</v>
      </c>
      <c r="AI628" s="44">
        <v>25.883161999999999</v>
      </c>
      <c r="AJ628" s="33">
        <f>IF(ISBLANK(AI629),"",Short0[[#This Row],[Adj Close]]/AI629-1)</f>
        <v>-7.7709219782088779E-2</v>
      </c>
      <c r="AK628" s="37">
        <v>40700</v>
      </c>
      <c r="AL628" s="39">
        <v>19.581827000000001</v>
      </c>
      <c r="AM628" s="36">
        <f>IF(ISBLANK(AL629),"",Short1[[#This Row],[Adj Close]]/AL629-1)</f>
        <v>-7.1824989638400116E-2</v>
      </c>
      <c r="AN628" s="29">
        <v>40700</v>
      </c>
      <c r="AO628" s="44">
        <v>15.135551</v>
      </c>
      <c r="AP628" s="33">
        <f>IF(ISBLANK(AO629),"",Short2[[#This Row],[Adj Close]]/AO629-1)</f>
        <v>-7.1746677943087533E-2</v>
      </c>
    </row>
    <row r="629" spans="1:42" x14ac:dyDescent="0.25">
      <c r="A629" s="37">
        <v>40693</v>
      </c>
      <c r="B629" s="39">
        <v>1300.160034</v>
      </c>
      <c r="C629" s="36">
        <f>IF(ISBLANK(B630), "", GSPC[[#This Row],[Adj Close]]/B630-1)</f>
        <v>-2.3243890434868408E-2</v>
      </c>
      <c r="D62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2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29" s="11" t="e">
        <f>IF(ISBLANK(GSPC[[#This Row],[Long Exp.]]), "", (GSPC[[#This Row],[Long Exp.]]/D630-1)+(E630/GSPC[[#This Row],[Short Exp.]]-1))</f>
        <v>#VALUE!</v>
      </c>
      <c r="G629" s="37">
        <v>40693</v>
      </c>
      <c r="H629">
        <v>20.914173000000002</v>
      </c>
      <c r="I629" s="36">
        <f>IF(ISBLANK(H630), "", Long0[[#This Row],[Adj Close]]/H630-1)</f>
        <v>-2.3931586356138013E-2</v>
      </c>
      <c r="J629" s="29">
        <v>40693</v>
      </c>
      <c r="K629">
        <v>3.0158459999999998</v>
      </c>
      <c r="L629" s="33">
        <f>IF(ISBLANK(K630),"",Long1[[#This Row],[Adj Close]]/K630-1)</f>
        <v>4.6082427385365499E-3</v>
      </c>
      <c r="M629" s="37">
        <v>40693</v>
      </c>
      <c r="N629">
        <v>56.766593999999998</v>
      </c>
      <c r="O629" s="36">
        <f>IF(ISBLANK(N630),"",Long2[[#This Row],[Adj Close]]/N630-1)</f>
        <v>-1.4991558472634225E-2</v>
      </c>
      <c r="P629" s="29">
        <v>40693</v>
      </c>
      <c r="Q629">
        <v>14.533528</v>
      </c>
      <c r="R629" s="33">
        <f>IF(ISBLANK(Q630),"",Long3[[#This Row],[Adj Close]]/Q630-1)</f>
        <v>-3.2303135365637781E-3</v>
      </c>
      <c r="S629" s="37">
        <v>40693</v>
      </c>
      <c r="T629" s="35">
        <v>15.500546</v>
      </c>
      <c r="U629" s="36">
        <f>IF(ISBLANK(T630),"",Long4[[#This Row],[Adj Close]]/T630-1)</f>
        <v>2.2050968286757566E-3</v>
      </c>
      <c r="Y629" s="37">
        <v>40693</v>
      </c>
      <c r="Z629" s="35">
        <v>39.964621999999999</v>
      </c>
      <c r="AA629" s="36">
        <f>IF(ISBLANK(Z630),"",Long6[[#This Row],[Adj Close]]/Z630-1)</f>
        <v>-0.11673483406215646</v>
      </c>
      <c r="AH629" s="29">
        <v>40693</v>
      </c>
      <c r="AI629" s="44">
        <v>28.063993</v>
      </c>
      <c r="AJ629" s="33">
        <f>IF(ISBLANK(AI630),"",Short0[[#This Row],[Adj Close]]/AI630-1)</f>
        <v>1.6916458791917943E-2</v>
      </c>
      <c r="AK629" s="37">
        <v>40693</v>
      </c>
      <c r="AL629" s="39">
        <v>21.097128000000001</v>
      </c>
      <c r="AM629" s="36">
        <f>IF(ISBLANK(AL630),"",Short1[[#This Row],[Adj Close]]/AL630-1)</f>
        <v>-3.0389344780279659E-2</v>
      </c>
      <c r="AN629" s="29">
        <v>40693</v>
      </c>
      <c r="AO629" s="44">
        <v>16.305409999999998</v>
      </c>
      <c r="AP629" s="33">
        <f>IF(ISBLANK(AO630),"",Short2[[#This Row],[Adj Close]]/AO630-1)</f>
        <v>-4.8677157734696275E-2</v>
      </c>
    </row>
    <row r="630" spans="1:42" x14ac:dyDescent="0.25">
      <c r="A630" s="37">
        <v>40686</v>
      </c>
      <c r="B630" s="39">
        <v>1331.099976</v>
      </c>
      <c r="C630" s="36">
        <f>IF(ISBLANK(B631), "", GSPC[[#This Row],[Adj Close]]/B631-1)</f>
        <v>-1.6276102870744769E-3</v>
      </c>
      <c r="D63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3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30" s="11" t="e">
        <f>IF(ISBLANK(GSPC[[#This Row],[Long Exp.]]), "", (GSPC[[#This Row],[Long Exp.]]/D631-1)+(E631/GSPC[[#This Row],[Short Exp.]]-1))</f>
        <v>#VALUE!</v>
      </c>
      <c r="G630" s="37">
        <v>40686</v>
      </c>
      <c r="H630">
        <v>21.426953999999999</v>
      </c>
      <c r="I630" s="36">
        <f>IF(ISBLANK(H631), "", Long0[[#This Row],[Adj Close]]/H631-1)</f>
        <v>-1.7632270915658776E-2</v>
      </c>
      <c r="J630" s="29">
        <v>40686</v>
      </c>
      <c r="K630">
        <v>3.0020120000000001</v>
      </c>
      <c r="L630" s="33">
        <f>IF(ISBLANK(K631),"",Long1[[#This Row],[Adj Close]]/K631-1)</f>
        <v>-1.3636535387537174E-2</v>
      </c>
      <c r="M630" s="37">
        <v>40686</v>
      </c>
      <c r="N630">
        <v>57.630566000000002</v>
      </c>
      <c r="O630" s="36">
        <f>IF(ISBLANK(N631),"",Long2[[#This Row],[Adj Close]]/N631-1)</f>
        <v>7.0620841968608516E-2</v>
      </c>
      <c r="P630" s="29">
        <v>40686</v>
      </c>
      <c r="Q630">
        <v>14.580628000000001</v>
      </c>
      <c r="R630" s="33">
        <f>IF(ISBLANK(Q631),"",Long3[[#This Row],[Adj Close]]/Q631-1)</f>
        <v>-1.4851587500315788E-2</v>
      </c>
      <c r="S630" s="37">
        <v>40686</v>
      </c>
      <c r="T630" s="35">
        <v>15.466441</v>
      </c>
      <c r="U630" s="36">
        <f>IF(ISBLANK(T631),"",Long4[[#This Row],[Adj Close]]/T631-1)</f>
        <v>-2.8908212781202702E-2</v>
      </c>
      <c r="Y630" s="37">
        <v>40686</v>
      </c>
      <c r="Z630" s="35">
        <v>45.246459999999999</v>
      </c>
      <c r="AA630" s="36">
        <f>IF(ISBLANK(Z631),"",Long6[[#This Row],[Adj Close]]/Z631-1)</f>
        <v>1.0781293423778315E-3</v>
      </c>
      <c r="AH630" s="29">
        <v>40686</v>
      </c>
      <c r="AI630" s="44">
        <v>27.597147</v>
      </c>
      <c r="AJ630" s="33">
        <f>IF(ISBLANK(AI631),"",Short0[[#This Row],[Adj Close]]/AI631-1)</f>
        <v>-8.6248139991474959E-3</v>
      </c>
      <c r="AK630" s="37">
        <v>40686</v>
      </c>
      <c r="AL630" s="39">
        <v>21.75835</v>
      </c>
      <c r="AM630" s="36">
        <f>IF(ISBLANK(AL631),"",Short1[[#This Row],[Adj Close]]/AL631-1)</f>
        <v>8.2984715658891428E-3</v>
      </c>
      <c r="AN630" s="29">
        <v>40686</v>
      </c>
      <c r="AO630" s="44">
        <v>17.139723</v>
      </c>
      <c r="AP630" s="33">
        <f>IF(ISBLANK(AO631),"",Short2[[#This Row],[Adj Close]]/AO631-1)</f>
        <v>5.2338605548996275E-2</v>
      </c>
    </row>
    <row r="631" spans="1:42" x14ac:dyDescent="0.25">
      <c r="A631" s="37">
        <v>40679</v>
      </c>
      <c r="B631" s="39">
        <v>1333.2700199999999</v>
      </c>
      <c r="C631" s="36">
        <f>IF(ISBLANK(B632), "", GSPC[[#This Row],[Adj Close]]/B632-1)</f>
        <v>-3.3638068821425504E-3</v>
      </c>
      <c r="D63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3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31" s="11" t="e">
        <f>IF(ISBLANK(GSPC[[#This Row],[Long Exp.]]), "", (GSPC[[#This Row],[Long Exp.]]/D632-1)+(E632/GSPC[[#This Row],[Short Exp.]]-1))</f>
        <v>#VALUE!</v>
      </c>
      <c r="G631" s="37">
        <v>40679</v>
      </c>
      <c r="H631">
        <v>21.811540999999998</v>
      </c>
      <c r="I631" s="36">
        <f>IF(ISBLANK(H632), "", Long0[[#This Row],[Adj Close]]/H632-1)</f>
        <v>-1.1208234942810424E-2</v>
      </c>
      <c r="J631" s="29">
        <v>40679</v>
      </c>
      <c r="K631">
        <v>3.0435150000000002</v>
      </c>
      <c r="L631" s="33">
        <f>IF(ISBLANK(K632),"",Long1[[#This Row],[Adj Close]]/K632-1)</f>
        <v>-1.345276217278546E-2</v>
      </c>
      <c r="M631" s="37">
        <v>40679</v>
      </c>
      <c r="N631">
        <v>53.829109000000003</v>
      </c>
      <c r="O631" s="36">
        <f>IF(ISBLANK(N632),"",Long2[[#This Row],[Adj Close]]/N632-1)</f>
        <v>-2.8655901152020768E-2</v>
      </c>
      <c r="P631" s="29">
        <v>40679</v>
      </c>
      <c r="Q631">
        <v>14.800438</v>
      </c>
      <c r="R631" s="33">
        <f>IF(ISBLANK(Q632),"",Long3[[#This Row],[Adj Close]]/Q632-1)</f>
        <v>1.2531207956398838E-2</v>
      </c>
      <c r="S631" s="37">
        <v>40679</v>
      </c>
      <c r="T631" s="35">
        <v>15.926857999999999</v>
      </c>
      <c r="U631" s="36">
        <f>IF(ISBLANK(T632),"",Long4[[#This Row],[Adj Close]]/T632-1)</f>
        <v>-2.1989257321728739E-2</v>
      </c>
      <c r="Y631" s="37">
        <v>40679</v>
      </c>
      <c r="Z631" s="35">
        <v>45.197730999999997</v>
      </c>
      <c r="AA631" s="36">
        <f>IF(ISBLANK(Z632),"",Long6[[#This Row],[Adj Close]]/Z632-1)</f>
        <v>2.8837509583806487E-2</v>
      </c>
      <c r="AH631" s="29">
        <v>40679</v>
      </c>
      <c r="AI631" s="44">
        <v>27.837237999999999</v>
      </c>
      <c r="AJ631" s="33">
        <f>IF(ISBLANK(AI632),"",Short0[[#This Row],[Adj Close]]/AI632-1)</f>
        <v>-2.0187788519354433E-2</v>
      </c>
      <c r="AK631" s="37">
        <v>40679</v>
      </c>
      <c r="AL631" s="39">
        <v>21.579274999999999</v>
      </c>
      <c r="AM631" s="36">
        <f>IF(ISBLANK(AL632),"",Short1[[#This Row],[Adj Close]]/AL632-1)</f>
        <v>-3.0331076672877821E-2</v>
      </c>
      <c r="AN631" s="29">
        <v>40679</v>
      </c>
      <c r="AO631" s="44">
        <v>16.287269999999999</v>
      </c>
      <c r="AP631" s="33">
        <f>IF(ISBLANK(AO632),"",Short2[[#This Row],[Adj Close]]/AO632-1)</f>
        <v>2.5114414769257687E-2</v>
      </c>
    </row>
    <row r="632" spans="1:42" x14ac:dyDescent="0.25">
      <c r="A632" s="37">
        <v>40672</v>
      </c>
      <c r="B632" s="39">
        <v>1337.7700199999999</v>
      </c>
      <c r="C632" s="36">
        <f>IF(ISBLANK(B633), "", GSPC[[#This Row],[Adj Close]]/B633-1)</f>
        <v>-1.8131107960323023E-3</v>
      </c>
      <c r="D63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3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32" s="11" t="e">
        <f>IF(ISBLANK(GSPC[[#This Row],[Long Exp.]]), "", (GSPC[[#This Row],[Long Exp.]]/D633-1)+(E633/GSPC[[#This Row],[Short Exp.]]-1))</f>
        <v>#VALUE!</v>
      </c>
      <c r="G632" s="37">
        <v>40672</v>
      </c>
      <c r="H632">
        <v>22.058781</v>
      </c>
      <c r="I632" s="36">
        <f>IF(ISBLANK(H633), "", Long0[[#This Row],[Adj Close]]/H633-1)</f>
        <v>7.9501319500654422E-3</v>
      </c>
      <c r="J632" s="29">
        <v>40672</v>
      </c>
      <c r="K632">
        <v>3.0850170000000001</v>
      </c>
      <c r="L632" s="33">
        <f>IF(ISBLANK(K633),"",Long1[[#This Row],[Adj Close]]/K633-1)</f>
        <v>1.3636206820074825E-2</v>
      </c>
      <c r="M632" s="37">
        <v>40672</v>
      </c>
      <c r="N632">
        <v>55.417136999999997</v>
      </c>
      <c r="O632" s="36">
        <f>IF(ISBLANK(N633),"",Long2[[#This Row],[Adj Close]]/N633-1)</f>
        <v>-5.3674861539434682E-2</v>
      </c>
      <c r="P632" s="29">
        <v>40672</v>
      </c>
      <c r="Q632">
        <v>14.617266000000001</v>
      </c>
      <c r="R632" s="33">
        <f>IF(ISBLANK(Q633),"",Long3[[#This Row],[Adj Close]]/Q633-1)</f>
        <v>1.4529995622546199E-2</v>
      </c>
      <c r="S632" s="37">
        <v>40672</v>
      </c>
      <c r="T632" s="35">
        <v>16.284952000000001</v>
      </c>
      <c r="U632" s="36">
        <f>IF(ISBLANK(T633),"",Long4[[#This Row],[Adj Close]]/T633-1)</f>
        <v>0</v>
      </c>
      <c r="Y632" s="37">
        <v>40672</v>
      </c>
      <c r="Z632" s="35">
        <v>43.930874000000003</v>
      </c>
      <c r="AA632" s="36">
        <f>IF(ISBLANK(Z633),"",Long6[[#This Row],[Adj Close]]/Z633-1)</f>
        <v>-0.16872556110286741</v>
      </c>
      <c r="AH632" s="29">
        <v>40672</v>
      </c>
      <c r="AI632" s="44">
        <v>28.410789000000001</v>
      </c>
      <c r="AJ632" s="33">
        <f>IF(ISBLANK(AI633),"",Short0[[#This Row],[Adj Close]]/AI633-1)</f>
        <v>-1.593909258179993E-2</v>
      </c>
      <c r="AK632" s="37">
        <v>40672</v>
      </c>
      <c r="AL632" s="39">
        <v>22.254270999999999</v>
      </c>
      <c r="AM632" s="36">
        <f>IF(ISBLANK(AL633),"",Short1[[#This Row],[Adj Close]]/AL633-1)</f>
        <v>4.225795453161707E-2</v>
      </c>
      <c r="AN632" s="29">
        <v>40672</v>
      </c>
      <c r="AO632" s="44">
        <v>15.888246000000001</v>
      </c>
      <c r="AP632" s="33">
        <f>IF(ISBLANK(AO633),"",Short2[[#This Row],[Adj Close]]/AO633-1)</f>
        <v>-5.4506656853238855E-2</v>
      </c>
    </row>
    <row r="633" spans="1:42" x14ac:dyDescent="0.25">
      <c r="A633" s="37">
        <v>40665</v>
      </c>
      <c r="B633" s="39">
        <v>1340.1999510000001</v>
      </c>
      <c r="C633" s="36">
        <f>IF(ISBLANK(B634), "", GSPC[[#This Row],[Adj Close]]/B634-1)</f>
        <v>-1.7167690364191635E-2</v>
      </c>
      <c r="D63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3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33" s="11" t="e">
        <f>IF(ISBLANK(GSPC[[#This Row],[Long Exp.]]), "", (GSPC[[#This Row],[Long Exp.]]/D634-1)+(E634/GSPC[[#This Row],[Short Exp.]]-1))</f>
        <v>#VALUE!</v>
      </c>
      <c r="G633" s="37">
        <v>40665</v>
      </c>
      <c r="H633">
        <v>21.884793999999999</v>
      </c>
      <c r="I633" s="36">
        <f>IF(ISBLANK(H634), "", Long0[[#This Row],[Adj Close]]/H634-1)</f>
        <v>-4.0931088727220954E-2</v>
      </c>
      <c r="J633" s="29">
        <v>40665</v>
      </c>
      <c r="K633">
        <v>3.0435150000000002</v>
      </c>
      <c r="L633" s="33">
        <f>IF(ISBLANK(K634),"",Long1[[#This Row],[Adj Close]]/K634-1)</f>
        <v>-6.7796454427921926E-2</v>
      </c>
      <c r="M633" s="37">
        <v>40665</v>
      </c>
      <c r="N633">
        <v>58.560355999999999</v>
      </c>
      <c r="O633" s="36">
        <f>IF(ISBLANK(N634),"",Long2[[#This Row],[Adj Close]]/N634-1)</f>
        <v>-4.929179406623041E-2</v>
      </c>
      <c r="P633" s="29">
        <v>40665</v>
      </c>
      <c r="Q633">
        <v>14.407919</v>
      </c>
      <c r="R633" s="33">
        <f>IF(ISBLANK(Q634),"",Long3[[#This Row],[Adj Close]]/Q634-1)</f>
        <v>3.6455497982144092E-3</v>
      </c>
      <c r="S633" s="37">
        <v>40665</v>
      </c>
      <c r="T633" s="35">
        <v>16.284952000000001</v>
      </c>
      <c r="U633" s="36">
        <f>IF(ISBLANK(T634),"",Long4[[#This Row],[Adj Close]]/T634-1)</f>
        <v>-3.8751956958626987E-2</v>
      </c>
      <c r="Y633" s="37">
        <v>40665</v>
      </c>
      <c r="Z633" s="35">
        <v>52.847617999999997</v>
      </c>
      <c r="AA633" s="36">
        <f>IF(ISBLANK(Z634),"",Long6[[#This Row],[Adj Close]]/Z634-1)</f>
        <v>-1.2923496385923161E-2</v>
      </c>
      <c r="AH633" s="29">
        <v>40665</v>
      </c>
      <c r="AI633" s="44">
        <v>28.870965999999999</v>
      </c>
      <c r="AJ633" s="33">
        <f>IF(ISBLANK(AI634),"",Short0[[#This Row],[Adj Close]]/AI634-1)</f>
        <v>-7.9131913591717673E-2</v>
      </c>
      <c r="AK633" s="37">
        <v>40665</v>
      </c>
      <c r="AL633" s="39">
        <v>21.351980000000001</v>
      </c>
      <c r="AM633" s="36">
        <f>IF(ISBLANK(AL634),"",Short1[[#This Row],[Adj Close]]/AL634-1)</f>
        <v>-7.0468027290984114E-3</v>
      </c>
      <c r="AN633" s="29">
        <v>40665</v>
      </c>
      <c r="AO633" s="44">
        <v>16.804186000000001</v>
      </c>
      <c r="AP633" s="33">
        <f>IF(ISBLANK(AO634),"",Short2[[#This Row],[Adj Close]]/AO634-1)</f>
        <v>-2.2155065147528408E-2</v>
      </c>
    </row>
    <row r="634" spans="1:42" x14ac:dyDescent="0.25">
      <c r="A634" s="37">
        <v>40658</v>
      </c>
      <c r="B634" s="39">
        <v>1363.6099850000001</v>
      </c>
      <c r="C634" s="36">
        <f>IF(ISBLANK(B635), "", GSPC[[#This Row],[Adj Close]]/B635-1)</f>
        <v>1.961295959408349E-2</v>
      </c>
      <c r="D63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3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34" s="11" t="e">
        <f>IF(ISBLANK(GSPC[[#This Row],[Long Exp.]]), "", (GSPC[[#This Row],[Long Exp.]]/D635-1)+(E635/GSPC[[#This Row],[Short Exp.]]-1))</f>
        <v>#VALUE!</v>
      </c>
      <c r="G634" s="37">
        <v>40658</v>
      </c>
      <c r="H634">
        <v>22.818791999999998</v>
      </c>
      <c r="I634" s="36">
        <f>IF(ISBLANK(H635), "", Long0[[#This Row],[Adj Close]]/H635-1)</f>
        <v>1.0543377390839881E-2</v>
      </c>
      <c r="J634" s="29">
        <v>40658</v>
      </c>
      <c r="K634">
        <v>3.2648609999999998</v>
      </c>
      <c r="L634" s="33">
        <f>IF(ISBLANK(K635),"",Long1[[#This Row],[Adj Close]]/K635-1)</f>
        <v>4.4247597968348096E-2</v>
      </c>
      <c r="M634" s="37">
        <v>40658</v>
      </c>
      <c r="N634">
        <v>61.596561000000001</v>
      </c>
      <c r="O634" s="36">
        <f>IF(ISBLANK(N635),"",Long2[[#This Row],[Adj Close]]/N635-1)</f>
        <v>-2.4243609155621515E-2</v>
      </c>
      <c r="P634" s="29">
        <v>40658</v>
      </c>
      <c r="Q634">
        <v>14.355585</v>
      </c>
      <c r="R634" s="33">
        <f>IF(ISBLANK(Q635),"",Long3[[#This Row],[Adj Close]]/Q635-1)</f>
        <v>1.970243376111025E-2</v>
      </c>
      <c r="S634" s="37">
        <v>40658</v>
      </c>
      <c r="T634" s="35">
        <v>16.941466999999999</v>
      </c>
      <c r="U634" s="36">
        <f>IF(ISBLANK(T635),"",Long4[[#This Row],[Adj Close]]/T635-1)</f>
        <v>-7.4926061965647772E-3</v>
      </c>
      <c r="Y634" s="37">
        <v>40658</v>
      </c>
      <c r="Z634" s="35">
        <v>53.539535999999998</v>
      </c>
      <c r="AA634" s="36">
        <f>IF(ISBLANK(Z635),"",Long6[[#This Row],[Adj Close]]/Z635-1)</f>
        <v>-4.0516727617560311E-2</v>
      </c>
      <c r="AH634" s="29">
        <v>40658</v>
      </c>
      <c r="AI634" s="44">
        <v>31.351901999999999</v>
      </c>
      <c r="AJ634" s="33">
        <f>IF(ISBLANK(AI635),"",Short0[[#This Row],[Adj Close]]/AI635-1)</f>
        <v>2.2623628837867615E-2</v>
      </c>
      <c r="AK634" s="37">
        <v>40658</v>
      </c>
      <c r="AL634" s="39">
        <v>21.503511</v>
      </c>
      <c r="AM634" s="36">
        <f>IF(ISBLANK(AL635),"",Short1[[#This Row],[Adj Close]]/AL635-1)</f>
        <v>3.6520737610405751E-2</v>
      </c>
      <c r="AN634" s="29">
        <v>40658</v>
      </c>
      <c r="AO634" s="44">
        <v>17.184919000000001</v>
      </c>
      <c r="AP634" s="33">
        <f>IF(ISBLANK(AO635),"",Short2[[#This Row],[Adj Close]]/AO635-1)</f>
        <v>4.2308794065255562E-3</v>
      </c>
    </row>
    <row r="635" spans="1:42" x14ac:dyDescent="0.25">
      <c r="A635" s="37">
        <v>40651</v>
      </c>
      <c r="B635" s="39">
        <v>1337.380005</v>
      </c>
      <c r="C635" s="36">
        <f>IF(ISBLANK(B636), "", GSPC[[#This Row],[Adj Close]]/B636-1)</f>
        <v>1.3412304707001388E-2</v>
      </c>
      <c r="D63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3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35" s="11" t="e">
        <f>IF(ISBLANK(GSPC[[#This Row],[Long Exp.]]), "", (GSPC[[#This Row],[Long Exp.]]/D636-1)+(E636/GSPC[[#This Row],[Short Exp.]]-1))</f>
        <v>#VALUE!</v>
      </c>
      <c r="G635" s="37">
        <v>40651</v>
      </c>
      <c r="H635">
        <v>22.580715000000001</v>
      </c>
      <c r="I635" s="36">
        <f>IF(ISBLANK(H636), "", Long0[[#This Row],[Adj Close]]/H636-1)</f>
        <v>3.2231198570354724E-2</v>
      </c>
      <c r="J635" s="29">
        <v>40651</v>
      </c>
      <c r="K635">
        <v>3.1265200000000002</v>
      </c>
      <c r="L635" s="33">
        <f>IF(ISBLANK(K636),"",Long1[[#This Row],[Adj Close]]/K636-1)</f>
        <v>4.6296438833295817E-2</v>
      </c>
      <c r="M635" s="37">
        <v>40651</v>
      </c>
      <c r="N635">
        <v>63.126987</v>
      </c>
      <c r="O635" s="36">
        <f>IF(ISBLANK(N636),"",Long2[[#This Row],[Adj Close]]/N636-1)</f>
        <v>3.9539511912492609E-2</v>
      </c>
      <c r="P635" s="29">
        <v>40651</v>
      </c>
      <c r="Q635">
        <v>14.07821</v>
      </c>
      <c r="R635" s="33">
        <f>IF(ISBLANK(Q636),"",Long3[[#This Row],[Adj Close]]/Q636-1)</f>
        <v>-3.7035377904444111E-3</v>
      </c>
      <c r="S635" s="37">
        <v>40651</v>
      </c>
      <c r="T635" s="35">
        <v>17.069361000000001</v>
      </c>
      <c r="U635" s="36">
        <f>IF(ISBLANK(T636),"",Long4[[#This Row],[Adj Close]]/T636-1)</f>
        <v>-1.9107997321668124E-2</v>
      </c>
      <c r="Y635" s="37">
        <v>40651</v>
      </c>
      <c r="Z635" s="35">
        <v>55.800384999999999</v>
      </c>
      <c r="AA635" s="36">
        <f>IF(ISBLANK(Z636),"",Long6[[#This Row],[Adj Close]]/Z636-1)</f>
        <v>8.3648714039253891E-2</v>
      </c>
      <c r="AH635" s="29">
        <v>40651</v>
      </c>
      <c r="AI635" s="44">
        <v>30.658300000000001</v>
      </c>
      <c r="AJ635" s="33">
        <f>IF(ISBLANK(AI636),"",Short0[[#This Row],[Adj Close]]/AI636-1)</f>
        <v>4.169466277206646E-2</v>
      </c>
      <c r="AK635" s="37">
        <v>40651</v>
      </c>
      <c r="AL635" s="39">
        <v>20.745857000000001</v>
      </c>
      <c r="AM635" s="36">
        <f>IF(ISBLANK(AL636),"",Short1[[#This Row],[Adj Close]]/AL636-1)</f>
        <v>4.9179264178696558E-2</v>
      </c>
      <c r="AN635" s="29">
        <v>40651</v>
      </c>
      <c r="AO635" s="44">
        <v>17.112518000000001</v>
      </c>
      <c r="AP635" s="33">
        <f>IF(ISBLANK(AO636),"",Short2[[#This Row],[Adj Close]]/AO636-1)</f>
        <v>2.5488109354281585E-2</v>
      </c>
    </row>
    <row r="636" spans="1:42" x14ac:dyDescent="0.25">
      <c r="A636" s="37">
        <v>40644</v>
      </c>
      <c r="B636" s="39">
        <v>1319.6800539999999</v>
      </c>
      <c r="C636" s="36">
        <f>IF(ISBLANK(B637), "", GSPC[[#This Row],[Adj Close]]/B637-1)</f>
        <v>-6.3922462627082899E-3</v>
      </c>
      <c r="D63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3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36" s="11" t="e">
        <f>IF(ISBLANK(GSPC[[#This Row],[Long Exp.]]), "", (GSPC[[#This Row],[Long Exp.]]/D637-1)+(E637/GSPC[[#This Row],[Short Exp.]]-1))</f>
        <v>#VALUE!</v>
      </c>
      <c r="G636" s="37">
        <v>40644</v>
      </c>
      <c r="H636">
        <v>21.875637000000001</v>
      </c>
      <c r="I636" s="36">
        <f>IF(ISBLANK(H637), "", Long0[[#This Row],[Adj Close]]/H637-1)</f>
        <v>1.9197819860738097E-2</v>
      </c>
      <c r="J636" s="29">
        <v>40644</v>
      </c>
      <c r="K636">
        <v>2.988178</v>
      </c>
      <c r="L636" s="33">
        <f>IF(ISBLANK(K637),"",Long1[[#This Row],[Adj Close]]/K637-1)</f>
        <v>-1.8181937660895486E-2</v>
      </c>
      <c r="M636" s="37">
        <v>40644</v>
      </c>
      <c r="N636">
        <v>60.725914000000003</v>
      </c>
      <c r="O636" s="36">
        <f>IF(ISBLANK(N637),"",Long2[[#This Row],[Adj Close]]/N637-1)</f>
        <v>-5.8156009669090847E-2</v>
      </c>
      <c r="P636" s="29">
        <v>40644</v>
      </c>
      <c r="Q636">
        <v>14.130542999999999</v>
      </c>
      <c r="R636" s="33">
        <f>IF(ISBLANK(Q637),"",Long3[[#This Row],[Adj Close]]/Q637-1)</f>
        <v>4.3679907917437033E-2</v>
      </c>
      <c r="S636" s="37">
        <v>40644</v>
      </c>
      <c r="T636" s="35">
        <v>17.401876000000001</v>
      </c>
      <c r="U636" s="36">
        <f>IF(ISBLANK(T637),"",Long4[[#This Row],[Adj Close]]/T637-1)</f>
        <v>-9.791645090525547E-4</v>
      </c>
      <c r="Y636" s="37">
        <v>40644</v>
      </c>
      <c r="Z636" s="35">
        <v>51.493057</v>
      </c>
      <c r="AA636" s="36">
        <f>IF(ISBLANK(Z637),"",Long6[[#This Row],[Adj Close]]/Z637-1)</f>
        <v>-6.6266296575386296E-2</v>
      </c>
      <c r="AH636" s="29">
        <v>40644</v>
      </c>
      <c r="AI636" s="44">
        <v>29.431177000000002</v>
      </c>
      <c r="AJ636" s="33">
        <f>IF(ISBLANK(AI637),"",Short0[[#This Row],[Adj Close]]/AI637-1)</f>
        <v>-1.0981331078519174E-2</v>
      </c>
      <c r="AK636" s="37">
        <v>40644</v>
      </c>
      <c r="AL636" s="39">
        <v>19.773415</v>
      </c>
      <c r="AM636" s="36">
        <f>IF(ISBLANK(AL637),"",Short1[[#This Row],[Adj Close]]/AL637-1)</f>
        <v>-2.8619578654838551E-2</v>
      </c>
      <c r="AN636" s="29">
        <v>40644</v>
      </c>
      <c r="AO636" s="44">
        <v>16.687193000000001</v>
      </c>
      <c r="AP636" s="33">
        <f>IF(ISBLANK(AO637),"",Short2[[#This Row],[Adj Close]]/AO637-1)</f>
        <v>3.8107311401625044E-3</v>
      </c>
    </row>
    <row r="637" spans="1:42" x14ac:dyDescent="0.25">
      <c r="A637" s="37">
        <v>40637</v>
      </c>
      <c r="B637" s="39">
        <v>1328.170044</v>
      </c>
      <c r="C637" s="36">
        <f>IF(ISBLANK(B638), "", GSPC[[#This Row],[Adj Close]]/B638-1)</f>
        <v>-3.1821960896460944E-3</v>
      </c>
      <c r="D63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3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37" s="11" t="e">
        <f>IF(ISBLANK(GSPC[[#This Row],[Long Exp.]]), "", (GSPC[[#This Row],[Long Exp.]]/D638-1)+(E638/GSPC[[#This Row],[Short Exp.]]-1))</f>
        <v>#VALUE!</v>
      </c>
      <c r="G637" s="37">
        <v>40637</v>
      </c>
      <c r="H637">
        <v>21.463583</v>
      </c>
      <c r="I637" s="36">
        <f>IF(ISBLANK(H638), "", Long0[[#This Row],[Adj Close]]/H638-1)</f>
        <v>9.0401201845418111E-3</v>
      </c>
      <c r="J637" s="29">
        <v>40637</v>
      </c>
      <c r="K637">
        <v>3.0435150000000002</v>
      </c>
      <c r="L637" s="33">
        <f>IF(ISBLANK(K638),"",Long1[[#This Row],[Adj Close]]/K638-1)</f>
        <v>-4.5248350777093993E-3</v>
      </c>
      <c r="M637" s="37">
        <v>40637</v>
      </c>
      <c r="N637">
        <v>64.475555</v>
      </c>
      <c r="O637" s="36">
        <f>IF(ISBLANK(N638),"",Long2[[#This Row],[Adj Close]]/N638-1)</f>
        <v>-2.4387381832350341E-2</v>
      </c>
      <c r="P637" s="29">
        <v>40637</v>
      </c>
      <c r="Q637">
        <v>13.539154</v>
      </c>
      <c r="R637" s="33">
        <f>IF(ISBLANK(Q638),"",Long3[[#This Row],[Adj Close]]/Q638-1)</f>
        <v>6.6147793963264867E-3</v>
      </c>
      <c r="S637" s="37">
        <v>40637</v>
      </c>
      <c r="T637" s="35">
        <v>17.418932000000002</v>
      </c>
      <c r="U637" s="36">
        <f>IF(ISBLANK(T638),"",Long4[[#This Row],[Adj Close]]/T638-1)</f>
        <v>6.7956091193101642E-2</v>
      </c>
      <c r="Y637" s="37">
        <v>40637</v>
      </c>
      <c r="Z637" s="35">
        <v>55.147475999999997</v>
      </c>
      <c r="AA637" s="36">
        <f>IF(ISBLANK(Z638),"",Long6[[#This Row],[Adj Close]]/Z638-1)</f>
        <v>1.9088879538754266E-2</v>
      </c>
      <c r="AH637" s="29">
        <v>40637</v>
      </c>
      <c r="AI637" s="44">
        <v>29.757959</v>
      </c>
      <c r="AJ637" s="33">
        <f>IF(ISBLANK(AI638),"",Short0[[#This Row],[Adj Close]]/AI638-1)</f>
        <v>2.2221795503901021E-2</v>
      </c>
      <c r="AK637" s="37">
        <v>40637</v>
      </c>
      <c r="AL637" s="39">
        <v>20.355995</v>
      </c>
      <c r="AM637" s="36">
        <f>IF(ISBLANK(AL638),"",Short1[[#This Row],[Adj Close]]/AL638-1)</f>
        <v>3.7011212317144881E-2</v>
      </c>
      <c r="AN637" s="29">
        <v>40637</v>
      </c>
      <c r="AO637" s="44">
        <v>16.623843999999998</v>
      </c>
      <c r="AP637" s="33">
        <f>IF(ISBLANK(AO638),"",Short2[[#This Row],[Adj Close]]/AO638-1)</f>
        <v>3.276975724018083E-3</v>
      </c>
    </row>
    <row r="638" spans="1:42" x14ac:dyDescent="0.25">
      <c r="A638" s="37">
        <v>40630</v>
      </c>
      <c r="B638" s="39">
        <v>1332.410034</v>
      </c>
      <c r="C638" s="36">
        <f>IF(ISBLANK(B639), "", GSPC[[#This Row],[Adj Close]]/B639-1)</f>
        <v>1.4165005560903277E-2</v>
      </c>
      <c r="D63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3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38" s="11" t="e">
        <f>IF(ISBLANK(GSPC[[#This Row],[Long Exp.]]), "", (GSPC[[#This Row],[Long Exp.]]/D639-1)+(E639/GSPC[[#This Row],[Short Exp.]]-1))</f>
        <v>#VALUE!</v>
      </c>
      <c r="G638" s="37">
        <v>40630</v>
      </c>
      <c r="H638">
        <v>21.271287999999998</v>
      </c>
      <c r="I638" s="36">
        <f>IF(ISBLANK(H639), "", Long0[[#This Row],[Adj Close]]/H639-1)</f>
        <v>4.123704981706755E-2</v>
      </c>
      <c r="J638" s="29">
        <v>40630</v>
      </c>
      <c r="K638">
        <v>3.0573489999999999</v>
      </c>
      <c r="L638" s="33">
        <f>IF(ISBLANK(K639),"",Long1[[#This Row],[Adj Close]]/K639-1)</f>
        <v>-5.1502175215357604E-2</v>
      </c>
      <c r="M638" s="37">
        <v>40630</v>
      </c>
      <c r="N638">
        <v>66.087249999999997</v>
      </c>
      <c r="O638" s="36">
        <f>IF(ISBLANK(N639),"",Long2[[#This Row],[Adj Close]]/N639-1)</f>
        <v>1.96650329643695E-2</v>
      </c>
      <c r="P638" s="29">
        <v>40630</v>
      </c>
      <c r="Q638">
        <v>13.450184</v>
      </c>
      <c r="R638" s="33">
        <f>IF(ISBLANK(Q639),"",Long3[[#This Row],[Adj Close]]/Q639-1)</f>
        <v>4.5990768343977306E-2</v>
      </c>
      <c r="S638" s="37">
        <v>40630</v>
      </c>
      <c r="T638" s="35">
        <v>16.310531999999998</v>
      </c>
      <c r="U638" s="36">
        <f>IF(ISBLANK(T639),"",Long4[[#This Row],[Adj Close]]/T639-1)</f>
        <v>-5.2239538105680605E-4</v>
      </c>
      <c r="Y638" s="37">
        <v>40630</v>
      </c>
      <c r="Z638" s="35">
        <v>54.114491000000001</v>
      </c>
      <c r="AA638" s="36">
        <f>IF(ISBLANK(Z639),"",Long6[[#This Row],[Adj Close]]/Z639-1)</f>
        <v>0.10375669567362067</v>
      </c>
      <c r="AH638" s="29">
        <v>40630</v>
      </c>
      <c r="AI638" s="44">
        <v>29.111059000000001</v>
      </c>
      <c r="AJ638" s="33">
        <f>IF(ISBLANK(AI639),"",Short0[[#This Row],[Adj Close]]/AI639-1)</f>
        <v>2.5611414446016445E-2</v>
      </c>
      <c r="AK638" s="37">
        <v>40630</v>
      </c>
      <c r="AL638" s="39">
        <v>19.629484000000001</v>
      </c>
      <c r="AM638" s="36">
        <f>IF(ISBLANK(AL639),"",Short1[[#This Row],[Adj Close]]/AL639-1)</f>
        <v>-1.984978690784478E-2</v>
      </c>
      <c r="AN638" s="29">
        <v>40630</v>
      </c>
      <c r="AO638" s="44">
        <v>16.569545999999999</v>
      </c>
      <c r="AP638" s="33">
        <f>IF(ISBLANK(AO639),"",Short2[[#This Row],[Adj Close]]/AO639-1)</f>
        <v>-8.5871461178788078E-2</v>
      </c>
    </row>
    <row r="639" spans="1:42" x14ac:dyDescent="0.25">
      <c r="A639" s="37">
        <v>40623</v>
      </c>
      <c r="B639" s="39">
        <v>1313.8000489999999</v>
      </c>
      <c r="C639" s="36">
        <f>IF(ISBLANK(B640), "", GSPC[[#This Row],[Adj Close]]/B640-1)</f>
        <v>2.7040195944815659E-2</v>
      </c>
      <c r="D63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3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39" s="11" t="e">
        <f>IF(ISBLANK(GSPC[[#This Row],[Long Exp.]]), "", (GSPC[[#This Row],[Long Exp.]]/D640-1)+(E640/GSPC[[#This Row],[Short Exp.]]-1))</f>
        <v>#VALUE!</v>
      </c>
      <c r="G639" s="37">
        <v>40623</v>
      </c>
      <c r="H639">
        <v>20.428861999999999</v>
      </c>
      <c r="I639" s="36">
        <f>IF(ISBLANK(H640), "", Long0[[#This Row],[Adj Close]]/H640-1)</f>
        <v>3.0009171272890933E-2</v>
      </c>
      <c r="J639" s="29">
        <v>40623</v>
      </c>
      <c r="K639">
        <v>3.2233589999999999</v>
      </c>
      <c r="L639" s="33">
        <f>IF(ISBLANK(K640),"",Long1[[#This Row],[Adj Close]]/K640-1)</f>
        <v>6.3927213435082342E-2</v>
      </c>
      <c r="M639" s="37">
        <v>40623</v>
      </c>
      <c r="N639">
        <v>64.812706000000006</v>
      </c>
      <c r="O639" s="36">
        <f>IF(ISBLANK(N640),"",Long2[[#This Row],[Adj Close]]/N640-1)</f>
        <v>4.3558983625969772E-2</v>
      </c>
      <c r="P639" s="29">
        <v>40623</v>
      </c>
      <c r="Q639">
        <v>12.858798</v>
      </c>
      <c r="R639" s="33">
        <f>IF(ISBLANK(Q640),"",Long3[[#This Row],[Adj Close]]/Q640-1)</f>
        <v>-8.1302259702398239E-4</v>
      </c>
      <c r="S639" s="37">
        <v>40623</v>
      </c>
      <c r="T639" s="35">
        <v>16.319057000000001</v>
      </c>
      <c r="U639" s="36">
        <f>IF(ISBLANK(T640),"",Long4[[#This Row],[Adj Close]]/T640-1)</f>
        <v>1.7543539132390595E-2</v>
      </c>
      <c r="Y639" s="37">
        <v>40623</v>
      </c>
      <c r="Z639" s="35">
        <v>49.027554000000002</v>
      </c>
      <c r="AA639" s="36">
        <f>IF(ISBLANK(Z640),"",Long6[[#This Row],[Adj Close]]/Z640-1)</f>
        <v>8.0309137630340199E-2</v>
      </c>
      <c r="AH639" s="29">
        <v>40623</v>
      </c>
      <c r="AI639" s="44">
        <v>28.384101999999999</v>
      </c>
      <c r="AJ639" s="33">
        <f>IF(ISBLANK(AI640),"",Short0[[#This Row],[Adj Close]]/AI640-1)</f>
        <v>0.17116099044445154</v>
      </c>
      <c r="AK639" s="37">
        <v>40623</v>
      </c>
      <c r="AL639" s="39">
        <v>20.027016</v>
      </c>
      <c r="AM639" s="36">
        <f>IF(ISBLANK(AL640),"",Short1[[#This Row],[Adj Close]]/AL640-1)</f>
        <v>-7.3263190082188734E-2</v>
      </c>
      <c r="AN639" s="29">
        <v>40623</v>
      </c>
      <c r="AO639" s="44">
        <v>18.126056999999999</v>
      </c>
      <c r="AP639" s="33">
        <f>IF(ISBLANK(AO640),"",Short2[[#This Row],[Adj Close]]/AO640-1)</f>
        <v>1.830213400085845E-2</v>
      </c>
    </row>
    <row r="640" spans="1:42" x14ac:dyDescent="0.25">
      <c r="A640" s="37">
        <v>40616</v>
      </c>
      <c r="B640" s="39">
        <v>1279.209961</v>
      </c>
      <c r="C640" s="36">
        <f>IF(ISBLANK(B641), "", GSPC[[#This Row],[Adj Close]]/B641-1)</f>
        <v>-1.9221384551307841E-2</v>
      </c>
      <c r="D64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4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40" s="11" t="e">
        <f>IF(ISBLANK(GSPC[[#This Row],[Long Exp.]]), "", (GSPC[[#This Row],[Long Exp.]]/D641-1)+(E641/GSPC[[#This Row],[Short Exp.]]-1))</f>
        <v>#VALUE!</v>
      </c>
      <c r="G640" s="37">
        <v>40616</v>
      </c>
      <c r="H640">
        <v>19.833670000000001</v>
      </c>
      <c r="I640" s="36">
        <f>IF(ISBLANK(H641), "", Long0[[#This Row],[Adj Close]]/H641-1)</f>
        <v>-3.0872458954073312E-2</v>
      </c>
      <c r="J640" s="29">
        <v>40616</v>
      </c>
      <c r="K640">
        <v>3.0296799999999999</v>
      </c>
      <c r="L640" s="33">
        <f>IF(ISBLANK(K641),"",Long1[[#This Row],[Adj Close]]/K641-1)</f>
        <v>9.2164854770733218E-3</v>
      </c>
      <c r="M640" s="37">
        <v>40616</v>
      </c>
      <c r="N640">
        <v>62.107371999999998</v>
      </c>
      <c r="O640" s="36">
        <f>IF(ISBLANK(N641),"",Long2[[#This Row],[Adj Close]]/N641-1)</f>
        <v>-9.8319983196244465E-3</v>
      </c>
      <c r="P640" s="29">
        <v>40616</v>
      </c>
      <c r="Q640">
        <v>12.869261</v>
      </c>
      <c r="R640" s="33">
        <f>IF(ISBLANK(Q641),"",Long3[[#This Row],[Adj Close]]/Q641-1)</f>
        <v>-1.3240890087891755E-2</v>
      </c>
      <c r="S640" s="37">
        <v>40616</v>
      </c>
      <c r="T640" s="35">
        <v>16.037699</v>
      </c>
      <c r="U640" s="36">
        <f>IF(ISBLANK(T641),"",Long4[[#This Row],[Adj Close]]/T641-1)</f>
        <v>-3.7073739586657162E-3</v>
      </c>
      <c r="Y640" s="37">
        <v>40616</v>
      </c>
      <c r="Z640" s="35">
        <v>45.382893000000003</v>
      </c>
      <c r="AA640" s="36">
        <f>IF(ISBLANK(Z641),"",Long6[[#This Row],[Adj Close]]/Z641-1)</f>
        <v>0.15644368177595602</v>
      </c>
      <c r="AH640" s="29">
        <v>40616</v>
      </c>
      <c r="AI640" s="44">
        <v>24.235866999999999</v>
      </c>
      <c r="AJ640" s="33">
        <f>IF(ISBLANK(AI641),"",Short0[[#This Row],[Adj Close]]/AI641-1)</f>
        <v>-9.28606815604619E-2</v>
      </c>
      <c r="AK640" s="37">
        <v>40616</v>
      </c>
      <c r="AL640" s="39">
        <v>21.610251999999999</v>
      </c>
      <c r="AM640" s="36">
        <f>IF(ISBLANK(AL641),"",Short1[[#This Row],[Adj Close]]/AL641-1)</f>
        <v>3.1721860064704011E-4</v>
      </c>
      <c r="AN640" s="29">
        <v>40616</v>
      </c>
      <c r="AO640" s="44">
        <v>17.800274000000002</v>
      </c>
      <c r="AP640" s="33">
        <f>IF(ISBLANK(AO641),"",Short2[[#This Row],[Adj Close]]/AO641-1)</f>
        <v>-5.0580282588233993E-3</v>
      </c>
    </row>
    <row r="641" spans="1:42" x14ac:dyDescent="0.25">
      <c r="A641" s="37">
        <v>40609</v>
      </c>
      <c r="B641" s="39">
        <v>1304.280029</v>
      </c>
      <c r="C641" s="36">
        <f>IF(ISBLANK(B642), "", GSPC[[#This Row],[Adj Close]]/B642-1)</f>
        <v>-1.2769174350785173E-2</v>
      </c>
      <c r="D64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4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41" s="11" t="e">
        <f>IF(ISBLANK(GSPC[[#This Row],[Long Exp.]]), "", (GSPC[[#This Row],[Long Exp.]]/D642-1)+(E642/GSPC[[#This Row],[Short Exp.]]-1))</f>
        <v>#VALUE!</v>
      </c>
      <c r="G641" s="37">
        <v>40609</v>
      </c>
      <c r="H641">
        <v>20.465489999999999</v>
      </c>
      <c r="I641" s="36">
        <f>IF(ISBLANK(H642), "", Long0[[#This Row],[Adj Close]]/H642-1)</f>
        <v>-1.7150257342946063E-2</v>
      </c>
      <c r="J641" s="29">
        <v>40609</v>
      </c>
      <c r="K641">
        <v>3.0020120000000001</v>
      </c>
      <c r="L641" s="33">
        <f>IF(ISBLANK(K642),"",Long1[[#This Row],[Adj Close]]/K642-1)</f>
        <v>-3.9823190000383812E-2</v>
      </c>
      <c r="M641" s="37">
        <v>40609</v>
      </c>
      <c r="N641">
        <v>62.724074999999999</v>
      </c>
      <c r="O641" s="36">
        <f>IF(ISBLANK(N642),"",Long2[[#This Row],[Adj Close]]/N642-1)</f>
        <v>-0.1078360812197614</v>
      </c>
      <c r="P641" s="29">
        <v>40609</v>
      </c>
      <c r="Q641">
        <v>13.041948</v>
      </c>
      <c r="R641" s="33">
        <f>IF(ISBLANK(Q642),"",Long3[[#This Row],[Adj Close]]/Q642-1)</f>
        <v>-1.1737726179938957E-2</v>
      </c>
      <c r="S641" s="37">
        <v>40609</v>
      </c>
      <c r="T641" s="35">
        <v>16.097377999999999</v>
      </c>
      <c r="U641" s="36">
        <f>IF(ISBLANK(T642),"",Long4[[#This Row],[Adj Close]]/T642-1)</f>
        <v>-9.4918432402025132E-2</v>
      </c>
      <c r="Y641" s="37">
        <v>40609</v>
      </c>
      <c r="Z641" s="35">
        <v>39.243496</v>
      </c>
      <c r="AA641" s="36">
        <f>IF(ISBLANK(Z642),"",Long6[[#This Row],[Adj Close]]/Z642-1)</f>
        <v>-3.6602717662666762E-2</v>
      </c>
      <c r="AH641" s="29">
        <v>40609</v>
      </c>
      <c r="AI641" s="44">
        <v>26.716808</v>
      </c>
      <c r="AJ641" s="33">
        <f>IF(ISBLANK(AI642),"",Short0[[#This Row],[Adj Close]]/AI642-1)</f>
        <v>-8.2245410584341871E-2</v>
      </c>
      <c r="AK641" s="37">
        <v>40609</v>
      </c>
      <c r="AL641" s="39">
        <v>21.603399</v>
      </c>
      <c r="AM641" s="36">
        <f>IF(ISBLANK(AL642),"",Short1[[#This Row],[Adj Close]]/AL642-1)</f>
        <v>-3.5790941663550568E-2</v>
      </c>
      <c r="AN641" s="29">
        <v>40609</v>
      </c>
      <c r="AO641" s="44">
        <v>17.890765999999999</v>
      </c>
      <c r="AP641" s="33">
        <f>IF(ISBLANK(AO642),"",Short2[[#This Row],[Adj Close]]/AO642-1)</f>
        <v>-1.0107283727106564E-3</v>
      </c>
    </row>
    <row r="642" spans="1:42" x14ac:dyDescent="0.25">
      <c r="A642" s="37">
        <v>40602</v>
      </c>
      <c r="B642" s="39">
        <v>1321.150024</v>
      </c>
      <c r="C642" s="36">
        <f>IF(ISBLANK(B643), "", GSPC[[#This Row],[Adj Close]]/B643-1)</f>
        <v>9.6222307724103118E-4</v>
      </c>
      <c r="D64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4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42" s="11" t="e">
        <f>IF(ISBLANK(GSPC[[#This Row],[Long Exp.]]), "", (GSPC[[#This Row],[Long Exp.]]/D643-1)+(E643/GSPC[[#This Row],[Short Exp.]]-1))</f>
        <v>#VALUE!</v>
      </c>
      <c r="G642" s="37">
        <v>40602</v>
      </c>
      <c r="H642">
        <v>20.822603000000001</v>
      </c>
      <c r="I642" s="36">
        <f>IF(ISBLANK(H643), "", Long0[[#This Row],[Adj Close]]/H643-1)</f>
        <v>5.7493463325724026E-3</v>
      </c>
      <c r="J642" s="29">
        <v>40602</v>
      </c>
      <c r="K642">
        <v>3.1265200000000002</v>
      </c>
      <c r="L642" s="33">
        <f>IF(ISBLANK(K643),"",Long1[[#This Row],[Adj Close]]/K643-1)</f>
        <v>2.7272742207612E-2</v>
      </c>
      <c r="M642" s="37">
        <v>40602</v>
      </c>
      <c r="N642">
        <v>70.305549999999997</v>
      </c>
      <c r="O642" s="36">
        <f>IF(ISBLANK(N643),"",Long2[[#This Row],[Adj Close]]/N643-1)</f>
        <v>6.7110970669532755E-3</v>
      </c>
      <c r="P642" s="29">
        <v>40602</v>
      </c>
      <c r="Q642">
        <v>13.196849</v>
      </c>
      <c r="R642" s="33">
        <f>IF(ISBLANK(Q643),"",Long3[[#This Row],[Adj Close]]/Q643-1)</f>
        <v>3.0230189641965888E-2</v>
      </c>
      <c r="S642" s="37">
        <v>40602</v>
      </c>
      <c r="T642" s="35">
        <v>17.785554999999999</v>
      </c>
      <c r="U642" s="36">
        <f>IF(ISBLANK(T643),"",Long4[[#This Row],[Adj Close]]/T643-1)</f>
        <v>-8.5488970215071292E-2</v>
      </c>
      <c r="Y642" s="37">
        <v>40602</v>
      </c>
      <c r="Z642" s="35">
        <v>40.734489000000004</v>
      </c>
      <c r="AA642" s="36">
        <f>IF(ISBLANK(Z643),"",Long6[[#This Row],[Adj Close]]/Z643-1)</f>
        <v>-4.2873745550738862E-3</v>
      </c>
      <c r="AH642" s="29">
        <v>40602</v>
      </c>
      <c r="AI642" s="44">
        <v>29.111059000000001</v>
      </c>
      <c r="AJ642" s="33">
        <f>IF(ISBLANK(AI643),"",Short0[[#This Row],[Adj Close]]/AI643-1)</f>
        <v>-5.10868002011583E-2</v>
      </c>
      <c r="AK642" s="37">
        <v>40602</v>
      </c>
      <c r="AL642" s="39">
        <v>22.405306</v>
      </c>
      <c r="AM642" s="36">
        <f>IF(ISBLANK(AL643),"",Short1[[#This Row],[Adj Close]]/AL643-1)</f>
        <v>9.8857017011912962E-3</v>
      </c>
      <c r="AN642" s="29">
        <v>40602</v>
      </c>
      <c r="AO642" s="44">
        <v>17.908867000000001</v>
      </c>
      <c r="AP642" s="33">
        <f>IF(ISBLANK(AO643),"",Short2[[#This Row],[Adj Close]]/AO643-1)</f>
        <v>-2.6082836269707865E-2</v>
      </c>
    </row>
    <row r="643" spans="1:42" x14ac:dyDescent="0.25">
      <c r="A643" s="37">
        <v>40595</v>
      </c>
      <c r="B643" s="39">
        <v>1319.880005</v>
      </c>
      <c r="C643" s="36">
        <f>IF(ISBLANK(B644), "", GSPC[[#This Row],[Adj Close]]/B644-1)</f>
        <v>-1.7222511245467143E-2</v>
      </c>
      <c r="D64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4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43" s="11" t="e">
        <f>IF(ISBLANK(GSPC[[#This Row],[Long Exp.]]), "", (GSPC[[#This Row],[Long Exp.]]/D644-1)+(E644/GSPC[[#This Row],[Short Exp.]]-1))</f>
        <v>#VALUE!</v>
      </c>
      <c r="G643" s="37">
        <v>40595</v>
      </c>
      <c r="H643">
        <v>20.703571</v>
      </c>
      <c r="I643" s="36">
        <f>IF(ISBLANK(H644), "", Long0[[#This Row],[Adj Close]]/H644-1)</f>
        <v>-3.1276601668116077E-2</v>
      </c>
      <c r="J643" s="29">
        <v>40595</v>
      </c>
      <c r="K643">
        <v>3.0435150000000002</v>
      </c>
      <c r="L643" s="33">
        <f>IF(ISBLANK(K644),"",Long1[[#This Row],[Adj Close]]/K644-1)</f>
        <v>-3.5087635866980604E-2</v>
      </c>
      <c r="M643" s="37">
        <v>40595</v>
      </c>
      <c r="N643">
        <v>69.836867999999996</v>
      </c>
      <c r="O643" s="36">
        <f>IF(ISBLANK(N644),"",Long2[[#This Row],[Adj Close]]/N644-1)</f>
        <v>2.300689536691114E-2</v>
      </c>
      <c r="P643" s="29">
        <v>40595</v>
      </c>
      <c r="Q643">
        <v>12.809612</v>
      </c>
      <c r="R643" s="33">
        <f>IF(ISBLANK(Q644),"",Long3[[#This Row],[Adj Close]]/Q644-1)</f>
        <v>-8.7893105096741309E-3</v>
      </c>
      <c r="S643" s="37">
        <v>40595</v>
      </c>
      <c r="T643" s="35">
        <v>19.448157999999999</v>
      </c>
      <c r="U643" s="36">
        <f>IF(ISBLANK(T644),"",Long4[[#This Row],[Adj Close]]/T644-1)</f>
        <v>1.4679869223811703E-2</v>
      </c>
      <c r="Y643" s="37">
        <v>40595</v>
      </c>
      <c r="Z643" s="35">
        <v>40.909885000000003</v>
      </c>
      <c r="AA643" s="36">
        <f>IF(ISBLANK(Z644),"",Long6[[#This Row],[Adj Close]]/Z644-1)</f>
        <v>2.8663771542720706E-3</v>
      </c>
      <c r="AH643" s="29">
        <v>40595</v>
      </c>
      <c r="AI643" s="44">
        <v>30.678315999999999</v>
      </c>
      <c r="AJ643" s="33">
        <f>IF(ISBLANK(AI644),"",Short0[[#This Row],[Adj Close]]/AI644-1)</f>
        <v>-3.6850859376807654E-2</v>
      </c>
      <c r="AK643" s="37">
        <v>40595</v>
      </c>
      <c r="AL643" s="39">
        <v>22.185981999999999</v>
      </c>
      <c r="AM643" s="36">
        <f>IF(ISBLANK(AL644),"",Short1[[#This Row],[Adj Close]]/AL644-1)</f>
        <v>-2.0278520037342984E-2</v>
      </c>
      <c r="AN643" s="29">
        <v>40595</v>
      </c>
      <c r="AO643" s="44">
        <v>18.388490999999998</v>
      </c>
      <c r="AP643" s="33">
        <f>IF(ISBLANK(AO644),"",Short2[[#This Row],[Adj Close]]/AO644-1)</f>
        <v>-3.4679225510875877E-2</v>
      </c>
    </row>
    <row r="644" spans="1:42" x14ac:dyDescent="0.25">
      <c r="A644" s="37">
        <v>40588</v>
      </c>
      <c r="B644" s="39">
        <v>1343.01001</v>
      </c>
      <c r="C644" s="36">
        <f>IF(ISBLANK(B645), "", GSPC[[#This Row],[Adj Close]]/B645-1)</f>
        <v>1.0427706240631274E-2</v>
      </c>
      <c r="D64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4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44" s="11" t="e">
        <f>IF(ISBLANK(GSPC[[#This Row],[Long Exp.]]), "", (GSPC[[#This Row],[Long Exp.]]/D645-1)+(E645/GSPC[[#This Row],[Short Exp.]]-1))</f>
        <v>#VALUE!</v>
      </c>
      <c r="G644" s="37">
        <v>40588</v>
      </c>
      <c r="H644">
        <v>21.372015000000001</v>
      </c>
      <c r="I644" s="36">
        <f>IF(ISBLANK(H645), "", Long0[[#This Row],[Adj Close]]/H645-1)</f>
        <v>-4.2836749750041481E-4</v>
      </c>
      <c r="J644" s="29">
        <v>40588</v>
      </c>
      <c r="K644">
        <v>3.154188</v>
      </c>
      <c r="L644" s="33">
        <f>IF(ISBLANK(K645),"",Long1[[#This Row],[Adj Close]]/K645-1)</f>
        <v>-0.15241624899096795</v>
      </c>
      <c r="M644" s="37">
        <v>40588</v>
      </c>
      <c r="N644">
        <v>68.266272999999998</v>
      </c>
      <c r="O644" s="36">
        <f>IF(ISBLANK(N645),"",Long2[[#This Row],[Adj Close]]/N645-1)</f>
        <v>-6.0009582174374354E-2</v>
      </c>
      <c r="P644" s="29">
        <v>40588</v>
      </c>
      <c r="Q644">
        <v>12.923197999999999</v>
      </c>
      <c r="R644" s="33">
        <f>IF(ISBLANK(Q645),"",Long3[[#This Row],[Adj Close]]/Q645-1)</f>
        <v>1.131310456393142E-2</v>
      </c>
      <c r="S644" s="37">
        <v>40588</v>
      </c>
      <c r="T644" s="35">
        <v>19.166792000000001</v>
      </c>
      <c r="U644" s="36">
        <f>IF(ISBLANK(T645),"",Long4[[#This Row],[Adj Close]]/T645-1)</f>
        <v>-1.7053161400473638E-2</v>
      </c>
      <c r="Y644" s="37">
        <v>40588</v>
      </c>
      <c r="Z644" s="35">
        <v>40.792957000000001</v>
      </c>
      <c r="AA644" s="36">
        <f>IF(ISBLANK(Z645),"",Long6[[#This Row],[Adj Close]]/Z645-1)</f>
        <v>3.434632846221719E-2</v>
      </c>
      <c r="AH644" s="29">
        <v>40588</v>
      </c>
      <c r="AI644" s="44">
        <v>31.852093</v>
      </c>
      <c r="AJ644" s="33">
        <f>IF(ISBLANK(AI645),"",Short0[[#This Row],[Adj Close]]/AI645-1)</f>
        <v>1.1435584011209921E-2</v>
      </c>
      <c r="AK644" s="37">
        <v>40588</v>
      </c>
      <c r="AL644" s="39">
        <v>22.645192999999999</v>
      </c>
      <c r="AM644" s="36">
        <f>IF(ISBLANK(AL645),"",Short1[[#This Row],[Adj Close]]/AL645-1)</f>
        <v>-1.6666375005465972E-2</v>
      </c>
      <c r="AN644" s="29">
        <v>40588</v>
      </c>
      <c r="AO644" s="44">
        <v>19.049098999999998</v>
      </c>
      <c r="AP644" s="33">
        <f>IF(ISBLANK(AO645),"",Short2[[#This Row],[Adj Close]]/AO645-1)</f>
        <v>6.6949171128525276E-3</v>
      </c>
    </row>
    <row r="645" spans="1:42" x14ac:dyDescent="0.25">
      <c r="A645" s="37">
        <v>40581</v>
      </c>
      <c r="B645" s="39">
        <v>1329.150024</v>
      </c>
      <c r="C645" s="36">
        <f>IF(ISBLANK(B646), "", GSPC[[#This Row],[Adj Close]]/B646-1)</f>
        <v>1.3944959507597776E-2</v>
      </c>
      <c r="D64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4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45" s="11" t="e">
        <f>IF(ISBLANK(GSPC[[#This Row],[Long Exp.]]), "", (GSPC[[#This Row],[Long Exp.]]/D646-1)+(E646/GSPC[[#This Row],[Short Exp.]]-1))</f>
        <v>#VALUE!</v>
      </c>
      <c r="G645" s="37">
        <v>40581</v>
      </c>
      <c r="H645">
        <v>21.381174000000001</v>
      </c>
      <c r="I645" s="36">
        <f>IF(ISBLANK(H646), "", Long0[[#This Row],[Adj Close]]/H646-1)</f>
        <v>8.6394804348366439E-3</v>
      </c>
      <c r="J645" s="29">
        <v>40581</v>
      </c>
      <c r="K645">
        <v>3.7213880000000001</v>
      </c>
      <c r="L645" s="33">
        <f>IF(ISBLANK(K646),"",Long1[[#This Row],[Adj Close]]/K646-1)</f>
        <v>-8.1911320054630532E-2</v>
      </c>
      <c r="M645" s="37">
        <v>40581</v>
      </c>
      <c r="N645">
        <v>72.624435000000005</v>
      </c>
      <c r="O645" s="36">
        <f>IF(ISBLANK(N646),"",Long2[[#This Row],[Adj Close]]/N646-1)</f>
        <v>7.0817371395307749E-2</v>
      </c>
      <c r="P645" s="29">
        <v>40581</v>
      </c>
      <c r="Q645">
        <v>12.778632</v>
      </c>
      <c r="R645" s="33">
        <f>IF(ISBLANK(Q646),"",Long3[[#This Row],[Adj Close]]/Q646-1)</f>
        <v>-1.3157836817369817E-2</v>
      </c>
      <c r="S645" s="37">
        <v>40581</v>
      </c>
      <c r="T645" s="35">
        <v>19.499317000000001</v>
      </c>
      <c r="U645" s="36">
        <f>IF(ISBLANK(T646),"",Long4[[#This Row],[Adj Close]]/T646-1)</f>
        <v>2.4182962250970386E-2</v>
      </c>
      <c r="Y645" s="37">
        <v>40581</v>
      </c>
      <c r="Z645" s="35">
        <v>39.438392999999998</v>
      </c>
      <c r="AA645" s="36">
        <f>IF(ISBLANK(Z646),"",Long6[[#This Row],[Adj Close]]/Z646-1)</f>
        <v>8.4695895974965296E-2</v>
      </c>
      <c r="AH645" s="29">
        <v>40581</v>
      </c>
      <c r="AI645" s="44">
        <v>31.491963999999999</v>
      </c>
      <c r="AJ645" s="33">
        <f>IF(ISBLANK(AI646),"",Short0[[#This Row],[Adj Close]]/AI646-1)</f>
        <v>2.5853111100520687E-2</v>
      </c>
      <c r="AK645" s="37">
        <v>40581</v>
      </c>
      <c r="AL645" s="39">
        <v>23.029002999999999</v>
      </c>
      <c r="AM645" s="36">
        <f>IF(ISBLANK(AL646),"",Short1[[#This Row],[Adj Close]]/AL646-1)</f>
        <v>-4.6538274844363348E-2</v>
      </c>
      <c r="AN645" s="29">
        <v>40581</v>
      </c>
      <c r="AO645" s="44">
        <v>18.922415000000001</v>
      </c>
      <c r="AP645" s="33">
        <f>IF(ISBLANK(AO646),"",Short2[[#This Row],[Adj Close]]/AO646-1)</f>
        <v>7.1209650072773023E-2</v>
      </c>
    </row>
    <row r="646" spans="1:42" x14ac:dyDescent="0.25">
      <c r="A646" s="37">
        <v>40574</v>
      </c>
      <c r="B646" s="39">
        <v>1310.869995</v>
      </c>
      <c r="C646" s="36">
        <f>IF(ISBLANK(B647), "", GSPC[[#This Row],[Adj Close]]/B647-1)</f>
        <v>2.7053943243833256E-2</v>
      </c>
      <c r="D64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4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46" s="11" t="e">
        <f>IF(ISBLANK(GSPC[[#This Row],[Long Exp.]]), "", (GSPC[[#This Row],[Long Exp.]]/D647-1)+(E647/GSPC[[#This Row],[Short Exp.]]-1))</f>
        <v>#VALUE!</v>
      </c>
      <c r="G646" s="37">
        <v>40574</v>
      </c>
      <c r="H646">
        <v>21.198034</v>
      </c>
      <c r="I646" s="36">
        <f>IF(ISBLANK(H647), "", Long0[[#This Row],[Adj Close]]/H647-1)</f>
        <v>1.0475744164044842E-2</v>
      </c>
      <c r="J646" s="29">
        <v>40574</v>
      </c>
      <c r="K646">
        <v>4.0534080000000001</v>
      </c>
      <c r="L646" s="33">
        <f>IF(ISBLANK(K647),"",Long1[[#This Row],[Adj Close]]/K647-1)</f>
        <v>3.4246185365089943E-3</v>
      </c>
      <c r="M646" s="37">
        <v>40574</v>
      </c>
      <c r="N646">
        <v>67.821494999999999</v>
      </c>
      <c r="O646" s="36">
        <f>IF(ISBLANK(N647),"",Long2[[#This Row],[Adj Close]]/N647-1)</f>
        <v>3.4469559665362137E-2</v>
      </c>
      <c r="P646" s="29">
        <v>40574</v>
      </c>
      <c r="Q646">
        <v>12.949013000000001</v>
      </c>
      <c r="R646" s="33">
        <f>IF(ISBLANK(Q647),"",Long3[[#This Row],[Adj Close]]/Q647-1)</f>
        <v>-1.298673086273594E-2</v>
      </c>
      <c r="S646" s="37">
        <v>40574</v>
      </c>
      <c r="T646" s="35">
        <v>19.038900000000002</v>
      </c>
      <c r="U646" s="36">
        <f>IF(ISBLANK(T647),"",Long4[[#This Row],[Adj Close]]/T647-1)</f>
        <v>4.1510930178248362E-2</v>
      </c>
      <c r="Y646" s="37">
        <v>40574</v>
      </c>
      <c r="Z646" s="35">
        <v>36.358939999999997</v>
      </c>
      <c r="AA646" s="36">
        <f>IF(ISBLANK(Z647),"",Long6[[#This Row],[Adj Close]]/Z647-1)</f>
        <v>0.11140924809933095</v>
      </c>
      <c r="AH646" s="29">
        <v>40574</v>
      </c>
      <c r="AI646" s="44">
        <v>30.698316999999999</v>
      </c>
      <c r="AJ646" s="33">
        <f>IF(ISBLANK(AI647),"",Short0[[#This Row],[Adj Close]]/AI647-1)</f>
        <v>9.4295755865640984E-3</v>
      </c>
      <c r="AK646" s="37">
        <v>40574</v>
      </c>
      <c r="AL646" s="39">
        <v>24.153044000000001</v>
      </c>
      <c r="AM646" s="36">
        <f>IF(ISBLANK(AL647),"",Short1[[#This Row],[Adj Close]]/AL647-1)</f>
        <v>3.312809255079352E-2</v>
      </c>
      <c r="AN646" s="29">
        <v>40574</v>
      </c>
      <c r="AO646" s="44">
        <v>17.664529999999999</v>
      </c>
      <c r="AP646" s="33">
        <f>IF(ISBLANK(AO647),"",Short2[[#This Row],[Adj Close]]/AO647-1)</f>
        <v>-7.1213188387737603E-3</v>
      </c>
    </row>
    <row r="647" spans="1:42" x14ac:dyDescent="0.25">
      <c r="A647" s="37">
        <v>40567</v>
      </c>
      <c r="B647" s="39">
        <v>1276.339966</v>
      </c>
      <c r="C647" s="36">
        <f>IF(ISBLANK(B648), "", GSPC[[#This Row],[Adj Close]]/B648-1)</f>
        <v>-5.4622746180656989E-3</v>
      </c>
      <c r="D64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4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47" s="11" t="e">
        <f>IF(ISBLANK(GSPC[[#This Row],[Long Exp.]]), "", (GSPC[[#This Row],[Long Exp.]]/D648-1)+(E648/GSPC[[#This Row],[Short Exp.]]-1))</f>
        <v>#VALUE!</v>
      </c>
      <c r="G647" s="37">
        <v>40567</v>
      </c>
      <c r="H647">
        <v>20.978270999999999</v>
      </c>
      <c r="I647" s="36">
        <f>IF(ISBLANK(H648), "", Long0[[#This Row],[Adj Close]]/H648-1)</f>
        <v>-4.3460223548911214E-3</v>
      </c>
      <c r="J647" s="29">
        <v>40567</v>
      </c>
      <c r="K647">
        <v>4.039574</v>
      </c>
      <c r="L647" s="33">
        <f>IF(ISBLANK(K648),"",Long1[[#This Row],[Adj Close]]/K648-1)</f>
        <v>3.1802010029458039E-2</v>
      </c>
      <c r="M647" s="37">
        <v>40567</v>
      </c>
      <c r="N647">
        <v>65.561615000000003</v>
      </c>
      <c r="O647" s="36">
        <f>IF(ISBLANK(N648),"",Long2[[#This Row],[Adj Close]]/N648-1)</f>
        <v>8.9890946928156801E-2</v>
      </c>
      <c r="P647" s="29">
        <v>40567</v>
      </c>
      <c r="Q647">
        <v>13.119391</v>
      </c>
      <c r="R647" s="33">
        <f>IF(ISBLANK(Q648),"",Long3[[#This Row],[Adj Close]]/Q648-1)</f>
        <v>-1.6260720406519047E-2</v>
      </c>
      <c r="S647" s="37">
        <v>40567</v>
      </c>
      <c r="T647" s="35">
        <v>18.280076999999999</v>
      </c>
      <c r="U647" s="36">
        <f>IF(ISBLANK(T648),"",Long4[[#This Row],[Adj Close]]/T648-1)</f>
        <v>7.0394665381573907E-2</v>
      </c>
      <c r="Y647" s="37">
        <v>40567</v>
      </c>
      <c r="Z647" s="35">
        <v>32.714267999999997</v>
      </c>
      <c r="AA647" s="36">
        <f>IF(ISBLANK(Z648),"",Long6[[#This Row],[Adj Close]]/Z648-1)</f>
        <v>2.2540465564980128E-2</v>
      </c>
      <c r="AH647" s="29">
        <v>40567</v>
      </c>
      <c r="AI647" s="44">
        <v>30.411549000000001</v>
      </c>
      <c r="AJ647" s="33">
        <f>IF(ISBLANK(AI648),"",Short0[[#This Row],[Adj Close]]/AI648-1)</f>
        <v>5.7345777747088711E-3</v>
      </c>
      <c r="AK647" s="37">
        <v>40567</v>
      </c>
      <c r="AL647" s="39">
        <v>23.378557000000001</v>
      </c>
      <c r="AM647" s="36">
        <f>IF(ISBLANK(AL648),"",Short1[[#This Row],[Adj Close]]/AL648-1)</f>
        <v>-2.8481744884669702E-2</v>
      </c>
      <c r="AN647" s="29">
        <v>40567</v>
      </c>
      <c r="AO647" s="44">
        <v>17.791226999999999</v>
      </c>
      <c r="AP647" s="33">
        <f>IF(ISBLANK(AO648),"",Short2[[#This Row],[Adj Close]]/AO648-1)</f>
        <v>1.1794871969857734E-2</v>
      </c>
    </row>
    <row r="648" spans="1:42" x14ac:dyDescent="0.25">
      <c r="A648" s="37">
        <v>40560</v>
      </c>
      <c r="B648" s="39">
        <v>1283.349976</v>
      </c>
      <c r="C648" s="36">
        <f>IF(ISBLANK(B649), "", GSPC[[#This Row],[Adj Close]]/B649-1)</f>
        <v>-7.6474699796439394E-3</v>
      </c>
      <c r="D64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4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48" s="11" t="e">
        <f>IF(ISBLANK(GSPC[[#This Row],[Long Exp.]]), "", (GSPC[[#This Row],[Long Exp.]]/D649-1)+(E649/GSPC[[#This Row],[Short Exp.]]-1))</f>
        <v>#VALUE!</v>
      </c>
      <c r="G648" s="37">
        <v>40560</v>
      </c>
      <c r="H648">
        <v>21.069841</v>
      </c>
      <c r="I648" s="36">
        <f>IF(ISBLANK(H649), "", Long0[[#This Row],[Adj Close]]/H649-1)</f>
        <v>9.2104198050058095E-3</v>
      </c>
      <c r="J648" s="29">
        <v>40560</v>
      </c>
      <c r="K648">
        <v>3.9150670000000001</v>
      </c>
      <c r="L648" s="33">
        <f>IF(ISBLANK(K649),"",Long1[[#This Row],[Adj Close]]/K649-1)</f>
        <v>4.8148129308477783E-2</v>
      </c>
      <c r="M648" s="37">
        <v>40560</v>
      </c>
      <c r="N648">
        <v>60.154288999999999</v>
      </c>
      <c r="O648" s="36">
        <f>IF(ISBLANK(N649),"",Long2[[#This Row],[Adj Close]]/N649-1)</f>
        <v>-0.11775374559430818</v>
      </c>
      <c r="P648" s="29">
        <v>40560</v>
      </c>
      <c r="Q648">
        <v>13.336247999999999</v>
      </c>
      <c r="R648" s="33">
        <f>IF(ISBLANK(Q649),"",Long3[[#This Row],[Adj Close]]/Q649-1)</f>
        <v>7.0178840513259733E-3</v>
      </c>
      <c r="S648" s="37">
        <v>40560</v>
      </c>
      <c r="T648" s="35">
        <v>17.077884999999998</v>
      </c>
      <c r="U648" s="36">
        <f>IF(ISBLANK(T649),"",Long4[[#This Row],[Adj Close]]/T649-1)</f>
        <v>-5.2954968975443273E-2</v>
      </c>
      <c r="Y648" s="37">
        <v>40560</v>
      </c>
      <c r="Z648" s="35">
        <v>31.993127999999999</v>
      </c>
      <c r="AA648" s="36">
        <f>IF(ISBLANK(Z649),"",Long6[[#This Row],[Adj Close]]/Z649-1)</f>
        <v>-0.12336472060331816</v>
      </c>
      <c r="AH648" s="29">
        <v>40560</v>
      </c>
      <c r="AI648" s="44">
        <v>30.238146</v>
      </c>
      <c r="AJ648" s="33">
        <f>IF(ISBLANK(AI649),"",Short0[[#This Row],[Adj Close]]/AI649-1)</f>
        <v>-5.6791966519052606E-2</v>
      </c>
      <c r="AK648" s="37">
        <v>40560</v>
      </c>
      <c r="AL648" s="39">
        <v>24.063939999999999</v>
      </c>
      <c r="AM648" s="36">
        <f>IF(ISBLANK(AL649),"",Short1[[#This Row],[Adj Close]]/AL649-1)</f>
        <v>-1.4317823000138397E-2</v>
      </c>
      <c r="AN648" s="29">
        <v>40560</v>
      </c>
      <c r="AO648" s="44">
        <v>17.583828</v>
      </c>
      <c r="AP648" s="33">
        <f>IF(ISBLANK(AO649),"",Short2[[#This Row],[Adj Close]]/AO649-1)</f>
        <v>-5.6229195135539589E-2</v>
      </c>
    </row>
    <row r="649" spans="1:42" x14ac:dyDescent="0.25">
      <c r="A649" s="37">
        <v>40553</v>
      </c>
      <c r="B649" s="39">
        <v>1293.23999</v>
      </c>
      <c r="C649" s="36">
        <f>IF(ISBLANK(B650), "", GSPC[[#This Row],[Adj Close]]/B650-1)</f>
        <v>1.7097907982697613E-2</v>
      </c>
      <c r="D64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4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49" s="11" t="e">
        <f>IF(ISBLANK(GSPC[[#This Row],[Long Exp.]]), "", (GSPC[[#This Row],[Long Exp.]]/D650-1)+(E650/GSPC[[#This Row],[Short Exp.]]-1))</f>
        <v>#VALUE!</v>
      </c>
      <c r="G649" s="37">
        <v>40553</v>
      </c>
      <c r="H649">
        <v>20.877549999999999</v>
      </c>
      <c r="I649" s="36">
        <f>IF(ISBLANK(H650), "", Long0[[#This Row],[Adj Close]]/H650-1)</f>
        <v>2.1505657814062884E-2</v>
      </c>
      <c r="J649" s="29">
        <v>40553</v>
      </c>
      <c r="K649">
        <v>3.735223</v>
      </c>
      <c r="L649" s="33">
        <f>IF(ISBLANK(K650),"",Long1[[#This Row],[Adj Close]]/K650-1)</f>
        <v>2.2727285173010037E-2</v>
      </c>
      <c r="M649" s="37">
        <v>40553</v>
      </c>
      <c r="N649">
        <v>68.183104999999998</v>
      </c>
      <c r="O649" s="36">
        <f>IF(ISBLANK(N650),"",Long2[[#This Row],[Adj Close]]/N650-1)</f>
        <v>8.7560782117422908E-2</v>
      </c>
      <c r="P649" s="29">
        <v>40553</v>
      </c>
      <c r="Q649">
        <v>13.243308000000001</v>
      </c>
      <c r="R649" s="33">
        <f>IF(ISBLANK(Q650),"",Long3[[#This Row],[Adj Close]]/Q650-1)</f>
        <v>-2.8040914247063564E-2</v>
      </c>
      <c r="S649" s="37">
        <v>40553</v>
      </c>
      <c r="T649" s="35">
        <v>18.032812</v>
      </c>
      <c r="U649" s="36">
        <f>IF(ISBLANK(T650),"",Long4[[#This Row],[Adj Close]]/T650-1)</f>
        <v>2.075303751206059E-2</v>
      </c>
      <c r="Y649" s="37">
        <v>40553</v>
      </c>
      <c r="Z649" s="35">
        <v>36.495368999999997</v>
      </c>
      <c r="AA649" s="36">
        <f>IF(ISBLANK(Z650),"",Long6[[#This Row],[Adj Close]]/Z650-1)</f>
        <v>8.2683040335476132E-2</v>
      </c>
      <c r="AH649" s="29">
        <v>40553</v>
      </c>
      <c r="AI649" s="44">
        <v>32.05883</v>
      </c>
      <c r="AJ649" s="33">
        <f>IF(ISBLANK(AI650),"",Short0[[#This Row],[Adj Close]]/AI650-1)</f>
        <v>-3.6480405560979312E-2</v>
      </c>
      <c r="AK649" s="37">
        <v>40553</v>
      </c>
      <c r="AL649" s="39">
        <v>24.413488000000001</v>
      </c>
      <c r="AM649" s="36">
        <f>IF(ISBLANK(AL650),"",Short1[[#This Row],[Adj Close]]/AL650-1)</f>
        <v>7.0678139961930508E-3</v>
      </c>
      <c r="AN649" s="29">
        <v>40553</v>
      </c>
      <c r="AO649" s="44">
        <v>18.631460000000001</v>
      </c>
      <c r="AP649" s="33">
        <f>IF(ISBLANK(AO650),"",Short2[[#This Row],[Adj Close]]/AO650-1)</f>
        <v>6.2854442451883097E-2</v>
      </c>
    </row>
    <row r="650" spans="1:42" x14ac:dyDescent="0.25">
      <c r="A650" s="37">
        <v>40546</v>
      </c>
      <c r="B650" s="39">
        <v>1271.5</v>
      </c>
      <c r="C650" s="36">
        <f>IF(ISBLANK(B651), "", GSPC[[#This Row],[Adj Close]]/B651-1)</f>
        <v>1.1020629778546009E-2</v>
      </c>
      <c r="D65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5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50" s="11" t="e">
        <f>IF(ISBLANK(GSPC[[#This Row],[Long Exp.]]), "", (GSPC[[#This Row],[Long Exp.]]/D651-1)+(E651/GSPC[[#This Row],[Short Exp.]]-1))</f>
        <v>#VALUE!</v>
      </c>
      <c r="G650" s="37">
        <v>40546</v>
      </c>
      <c r="H650">
        <v>20.438016999999999</v>
      </c>
      <c r="I650" s="36">
        <f>IF(ISBLANK(H651), "", Long0[[#This Row],[Adj Close]]/H651-1)</f>
        <v>5.6317796443729584E-2</v>
      </c>
      <c r="J650" s="29">
        <v>40546</v>
      </c>
      <c r="K650">
        <v>3.652218</v>
      </c>
      <c r="L650" s="33">
        <f>IF(ISBLANK(K651),"",Long1[[#This Row],[Adj Close]]/K651-1)</f>
        <v>3.125021177204057E-2</v>
      </c>
      <c r="M650" s="37">
        <v>40546</v>
      </c>
      <c r="N650">
        <v>62.693604000000001</v>
      </c>
      <c r="O650" s="36">
        <f>IF(ISBLANK(N651),"",Long2[[#This Row],[Adj Close]]/N651-1)</f>
        <v>-9.1671657413527896E-4</v>
      </c>
      <c r="P650" s="29">
        <v>40546</v>
      </c>
      <c r="Q650">
        <v>13.625375999999999</v>
      </c>
      <c r="R650" s="33">
        <f>IF(ISBLANK(Q651),"",Long3[[#This Row],[Adj Close]]/Q651-1)</f>
        <v>2.6594578238245958E-3</v>
      </c>
      <c r="S650" s="37">
        <v>40546</v>
      </c>
      <c r="T650" s="35">
        <v>17.666184999999999</v>
      </c>
      <c r="U650" s="36">
        <f>IF(ISBLANK(T651),"",Long4[[#This Row],[Adj Close]]/T651-1)</f>
        <v>6.3134026770526042E-3</v>
      </c>
      <c r="Y650" s="37">
        <v>40546</v>
      </c>
      <c r="Z650" s="35">
        <v>33.708266999999999</v>
      </c>
      <c r="AA650" s="36">
        <f>IF(ISBLANK(Z651),"",Long6[[#This Row],[Adj Close]]/Z651-1)</f>
        <v>0.12854802806308574</v>
      </c>
      <c r="AH650" s="29">
        <v>40546</v>
      </c>
      <c r="AI650" s="44">
        <v>33.272629000000002</v>
      </c>
      <c r="AJ650" s="33">
        <f>IF(ISBLANK(AI651),"",Short0[[#This Row],[Adj Close]]/AI651-1)</f>
        <v>8.574498475704484E-2</v>
      </c>
      <c r="AK650" s="37">
        <v>40546</v>
      </c>
      <c r="AL650" s="39">
        <v>24.242149000000001</v>
      </c>
      <c r="AM650" s="36">
        <f>IF(ISBLANK(AL651),"",Short1[[#This Row],[Adj Close]]/AL651-1)</f>
        <v>3.6027039789100046E-2</v>
      </c>
      <c r="AN650" s="29">
        <v>40546</v>
      </c>
      <c r="AO650" s="44">
        <v>17.529644000000001</v>
      </c>
      <c r="AP650" s="33">
        <f>IF(ISBLANK(AO651),"",Short2[[#This Row],[Adj Close]]/AO651-1)</f>
        <v>3.5199994897712639E-2</v>
      </c>
    </row>
    <row r="651" spans="1:42" x14ac:dyDescent="0.25">
      <c r="A651" s="37">
        <v>40539</v>
      </c>
      <c r="B651" s="39">
        <v>1257.6400149999999</v>
      </c>
      <c r="C651" s="36">
        <f>IF(ISBLANK(B652), "", GSPC[[#This Row],[Adj Close]]/B652-1)</f>
        <v>6.9224678036161613E-4</v>
      </c>
      <c r="D65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5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51" s="11" t="e">
        <f>IF(ISBLANK(GSPC[[#This Row],[Long Exp.]]), "", (GSPC[[#This Row],[Long Exp.]]/D652-1)+(E652/GSPC[[#This Row],[Short Exp.]]-1))</f>
        <v>#VALUE!</v>
      </c>
      <c r="G651" s="37">
        <v>40539</v>
      </c>
      <c r="H651">
        <v>19.34836</v>
      </c>
      <c r="I651" s="36">
        <f>IF(ISBLANK(H652), "", Long0[[#This Row],[Adj Close]]/H652-1)</f>
        <v>-1.3077852365151577E-2</v>
      </c>
      <c r="J651" s="29">
        <v>40539</v>
      </c>
      <c r="K651">
        <v>3.541544</v>
      </c>
      <c r="L651" s="33">
        <f>IF(ISBLANK(K652),"",Long1[[#This Row],[Adj Close]]/K652-1)</f>
        <v>0.10344801800889525</v>
      </c>
      <c r="M651" s="37">
        <v>40539</v>
      </c>
      <c r="N651">
        <v>62.751128999999999</v>
      </c>
      <c r="O651" s="36">
        <f>IF(ISBLANK(N652),"",Long2[[#This Row],[Adj Close]]/N652-1)</f>
        <v>7.4736296999085239E-2</v>
      </c>
      <c r="P651" s="29">
        <v>40539</v>
      </c>
      <c r="Q651">
        <v>13.589236</v>
      </c>
      <c r="R651" s="33">
        <f>IF(ISBLANK(Q652),"",Long3[[#This Row],[Adj Close]]/Q652-1)</f>
        <v>-3.0305466898460365E-3</v>
      </c>
      <c r="S651" s="37">
        <v>40539</v>
      </c>
      <c r="T651" s="35">
        <v>17.555351000000002</v>
      </c>
      <c r="U651" s="36">
        <f>IF(ISBLANK(T652),"",Long4[[#This Row],[Adj Close]]/T652-1)</f>
        <v>9.3137298303709315E-3</v>
      </c>
      <c r="Y651" s="37">
        <v>40539</v>
      </c>
      <c r="Z651" s="35">
        <v>29.868704000000001</v>
      </c>
      <c r="AA651" s="36">
        <f>IF(ISBLANK(Z652),"",Long6[[#This Row],[Adj Close]]/Z652-1)</f>
        <v>3.2733591452587252E-3</v>
      </c>
      <c r="AH651" s="29">
        <v>40539</v>
      </c>
      <c r="AI651" s="44">
        <v>30.644976</v>
      </c>
      <c r="AJ651" s="33">
        <f>IF(ISBLANK(AI652),"",Short0[[#This Row],[Adj Close]]/AI652-1)</f>
        <v>3.0566001274172638E-3</v>
      </c>
      <c r="AK651" s="37">
        <v>40539</v>
      </c>
      <c r="AL651" s="39">
        <v>23.399146999999999</v>
      </c>
      <c r="AM651" s="36">
        <f>IF(ISBLANK(AL652),"",Short1[[#This Row],[Adj Close]]/AL652-1)</f>
        <v>-1.7465379606542708E-3</v>
      </c>
      <c r="AN651" s="29">
        <v>40539</v>
      </c>
      <c r="AO651" s="44">
        <v>16.933582000000001</v>
      </c>
      <c r="AP651" s="33">
        <f>IF(ISBLANK(AO652),"",Short2[[#This Row],[Adj Close]]/AO652-1)</f>
        <v>3.1920677016151089E-2</v>
      </c>
    </row>
    <row r="652" spans="1:42" x14ac:dyDescent="0.25">
      <c r="A652" s="37">
        <v>40532</v>
      </c>
      <c r="B652" s="39">
        <v>1256.7700199999999</v>
      </c>
      <c r="C652" s="36">
        <f>IF(ISBLANK(B653), "", GSPC[[#This Row],[Adj Close]]/B653-1)</f>
        <v>1.0338356994071818E-2</v>
      </c>
      <c r="D65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5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52" s="11" t="e">
        <f>IF(ISBLANK(GSPC[[#This Row],[Long Exp.]]), "", (GSPC[[#This Row],[Long Exp.]]/D653-1)+(E653/GSPC[[#This Row],[Short Exp.]]-1))</f>
        <v>#VALUE!</v>
      </c>
      <c r="G652" s="37">
        <v>40532</v>
      </c>
      <c r="H652">
        <v>19.604748000000001</v>
      </c>
      <c r="I652" s="36">
        <f>IF(ISBLANK(H653), "", Long0[[#This Row],[Adj Close]]/H653-1)</f>
        <v>4.6729899598352276E-4</v>
      </c>
      <c r="J652" s="29">
        <v>40532</v>
      </c>
      <c r="K652">
        <v>3.2095250000000002</v>
      </c>
      <c r="L652" s="33">
        <f>IF(ISBLANK(K653),"",Long1[[#This Row],[Adj Close]]/K653-1)</f>
        <v>2.6548686718780079E-2</v>
      </c>
      <c r="M652" s="37">
        <v>40532</v>
      </c>
      <c r="N652">
        <v>58.387466000000003</v>
      </c>
      <c r="O652" s="36">
        <f>IF(ISBLANK(N653),"",Long2[[#This Row],[Adj Close]]/N653-1)</f>
        <v>5.5249965389769118E-2</v>
      </c>
      <c r="P652" s="29">
        <v>40532</v>
      </c>
      <c r="Q652">
        <v>13.630544</v>
      </c>
      <c r="R652" s="33">
        <f>IF(ISBLANK(Q653),"",Long3[[#This Row],[Adj Close]]/Q653-1)</f>
        <v>1.4214659378105177E-2</v>
      </c>
      <c r="S652" s="37">
        <v>40532</v>
      </c>
      <c r="T652" s="35">
        <v>17.393353999999999</v>
      </c>
      <c r="U652" s="36">
        <f>IF(ISBLANK(T653),"",Long4[[#This Row],[Adj Close]]/T653-1)</f>
        <v>-2.0172829815433113E-2</v>
      </c>
      <c r="Y652" s="37">
        <v>40532</v>
      </c>
      <c r="Z652" s="35">
        <v>29.771252</v>
      </c>
      <c r="AA652" s="36">
        <f>IF(ISBLANK(Z653),"",Long6[[#This Row],[Adj Close]]/Z653-1)</f>
        <v>5.1273097506122856E-2</v>
      </c>
      <c r="AH652" s="29">
        <v>40532</v>
      </c>
      <c r="AI652" s="44">
        <v>30.551591999999999</v>
      </c>
      <c r="AJ652" s="33">
        <f>IF(ISBLANK(AI653),"",Short0[[#This Row],[Adj Close]]/AI653-1)</f>
        <v>9.4755573600711074E-3</v>
      </c>
      <c r="AK652" s="37">
        <v>40532</v>
      </c>
      <c r="AL652" s="39">
        <v>23.440086000000001</v>
      </c>
      <c r="AM652" s="36">
        <f>IF(ISBLANK(AL653),"",Short1[[#This Row],[Adj Close]]/AL653-1)</f>
        <v>2.3343528826584858E-3</v>
      </c>
      <c r="AN652" s="29">
        <v>40532</v>
      </c>
      <c r="AO652" s="44">
        <v>16.409770999999999</v>
      </c>
      <c r="AP652" s="33">
        <f>IF(ISBLANK(AO653),"",Short2[[#This Row],[Adj Close]]/AO653-1)</f>
        <v>4.9076026660839656E-2</v>
      </c>
    </row>
    <row r="653" spans="1:42" x14ac:dyDescent="0.25">
      <c r="A653" s="37">
        <v>40525</v>
      </c>
      <c r="B653" s="39">
        <v>1243.910034</v>
      </c>
      <c r="C653" s="36">
        <f>IF(ISBLANK(B654), "", GSPC[[#This Row],[Adj Close]]/B654-1)</f>
        <v>2.8297403515689101E-3</v>
      </c>
      <c r="D65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5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53" s="11" t="e">
        <f>IF(ISBLANK(GSPC[[#This Row],[Long Exp.]]), "", (GSPC[[#This Row],[Long Exp.]]/D654-1)+(E654/GSPC[[#This Row],[Short Exp.]]-1))</f>
        <v>#VALUE!</v>
      </c>
      <c r="G653" s="37">
        <v>40525</v>
      </c>
      <c r="H653">
        <v>19.595590999999999</v>
      </c>
      <c r="I653" s="36">
        <f>IF(ISBLANK(H654), "", Long0[[#This Row],[Adj Close]]/H654-1)</f>
        <v>6.2562175228814132E-2</v>
      </c>
      <c r="J653" s="29">
        <v>40525</v>
      </c>
      <c r="K653">
        <v>3.1265200000000002</v>
      </c>
      <c r="L653" s="33">
        <f>IF(ISBLANK(K654),"",Long1[[#This Row],[Adj Close]]/K654-1)</f>
        <v>5.1162878268283807E-2</v>
      </c>
      <c r="M653" s="37">
        <v>40525</v>
      </c>
      <c r="N653">
        <v>55.330460000000002</v>
      </c>
      <c r="O653" s="36">
        <f>IF(ISBLANK(N654),"",Long2[[#This Row],[Adj Close]]/N654-1)</f>
        <v>-1.8369675855162138E-2</v>
      </c>
      <c r="P653" s="29">
        <v>40525</v>
      </c>
      <c r="Q653">
        <v>13.439506</v>
      </c>
      <c r="R653" s="33">
        <f>IF(ISBLANK(Q654),"",Long3[[#This Row],[Adj Close]]/Q654-1)</f>
        <v>4.511834417307603E-2</v>
      </c>
      <c r="S653" s="37">
        <v>40525</v>
      </c>
      <c r="T653" s="35">
        <v>17.751450999999999</v>
      </c>
      <c r="U653" s="36">
        <f>IF(ISBLANK(T654),"",Long4[[#This Row],[Adj Close]]/T654-1)</f>
        <v>-1.9312278648560444E-2</v>
      </c>
      <c r="Y653" s="37">
        <v>40525</v>
      </c>
      <c r="Z653" s="35">
        <v>28.319237000000001</v>
      </c>
      <c r="AA653" s="36">
        <f>IF(ISBLANK(Z654),"",Long6[[#This Row],[Adj Close]]/Z654-1)</f>
        <v>-2.6791716303516511E-2</v>
      </c>
      <c r="AH653" s="29">
        <v>40525</v>
      </c>
      <c r="AI653" s="44">
        <v>30.264816</v>
      </c>
      <c r="AJ653" s="33">
        <f>IF(ISBLANK(AI654),"",Short0[[#This Row],[Adj Close]]/AI654-1)</f>
        <v>6.612703479498272E-4</v>
      </c>
      <c r="AK653" s="37">
        <v>40525</v>
      </c>
      <c r="AL653" s="39">
        <v>23.385496</v>
      </c>
      <c r="AM653" s="36">
        <f>IF(ISBLANK(AL654),"",Short1[[#This Row],[Adj Close]]/AL654-1)</f>
        <v>-0.18014323437063962</v>
      </c>
      <c r="AN653" s="29">
        <v>40525</v>
      </c>
      <c r="AO653" s="44">
        <v>15.642118</v>
      </c>
      <c r="AP653" s="33">
        <f>IF(ISBLANK(AO654),"",Short2[[#This Row],[Adj Close]]/AO654-1)</f>
        <v>-2.0915765465714942E-2</v>
      </c>
    </row>
    <row r="654" spans="1:42" x14ac:dyDescent="0.25">
      <c r="A654" s="37">
        <v>40518</v>
      </c>
      <c r="B654" s="39">
        <v>1240.400024</v>
      </c>
      <c r="C654" s="36">
        <f>IF(ISBLANK(B655), "", GSPC[[#This Row],[Adj Close]]/B655-1)</f>
        <v>1.2811247968611994E-2</v>
      </c>
      <c r="D65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5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54" s="11" t="e">
        <f>IF(ISBLANK(GSPC[[#This Row],[Long Exp.]]), "", (GSPC[[#This Row],[Long Exp.]]/D655-1)+(E655/GSPC[[#This Row],[Short Exp.]]-1))</f>
        <v>#VALUE!</v>
      </c>
      <c r="G654" s="37">
        <v>40518</v>
      </c>
      <c r="H654">
        <v>18.44183</v>
      </c>
      <c r="I654" s="36">
        <f>IF(ISBLANK(H655), "", Long0[[#This Row],[Adj Close]]/H655-1)</f>
        <v>1.2060045205618986E-2</v>
      </c>
      <c r="J654" s="29">
        <v>40518</v>
      </c>
      <c r="K654">
        <v>2.9743439999999999</v>
      </c>
      <c r="L654" s="33">
        <f>IF(ISBLANK(K655),"",Long1[[#This Row],[Adj Close]]/K655-1)</f>
        <v>-6.1135307772483993E-2</v>
      </c>
      <c r="M654" s="37">
        <v>40518</v>
      </c>
      <c r="N654">
        <v>56.365882999999997</v>
      </c>
      <c r="O654" s="36">
        <f>IF(ISBLANK(N655),"",Long2[[#This Row],[Adj Close]]/N655-1)</f>
        <v>-7.3806297269533028E-3</v>
      </c>
      <c r="P654" s="29">
        <v>40518</v>
      </c>
      <c r="Q654">
        <v>12.859315</v>
      </c>
      <c r="R654" s="33">
        <f>IF(ISBLANK(Q655),"",Long3[[#This Row],[Adj Close]]/Q655-1)</f>
        <v>-2.5472814851190906E-2</v>
      </c>
      <c r="S654" s="37">
        <v>40518</v>
      </c>
      <c r="T654" s="35">
        <v>18.101023000000001</v>
      </c>
      <c r="U654" s="36">
        <f>IF(ISBLANK(T655),"",Long4[[#This Row],[Adj Close]]/T655-1)</f>
        <v>2.9582733701645436E-2</v>
      </c>
      <c r="Y654" s="37">
        <v>40518</v>
      </c>
      <c r="Z654" s="35">
        <v>29.098845000000001</v>
      </c>
      <c r="AA654" s="36">
        <f>IF(ISBLANK(Z655),"",Long6[[#This Row],[Adj Close]]/Z655-1)</f>
        <v>3.0721538319798514E-2</v>
      </c>
      <c r="AH654" s="29">
        <v>40518</v>
      </c>
      <c r="AI654" s="44">
        <v>30.244816</v>
      </c>
      <c r="AJ654" s="33">
        <f>IF(ISBLANK(AI655),"",Short0[[#This Row],[Adj Close]]/AI655-1)</f>
        <v>-7.9001028711407906E-2</v>
      </c>
      <c r="AK654" s="37">
        <v>40518</v>
      </c>
      <c r="AL654" s="39">
        <v>28.523879999999998</v>
      </c>
      <c r="AM654" s="36">
        <f>IF(ISBLANK(AL655),"",Short1[[#This Row],[Adj Close]]/AL655-1)</f>
        <v>-2.4048825957344921E-2</v>
      </c>
      <c r="AN654" s="29">
        <v>40518</v>
      </c>
      <c r="AO654" s="44">
        <v>15.976274</v>
      </c>
      <c r="AP654" s="33">
        <f>IF(ISBLANK(AO655),"",Short2[[#This Row],[Adj Close]]/AO655-1)</f>
        <v>2.4913056132978895E-2</v>
      </c>
    </row>
    <row r="655" spans="1:42" x14ac:dyDescent="0.25">
      <c r="A655" s="37">
        <v>40511</v>
      </c>
      <c r="B655" s="39">
        <v>1224.709961</v>
      </c>
      <c r="C655" s="36">
        <f>IF(ISBLANK(B656), "", GSPC[[#This Row],[Adj Close]]/B656-1)</f>
        <v>2.9687183695567221E-2</v>
      </c>
      <c r="D65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5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55" s="11" t="e">
        <f>IF(ISBLANK(GSPC[[#This Row],[Long Exp.]]), "", (GSPC[[#This Row],[Long Exp.]]/D656-1)+(E656/GSPC[[#This Row],[Short Exp.]]-1))</f>
        <v>#VALUE!</v>
      </c>
      <c r="G655" s="37">
        <v>40511</v>
      </c>
      <c r="H655">
        <v>18.222071</v>
      </c>
      <c r="I655" s="36">
        <f>IF(ISBLANK(H656), "", Long0[[#This Row],[Adj Close]]/H656-1)</f>
        <v>-2.1150785273377881E-2</v>
      </c>
      <c r="J655" s="29">
        <v>40511</v>
      </c>
      <c r="K655">
        <v>3.1680220000000001</v>
      </c>
      <c r="L655" s="33">
        <f>IF(ISBLANK(K656),"",Long1[[#This Row],[Adj Close]]/K656-1)</f>
        <v>-3.3755198333483283E-2</v>
      </c>
      <c r="M655" s="37">
        <v>40511</v>
      </c>
      <c r="N655">
        <v>56.784992000000003</v>
      </c>
      <c r="O655" s="36">
        <f>IF(ISBLANK(N656),"",Long2[[#This Row],[Adj Close]]/N656-1)</f>
        <v>-1.0028895967890805E-2</v>
      </c>
      <c r="P655" s="29">
        <v>40511</v>
      </c>
      <c r="Q655">
        <v>13.19544</v>
      </c>
      <c r="R655" s="33">
        <f>IF(ISBLANK(Q656),"",Long3[[#This Row],[Adj Close]]/Q656-1)</f>
        <v>2.4110855779653662E-2</v>
      </c>
      <c r="S655" s="37">
        <v>40511</v>
      </c>
      <c r="T655" s="35">
        <v>17.580931</v>
      </c>
      <c r="U655" s="36">
        <f>IF(ISBLANK(T656),"",Long4[[#This Row],[Adj Close]]/T656-1)</f>
        <v>8.1847056956477315E-2</v>
      </c>
      <c r="Y655" s="37">
        <v>40511</v>
      </c>
      <c r="Z655" s="35">
        <v>28.231528999999998</v>
      </c>
      <c r="AA655" s="36">
        <f>IF(ISBLANK(Z656),"",Long6[[#This Row],[Adj Close]]/Z656-1)</f>
        <v>0.16158777610079667</v>
      </c>
      <c r="AH655" s="29">
        <v>40511</v>
      </c>
      <c r="AI655" s="44">
        <v>32.839142000000002</v>
      </c>
      <c r="AJ655" s="33">
        <f>IF(ISBLANK(AI656),"",Short0[[#This Row],[Adj Close]]/AI656-1)</f>
        <v>-1.6380242828036851E-2</v>
      </c>
      <c r="AK655" s="37">
        <v>40511</v>
      </c>
      <c r="AL655" s="39">
        <v>29.226749000000002</v>
      </c>
      <c r="AM655" s="36">
        <f>IF(ISBLANK(AL656),"",Short1[[#This Row],[Adj Close]]/AL656-1)</f>
        <v>-4.290527425058388E-2</v>
      </c>
      <c r="AN655" s="29">
        <v>40511</v>
      </c>
      <c r="AO655" s="44">
        <v>15.587930999999999</v>
      </c>
      <c r="AP655" s="33">
        <f>IF(ISBLANK(AO656),"",Short2[[#This Row],[Adj Close]]/AO656-1)</f>
        <v>0.14684415607920576</v>
      </c>
    </row>
    <row r="656" spans="1:42" x14ac:dyDescent="0.25">
      <c r="A656" s="37">
        <v>40504</v>
      </c>
      <c r="B656" s="39">
        <v>1189.400024</v>
      </c>
      <c r="C656" s="36">
        <f>IF(ISBLANK(B657), "", GSPC[[#This Row],[Adj Close]]/B657-1)</f>
        <v>-8.6102341128460047E-3</v>
      </c>
      <c r="D65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5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56" s="11" t="e">
        <f>IF(ISBLANK(GSPC[[#This Row],[Long Exp.]]), "", (GSPC[[#This Row],[Long Exp.]]/D657-1)+(E657/GSPC[[#This Row],[Short Exp.]]-1))</f>
        <v>#VALUE!</v>
      </c>
      <c r="G656" s="37">
        <v>40504</v>
      </c>
      <c r="H656">
        <v>18.61581</v>
      </c>
      <c r="I656" s="36">
        <f>IF(ISBLANK(H657), "", Long0[[#This Row],[Adj Close]]/H657-1)</f>
        <v>2.4181121259804206E-2</v>
      </c>
      <c r="J656" s="29">
        <v>40504</v>
      </c>
      <c r="K656">
        <v>3.2786949999999999</v>
      </c>
      <c r="L656" s="33">
        <f>IF(ISBLANK(K657),"",Long1[[#This Row],[Adj Close]]/K657-1)</f>
        <v>-0.11235962660948851</v>
      </c>
      <c r="M656" s="37">
        <v>40504</v>
      </c>
      <c r="N656">
        <v>57.360252000000003</v>
      </c>
      <c r="O656" s="36">
        <f>IF(ISBLANK(N657),"",Long2[[#This Row],[Adj Close]]/N657-1)</f>
        <v>-3.5686711623426071E-3</v>
      </c>
      <c r="P656" s="29">
        <v>40504</v>
      </c>
      <c r="Q656">
        <v>12.884777</v>
      </c>
      <c r="R656" s="33">
        <f>IF(ISBLANK(Q657),"",Long3[[#This Row],[Adj Close]]/Q657-1)</f>
        <v>-1.5946825229895212E-2</v>
      </c>
      <c r="S656" s="37">
        <v>40504</v>
      </c>
      <c r="T656" s="35">
        <v>16.250847</v>
      </c>
      <c r="U656" s="36">
        <f>IF(ISBLANK(T657),"",Long4[[#This Row],[Adj Close]]/T657-1)</f>
        <v>4.5529100222734487E-2</v>
      </c>
      <c r="Y656" s="37">
        <v>40504</v>
      </c>
      <c r="Z656" s="35">
        <v>24.304258000000001</v>
      </c>
      <c r="AA656" s="36">
        <f>IF(ISBLANK(Z657),"",Long6[[#This Row],[Adj Close]]/Z657-1)</f>
        <v>3.4854697791913303E-2</v>
      </c>
      <c r="AH656" s="29">
        <v>40504</v>
      </c>
      <c r="AI656" s="44">
        <v>33.386012999999998</v>
      </c>
      <c r="AJ656" s="33">
        <f>IF(ISBLANK(AI657),"",Short0[[#This Row],[Adj Close]]/AI657-1)</f>
        <v>1.356545691577371E-2</v>
      </c>
      <c r="AK656" s="37">
        <v>40504</v>
      </c>
      <c r="AL656" s="39">
        <v>30.536944999999999</v>
      </c>
      <c r="AM656" s="36">
        <f>IF(ISBLANK(AL657),"",Short1[[#This Row],[Adj Close]]/AL657-1)</f>
        <v>2.7790513318623367E-2</v>
      </c>
      <c r="AN656" s="29">
        <v>40504</v>
      </c>
      <c r="AO656" s="44">
        <v>13.592022</v>
      </c>
      <c r="AP656" s="33">
        <f>IF(ISBLANK(AO657),"",Short2[[#This Row],[Adj Close]]/AO657-1)</f>
        <v>-3.3397856339913434E-2</v>
      </c>
    </row>
    <row r="657" spans="1:42" x14ac:dyDescent="0.25">
      <c r="A657" s="37">
        <v>40497</v>
      </c>
      <c r="B657" s="39">
        <v>1199.7299800000001</v>
      </c>
      <c r="C657" s="36">
        <f>IF(ISBLANK(B658), "", GSPC[[#This Row],[Adj Close]]/B658-1)</f>
        <v>4.3363465690893221E-4</v>
      </c>
      <c r="D65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5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57" s="11" t="e">
        <f>IF(ISBLANK(GSPC[[#This Row],[Long Exp.]]), "", (GSPC[[#This Row],[Long Exp.]]/D658-1)+(E658/GSPC[[#This Row],[Short Exp.]]-1))</f>
        <v>#VALUE!</v>
      </c>
      <c r="G657" s="37">
        <v>40497</v>
      </c>
      <c r="H657">
        <v>18.176286999999999</v>
      </c>
      <c r="I657" s="36">
        <f>IF(ISBLANK(H658), "", Long0[[#This Row],[Adj Close]]/H658-1)</f>
        <v>3.1168879206452615E-2</v>
      </c>
      <c r="J657" s="29">
        <v>40497</v>
      </c>
      <c r="K657">
        <v>3.6937199999999999</v>
      </c>
      <c r="L657" s="33">
        <f>IF(ISBLANK(K658),"",Long1[[#This Row],[Adj Close]]/K658-1)</f>
        <v>6.8000100620522197E-2</v>
      </c>
      <c r="M657" s="37">
        <v>40497</v>
      </c>
      <c r="N657">
        <v>57.565685000000002</v>
      </c>
      <c r="O657" s="36">
        <f>IF(ISBLANK(N658),"",Long2[[#This Row],[Adj Close]]/N658-1)</f>
        <v>5.0213456905463527E-3</v>
      </c>
      <c r="P657" s="29">
        <v>40497</v>
      </c>
      <c r="Q657">
        <v>13.093578000000001</v>
      </c>
      <c r="R657" s="33">
        <f>IF(ISBLANK(Q658),"",Long3[[#This Row],[Adj Close]]/Q658-1)</f>
        <v>-1.569695960536388E-2</v>
      </c>
      <c r="S657" s="37">
        <v>40497</v>
      </c>
      <c r="T657" s="35">
        <v>15.54318</v>
      </c>
      <c r="U657" s="36">
        <f>IF(ISBLANK(T658),"",Long4[[#This Row],[Adj Close]]/T658-1)</f>
        <v>4.2310139703348293E-2</v>
      </c>
      <c r="Y657" s="37">
        <v>40497</v>
      </c>
      <c r="Z657" s="35">
        <v>23.485672000000001</v>
      </c>
      <c r="AA657" s="36">
        <f>IF(ISBLANK(Z658),"",Long6[[#This Row],[Adj Close]]/Z658-1)</f>
        <v>3.3447675975350366E-2</v>
      </c>
      <c r="AH657" s="29">
        <v>40497</v>
      </c>
      <c r="AI657" s="44">
        <v>32.939177999999998</v>
      </c>
      <c r="AJ657" s="33">
        <f>IF(ISBLANK(AI658),"",Short0[[#This Row],[Adj Close]]/AI658-1)</f>
        <v>2.0033379520878913E-2</v>
      </c>
      <c r="AK657" s="37">
        <v>40497</v>
      </c>
      <c r="AL657" s="39">
        <v>29.711254</v>
      </c>
      <c r="AM657" s="36">
        <f>IF(ISBLANK(AL658),"",Short1[[#This Row],[Adj Close]]/AL658-1)</f>
        <v>-1.146834059905899E-3</v>
      </c>
      <c r="AN657" s="29">
        <v>40497</v>
      </c>
      <c r="AO657" s="44">
        <v>14.061650999999999</v>
      </c>
      <c r="AP657" s="33">
        <f>IF(ISBLANK(AO658),"",Short2[[#This Row],[Adj Close]]/AO658-1)</f>
        <v>-2.990601748461541E-2</v>
      </c>
    </row>
    <row r="658" spans="1:42" x14ac:dyDescent="0.25">
      <c r="A658" s="37">
        <v>40490</v>
      </c>
      <c r="B658" s="39">
        <v>1199.209961</v>
      </c>
      <c r="C658" s="36">
        <f>IF(ISBLANK(B659), "", GSPC[[#This Row],[Adj Close]]/B659-1)</f>
        <v>-2.1731872187922607E-2</v>
      </c>
      <c r="D65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5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58" s="11" t="e">
        <f>IF(ISBLANK(GSPC[[#This Row],[Long Exp.]]), "", (GSPC[[#This Row],[Long Exp.]]/D659-1)+(E659/GSPC[[#This Row],[Short Exp.]]-1))</f>
        <v>#VALUE!</v>
      </c>
      <c r="G658" s="37">
        <v>40490</v>
      </c>
      <c r="H658">
        <v>17.626877</v>
      </c>
      <c r="I658" s="36">
        <f>IF(ISBLANK(H659), "", Long0[[#This Row],[Adj Close]]/H659-1)</f>
        <v>-4.4190462660158913E-2</v>
      </c>
      <c r="J658" s="29">
        <v>40490</v>
      </c>
      <c r="K658">
        <v>3.458539</v>
      </c>
      <c r="L658" s="33">
        <f>IF(ISBLANK(K659),"",Long1[[#This Row],[Adj Close]]/K659-1)</f>
        <v>-7.7490953058329093E-2</v>
      </c>
      <c r="M658" s="37">
        <v>40490</v>
      </c>
      <c r="N658">
        <v>57.278072000000002</v>
      </c>
      <c r="O658" s="36">
        <f>IF(ISBLANK(N659),"",Long2[[#This Row],[Adj Close]]/N659-1)</f>
        <v>-1.4577534842471707E-2</v>
      </c>
      <c r="P658" s="29">
        <v>40490</v>
      </c>
      <c r="Q658">
        <v>13.302384999999999</v>
      </c>
      <c r="R658" s="33">
        <f>IF(ISBLANK(Q659),"",Long3[[#This Row],[Adj Close]]/Q659-1)</f>
        <v>-3.2592303418911284E-2</v>
      </c>
      <c r="S658" s="37">
        <v>40490</v>
      </c>
      <c r="T658" s="35">
        <v>14.912241</v>
      </c>
      <c r="U658" s="36">
        <f>IF(ISBLANK(T659),"",Long4[[#This Row],[Adj Close]]/T659-1)</f>
        <v>6.9081343520009941E-3</v>
      </c>
      <c r="Y658" s="37">
        <v>40490</v>
      </c>
      <c r="Z658" s="35">
        <v>22.725555</v>
      </c>
      <c r="AA658" s="36">
        <f>IF(ISBLANK(Z659),"",Long6[[#This Row],[Adj Close]]/Z659-1)</f>
        <v>-2.3041513681641645E-2</v>
      </c>
      <c r="AH658" s="29">
        <v>40490</v>
      </c>
      <c r="AI658" s="44">
        <v>32.292254999999997</v>
      </c>
      <c r="AJ658" s="33">
        <f>IF(ISBLANK(AI659),"",Short0[[#This Row],[Adj Close]]/AI659-1)</f>
        <v>-6.8487762748372205E-2</v>
      </c>
      <c r="AK658" s="37">
        <v>40490</v>
      </c>
      <c r="AL658" s="39">
        <v>29.745367000000002</v>
      </c>
      <c r="AM658" s="36">
        <f>IF(ISBLANK(AL659),"",Short1[[#This Row],[Adj Close]]/AL659-1)</f>
        <v>-2.5921977460417134E-2</v>
      </c>
      <c r="AN658" s="29">
        <v>40490</v>
      </c>
      <c r="AO658" s="44">
        <v>14.495143000000001</v>
      </c>
      <c r="AP658" s="33">
        <f>IF(ISBLANK(AO659),"",Short2[[#This Row],[Adj Close]]/AO659-1)</f>
        <v>1.261802524736777E-2</v>
      </c>
    </row>
    <row r="659" spans="1:42" x14ac:dyDescent="0.25">
      <c r="A659" s="37">
        <v>40483</v>
      </c>
      <c r="B659" s="39">
        <v>1225.849976</v>
      </c>
      <c r="C659" s="36">
        <f>IF(ISBLANK(B660), "", GSPC[[#This Row],[Adj Close]]/B660-1)</f>
        <v>3.5993750857852502E-2</v>
      </c>
      <c r="D65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5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59" s="11" t="e">
        <f>IF(ISBLANK(GSPC[[#This Row],[Long Exp.]]), "", (GSPC[[#This Row],[Long Exp.]]/D660-1)+(E660/GSPC[[#This Row],[Short Exp.]]-1))</f>
        <v>#VALUE!</v>
      </c>
      <c r="G659" s="37">
        <v>40483</v>
      </c>
      <c r="H659">
        <v>18.44183</v>
      </c>
      <c r="I659" s="36">
        <f>IF(ISBLANK(H660), "", Long0[[#This Row],[Adj Close]]/H660-1)</f>
        <v>-8.8584961823071628E-3</v>
      </c>
      <c r="J659" s="29">
        <v>40483</v>
      </c>
      <c r="K659">
        <v>3.7490570000000001</v>
      </c>
      <c r="L659" s="33">
        <f>IF(ISBLANK(K660),"",Long1[[#This Row],[Adj Close]]/K660-1)</f>
        <v>0.10612240803524209</v>
      </c>
      <c r="M659" s="37">
        <v>40483</v>
      </c>
      <c r="N659">
        <v>58.125397</v>
      </c>
      <c r="O659" s="36">
        <f>IF(ISBLANK(N660),"",Long2[[#This Row],[Adj Close]]/N660-1)</f>
        <v>-3.2531213284290095E-2</v>
      </c>
      <c r="P659" s="29">
        <v>40483</v>
      </c>
      <c r="Q659">
        <v>13.750546999999999</v>
      </c>
      <c r="R659" s="33">
        <f>IF(ISBLANK(Q660),"",Long3[[#This Row],[Adj Close]]/Q660-1)</f>
        <v>5.2121282389112622E-3</v>
      </c>
      <c r="S659" s="37">
        <v>40483</v>
      </c>
      <c r="T659" s="35">
        <v>14.809932</v>
      </c>
      <c r="U659" s="36">
        <f>IF(ISBLANK(T660),"",Long4[[#This Row],[Adj Close]]/T660-1)</f>
        <v>0.1442691246803216</v>
      </c>
      <c r="Y659" s="37">
        <v>40483</v>
      </c>
      <c r="Z659" s="35">
        <v>23.261536</v>
      </c>
      <c r="AA659" s="36">
        <f>IF(ISBLANK(Z660),"",Long6[[#This Row],[Adj Close]]/Z660-1)</f>
        <v>-4.6725050833533843E-2</v>
      </c>
      <c r="AH659" s="29">
        <v>40483</v>
      </c>
      <c r="AI659" s="44">
        <v>34.666485000000002</v>
      </c>
      <c r="AJ659" s="33">
        <f>IF(ISBLANK(AI660),"",Short0[[#This Row],[Adj Close]]/AI660-1)</f>
        <v>0.13295527507067217</v>
      </c>
      <c r="AK659" s="37">
        <v>40483</v>
      </c>
      <c r="AL659" s="39">
        <v>30.536944999999999</v>
      </c>
      <c r="AM659" s="36">
        <f>IF(ISBLANK(AL660),"",Short1[[#This Row],[Adj Close]]/AL660-1)</f>
        <v>4.1181802971988368E-2</v>
      </c>
      <c r="AN659" s="29">
        <v>40483</v>
      </c>
      <c r="AO659" s="44">
        <v>14.314522</v>
      </c>
      <c r="AP659" s="33">
        <f>IF(ISBLANK(AO660),"",Short2[[#This Row],[Adj Close]]/AO660-1)</f>
        <v>9.2349960169675116E-2</v>
      </c>
    </row>
    <row r="660" spans="1:42" x14ac:dyDescent="0.25">
      <c r="A660" s="37">
        <v>40476</v>
      </c>
      <c r="B660" s="39">
        <v>1183.26001</v>
      </c>
      <c r="C660" s="36">
        <f>IF(ISBLANK(B661), "", GSPC[[#This Row],[Adj Close]]/B661-1)</f>
        <v>1.5219089723128576E-4</v>
      </c>
      <c r="D66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6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60" s="11" t="e">
        <f>IF(ISBLANK(GSPC[[#This Row],[Long Exp.]]), "", (GSPC[[#This Row],[Long Exp.]]/D661-1)+(E661/GSPC[[#This Row],[Short Exp.]]-1))</f>
        <v>#VALUE!</v>
      </c>
      <c r="G660" s="37">
        <v>40476</v>
      </c>
      <c r="H660">
        <v>18.606656999999998</v>
      </c>
      <c r="I660" s="36">
        <f>IF(ISBLANK(H661), "", Long0[[#This Row],[Adj Close]]/H661-1)</f>
        <v>4.850378788625842E-2</v>
      </c>
      <c r="J660" s="29">
        <v>40476</v>
      </c>
      <c r="K660">
        <v>3.3893689999999999</v>
      </c>
      <c r="L660" s="33">
        <f>IF(ISBLANK(K661),"",Long1[[#This Row],[Adj Close]]/K661-1)</f>
        <v>-8.0970735757325274E-3</v>
      </c>
      <c r="M660" s="37">
        <v>40476</v>
      </c>
      <c r="N660">
        <v>60.079867999999998</v>
      </c>
      <c r="O660" s="36">
        <f>IF(ISBLANK(N661),"",Long2[[#This Row],[Adj Close]]/N661-1)</f>
        <v>0.10915738819150178</v>
      </c>
      <c r="P660" s="29">
        <v>40476</v>
      </c>
      <c r="Q660">
        <v>13.679249</v>
      </c>
      <c r="R660" s="33">
        <f>IF(ISBLANK(Q661),"",Long3[[#This Row],[Adj Close]]/Q661-1)</f>
        <v>-1.8581197681322159E-3</v>
      </c>
      <c r="S660" s="37">
        <v>40476</v>
      </c>
      <c r="T660" s="35">
        <v>12.9427</v>
      </c>
      <c r="U660" s="36">
        <f>IF(ISBLANK(T661),"",Long4[[#This Row],[Adj Close]]/T661-1)</f>
        <v>3.9681046763595518E-3</v>
      </c>
      <c r="Y660" s="37">
        <v>40476</v>
      </c>
      <c r="Z660" s="35">
        <v>24.401706999999998</v>
      </c>
      <c r="AA660" s="36">
        <f>IF(ISBLANK(Z661),"",Long6[[#This Row],[Adj Close]]/Z661-1)</f>
        <v>1.7059267150024926E-2</v>
      </c>
      <c r="AH660" s="29">
        <v>40476</v>
      </c>
      <c r="AI660" s="44">
        <v>30.598282000000001</v>
      </c>
      <c r="AJ660" s="33">
        <f>IF(ISBLANK(AI661),"",Short0[[#This Row],[Adj Close]]/AI661-1)</f>
        <v>0.18308411775054467</v>
      </c>
      <c r="AK660" s="37">
        <v>40476</v>
      </c>
      <c r="AL660" s="39">
        <v>29.329118999999999</v>
      </c>
      <c r="AM660" s="36">
        <f>IF(ISBLANK(AL661),"",Short1[[#This Row],[Adj Close]]/AL661-1)</f>
        <v>5.6153285477908987E-3</v>
      </c>
      <c r="AN660" s="29">
        <v>40476</v>
      </c>
      <c r="AO660" s="44">
        <v>13.104336999999999</v>
      </c>
      <c r="AP660" s="33">
        <f>IF(ISBLANK(AO661),"",Short2[[#This Row],[Adj Close]]/AO661-1)</f>
        <v>-2.0917561346484703E-2</v>
      </c>
    </row>
    <row r="661" spans="1:42" x14ac:dyDescent="0.25">
      <c r="A661" s="37">
        <v>40469</v>
      </c>
      <c r="B661" s="39">
        <v>1183.079956</v>
      </c>
      <c r="C661" s="36">
        <f>IF(ISBLANK(B662), "", GSPC[[#This Row],[Adj Close]]/B662-1)</f>
        <v>5.8579101553462021E-3</v>
      </c>
      <c r="D66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6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61" s="11" t="e">
        <f>IF(ISBLANK(GSPC[[#This Row],[Long Exp.]]), "", (GSPC[[#This Row],[Long Exp.]]/D662-1)+(E662/GSPC[[#This Row],[Short Exp.]]-1))</f>
        <v>#VALUE!</v>
      </c>
      <c r="G661" s="37">
        <v>40469</v>
      </c>
      <c r="H661">
        <v>17.745913000000002</v>
      </c>
      <c r="I661" s="36">
        <f>IF(ISBLANK(H662), "", Long0[[#This Row],[Adj Close]]/H662-1)</f>
        <v>3.6249100629812681E-3</v>
      </c>
      <c r="J661" s="29">
        <v>40469</v>
      </c>
      <c r="K661">
        <v>3.4170370000000001</v>
      </c>
      <c r="L661" s="33">
        <f>IF(ISBLANK(K662),"",Long1[[#This Row],[Adj Close]]/K662-1)</f>
        <v>5.555553839391103E-2</v>
      </c>
      <c r="M661" s="37">
        <v>40469</v>
      </c>
      <c r="N661">
        <v>54.167126000000003</v>
      </c>
      <c r="O661" s="36">
        <f>IF(ISBLANK(N662),"",Long2[[#This Row],[Adj Close]]/N662-1)</f>
        <v>-3.5532033973935784E-2</v>
      </c>
      <c r="P661" s="29">
        <v>40469</v>
      </c>
      <c r="Q661">
        <v>13.704713999999999</v>
      </c>
      <c r="R661" s="33">
        <f>IF(ISBLANK(Q662),"",Long3[[#This Row],[Adj Close]]/Q662-1)</f>
        <v>-2.2520931540944256E-2</v>
      </c>
      <c r="S661" s="37">
        <v>40469</v>
      </c>
      <c r="T661" s="35">
        <v>12.891545000000001</v>
      </c>
      <c r="U661" s="36">
        <f>IF(ISBLANK(T662),"",Long4[[#This Row],[Adj Close]]/T662-1)</f>
        <v>-1.6265313116358149E-2</v>
      </c>
      <c r="Y661" s="37">
        <v>40469</v>
      </c>
      <c r="Z661" s="35">
        <v>23.992414</v>
      </c>
      <c r="AA661" s="36">
        <f>IF(ISBLANK(Z662),"",Long6[[#This Row],[Adj Close]]/Z662-1)</f>
        <v>-6.494480007479686E-2</v>
      </c>
      <c r="AH661" s="29">
        <v>40469</v>
      </c>
      <c r="AI661" s="44">
        <v>25.863150000000001</v>
      </c>
      <c r="AJ661" s="33">
        <f>IF(ISBLANK(AI662),"",Short0[[#This Row],[Adj Close]]/AI662-1)</f>
        <v>2.8442643422126324E-3</v>
      </c>
      <c r="AK661" s="37">
        <v>40469</v>
      </c>
      <c r="AL661" s="39">
        <v>29.165346</v>
      </c>
      <c r="AM661" s="36">
        <f>IF(ISBLANK(AL662),"",Short1[[#This Row],[Adj Close]]/AL662-1)</f>
        <v>1.3997977799461658E-2</v>
      </c>
      <c r="AN661" s="29">
        <v>40469</v>
      </c>
      <c r="AO661" s="44">
        <v>13.384304</v>
      </c>
      <c r="AP661" s="33">
        <f>IF(ISBLANK(AO662),"",Short2[[#This Row],[Adj Close]]/AO662-1)</f>
        <v>-3.0255922140535296E-2</v>
      </c>
    </row>
    <row r="662" spans="1:42" x14ac:dyDescent="0.25">
      <c r="A662" s="37">
        <v>40462</v>
      </c>
      <c r="B662" s="39">
        <v>1176.1899410000001</v>
      </c>
      <c r="C662" s="36">
        <f>IF(ISBLANK(B663), "", GSPC[[#This Row],[Adj Close]]/B663-1)</f>
        <v>9.4751034395550437E-3</v>
      </c>
      <c r="D66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6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62" s="11" t="e">
        <f>IF(ISBLANK(GSPC[[#This Row],[Long Exp.]]), "", (GSPC[[#This Row],[Long Exp.]]/D663-1)+(E663/GSPC[[#This Row],[Short Exp.]]-1))</f>
        <v>#VALUE!</v>
      </c>
      <c r="G662" s="37">
        <v>40462</v>
      </c>
      <c r="H662">
        <v>17.681818</v>
      </c>
      <c r="I662" s="36">
        <f>IF(ISBLANK(H663), "", Long0[[#This Row],[Adj Close]]/H663-1)</f>
        <v>3.8172093738475521E-2</v>
      </c>
      <c r="J662" s="29">
        <v>40462</v>
      </c>
      <c r="K662">
        <v>3.237193</v>
      </c>
      <c r="L662" s="33">
        <f>IF(ISBLANK(K663),"",Long1[[#This Row],[Adj Close]]/K663-1)</f>
        <v>3.5398142343564087E-2</v>
      </c>
      <c r="M662" s="37">
        <v>40462</v>
      </c>
      <c r="N662">
        <v>56.162700999999998</v>
      </c>
      <c r="O662" s="36">
        <f>IF(ISBLANK(N663),"",Long2[[#This Row],[Adj Close]]/N663-1)</f>
        <v>4.2371824544964687E-2</v>
      </c>
      <c r="P662" s="29">
        <v>40462</v>
      </c>
      <c r="Q662">
        <v>14.020467999999999</v>
      </c>
      <c r="R662" s="33">
        <f>IF(ISBLANK(Q663),"",Long3[[#This Row],[Adj Close]]/Q663-1)</f>
        <v>-6.4956152984648741E-3</v>
      </c>
      <c r="S662" s="37">
        <v>40462</v>
      </c>
      <c r="T662" s="35">
        <v>13.104697</v>
      </c>
      <c r="U662" s="36">
        <f>IF(ISBLANK(T663),"",Long4[[#This Row],[Adj Close]]/T663-1)</f>
        <v>4.7716285461279151E-2</v>
      </c>
      <c r="Y662" s="37">
        <v>40462</v>
      </c>
      <c r="Z662" s="35">
        <v>25.658821</v>
      </c>
      <c r="AA662" s="36">
        <f>IF(ISBLANK(Z663),"",Long6[[#This Row],[Adj Close]]/Z663-1)</f>
        <v>2.8515149108880422E-2</v>
      </c>
      <c r="AH662" s="29">
        <v>40462</v>
      </c>
      <c r="AI662" s="44">
        <v>25.789797</v>
      </c>
      <c r="AJ662" s="33">
        <f>IF(ISBLANK(AI663),"",Short0[[#This Row],[Adj Close]]/AI663-1)</f>
        <v>3.6729413342406536E-2</v>
      </c>
      <c r="AK662" s="37">
        <v>40462</v>
      </c>
      <c r="AL662" s="39">
        <v>28.762726000000001</v>
      </c>
      <c r="AM662" s="36">
        <f>IF(ISBLANK(AL663),"",Short1[[#This Row],[Adj Close]]/AL663-1)</f>
        <v>2.5797100942741569E-2</v>
      </c>
      <c r="AN662" s="29">
        <v>40462</v>
      </c>
      <c r="AO662" s="44">
        <v>13.801893</v>
      </c>
      <c r="AP662" s="33">
        <f>IF(ISBLANK(AO663),"",Short2[[#This Row],[Adj Close]]/AO663-1)</f>
        <v>-4.9627890835124755E-2</v>
      </c>
    </row>
    <row r="663" spans="1:42" x14ac:dyDescent="0.25">
      <c r="A663" s="37">
        <v>40455</v>
      </c>
      <c r="B663" s="39">
        <v>1165.150024</v>
      </c>
      <c r="C663" s="36">
        <f>IF(ISBLANK(B664), "", GSPC[[#This Row],[Adj Close]]/B664-1)</f>
        <v>1.6497447449900893E-2</v>
      </c>
      <c r="D66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6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63" s="11" t="e">
        <f>IF(ISBLANK(GSPC[[#This Row],[Long Exp.]]), "", (GSPC[[#This Row],[Long Exp.]]/D664-1)+(E664/GSPC[[#This Row],[Short Exp.]]-1))</f>
        <v>#VALUE!</v>
      </c>
      <c r="G663" s="37">
        <v>40455</v>
      </c>
      <c r="H663">
        <v>17.031683000000001</v>
      </c>
      <c r="I663" s="36">
        <f>IF(ISBLANK(H664), "", Long0[[#This Row],[Adj Close]]/H664-1)</f>
        <v>-1.587287004189486E-2</v>
      </c>
      <c r="J663" s="29">
        <v>40455</v>
      </c>
      <c r="K663">
        <v>3.1265200000000002</v>
      </c>
      <c r="L663" s="33">
        <f>IF(ISBLANK(K664),"",Long1[[#This Row],[Adj Close]]/K664-1)</f>
        <v>0.13567868036180197</v>
      </c>
      <c r="M663" s="37">
        <v>40455</v>
      </c>
      <c r="N663">
        <v>53.879719000000001</v>
      </c>
      <c r="O663" s="36">
        <f>IF(ISBLANK(N664),"",Long2[[#This Row],[Adj Close]]/N664-1)</f>
        <v>0.10046982422680628</v>
      </c>
      <c r="P663" s="29">
        <v>40455</v>
      </c>
      <c r="Q663">
        <v>14.112135</v>
      </c>
      <c r="R663" s="33">
        <f>IF(ISBLANK(Q664),"",Long3[[#This Row],[Adj Close]]/Q664-1)</f>
        <v>9.8391106688495711E-3</v>
      </c>
      <c r="S663" s="37">
        <v>40455</v>
      </c>
      <c r="T663" s="35">
        <v>12.507868</v>
      </c>
      <c r="U663" s="36">
        <f>IF(ISBLANK(T664),"",Long4[[#This Row],[Adj Close]]/T664-1)</f>
        <v>-8.1135235092978375E-3</v>
      </c>
      <c r="Y663" s="37">
        <v>40455</v>
      </c>
      <c r="Z663" s="35">
        <v>24.947441000000001</v>
      </c>
      <c r="AA663" s="36">
        <f>IF(ISBLANK(Z664),"",Long6[[#This Row],[Adj Close]]/Z664-1)</f>
        <v>6.4449446329241988E-2</v>
      </c>
      <c r="AH663" s="29">
        <v>40455</v>
      </c>
      <c r="AI663" s="44">
        <v>24.876111999999999</v>
      </c>
      <c r="AJ663" s="33">
        <f>IF(ISBLANK(AI664),"",Short0[[#This Row],[Adj Close]]/AI664-1)</f>
        <v>5.9960352650408888E-2</v>
      </c>
      <c r="AK663" s="37">
        <v>40455</v>
      </c>
      <c r="AL663" s="39">
        <v>28.039390999999998</v>
      </c>
      <c r="AM663" s="36">
        <f>IF(ISBLANK(AL664),"",Short1[[#This Row],[Adj Close]]/AL664-1)</f>
        <v>1.1813357951291792E-2</v>
      </c>
      <c r="AN663" s="29">
        <v>40455</v>
      </c>
      <c r="AO663" s="44">
        <v>14.52262</v>
      </c>
      <c r="AP663" s="33">
        <f>IF(ISBLANK(AO664),"",Short2[[#This Row],[Adj Close]]/AO664-1)</f>
        <v>2.8717430710458958E-2</v>
      </c>
    </row>
    <row r="664" spans="1:42" x14ac:dyDescent="0.25">
      <c r="A664" s="37">
        <v>40448</v>
      </c>
      <c r="B664" s="39">
        <v>1146.23999</v>
      </c>
      <c r="C664" s="36">
        <f>IF(ISBLANK(B665), "", GSPC[[#This Row],[Adj Close]]/B665-1)</f>
        <v>-2.1155370183919553E-3</v>
      </c>
      <c r="D66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6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64" s="11" t="e">
        <f>IF(ISBLANK(GSPC[[#This Row],[Long Exp.]]), "", (GSPC[[#This Row],[Long Exp.]]/D665-1)+(E665/GSPC[[#This Row],[Short Exp.]]-1))</f>
        <v>#VALUE!</v>
      </c>
      <c r="G664" s="37">
        <v>40448</v>
      </c>
      <c r="H664">
        <v>17.306384999999999</v>
      </c>
      <c r="I664" s="36">
        <f>IF(ISBLANK(H665), "", Long0[[#This Row],[Adj Close]]/H665-1)</f>
        <v>-1.0572188229974744E-3</v>
      </c>
      <c r="J664" s="29">
        <v>40448</v>
      </c>
      <c r="K664">
        <v>2.7529970000000001</v>
      </c>
      <c r="L664" s="33">
        <f>IF(ISBLANK(K665),"",Long1[[#This Row],[Adj Close]]/K665-1)</f>
        <v>0.19879510727333716</v>
      </c>
      <c r="M664" s="37">
        <v>40448</v>
      </c>
      <c r="N664">
        <v>48.960650999999999</v>
      </c>
      <c r="O664" s="36">
        <f>IF(ISBLANK(N665),"",Long2[[#This Row],[Adj Close]]/N665-1)</f>
        <v>-3.9781183632817241E-2</v>
      </c>
      <c r="P664" s="29">
        <v>40448</v>
      </c>
      <c r="Q664">
        <v>13.974637</v>
      </c>
      <c r="R664" s="33">
        <f>IF(ISBLANK(Q665),"",Long3[[#This Row],[Adj Close]]/Q665-1)</f>
        <v>1.0946780066358741E-3</v>
      </c>
      <c r="S664" s="37">
        <v>40448</v>
      </c>
      <c r="T664" s="35">
        <v>12.610181000000001</v>
      </c>
      <c r="U664" s="36">
        <f>IF(ISBLANK(T665),"",Long4[[#This Row],[Adj Close]]/T665-1)</f>
        <v>2.2114644601411548E-2</v>
      </c>
      <c r="Y664" s="37">
        <v>40448</v>
      </c>
      <c r="Z664" s="35">
        <v>23.436942999999999</v>
      </c>
      <c r="AA664" s="36">
        <f>IF(ISBLANK(Z665),"",Long6[[#This Row],[Adj Close]]/Z665-1)</f>
        <v>5.0145360180897658E-3</v>
      </c>
      <c r="AH664" s="29">
        <v>40448</v>
      </c>
      <c r="AI664" s="44">
        <v>23.468907999999999</v>
      </c>
      <c r="AJ664" s="33">
        <f>IF(ISBLANK(AI665),"",Short0[[#This Row],[Adj Close]]/AI665-1)</f>
        <v>4.328509889731591E-2</v>
      </c>
      <c r="AK664" s="37">
        <v>40448</v>
      </c>
      <c r="AL664" s="39">
        <v>27.712019000000002</v>
      </c>
      <c r="AM664" s="36">
        <f>IF(ISBLANK(AL665),"",Short1[[#This Row],[Adj Close]]/AL665-1)</f>
        <v>2.9292778809657527E-2</v>
      </c>
      <c r="AN664" s="29">
        <v>40448</v>
      </c>
      <c r="AO664" s="44">
        <v>14.11721</v>
      </c>
      <c r="AP664" s="33">
        <f>IF(ISBLANK(AO665),"",Short2[[#This Row],[Adj Close]]/AO665-1)</f>
        <v>2.8890272674824136E-2</v>
      </c>
    </row>
    <row r="665" spans="1:42" x14ac:dyDescent="0.25">
      <c r="A665" s="37">
        <v>40441</v>
      </c>
      <c r="B665" s="39">
        <v>1148.670044</v>
      </c>
      <c r="C665" s="36">
        <f>IF(ISBLANK(B666), "", GSPC[[#This Row],[Adj Close]]/B666-1)</f>
        <v>2.0504871842469852E-2</v>
      </c>
      <c r="D66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6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65" s="11" t="e">
        <f>IF(ISBLANK(GSPC[[#This Row],[Long Exp.]]), "", (GSPC[[#This Row],[Long Exp.]]/D666-1)+(E666/GSPC[[#This Row],[Short Exp.]]-1))</f>
        <v>#VALUE!</v>
      </c>
      <c r="G665" s="37">
        <v>40441</v>
      </c>
      <c r="H665">
        <v>17.324701000000001</v>
      </c>
      <c r="I665" s="36">
        <f>IF(ISBLANK(H666), "", Long0[[#This Row],[Adj Close]]/H666-1)</f>
        <v>3.9560380479065405E-2</v>
      </c>
      <c r="J665" s="29">
        <v>40441</v>
      </c>
      <c r="K665">
        <v>2.2964699999999998</v>
      </c>
      <c r="L665" s="33">
        <f>IF(ISBLANK(K666),"",Long1[[#This Row],[Adj Close]]/K666-1)</f>
        <v>6.410228489585168E-2</v>
      </c>
      <c r="M665" s="37">
        <v>40441</v>
      </c>
      <c r="N665">
        <v>50.989055999999998</v>
      </c>
      <c r="O665" s="36">
        <f>IF(ISBLANK(N666),"",Long2[[#This Row],[Adj Close]]/N666-1)</f>
        <v>3.4488673052292418E-2</v>
      </c>
      <c r="P665" s="29">
        <v>40441</v>
      </c>
      <c r="Q665">
        <v>13.959356</v>
      </c>
      <c r="R665" s="33">
        <f>IF(ISBLANK(Q666),"",Long3[[#This Row],[Adj Close]]/Q666-1)</f>
        <v>2.4672852961764136E-2</v>
      </c>
      <c r="S665" s="37">
        <v>40441</v>
      </c>
      <c r="T665" s="35">
        <v>12.337344999999999</v>
      </c>
      <c r="U665" s="36">
        <f>IF(ISBLANK(T666),"",Long4[[#This Row],[Adj Close]]/T666-1)</f>
        <v>4.7033194700294656E-2</v>
      </c>
      <c r="Y665" s="37">
        <v>40441</v>
      </c>
      <c r="Z665" s="35">
        <v>23.320004000000001</v>
      </c>
      <c r="AA665" s="36">
        <f>IF(ISBLANK(Z666),"",Long6[[#This Row],[Adj Close]]/Z666-1)</f>
        <v>6.4975505339239348E-2</v>
      </c>
      <c r="AH665" s="29">
        <v>40441</v>
      </c>
      <c r="AI665" s="44">
        <v>22.495201000000002</v>
      </c>
      <c r="AJ665" s="33">
        <f>IF(ISBLANK(AI666),"",Short0[[#This Row],[Adj Close]]/AI666-1)</f>
        <v>5.3732968510927348E-2</v>
      </c>
      <c r="AK665" s="37">
        <v>40441</v>
      </c>
      <c r="AL665" s="39">
        <v>26.923359000000001</v>
      </c>
      <c r="AM665" s="36">
        <f>IF(ISBLANK(AL666),"",Short1[[#This Row],[Adj Close]]/AL666-1)</f>
        <v>6.594877717830272E-2</v>
      </c>
      <c r="AN665" s="29">
        <v>40441</v>
      </c>
      <c r="AO665" s="44">
        <v>13.720812</v>
      </c>
      <c r="AP665" s="33">
        <f>IF(ISBLANK(AO666),"",Short2[[#This Row],[Adj Close]]/AO666-1)</f>
        <v>8.8634864435689797E-2</v>
      </c>
    </row>
    <row r="666" spans="1:42" x14ac:dyDescent="0.25">
      <c r="A666" s="37">
        <v>40434</v>
      </c>
      <c r="B666" s="39">
        <v>1125.589966</v>
      </c>
      <c r="C666" s="36">
        <f>IF(ISBLANK(B667), "", GSPC[[#This Row],[Adj Close]]/B667-1)</f>
        <v>1.4456235673601547E-2</v>
      </c>
      <c r="D66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6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66" s="11" t="e">
        <f>IF(ISBLANK(GSPC[[#This Row],[Long Exp.]]), "", (GSPC[[#This Row],[Long Exp.]]/D667-1)+(E667/GSPC[[#This Row],[Short Exp.]]-1))</f>
        <v>#VALUE!</v>
      </c>
      <c r="G666" s="37">
        <v>40434</v>
      </c>
      <c r="H666">
        <v>16.665410999999999</v>
      </c>
      <c r="I666" s="36">
        <f>IF(ISBLANK(H667), "", Long0[[#This Row],[Adj Close]]/H667-1)</f>
        <v>1.6759988879061494E-2</v>
      </c>
      <c r="J666" s="29">
        <v>40434</v>
      </c>
      <c r="K666">
        <v>2.1581290000000002</v>
      </c>
      <c r="L666" s="33">
        <f>IF(ISBLANK(K667),"",Long1[[#This Row],[Adj Close]]/K667-1)</f>
        <v>-1.2658083069928217E-2</v>
      </c>
      <c r="M666" s="37">
        <v>40434</v>
      </c>
      <c r="N666">
        <v>49.289138999999999</v>
      </c>
      <c r="O666" s="36">
        <f>IF(ISBLANK(N667),"",Long2[[#This Row],[Adj Close]]/N667-1)</f>
        <v>1.1288756666974376E-2</v>
      </c>
      <c r="P666" s="29">
        <v>40434</v>
      </c>
      <c r="Q666">
        <v>13.623232</v>
      </c>
      <c r="R666" s="33">
        <f>IF(ISBLANK(Q667),"",Long3[[#This Row],[Adj Close]]/Q667-1)</f>
        <v>-5.3476529291184294E-3</v>
      </c>
      <c r="S666" s="37">
        <v>40434</v>
      </c>
      <c r="T666" s="35">
        <v>11.783146</v>
      </c>
      <c r="U666" s="36">
        <f>IF(ISBLANK(T667),"",Long4[[#This Row],[Adj Close]]/T667-1)</f>
        <v>4.0662801168481311E-2</v>
      </c>
      <c r="Y666" s="37">
        <v>40434</v>
      </c>
      <c r="Z666" s="35">
        <v>21.897220999999998</v>
      </c>
      <c r="AA666" s="36">
        <f>IF(ISBLANK(Z667),"",Long6[[#This Row],[Adj Close]]/Z667-1)</f>
        <v>7.3578483815760487E-2</v>
      </c>
      <c r="AH666" s="29">
        <v>40434</v>
      </c>
      <c r="AI666" s="44">
        <v>21.348103999999999</v>
      </c>
      <c r="AJ666" s="33">
        <f>IF(ISBLANK(AI667),"",Short0[[#This Row],[Adj Close]]/AI667-1)</f>
        <v>1.2333978486822161E-2</v>
      </c>
      <c r="AK666" s="37">
        <v>40434</v>
      </c>
      <c r="AL666" s="39">
        <v>25.257648</v>
      </c>
      <c r="AM666" s="36">
        <f>IF(ISBLANK(AL667),"",Short1[[#This Row],[Adj Close]]/AL667-1)</f>
        <v>9.6517027356392893E-2</v>
      </c>
      <c r="AN666" s="29">
        <v>40434</v>
      </c>
      <c r="AO666" s="44">
        <v>12.603686</v>
      </c>
      <c r="AP666" s="33">
        <f>IF(ISBLANK(AO667),"",Short2[[#This Row],[Adj Close]]/AO667-1)</f>
        <v>-3.716480598433336E-2</v>
      </c>
    </row>
    <row r="667" spans="1:42" x14ac:dyDescent="0.25">
      <c r="A667" s="37">
        <v>40427</v>
      </c>
      <c r="B667" s="39">
        <v>1109.5500489999999</v>
      </c>
      <c r="C667" s="36">
        <f>IF(ISBLANK(B668), "", GSPC[[#This Row],[Adj Close]]/B668-1)</f>
        <v>4.5631447016039051E-3</v>
      </c>
      <c r="D66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6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67" s="11" t="e">
        <f>IF(ISBLANK(GSPC[[#This Row],[Long Exp.]]), "", (GSPC[[#This Row],[Long Exp.]]/D668-1)+(E668/GSPC[[#This Row],[Short Exp.]]-1))</f>
        <v>#VALUE!</v>
      </c>
      <c r="G667" s="37">
        <v>40427</v>
      </c>
      <c r="H667">
        <v>16.390702999999998</v>
      </c>
      <c r="I667" s="36">
        <f>IF(ISBLANK(H668), "", Long0[[#This Row],[Adj Close]]/H668-1)</f>
        <v>6.182879000985908E-3</v>
      </c>
      <c r="J667" s="29">
        <v>40427</v>
      </c>
      <c r="K667">
        <v>2.185797</v>
      </c>
      <c r="L667" s="33">
        <f>IF(ISBLANK(K668),"",Long1[[#This Row],[Adj Close]]/K668-1)</f>
        <v>0.12857151708349202</v>
      </c>
      <c r="M667" s="37">
        <v>40427</v>
      </c>
      <c r="N667">
        <v>48.738937</v>
      </c>
      <c r="O667" s="36">
        <f>IF(ISBLANK(N668),"",Long2[[#This Row],[Adj Close]]/N668-1)</f>
        <v>2.1514649193760338E-2</v>
      </c>
      <c r="P667" s="29">
        <v>40427</v>
      </c>
      <c r="Q667">
        <v>13.696476000000001</v>
      </c>
      <c r="R667" s="33">
        <f>IF(ISBLANK(Q668),"",Long3[[#This Row],[Adj Close]]/Q668-1)</f>
        <v>-1.6605901925787148E-2</v>
      </c>
      <c r="S667" s="37">
        <v>40427</v>
      </c>
      <c r="T667" s="35">
        <v>11.322732</v>
      </c>
      <c r="U667" s="36">
        <f>IF(ISBLANK(T668),"",Long4[[#This Row],[Adj Close]]/T668-1)</f>
        <v>-2.9239837277438063E-2</v>
      </c>
      <c r="Y667" s="37">
        <v>40427</v>
      </c>
      <c r="Z667" s="35">
        <v>20.396478999999999</v>
      </c>
      <c r="AA667" s="36">
        <f>IF(ISBLANK(Z668),"",Long6[[#This Row],[Adj Close]]/Z668-1)</f>
        <v>-6.8535728803212015E-2</v>
      </c>
      <c r="AH667" s="29">
        <v>40427</v>
      </c>
      <c r="AI667" s="44">
        <v>21.088004999999999</v>
      </c>
      <c r="AJ667" s="33">
        <f>IF(ISBLANK(AI668),"",Short0[[#This Row],[Adj Close]]/AI668-1)</f>
        <v>2.0329360962279441E-2</v>
      </c>
      <c r="AK667" s="37">
        <v>40427</v>
      </c>
      <c r="AL667" s="39">
        <v>23.034433</v>
      </c>
      <c r="AM667" s="36">
        <f>IF(ISBLANK(AL668),"",Short1[[#This Row],[Adj Close]]/AL668-1)</f>
        <v>-1.4256339630365433E-2</v>
      </c>
      <c r="AN667" s="29">
        <v>40427</v>
      </c>
      <c r="AO667" s="44">
        <v>13.09018</v>
      </c>
      <c r="AP667" s="33">
        <f>IF(ISBLANK(AO668),"",Short2[[#This Row],[Adj Close]]/AO668-1)</f>
        <v>5.5364428588922099E-3</v>
      </c>
    </row>
    <row r="668" spans="1:42" x14ac:dyDescent="0.25">
      <c r="A668" s="37">
        <v>40420</v>
      </c>
      <c r="B668" s="39">
        <v>1104.51001</v>
      </c>
      <c r="C668" s="36">
        <f>IF(ISBLANK(B669), "", GSPC[[#This Row],[Adj Close]]/B669-1)</f>
        <v>3.7498046454441214E-2</v>
      </c>
      <c r="D66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6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68" s="11" t="e">
        <f>IF(ISBLANK(GSPC[[#This Row],[Long Exp.]]), "", (GSPC[[#This Row],[Long Exp.]]/D669-1)+(E669/GSPC[[#This Row],[Short Exp.]]-1))</f>
        <v>#VALUE!</v>
      </c>
      <c r="G668" s="37">
        <v>40420</v>
      </c>
      <c r="H668">
        <v>16.289984</v>
      </c>
      <c r="I668" s="36">
        <f>IF(ISBLANK(H669), "", Long0[[#This Row],[Adj Close]]/H669-1)</f>
        <v>2.5951755405807519E-2</v>
      </c>
      <c r="J668" s="29">
        <v>40420</v>
      </c>
      <c r="K668">
        <v>1.936782</v>
      </c>
      <c r="L668" s="33">
        <f>IF(ISBLANK(K669),"",Long1[[#This Row],[Adj Close]]/K669-1)</f>
        <v>5.2631521737358078E-2</v>
      </c>
      <c r="M668" s="37">
        <v>40420</v>
      </c>
      <c r="N668">
        <v>47.712420999999999</v>
      </c>
      <c r="O668" s="36">
        <f>IF(ISBLANK(N669),"",Long2[[#This Row],[Adj Close]]/N669-1)</f>
        <v>-2.917556353719819E-3</v>
      </c>
      <c r="P668" s="29">
        <v>40420</v>
      </c>
      <c r="Q668">
        <v>13.927759</v>
      </c>
      <c r="R668" s="33">
        <f>IF(ISBLANK(Q669),"",Long3[[#This Row],[Adj Close]]/Q669-1)</f>
        <v>1.0948453439131534E-2</v>
      </c>
      <c r="S668" s="37">
        <v>40420</v>
      </c>
      <c r="T668" s="35">
        <v>11.663779</v>
      </c>
      <c r="U668" s="36">
        <f>IF(ISBLANK(T669),"",Long4[[#This Row],[Adj Close]]/T669-1)</f>
        <v>2.4719183055616822E-2</v>
      </c>
      <c r="Y668" s="37">
        <v>40420</v>
      </c>
      <c r="Z668" s="35">
        <v>21.897220999999998</v>
      </c>
      <c r="AA668" s="36">
        <f>IF(ISBLANK(Z669),"",Long6[[#This Row],[Adj Close]]/Z669-1)</f>
        <v>0.13085053799941204</v>
      </c>
      <c r="AH668" s="29">
        <v>40420</v>
      </c>
      <c r="AI668" s="44">
        <v>20.667840999999999</v>
      </c>
      <c r="AJ668" s="33">
        <f>IF(ISBLANK(AI669),"",Short0[[#This Row],[Adj Close]]/AI669-1)</f>
        <v>5.7678787625083494E-2</v>
      </c>
      <c r="AK668" s="37">
        <v>40420</v>
      </c>
      <c r="AL668" s="39">
        <v>23.367569</v>
      </c>
      <c r="AM668" s="36">
        <f>IF(ISBLANK(AL669),"",Short1[[#This Row],[Adj Close]]/AL669-1)</f>
        <v>7.8781742657981102E-2</v>
      </c>
      <c r="AN668" s="29">
        <v>40420</v>
      </c>
      <c r="AO668" s="44">
        <v>13.018106</v>
      </c>
      <c r="AP668" s="33">
        <f>IF(ISBLANK(AO669),"",Short2[[#This Row],[Adj Close]]/AO669-1)</f>
        <v>7.2754193620584218E-2</v>
      </c>
    </row>
    <row r="669" spans="1:42" x14ac:dyDescent="0.25">
      <c r="A669" s="37">
        <v>40413</v>
      </c>
      <c r="B669" s="39">
        <v>1064.589966</v>
      </c>
      <c r="C669" s="36">
        <f>IF(ISBLANK(B670), "", GSPC[[#This Row],[Adj Close]]/B670-1)</f>
        <v>-6.625027191516808E-3</v>
      </c>
      <c r="D66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6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69" s="11" t="e">
        <f>IF(ISBLANK(GSPC[[#This Row],[Long Exp.]]), "", (GSPC[[#This Row],[Long Exp.]]/D670-1)+(E670/GSPC[[#This Row],[Short Exp.]]-1))</f>
        <v>#VALUE!</v>
      </c>
      <c r="G669" s="37">
        <v>40413</v>
      </c>
      <c r="H669">
        <v>15.877924</v>
      </c>
      <c r="I669" s="36">
        <f>IF(ISBLANK(H670), "", Long0[[#This Row],[Adj Close]]/H670-1)</f>
        <v>-1.1402608370480127E-2</v>
      </c>
      <c r="J669" s="29">
        <v>40413</v>
      </c>
      <c r="K669">
        <v>1.8399430000000001</v>
      </c>
      <c r="L669" s="33">
        <f>IF(ISBLANK(K670),"",Long1[[#This Row],[Adj Close]]/K670-1)</f>
        <v>-4.9999948367962843E-2</v>
      </c>
      <c r="M669" s="37">
        <v>40413</v>
      </c>
      <c r="N669">
        <v>47.852032000000001</v>
      </c>
      <c r="O669" s="36">
        <f>IF(ISBLANK(N670),"",Long2[[#This Row],[Adj Close]]/N670-1)</f>
        <v>2.8778363488875414E-2</v>
      </c>
      <c r="P669" s="29">
        <v>40413</v>
      </c>
      <c r="Q669">
        <v>13.776923</v>
      </c>
      <c r="R669" s="33">
        <f>IF(ISBLANK(Q670),"",Long3[[#This Row],[Adj Close]]/Q670-1)</f>
        <v>3.1626643267922638E-2</v>
      </c>
      <c r="S669" s="37">
        <v>40413</v>
      </c>
      <c r="T669" s="35">
        <v>11.382415</v>
      </c>
      <c r="U669" s="36">
        <f>IF(ISBLANK(T670),"",Long4[[#This Row],[Adj Close]]/T670-1)</f>
        <v>2.455871861199399E-2</v>
      </c>
      <c r="Y669" s="37">
        <v>40413</v>
      </c>
      <c r="Z669" s="35">
        <v>19.363496999999999</v>
      </c>
      <c r="AA669" s="36">
        <f>IF(ISBLANK(Z670),"",Long6[[#This Row],[Adj Close]]/Z670-1)</f>
        <v>1.3258521333586293E-2</v>
      </c>
      <c r="AH669" s="29">
        <v>40413</v>
      </c>
      <c r="AI669" s="44">
        <v>19.540754</v>
      </c>
      <c r="AJ669" s="33">
        <f>IF(ISBLANK(AI670),"",Short0[[#This Row],[Adj Close]]/AI670-1)</f>
        <v>-1.1137181760648374E-2</v>
      </c>
      <c r="AK669" s="37">
        <v>40413</v>
      </c>
      <c r="AL669" s="39">
        <v>21.661072000000001</v>
      </c>
      <c r="AM669" s="36">
        <f>IF(ISBLANK(AL670),"",Short1[[#This Row],[Adj Close]]/AL670-1)</f>
        <v>-1.9692125245285408E-2</v>
      </c>
      <c r="AN669" s="29">
        <v>40413</v>
      </c>
      <c r="AO669" s="44">
        <v>12.135218</v>
      </c>
      <c r="AP669" s="33">
        <f>IF(ISBLANK(AO670),"",Short2[[#This Row],[Adj Close]]/AO670-1)</f>
        <v>5.4816072413582662E-2</v>
      </c>
    </row>
    <row r="670" spans="1:42" x14ac:dyDescent="0.25">
      <c r="A670" s="37">
        <v>40406</v>
      </c>
      <c r="B670" s="39">
        <v>1071.6899410000001</v>
      </c>
      <c r="C670" s="36">
        <f>IF(ISBLANK(B671), "", GSPC[[#This Row],[Adj Close]]/B671-1)</f>
        <v>-7.0049191568217761E-3</v>
      </c>
      <c r="D67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7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70" s="11" t="e">
        <f>IF(ISBLANK(GSPC[[#This Row],[Long Exp.]]), "", (GSPC[[#This Row],[Long Exp.]]/D671-1)+(E671/GSPC[[#This Row],[Short Exp.]]-1))</f>
        <v>#VALUE!</v>
      </c>
      <c r="G670" s="37">
        <v>40406</v>
      </c>
      <c r="H670">
        <v>16.061062</v>
      </c>
      <c r="I670" s="36">
        <f>IF(ISBLANK(H671), "", Long0[[#This Row],[Adj Close]]/H671-1)</f>
        <v>4.5820548849575538E-3</v>
      </c>
      <c r="J670" s="29">
        <v>40406</v>
      </c>
      <c r="K670">
        <v>1.936782</v>
      </c>
      <c r="L670" s="33">
        <f>IF(ISBLANK(K671),"",Long1[[#This Row],[Adj Close]]/K671-1)</f>
        <v>-7.0921185922805385E-3</v>
      </c>
      <c r="M670" s="37">
        <v>40406</v>
      </c>
      <c r="N670">
        <v>46.513451000000003</v>
      </c>
      <c r="O670" s="36">
        <f>IF(ISBLANK(N671),"",Long2[[#This Row],[Adj Close]]/N671-1)</f>
        <v>0.10625006317477359</v>
      </c>
      <c r="P670" s="29">
        <v>40406</v>
      </c>
      <c r="Q670">
        <v>13.354563000000001</v>
      </c>
      <c r="R670" s="33">
        <f>IF(ISBLANK(Q671),"",Long3[[#This Row],[Adj Close]]/Q671-1)</f>
        <v>-1.1905028794791717E-2</v>
      </c>
      <c r="S670" s="37">
        <v>40406</v>
      </c>
      <c r="T670" s="35">
        <v>11.109578000000001</v>
      </c>
      <c r="U670" s="36">
        <f>IF(ISBLANK(T671),"",Long4[[#This Row],[Adj Close]]/T671-1)</f>
        <v>3.0794172925543428E-3</v>
      </c>
      <c r="Y670" s="37">
        <v>40406</v>
      </c>
      <c r="Z670" s="35">
        <v>19.110125</v>
      </c>
      <c r="AA670" s="36">
        <f>IF(ISBLANK(Z671),"",Long6[[#This Row],[Adj Close]]/Z671-1)</f>
        <v>-4.2012370441918634E-2</v>
      </c>
      <c r="AH670" s="29">
        <v>40406</v>
      </c>
      <c r="AI670" s="44">
        <v>19.760833999999999</v>
      </c>
      <c r="AJ670" s="33">
        <f>IF(ISBLANK(AI671),"",Short0[[#This Row],[Adj Close]]/AI671-1)</f>
        <v>4.3677264878177136E-2</v>
      </c>
      <c r="AK670" s="37">
        <v>40406</v>
      </c>
      <c r="AL670" s="39">
        <v>22.096193</v>
      </c>
      <c r="AM670" s="36">
        <f>IF(ISBLANK(AL671),"",Short1[[#This Row],[Adj Close]]/AL671-1)</f>
        <v>-1.9311877713307002E-2</v>
      </c>
      <c r="AN670" s="29">
        <v>40406</v>
      </c>
      <c r="AO670" s="44">
        <v>11.504581999999999</v>
      </c>
      <c r="AP670" s="33">
        <f>IF(ISBLANK(AO671),"",Short2[[#This Row],[Adj Close]]/AO671-1)</f>
        <v>-4.2010430599690007E-2</v>
      </c>
    </row>
    <row r="671" spans="1:42" x14ac:dyDescent="0.25">
      <c r="A671" s="37">
        <v>40399</v>
      </c>
      <c r="B671" s="39">
        <v>1079.25</v>
      </c>
      <c r="C671" s="36">
        <f>IF(ISBLANK(B672), "", GSPC[[#This Row],[Adj Close]]/B672-1)</f>
        <v>-3.7792887587021373E-2</v>
      </c>
      <c r="D67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7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71" s="11" t="e">
        <f>IF(ISBLANK(GSPC[[#This Row],[Long Exp.]]), "", (GSPC[[#This Row],[Long Exp.]]/D672-1)+(E672/GSPC[[#This Row],[Short Exp.]]-1))</f>
        <v>#VALUE!</v>
      </c>
      <c r="G671" s="37">
        <v>40399</v>
      </c>
      <c r="H671">
        <v>15.987805</v>
      </c>
      <c r="I671" s="36">
        <f>IF(ISBLANK(H672), "", Long0[[#This Row],[Adj Close]]/H672-1)</f>
        <v>-1.0765022456984519E-2</v>
      </c>
      <c r="J671" s="29">
        <v>40399</v>
      </c>
      <c r="K671">
        <v>1.9506159999999999</v>
      </c>
      <c r="L671" s="33">
        <f>IF(ISBLANK(K672),"",Long1[[#This Row],[Adj Close]]/K672-1)</f>
        <v>1.4388324593280544E-2</v>
      </c>
      <c r="M671" s="37">
        <v>40399</v>
      </c>
      <c r="N671">
        <v>42.046055000000003</v>
      </c>
      <c r="O671" s="36">
        <f>IF(ISBLANK(N672),"",Long2[[#This Row],[Adj Close]]/N672-1)</f>
        <v>1.2361485449019494E-3</v>
      </c>
      <c r="P671" s="29">
        <v>40399</v>
      </c>
      <c r="Q671">
        <v>13.515465000000001</v>
      </c>
      <c r="R671" s="33">
        <f>IF(ISBLANK(Q672),"",Long3[[#This Row],[Adj Close]]/Q672-1)</f>
        <v>3.7342978357068901E-3</v>
      </c>
      <c r="S671" s="37">
        <v>40399</v>
      </c>
      <c r="T671" s="35">
        <v>11.075472</v>
      </c>
      <c r="U671" s="36">
        <f>IF(ISBLANK(T672),"",Long4[[#This Row],[Adj Close]]/T672-1)</f>
        <v>-9.6662164171453568E-2</v>
      </c>
      <c r="Y671" s="37">
        <v>40399</v>
      </c>
      <c r="Z671" s="35">
        <v>19.948195999999999</v>
      </c>
      <c r="AA671" s="36">
        <f>IF(ISBLANK(Z672),"",Long6[[#This Row],[Adj Close]]/Z672-1)</f>
        <v>1.3366213733131183E-2</v>
      </c>
      <c r="AH671" s="29">
        <v>40399</v>
      </c>
      <c r="AI671" s="44">
        <v>18.933855000000001</v>
      </c>
      <c r="AJ671" s="33">
        <f>IF(ISBLANK(AI672),"",Short0[[#This Row],[Adj Close]]/AI672-1)</f>
        <v>-1.4578048654943832E-2</v>
      </c>
      <c r="AK671" s="37">
        <v>40399</v>
      </c>
      <c r="AL671" s="39">
        <v>22.531314999999999</v>
      </c>
      <c r="AM671" s="36">
        <f>IF(ISBLANK(AL672),"",Short1[[#This Row],[Adj Close]]/AL672-1)</f>
        <v>-5.070194450650789E-2</v>
      </c>
      <c r="AN671" s="29">
        <v>40399</v>
      </c>
      <c r="AO671" s="44">
        <v>12.009088999999999</v>
      </c>
      <c r="AP671" s="33">
        <f>IF(ISBLANK(AO672),"",Short2[[#This Row],[Adj Close]]/AO672-1)</f>
        <v>-7.3662028531677026E-2</v>
      </c>
    </row>
    <row r="672" spans="1:42" x14ac:dyDescent="0.25">
      <c r="A672" s="37">
        <v>40392</v>
      </c>
      <c r="B672" s="39">
        <v>1121.6400149999999</v>
      </c>
      <c r="C672" s="36">
        <f>IF(ISBLANK(B673), "", GSPC[[#This Row],[Adj Close]]/B673-1)</f>
        <v>1.8191756932282255E-2</v>
      </c>
      <c r="D67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7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72" s="11" t="e">
        <f>IF(ISBLANK(GSPC[[#This Row],[Long Exp.]]), "", (GSPC[[#This Row],[Long Exp.]]/D673-1)+(E673/GSPC[[#This Row],[Short Exp.]]-1))</f>
        <v>#VALUE!</v>
      </c>
      <c r="G672" s="37">
        <v>40392</v>
      </c>
      <c r="H672">
        <v>16.161787</v>
      </c>
      <c r="I672" s="36">
        <f>IF(ISBLANK(H673), "", Long0[[#This Row],[Adj Close]]/H673-1)</f>
        <v>1.4368102855594866E-2</v>
      </c>
      <c r="J672" s="29">
        <v>40392</v>
      </c>
      <c r="K672">
        <v>1.9229480000000001</v>
      </c>
      <c r="L672" s="33">
        <f>IF(ISBLANK(K673),"",Long1[[#This Row],[Adj Close]]/K673-1)</f>
        <v>-4.1379334411125179E-2</v>
      </c>
      <c r="M672" s="37">
        <v>40392</v>
      </c>
      <c r="N672">
        <v>41.994143999999999</v>
      </c>
      <c r="O672" s="36">
        <f>IF(ISBLANK(N673),"",Long2[[#This Row],[Adj Close]]/N673-1)</f>
        <v>7.4291475045180189E-2</v>
      </c>
      <c r="P672" s="29">
        <v>40392</v>
      </c>
      <c r="Q672">
        <v>13.465182</v>
      </c>
      <c r="R672" s="33">
        <f>IF(ISBLANK(Q673),"",Long3[[#This Row],[Adj Close]]/Q673-1)</f>
        <v>-1.8688109043739964E-2</v>
      </c>
      <c r="S672" s="37">
        <v>40392</v>
      </c>
      <c r="T672" s="35">
        <v>12.260609000000001</v>
      </c>
      <c r="U672" s="36">
        <f>IF(ISBLANK(T673),"",Long4[[#This Row],[Adj Close]]/T673-1)</f>
        <v>3.453251578385319E-2</v>
      </c>
      <c r="Y672" s="37">
        <v>40392</v>
      </c>
      <c r="Z672" s="35">
        <v>19.685081</v>
      </c>
      <c r="AA672" s="36">
        <f>IF(ISBLANK(Z673),"",Long6[[#This Row],[Adj Close]]/Z673-1)</f>
        <v>-1.9893515615294843E-2</v>
      </c>
      <c r="AH672" s="29">
        <v>40392</v>
      </c>
      <c r="AI672" s="44">
        <v>19.213957000000001</v>
      </c>
      <c r="AJ672" s="33">
        <f>IF(ISBLANK(AI673),"",Short0[[#This Row],[Adj Close]]/AI673-1)</f>
        <v>7.2598573196196448E-2</v>
      </c>
      <c r="AK672" s="37">
        <v>40392</v>
      </c>
      <c r="AL672" s="39">
        <v>23.734711000000001</v>
      </c>
      <c r="AM672" s="36">
        <f>IF(ISBLANK(AL673),"",Short1[[#This Row],[Adj Close]]/AL673-1)</f>
        <v>7.2129803771643353E-3</v>
      </c>
      <c r="AN672" s="29">
        <v>40392</v>
      </c>
      <c r="AO672" s="44">
        <v>12.964047000000001</v>
      </c>
      <c r="AP672" s="33">
        <f>IF(ISBLANK(AO673),"",Short2[[#This Row],[Adj Close]]/AO673-1)</f>
        <v>-2.5727860715361484E-2</v>
      </c>
    </row>
    <row r="673" spans="1:42" x14ac:dyDescent="0.25">
      <c r="A673" s="37">
        <v>40385</v>
      </c>
      <c r="B673" s="39">
        <v>1101.599976</v>
      </c>
      <c r="C673" s="36">
        <f>IF(ISBLANK(B674), "", GSPC[[#This Row],[Adj Close]]/B674-1)</f>
        <v>-9.6136430750515256E-4</v>
      </c>
      <c r="D67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7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73" s="11" t="e">
        <f>IF(ISBLANK(GSPC[[#This Row],[Long Exp.]]), "", (GSPC[[#This Row],[Long Exp.]]/D674-1)+(E674/GSPC[[#This Row],[Short Exp.]]-1))</f>
        <v>#VALUE!</v>
      </c>
      <c r="G673" s="37">
        <v>40385</v>
      </c>
      <c r="H673">
        <v>15.932862</v>
      </c>
      <c r="I673" s="36">
        <f>IF(ISBLANK(H674), "", Long0[[#This Row],[Adj Close]]/H674-1)</f>
        <v>-2.0270305170641545E-2</v>
      </c>
      <c r="J673" s="29">
        <v>40385</v>
      </c>
      <c r="K673">
        <v>2.0059529999999999</v>
      </c>
      <c r="L673" s="33">
        <f>IF(ISBLANK(K674),"",Long1[[#This Row],[Adj Close]]/K674-1)</f>
        <v>4.3165493814705247E-2</v>
      </c>
      <c r="M673" s="37">
        <v>40385</v>
      </c>
      <c r="N673">
        <v>39.090083999999997</v>
      </c>
      <c r="O673" s="36">
        <f>IF(ISBLANK(N674),"",Long2[[#This Row],[Adj Close]]/N674-1)</f>
        <v>1.8163062748767667E-2</v>
      </c>
      <c r="P673" s="29">
        <v>40385</v>
      </c>
      <c r="Q673">
        <v>13.721613</v>
      </c>
      <c r="R673" s="33">
        <f>IF(ISBLANK(Q674),"",Long3[[#This Row],[Adj Close]]/Q674-1)</f>
        <v>2.3631164293556273E-2</v>
      </c>
      <c r="S673" s="37">
        <v>40385</v>
      </c>
      <c r="T673" s="35">
        <v>11.851352</v>
      </c>
      <c r="U673" s="36">
        <f>IF(ISBLANK(T674),"",Long4[[#This Row],[Adj Close]]/T674-1)</f>
        <v>-6.1445052926480392E-2</v>
      </c>
      <c r="Y673" s="37">
        <v>40385</v>
      </c>
      <c r="Z673" s="35">
        <v>20.084634999999999</v>
      </c>
      <c r="AA673" s="36">
        <f>IF(ISBLANK(Z674),"",Long6[[#This Row],[Adj Close]]/Z674-1)</f>
        <v>-8.1809154342941115E-3</v>
      </c>
      <c r="AH673" s="29">
        <v>40385</v>
      </c>
      <c r="AI673" s="44">
        <v>17.913464999999999</v>
      </c>
      <c r="AJ673" s="33">
        <f>IF(ISBLANK(AI674),"",Short0[[#This Row],[Adj Close]]/AI674-1)</f>
        <v>5.1683504144539816E-2</v>
      </c>
      <c r="AK673" s="37">
        <v>40385</v>
      </c>
      <c r="AL673" s="39">
        <v>23.564738999999999</v>
      </c>
      <c r="AM673" s="36">
        <f>IF(ISBLANK(AL674),"",Short1[[#This Row],[Adj Close]]/AL674-1)</f>
        <v>-3.157280236715565E-2</v>
      </c>
      <c r="AN673" s="29">
        <v>40385</v>
      </c>
      <c r="AO673" s="44">
        <v>13.306392000000001</v>
      </c>
      <c r="AP673" s="33">
        <f>IF(ISBLANK(AO674),"",Short2[[#This Row],[Adj Close]]/AO674-1)</f>
        <v>-7.8924875233442604E-3</v>
      </c>
    </row>
    <row r="674" spans="1:42" x14ac:dyDescent="0.25">
      <c r="A674" s="37">
        <v>40378</v>
      </c>
      <c r="B674" s="39">
        <v>1102.660034</v>
      </c>
      <c r="C674" s="36">
        <f>IF(ISBLANK(B675), "", GSPC[[#This Row],[Adj Close]]/B675-1)</f>
        <v>3.5478203011239717E-2</v>
      </c>
      <c r="D67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7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74" s="11" t="e">
        <f>IF(ISBLANK(GSPC[[#This Row],[Long Exp.]]), "", (GSPC[[#This Row],[Long Exp.]]/D675-1)+(E675/GSPC[[#This Row],[Short Exp.]]-1))</f>
        <v>#VALUE!</v>
      </c>
      <c r="G674" s="37">
        <v>40378</v>
      </c>
      <c r="H674">
        <v>16.262508</v>
      </c>
      <c r="I674" s="36">
        <f>IF(ISBLANK(H675), "", Long0[[#This Row],[Adj Close]]/H675-1)</f>
        <v>2.8231345833924504E-3</v>
      </c>
      <c r="J674" s="29">
        <v>40378</v>
      </c>
      <c r="K674">
        <v>1.9229480000000001</v>
      </c>
      <c r="L674" s="33">
        <f>IF(ISBLANK(K675),"",Long1[[#This Row],[Adj Close]]/K675-1)</f>
        <v>1.4598370689291373E-2</v>
      </c>
      <c r="M674" s="37">
        <v>40378</v>
      </c>
      <c r="N674">
        <v>38.392753999999996</v>
      </c>
      <c r="O674" s="36">
        <f>IF(ISBLANK(N675),"",Long2[[#This Row],[Adj Close]]/N675-1)</f>
        <v>4.5576114142250157E-2</v>
      </c>
      <c r="P674" s="29">
        <v>40378</v>
      </c>
      <c r="Q674">
        <v>13.404840999999999</v>
      </c>
      <c r="R674" s="33">
        <f>IF(ISBLANK(Q675),"",Long3[[#This Row],[Adj Close]]/Q675-1)</f>
        <v>3.6547209079967446E-2</v>
      </c>
      <c r="S674" s="37">
        <v>40378</v>
      </c>
      <c r="T674" s="35">
        <v>12.627233</v>
      </c>
      <c r="U674" s="36">
        <f>IF(ISBLANK(T675),"",Long4[[#This Row],[Adj Close]]/T675-1)</f>
        <v>0.1035766252328354</v>
      </c>
      <c r="Y674" s="37">
        <v>40378</v>
      </c>
      <c r="Z674" s="35">
        <v>20.250301</v>
      </c>
      <c r="AA674" s="36">
        <f>IF(ISBLANK(Z675),"",Long6[[#This Row],[Adj Close]]/Z675-1)</f>
        <v>8.8527701355011423E-2</v>
      </c>
      <c r="AH674" s="29">
        <v>40378</v>
      </c>
      <c r="AI674" s="44">
        <v>17.033132999999999</v>
      </c>
      <c r="AJ674" s="33">
        <f>IF(ISBLANK(AI675),"",Short0[[#This Row],[Adj Close]]/AI675-1)</f>
        <v>8.6808822932641805E-2</v>
      </c>
      <c r="AK674" s="37">
        <v>40378</v>
      </c>
      <c r="AL674" s="39">
        <v>24.332999999999998</v>
      </c>
      <c r="AM674" s="36">
        <f>IF(ISBLANK(AL675),"",Short1[[#This Row],[Adj Close]]/AL675-1)</f>
        <v>4.2528013682724852E-2</v>
      </c>
      <c r="AN674" s="29">
        <v>40378</v>
      </c>
      <c r="AO674" s="44">
        <v>13.412248</v>
      </c>
      <c r="AP674" s="33">
        <f>IF(ISBLANK(AO675),"",Short2[[#This Row],[Adj Close]]/AO675-1)</f>
        <v>6.2633445697955148E-2</v>
      </c>
    </row>
    <row r="675" spans="1:42" x14ac:dyDescent="0.25">
      <c r="A675" s="37">
        <v>40371</v>
      </c>
      <c r="B675" s="39">
        <v>1064.880005</v>
      </c>
      <c r="C675" s="36">
        <f>IF(ISBLANK(B676), "", GSPC[[#This Row],[Adj Close]]/B676-1)</f>
        <v>-1.213399056850506E-2</v>
      </c>
      <c r="D67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7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75" s="11" t="e">
        <f>IF(ISBLANK(GSPC[[#This Row],[Long Exp.]]), "", (GSPC[[#This Row],[Long Exp.]]/D676-1)+(E676/GSPC[[#This Row],[Short Exp.]]-1))</f>
        <v>#VALUE!</v>
      </c>
      <c r="G675" s="37">
        <v>40371</v>
      </c>
      <c r="H675">
        <v>16.216726000000001</v>
      </c>
      <c r="I675" s="36">
        <f>IF(ISBLANK(H676), "", Long0[[#This Row],[Adj Close]]/H676-1)</f>
        <v>5.6785800176346601E-3</v>
      </c>
      <c r="J675" s="29">
        <v>40371</v>
      </c>
      <c r="K675">
        <v>1.8952800000000001</v>
      </c>
      <c r="L675" s="33">
        <f>IF(ISBLANK(K676),"",Long1[[#This Row],[Adj Close]]/K676-1)</f>
        <v>2.2388345523760345E-2</v>
      </c>
      <c r="M675" s="37">
        <v>40371</v>
      </c>
      <c r="N675">
        <v>36.719234</v>
      </c>
      <c r="O675" s="36">
        <f>IF(ISBLANK(N676),"",Long2[[#This Row],[Adj Close]]/N676-1)</f>
        <v>-2.9699145232202295E-2</v>
      </c>
      <c r="P675" s="29">
        <v>40371</v>
      </c>
      <c r="Q675">
        <v>12.932205</v>
      </c>
      <c r="R675" s="33">
        <f>IF(ISBLANK(Q676),"",Long3[[#This Row],[Adj Close]]/Q676-1)</f>
        <v>-1.9069734525732795E-2</v>
      </c>
      <c r="S675" s="37">
        <v>40371</v>
      </c>
      <c r="T675" s="35">
        <v>11.442099000000001</v>
      </c>
      <c r="U675" s="36">
        <f>IF(ISBLANK(T676),"",Long4[[#This Row],[Adj Close]]/T676-1)</f>
        <v>-5.9256466270876107E-3</v>
      </c>
      <c r="Y675" s="37">
        <v>40371</v>
      </c>
      <c r="Z675" s="35">
        <v>18.603386</v>
      </c>
      <c r="AA675" s="36">
        <f>IF(ISBLANK(Z676),"",Long6[[#This Row],[Adj Close]]/Z676-1)</f>
        <v>-1.9516709717508851E-2</v>
      </c>
      <c r="AH675" s="29">
        <v>40371</v>
      </c>
      <c r="AI675" s="44">
        <v>15.672612000000001</v>
      </c>
      <c r="AJ675" s="33">
        <f>IF(ISBLANK(AI676),"",Short0[[#This Row],[Adj Close]]/AI676-1)</f>
        <v>7.7184671086516499E-3</v>
      </c>
      <c r="AK675" s="37">
        <v>40371</v>
      </c>
      <c r="AL675" s="39">
        <v>23.34038</v>
      </c>
      <c r="AM675" s="36">
        <f>IF(ISBLANK(AL676),"",Short1[[#This Row],[Adj Close]]/AL676-1)</f>
        <v>-1.1635356677452968E-3</v>
      </c>
      <c r="AN675" s="29">
        <v>40371</v>
      </c>
      <c r="AO675" s="44">
        <v>12.621707000000001</v>
      </c>
      <c r="AP675" s="33">
        <f>IF(ISBLANK(AO676),"",Short2[[#This Row],[Adj Close]]/AO676-1)</f>
        <v>-3.5689706440079738E-2</v>
      </c>
    </row>
    <row r="676" spans="1:42" x14ac:dyDescent="0.25">
      <c r="A676" s="37">
        <v>40364</v>
      </c>
      <c r="B676" s="39">
        <v>1077.959961</v>
      </c>
      <c r="C676" s="36">
        <f>IF(ISBLANK(B677), "", GSPC[[#This Row],[Adj Close]]/B677-1)</f>
        <v>5.415707629655353E-2</v>
      </c>
      <c r="D67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7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76" s="11" t="e">
        <f>IF(ISBLANK(GSPC[[#This Row],[Long Exp.]]), "", (GSPC[[#This Row],[Long Exp.]]/D677-1)+(E677/GSPC[[#This Row],[Short Exp.]]-1))</f>
        <v>#VALUE!</v>
      </c>
      <c r="G676" s="37">
        <v>40364</v>
      </c>
      <c r="H676">
        <v>16.125157999999999</v>
      </c>
      <c r="I676" s="36">
        <f>IF(ISBLANK(H677), "", Long0[[#This Row],[Adj Close]]/H677-1)</f>
        <v>4.2628777293894915E-2</v>
      </c>
      <c r="J676" s="29">
        <v>40364</v>
      </c>
      <c r="K676">
        <v>1.853777</v>
      </c>
      <c r="L676" s="33">
        <f>IF(ISBLANK(K677),"",Long1[[#This Row],[Adj Close]]/K677-1)</f>
        <v>6.3491908687031806E-2</v>
      </c>
      <c r="M676" s="37">
        <v>40364</v>
      </c>
      <c r="N676">
        <v>37.843142999999998</v>
      </c>
      <c r="O676" s="36">
        <f>IF(ISBLANK(N677),"",Long2[[#This Row],[Adj Close]]/N677-1)</f>
        <v>0.16992232966847887</v>
      </c>
      <c r="P676" s="29">
        <v>40364</v>
      </c>
      <c r="Q676">
        <v>13.183612999999999</v>
      </c>
      <c r="R676" s="33">
        <f>IF(ISBLANK(Q677),"",Long3[[#This Row],[Adj Close]]/Q677-1)</f>
        <v>2.9851171825994394E-2</v>
      </c>
      <c r="S676" s="37">
        <v>40364</v>
      </c>
      <c r="T676" s="35">
        <v>11.510305000000001</v>
      </c>
      <c r="U676" s="36">
        <f>IF(ISBLANK(T677),"",Long4[[#This Row],[Adj Close]]/T677-1)</f>
        <v>5.6337840744816958E-2</v>
      </c>
      <c r="Y676" s="37">
        <v>40364</v>
      </c>
      <c r="Z676" s="35">
        <v>18.973690000000001</v>
      </c>
      <c r="AA676" s="36">
        <f>IF(ISBLANK(Z677),"",Long6[[#This Row],[Adj Close]]/Z677-1)</f>
        <v>8.4679624685800148E-2</v>
      </c>
      <c r="AH676" s="29">
        <v>40364</v>
      </c>
      <c r="AI676" s="44">
        <v>15.552569999999999</v>
      </c>
      <c r="AJ676" s="33">
        <f>IF(ISBLANK(AI677),"",Short0[[#This Row],[Adj Close]]/AI677-1)</f>
        <v>8.0129744163367045E-2</v>
      </c>
      <c r="AK676" s="37">
        <v>40364</v>
      </c>
      <c r="AL676" s="39">
        <v>23.367569</v>
      </c>
      <c r="AM676" s="36">
        <f>IF(ISBLANK(AL677),"",Short1[[#This Row],[Adj Close]]/AL677-1)</f>
        <v>1.9276048538290125E-2</v>
      </c>
      <c r="AN676" s="29">
        <v>40364</v>
      </c>
      <c r="AO676" s="44">
        <v>13.088844</v>
      </c>
      <c r="AP676" s="33">
        <f>IF(ISBLANK(AO677),"",Short2[[#This Row],[Adj Close]]/AO677-1)</f>
        <v>6.7399205863140521E-2</v>
      </c>
    </row>
    <row r="677" spans="1:42" x14ac:dyDescent="0.25">
      <c r="A677" s="37">
        <v>40357</v>
      </c>
      <c r="B677" s="39">
        <v>1022.580017</v>
      </c>
      <c r="C677" s="36">
        <f>IF(ISBLANK(B678), "", GSPC[[#This Row],[Adj Close]]/B678-1)</f>
        <v>-5.0317612556952218E-2</v>
      </c>
      <c r="D67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7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77" s="11" t="e">
        <f>IF(ISBLANK(GSPC[[#This Row],[Long Exp.]]), "", (GSPC[[#This Row],[Long Exp.]]/D678-1)+(E678/GSPC[[#This Row],[Short Exp.]]-1))</f>
        <v>#VALUE!</v>
      </c>
      <c r="G677" s="37">
        <v>40357</v>
      </c>
      <c r="H677">
        <v>15.465866999999999</v>
      </c>
      <c r="I677" s="36">
        <f>IF(ISBLANK(H678), "", Long0[[#This Row],[Adj Close]]/H678-1)</f>
        <v>-5.800339465215909E-2</v>
      </c>
      <c r="J677" s="29">
        <v>40357</v>
      </c>
      <c r="K677">
        <v>1.743104</v>
      </c>
      <c r="L677" s="33">
        <f>IF(ISBLANK(K678),"",Long1[[#This Row],[Adj Close]]/K678-1)</f>
        <v>-7.3529122562711158E-2</v>
      </c>
      <c r="M677" s="37">
        <v>40357</v>
      </c>
      <c r="N677">
        <v>32.346713999999999</v>
      </c>
      <c r="O677" s="36">
        <f>IF(ISBLANK(N678),"",Long2[[#This Row],[Adj Close]]/N678-1)</f>
        <v>-7.0924045681747705E-2</v>
      </c>
      <c r="P677" s="29">
        <v>40357</v>
      </c>
      <c r="Q677">
        <v>12.801474000000001</v>
      </c>
      <c r="R677" s="33">
        <f>IF(ISBLANK(Q678),"",Long3[[#This Row],[Adj Close]]/Q678-1)</f>
        <v>2.1259374161347377E-2</v>
      </c>
      <c r="S677" s="37">
        <v>40357</v>
      </c>
      <c r="T677" s="35">
        <v>10.896424</v>
      </c>
      <c r="U677" s="36">
        <f>IF(ISBLANK(T678),"",Long4[[#This Row],[Adj Close]]/T678-1)</f>
        <v>-4.4128642154935838E-2</v>
      </c>
      <c r="Y677" s="37">
        <v>40357</v>
      </c>
      <c r="Z677" s="35">
        <v>17.492436999999999</v>
      </c>
      <c r="AA677" s="36">
        <f>IF(ISBLANK(Z678),"",Long6[[#This Row],[Adj Close]]/Z678-1)</f>
        <v>3.3537402385961368E-3</v>
      </c>
      <c r="AH677" s="29">
        <v>40357</v>
      </c>
      <c r="AI677" s="44">
        <v>14.398797999999999</v>
      </c>
      <c r="AJ677" s="33">
        <f>IF(ISBLANK(AI678),"",Short0[[#This Row],[Adj Close]]/AI678-1)</f>
        <v>-0.18528310606869913</v>
      </c>
      <c r="AK677" s="37">
        <v>40357</v>
      </c>
      <c r="AL677" s="39">
        <v>22.925653000000001</v>
      </c>
      <c r="AM677" s="36">
        <f>IF(ISBLANK(AL678),"",Short1[[#This Row],[Adj Close]]/AL678-1)</f>
        <v>-3.6973412737952072E-2</v>
      </c>
      <c r="AN677" s="29">
        <v>40357</v>
      </c>
      <c r="AO677" s="44">
        <v>12.262370000000001</v>
      </c>
      <c r="AP677" s="33">
        <f>IF(ISBLANK(AO678),"",Short2[[#This Row],[Adj Close]]/AO678-1)</f>
        <v>-7.0163037313075161E-2</v>
      </c>
    </row>
    <row r="678" spans="1:42" x14ac:dyDescent="0.25">
      <c r="A678" s="37">
        <v>40350</v>
      </c>
      <c r="B678" s="39">
        <v>1076.76001</v>
      </c>
      <c r="C678" s="36">
        <f>IF(ISBLANK(B679), "", GSPC[[#This Row],[Adj Close]]/B679-1)</f>
        <v>-3.6464997749774075E-2</v>
      </c>
      <c r="D67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7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78" s="11" t="e">
        <f>IF(ISBLANK(GSPC[[#This Row],[Long Exp.]]), "", (GSPC[[#This Row],[Long Exp.]]/D679-1)+(E679/GSPC[[#This Row],[Short Exp.]]-1))</f>
        <v>#VALUE!</v>
      </c>
      <c r="G678" s="37">
        <v>40350</v>
      </c>
      <c r="H678">
        <v>16.418177</v>
      </c>
      <c r="I678" s="36">
        <f>IF(ISBLANK(H679), "", Long0[[#This Row],[Adj Close]]/H679-1)</f>
        <v>-3.7573729481176432E-2</v>
      </c>
      <c r="J678" s="29">
        <v>40350</v>
      </c>
      <c r="K678">
        <v>1.881445</v>
      </c>
      <c r="L678" s="33">
        <f>IF(ISBLANK(K679),"",Long1[[#This Row],[Adj Close]]/K679-1)</f>
        <v>-2.8571620347566218E-2</v>
      </c>
      <c r="M678" s="37">
        <v>40350</v>
      </c>
      <c r="N678">
        <v>34.816006000000002</v>
      </c>
      <c r="O678" s="36">
        <f>IF(ISBLANK(N679),"",Long2[[#This Row],[Adj Close]]/N679-1)</f>
        <v>-2.3469735182124696E-2</v>
      </c>
      <c r="P678" s="29">
        <v>40350</v>
      </c>
      <c r="Q678">
        <v>12.534988</v>
      </c>
      <c r="R678" s="33">
        <f>IF(ISBLANK(Q679),"",Long3[[#This Row],[Adj Close]]/Q679-1)</f>
        <v>-4.3361521696940186E-2</v>
      </c>
      <c r="S678" s="37">
        <v>40350</v>
      </c>
      <c r="T678" s="35">
        <v>11.399467</v>
      </c>
      <c r="U678" s="36">
        <f>IF(ISBLANK(T679),"",Long4[[#This Row],[Adj Close]]/T679-1)</f>
        <v>-1.4938000814783692E-3</v>
      </c>
      <c r="Y678" s="37">
        <v>40350</v>
      </c>
      <c r="Z678" s="35">
        <v>17.433968</v>
      </c>
      <c r="AA678" s="36">
        <f>IF(ISBLANK(Z679),"",Long6[[#This Row],[Adj Close]]/Z679-1)</f>
        <v>-4.3826596093766157E-2</v>
      </c>
      <c r="AH678" s="29">
        <v>40350</v>
      </c>
      <c r="AI678" s="44">
        <v>17.673376000000001</v>
      </c>
      <c r="AJ678" s="33">
        <f>IF(ISBLANK(AI679),"",Short0[[#This Row],[Adj Close]]/AI679-1)</f>
        <v>-9.7158741246945457E-3</v>
      </c>
      <c r="AK678" s="37">
        <v>40350</v>
      </c>
      <c r="AL678" s="39">
        <v>23.805835999999999</v>
      </c>
      <c r="AM678" s="36">
        <f>IF(ISBLANK(AL679),"",Short1[[#This Row],[Adj Close]]/AL679-1)</f>
        <v>-7.0579229977044244E-2</v>
      </c>
      <c r="AN678" s="29">
        <v>40350</v>
      </c>
      <c r="AO678" s="44">
        <v>13.187656</v>
      </c>
      <c r="AP678" s="33">
        <f>IF(ISBLANK(AO679),"",Short2[[#This Row],[Adj Close]]/AO679-1)</f>
        <v>-4.0709698750041046E-3</v>
      </c>
    </row>
    <row r="679" spans="1:42" x14ac:dyDescent="0.25">
      <c r="A679" s="37">
        <v>40343</v>
      </c>
      <c r="B679" s="39">
        <v>1117.51001</v>
      </c>
      <c r="C679" s="36">
        <f>IF(ISBLANK(B680), "", GSPC[[#This Row],[Adj Close]]/B680-1)</f>
        <v>2.373583232838028E-2</v>
      </c>
      <c r="D67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7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79" s="11" t="e">
        <f>IF(ISBLANK(GSPC[[#This Row],[Long Exp.]]), "", (GSPC[[#This Row],[Long Exp.]]/D680-1)+(E680/GSPC[[#This Row],[Short Exp.]]-1))</f>
        <v>#VALUE!</v>
      </c>
      <c r="G679" s="37">
        <v>40343</v>
      </c>
      <c r="H679">
        <v>17.059152999999998</v>
      </c>
      <c r="I679" s="36">
        <f>IF(ISBLANK(H680), "", Long0[[#This Row],[Adj Close]]/H680-1)</f>
        <v>1.6921313982414254E-2</v>
      </c>
      <c r="J679" s="29">
        <v>40343</v>
      </c>
      <c r="K679">
        <v>1.936782</v>
      </c>
      <c r="L679" s="33">
        <f>IF(ISBLANK(K680),"",Long1[[#This Row],[Adj Close]]/K680-1)</f>
        <v>8.5271482893142903E-2</v>
      </c>
      <c r="M679" s="37">
        <v>40343</v>
      </c>
      <c r="N679">
        <v>35.652766999999997</v>
      </c>
      <c r="O679" s="36">
        <f>IF(ISBLANK(N680),"",Long2[[#This Row],[Adj Close]]/N680-1)</f>
        <v>-3.9346162648786875E-2</v>
      </c>
      <c r="P679" s="29">
        <v>40343</v>
      </c>
      <c r="Q679">
        <v>13.103161</v>
      </c>
      <c r="R679" s="33">
        <f>IF(ISBLANK(Q680),"",Long3[[#This Row],[Adj Close]]/Q680-1)</f>
        <v>3.4509463162267773E-2</v>
      </c>
      <c r="S679" s="37">
        <v>40343</v>
      </c>
      <c r="T679" s="35">
        <v>11.416520999999999</v>
      </c>
      <c r="U679" s="36">
        <f>IF(ISBLANK(T680),"",Long4[[#This Row],[Adj Close]]/T680-1)</f>
        <v>1.1329455743377848E-2</v>
      </c>
      <c r="Y679" s="37">
        <v>40343</v>
      </c>
      <c r="Z679" s="35">
        <v>18.233060999999999</v>
      </c>
      <c r="AA679" s="36">
        <f>IF(ISBLANK(Z680),"",Long6[[#This Row],[Adj Close]]/Z680-1)</f>
        <v>-3.7277167945002354E-3</v>
      </c>
      <c r="AH679" s="29">
        <v>40343</v>
      </c>
      <c r="AI679" s="44">
        <v>17.846772999999999</v>
      </c>
      <c r="AJ679" s="33">
        <f>IF(ISBLANK(AI680),"",Short0[[#This Row],[Adj Close]]/AI680-1)</f>
        <v>4.043518225569942E-2</v>
      </c>
      <c r="AK679" s="37">
        <v>40343</v>
      </c>
      <c r="AL679" s="39">
        <v>25.613626</v>
      </c>
      <c r="AM679" s="36">
        <f>IF(ISBLANK(AL680),"",Short1[[#This Row],[Adj Close]]/AL680-1)</f>
        <v>-8.1796282772875206E-2</v>
      </c>
      <c r="AN679" s="29">
        <v>40343</v>
      </c>
      <c r="AO679" s="44">
        <v>13.241562</v>
      </c>
      <c r="AP679" s="33">
        <f>IF(ISBLANK(AO680),"",Short2[[#This Row],[Adj Close]]/AO680-1)</f>
        <v>-5.2089959509544426E-2</v>
      </c>
    </row>
    <row r="680" spans="1:42" x14ac:dyDescent="0.25">
      <c r="A680" s="37">
        <v>40336</v>
      </c>
      <c r="B680" s="39">
        <v>1091.599976</v>
      </c>
      <c r="C680" s="36">
        <f>IF(ISBLANK(B681), "", GSPC[[#This Row],[Adj Close]]/B681-1)</f>
        <v>2.5092001797892616E-2</v>
      </c>
      <c r="D68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8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80" s="11" t="e">
        <f>IF(ISBLANK(GSPC[[#This Row],[Long Exp.]]), "", (GSPC[[#This Row],[Long Exp.]]/D681-1)+(E681/GSPC[[#This Row],[Short Exp.]]-1))</f>
        <v>#VALUE!</v>
      </c>
      <c r="G680" s="37">
        <v>40336</v>
      </c>
      <c r="H680">
        <v>16.775293000000001</v>
      </c>
      <c r="I680" s="36">
        <f>IF(ISBLANK(H681), "", Long0[[#This Row],[Adj Close]]/H681-1)</f>
        <v>-9.7295691002768914E-3</v>
      </c>
      <c r="J680" s="29">
        <v>40336</v>
      </c>
      <c r="K680">
        <v>1.7846059999999999</v>
      </c>
      <c r="L680" s="33">
        <f>IF(ISBLANK(K681),"",Long1[[#This Row],[Adj Close]]/K681-1)</f>
        <v>-4.4444480140671705E-2</v>
      </c>
      <c r="M680" s="37">
        <v>40336</v>
      </c>
      <c r="N680">
        <v>37.113022000000001</v>
      </c>
      <c r="O680" s="36">
        <f>IF(ISBLANK(N681),"",Long2[[#This Row],[Adj Close]]/N681-1)</f>
        <v>5.0627308746693078E-2</v>
      </c>
      <c r="P680" s="29">
        <v>40336</v>
      </c>
      <c r="Q680">
        <v>12.666062</v>
      </c>
      <c r="R680" s="33">
        <f>IF(ISBLANK(Q681),"",Long3[[#This Row],[Adj Close]]/Q681-1)</f>
        <v>1.7935213795888139E-2</v>
      </c>
      <c r="S680" s="37">
        <v>40336</v>
      </c>
      <c r="T680" s="35">
        <v>11.288627</v>
      </c>
      <c r="U680" s="36">
        <f>IF(ISBLANK(T681),"",Long4[[#This Row],[Adj Close]]/T681-1)</f>
        <v>9.1461754831685393E-3</v>
      </c>
      <c r="Y680" s="37">
        <v>40336</v>
      </c>
      <c r="Z680" s="35">
        <v>18.301283000000002</v>
      </c>
      <c r="AA680" s="36">
        <f>IF(ISBLANK(Z681),"",Long6[[#This Row],[Adj Close]]/Z681-1)</f>
        <v>9.3768211383440381E-2</v>
      </c>
      <c r="AH680" s="29">
        <v>40336</v>
      </c>
      <c r="AI680" s="44">
        <v>17.153181</v>
      </c>
      <c r="AJ680" s="33">
        <f>IF(ISBLANK(AI681),"",Short0[[#This Row],[Adj Close]]/AI681-1)</f>
        <v>6.0618994779012336E-2</v>
      </c>
      <c r="AK680" s="37">
        <v>40336</v>
      </c>
      <c r="AL680" s="39">
        <v>27.895363</v>
      </c>
      <c r="AM680" s="36">
        <f>IF(ISBLANK(AL681),"",Short1[[#This Row],[Adj Close]]/AL681-1)</f>
        <v>5.9671069768374663E-2</v>
      </c>
      <c r="AN680" s="29">
        <v>40336</v>
      </c>
      <c r="AO680" s="44">
        <v>13.969218</v>
      </c>
      <c r="AP680" s="33">
        <f>IF(ISBLANK(AO681),"",Short2[[#This Row],[Adj Close]]/AO681-1)</f>
        <v>5.1712732879811707E-3</v>
      </c>
    </row>
    <row r="681" spans="1:42" x14ac:dyDescent="0.25">
      <c r="A681" s="37">
        <v>40329</v>
      </c>
      <c r="B681" s="39">
        <v>1064.880005</v>
      </c>
      <c r="C681" s="36">
        <f>IF(ISBLANK(B682), "", GSPC[[#This Row],[Adj Close]]/B682-1)</f>
        <v>-2.2516801052339108E-2</v>
      </c>
      <c r="D68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8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81" s="11" t="e">
        <f>IF(ISBLANK(GSPC[[#This Row],[Long Exp.]]), "", (GSPC[[#This Row],[Long Exp.]]/D682-1)+(E682/GSPC[[#This Row],[Short Exp.]]-1))</f>
        <v>#VALUE!</v>
      </c>
      <c r="G681" s="37">
        <v>40329</v>
      </c>
      <c r="H681">
        <v>16.940113</v>
      </c>
      <c r="I681" s="36">
        <f>IF(ISBLANK(H682), "", Long0[[#This Row],[Adj Close]]/H682-1)</f>
        <v>-4.8354129896435394E-2</v>
      </c>
      <c r="J681" s="29">
        <v>40329</v>
      </c>
      <c r="K681">
        <v>1.8676109999999999</v>
      </c>
      <c r="L681" s="33">
        <f>IF(ISBLANK(K682),"",Long1[[#This Row],[Adj Close]]/K682-1)</f>
        <v>-3.571439635436513E-2</v>
      </c>
      <c r="M681" s="37">
        <v>40329</v>
      </c>
      <c r="N681">
        <v>35.324630999999997</v>
      </c>
      <c r="O681" s="36">
        <f>IF(ISBLANK(N682),"",Long2[[#This Row],[Adj Close]]/N682-1)</f>
        <v>-6.7359671212929961E-2</v>
      </c>
      <c r="P681" s="29">
        <v>40329</v>
      </c>
      <c r="Q681">
        <v>12.442895999999999</v>
      </c>
      <c r="R681" s="33">
        <f>IF(ISBLANK(Q682),"",Long3[[#This Row],[Adj Close]]/Q682-1)</f>
        <v>-2.7895788119979503E-2</v>
      </c>
      <c r="S681" s="37">
        <v>40329</v>
      </c>
      <c r="T681" s="35">
        <v>11.186315</v>
      </c>
      <c r="U681" s="36">
        <f>IF(ISBLANK(T682),"",Long4[[#This Row],[Adj Close]]/T682-1)</f>
        <v>1.4694606477662076E-2</v>
      </c>
      <c r="Y681" s="37">
        <v>40329</v>
      </c>
      <c r="Z681" s="35">
        <v>16.732323000000001</v>
      </c>
      <c r="AA681" s="36">
        <f>IF(ISBLANK(Z682),"",Long6[[#This Row],[Adj Close]]/Z682-1)</f>
        <v>0.10845725562755448</v>
      </c>
      <c r="AH681" s="29">
        <v>40329</v>
      </c>
      <c r="AI681" s="44">
        <v>16.172802000000001</v>
      </c>
      <c r="AJ681" s="33">
        <f>IF(ISBLANK(AI682),"",Short0[[#This Row],[Adj Close]]/AI682-1)</f>
        <v>3.2793593676541111E-2</v>
      </c>
      <c r="AK681" s="37">
        <v>40329</v>
      </c>
      <c r="AL681" s="39">
        <v>26.324549000000001</v>
      </c>
      <c r="AM681" s="36">
        <f>IF(ISBLANK(AL682),"",Short1[[#This Row],[Adj Close]]/AL682-1)</f>
        <v>-7.9763450584373286E-2</v>
      </c>
      <c r="AN681" s="29">
        <v>40329</v>
      </c>
      <c r="AO681" s="44">
        <v>13.897351</v>
      </c>
      <c r="AP681" s="33">
        <f>IF(ISBLANK(AO682),"",Short2[[#This Row],[Adj Close]]/AO682-1)</f>
        <v>-0.10578023803005088</v>
      </c>
    </row>
    <row r="682" spans="1:42" x14ac:dyDescent="0.25">
      <c r="A682" s="37">
        <v>40322</v>
      </c>
      <c r="B682" s="39">
        <v>1089.410034</v>
      </c>
      <c r="C682" s="36">
        <f>IF(ISBLANK(B683), "", GSPC[[#This Row],[Adj Close]]/B683-1)</f>
        <v>1.581418504632337E-3</v>
      </c>
      <c r="D68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8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82" s="11" t="e">
        <f>IF(ISBLANK(GSPC[[#This Row],[Long Exp.]]), "", (GSPC[[#This Row],[Long Exp.]]/D683-1)+(E683/GSPC[[#This Row],[Short Exp.]]-1))</f>
        <v>#VALUE!</v>
      </c>
      <c r="G682" s="37">
        <v>40322</v>
      </c>
      <c r="H682">
        <v>17.800858000000002</v>
      </c>
      <c r="I682" s="36">
        <f>IF(ISBLANK(H683), "", Long0[[#This Row],[Adj Close]]/H683-1)</f>
        <v>-3.5876950578986877E-3</v>
      </c>
      <c r="J682" s="29">
        <v>40322</v>
      </c>
      <c r="K682">
        <v>1.936782</v>
      </c>
      <c r="L682" s="33">
        <f>IF(ISBLANK(K683),"",Long1[[#This Row],[Adj Close]]/K683-1)</f>
        <v>0</v>
      </c>
      <c r="M682" s="37">
        <v>40322</v>
      </c>
      <c r="N682">
        <v>37.875942000000002</v>
      </c>
      <c r="O682" s="36">
        <f>IF(ISBLANK(N683),"",Long2[[#This Row],[Adj Close]]/N683-1)</f>
        <v>1.0063556285195174E-2</v>
      </c>
      <c r="P682" s="29">
        <v>40322</v>
      </c>
      <c r="Q682">
        <v>12.799961</v>
      </c>
      <c r="R682" s="33">
        <f>IF(ISBLANK(Q683),"",Long3[[#This Row],[Adj Close]]/Q683-1)</f>
        <v>3.3226652356433961E-2</v>
      </c>
      <c r="S682" s="37">
        <v>40322</v>
      </c>
      <c r="T682" s="35">
        <v>11.024317</v>
      </c>
      <c r="U682" s="36">
        <f>IF(ISBLANK(T683),"",Long4[[#This Row],[Adj Close]]/T683-1)</f>
        <v>-9.4537757322234905E-2</v>
      </c>
      <c r="Y682" s="37">
        <v>40322</v>
      </c>
      <c r="Z682" s="35">
        <v>15.095145</v>
      </c>
      <c r="AA682" s="36">
        <f>IF(ISBLANK(Z683),"",Long6[[#This Row],[Adj Close]]/Z683-1)</f>
        <v>0.12983223181674308</v>
      </c>
      <c r="AH682" s="29">
        <v>40322</v>
      </c>
      <c r="AI682" s="44">
        <v>15.659278</v>
      </c>
      <c r="AJ682" s="33">
        <f>IF(ISBLANK(AI683),"",Short0[[#This Row],[Adj Close]]/AI683-1)</f>
        <v>0.11809553988547061</v>
      </c>
      <c r="AK682" s="37">
        <v>40322</v>
      </c>
      <c r="AL682" s="39">
        <v>28.606285</v>
      </c>
      <c r="AM682" s="36">
        <f>IF(ISBLANK(AL683),"",Short1[[#This Row],[Adj Close]]/AL683-1)</f>
        <v>1.0765860043077335E-2</v>
      </c>
      <c r="AN682" s="29">
        <v>40322</v>
      </c>
      <c r="AO682" s="44">
        <v>15.541315000000001</v>
      </c>
      <c r="AP682" s="33">
        <f>IF(ISBLANK(AO683),"",Short2[[#This Row],[Adj Close]]/AO683-1)</f>
        <v>-9.7309595309248431E-3</v>
      </c>
    </row>
    <row r="683" spans="1:42" x14ac:dyDescent="0.25">
      <c r="A683" s="37">
        <v>40315</v>
      </c>
      <c r="B683" s="39">
        <v>1087.6899410000001</v>
      </c>
      <c r="C683" s="36">
        <f>IF(ISBLANK(B684), "", GSPC[[#This Row],[Adj Close]]/B684-1)</f>
        <v>-4.2256719074155624E-2</v>
      </c>
      <c r="D68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8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83" s="11" t="e">
        <f>IF(ISBLANK(GSPC[[#This Row],[Long Exp.]]), "", (GSPC[[#This Row],[Long Exp.]]/D684-1)+(E684/GSPC[[#This Row],[Short Exp.]]-1))</f>
        <v>#VALUE!</v>
      </c>
      <c r="G683" s="37">
        <v>40315</v>
      </c>
      <c r="H683">
        <v>17.864951999999999</v>
      </c>
      <c r="I683" s="36">
        <f>IF(ISBLANK(H684), "", Long0[[#This Row],[Adj Close]]/H684-1)</f>
        <v>-4.9220292019214185E-2</v>
      </c>
      <c r="J683" s="29">
        <v>40315</v>
      </c>
      <c r="K683">
        <v>1.936782</v>
      </c>
      <c r="L683" s="33">
        <f>IF(ISBLANK(K684),"",Long1[[#This Row],[Adj Close]]/K684-1)</f>
        <v>-8.4967301733986145E-2</v>
      </c>
      <c r="M683" s="37">
        <v>40315</v>
      </c>
      <c r="N683">
        <v>37.498573</v>
      </c>
      <c r="O683" s="36">
        <f>IF(ISBLANK(N684),"",Long2[[#This Row],[Adj Close]]/N684-1)</f>
        <v>-4.2923185128900365E-2</v>
      </c>
      <c r="P683" s="29">
        <v>40315</v>
      </c>
      <c r="Q683">
        <v>12.388337999999999</v>
      </c>
      <c r="R683" s="33">
        <f>IF(ISBLANK(Q684),"",Long3[[#This Row],[Adj Close]]/Q684-1)</f>
        <v>-2.2692048631814066E-2</v>
      </c>
      <c r="S683" s="37">
        <v>40315</v>
      </c>
      <c r="T683" s="35">
        <v>12.175347</v>
      </c>
      <c r="U683" s="36">
        <f>IF(ISBLANK(T684),"",Long4[[#This Row],[Adj Close]]/T684-1)</f>
        <v>-4.3536581188899914E-2</v>
      </c>
      <c r="Y683" s="37">
        <v>40315</v>
      </c>
      <c r="Z683" s="35">
        <v>13.360519</v>
      </c>
      <c r="AA683" s="36">
        <f>IF(ISBLANK(Z684),"",Long6[[#This Row],[Adj Close]]/Z684-1)</f>
        <v>-3.1779656103812393E-2</v>
      </c>
      <c r="AH683" s="29">
        <v>40315</v>
      </c>
      <c r="AI683" s="44">
        <v>14.005312999999999</v>
      </c>
      <c r="AJ683" s="33">
        <f>IF(ISBLANK(AI684),"",Short0[[#This Row],[Adj Close]]/AI684-1)</f>
        <v>-0.10371320026560993</v>
      </c>
      <c r="AK683" s="37">
        <v>40315</v>
      </c>
      <c r="AL683" s="39">
        <v>28.301594000000001</v>
      </c>
      <c r="AM683" s="36">
        <f>IF(ISBLANK(AL684),"",Short1[[#This Row],[Adj Close]]/AL684-1)</f>
        <v>-2.9487049354148032E-2</v>
      </c>
      <c r="AN683" s="29">
        <v>40315</v>
      </c>
      <c r="AO683" s="44">
        <v>15.694032999999999</v>
      </c>
      <c r="AP683" s="33">
        <f>IF(ISBLANK(AO684),"",Short2[[#This Row],[Adj Close]]/AO684-1)</f>
        <v>-5.105935691660124E-2</v>
      </c>
    </row>
    <row r="684" spans="1:42" x14ac:dyDescent="0.25">
      <c r="A684" s="37">
        <v>40308</v>
      </c>
      <c r="B684" s="39">
        <v>1135.6800539999999</v>
      </c>
      <c r="C684" s="36">
        <f>IF(ISBLANK(B685), "", GSPC[[#This Row],[Adj Close]]/B685-1)</f>
        <v>2.2324687534545973E-2</v>
      </c>
      <c r="D68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8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84" s="11" t="e">
        <f>IF(ISBLANK(GSPC[[#This Row],[Long Exp.]]), "", (GSPC[[#This Row],[Long Exp.]]/D685-1)+(E685/GSPC[[#This Row],[Short Exp.]]-1))</f>
        <v>#VALUE!</v>
      </c>
      <c r="G684" s="37">
        <v>40308</v>
      </c>
      <c r="H684">
        <v>18.789791000000001</v>
      </c>
      <c r="I684" s="36">
        <f>IF(ISBLANK(H685), "", Long0[[#This Row],[Adj Close]]/H685-1)</f>
        <v>-3.8425536590362297E-2</v>
      </c>
      <c r="J684" s="29">
        <v>40308</v>
      </c>
      <c r="K684">
        <v>2.1166260000000001</v>
      </c>
      <c r="L684" s="33">
        <f>IF(ISBLANK(K685),"",Long1[[#This Row],[Adj Close]]/K685-1)</f>
        <v>5.5172279709444938E-2</v>
      </c>
      <c r="M684" s="37">
        <v>40308</v>
      </c>
      <c r="N684">
        <v>39.180317000000002</v>
      </c>
      <c r="O684" s="36">
        <f>IF(ISBLANK(N685),"",Long2[[#This Row],[Adj Close]]/N685-1)</f>
        <v>-7.3318766211167841E-3</v>
      </c>
      <c r="P684" s="29">
        <v>40308</v>
      </c>
      <c r="Q684">
        <v>12.675981999999999</v>
      </c>
      <c r="R684" s="33">
        <f>IF(ISBLANK(Q685),"",Long3[[#This Row],[Adj Close]]/Q685-1)</f>
        <v>3.3144624151949742E-2</v>
      </c>
      <c r="S684" s="37">
        <v>40308</v>
      </c>
      <c r="T684" s="35">
        <v>12.729547999999999</v>
      </c>
      <c r="U684" s="36">
        <f>IF(ISBLANK(T685),"",Long4[[#This Row],[Adj Close]]/T685-1)</f>
        <v>-7.3136986059942899E-3</v>
      </c>
      <c r="Y684" s="37">
        <v>40308</v>
      </c>
      <c r="Z684" s="35">
        <v>13.799048000000001</v>
      </c>
      <c r="AA684" s="36">
        <f>IF(ISBLANK(Z685),"",Long6[[#This Row],[Adj Close]]/Z685-1)</f>
        <v>0.17315679676172802</v>
      </c>
      <c r="AH684" s="29">
        <v>40308</v>
      </c>
      <c r="AI684" s="44">
        <v>15.625928</v>
      </c>
      <c r="AJ684" s="33">
        <f>IF(ISBLANK(AI685),"",Short0[[#This Row],[Adj Close]]/AI685-1)</f>
        <v>0.10571000021157606</v>
      </c>
      <c r="AK684" s="37">
        <v>40308</v>
      </c>
      <c r="AL684" s="39">
        <v>29.161480000000001</v>
      </c>
      <c r="AM684" s="36">
        <f>IF(ISBLANK(AL685),"",Short1[[#This Row],[Adj Close]]/AL685-1)</f>
        <v>4.971962821364917E-2</v>
      </c>
      <c r="AN684" s="29">
        <v>40308</v>
      </c>
      <c r="AO684" s="44">
        <v>16.538477</v>
      </c>
      <c r="AP684" s="33">
        <f>IF(ISBLANK(AO685),"",Short2[[#This Row],[Adj Close]]/AO685-1)</f>
        <v>5.471906845572172E-2</v>
      </c>
    </row>
    <row r="685" spans="1:42" x14ac:dyDescent="0.25">
      <c r="A685" s="37">
        <v>40301</v>
      </c>
      <c r="B685" s="39">
        <v>1110.880005</v>
      </c>
      <c r="C685" s="36">
        <f>IF(ISBLANK(B686), "", GSPC[[#This Row],[Adj Close]]/B686-1)</f>
        <v>-6.3883524567602379E-2</v>
      </c>
      <c r="D68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8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85" s="11" t="e">
        <f>IF(ISBLANK(GSPC[[#This Row],[Long Exp.]]), "", (GSPC[[#This Row],[Long Exp.]]/D686-1)+(E686/GSPC[[#This Row],[Short Exp.]]-1))</f>
        <v>#VALUE!</v>
      </c>
      <c r="G685" s="37">
        <v>40301</v>
      </c>
      <c r="H685">
        <v>19.540651</v>
      </c>
      <c r="I685" s="36">
        <f>IF(ISBLANK(H686), "", Long0[[#This Row],[Adj Close]]/H686-1)</f>
        <v>-3.044081221941275E-2</v>
      </c>
      <c r="J685" s="29">
        <v>40301</v>
      </c>
      <c r="K685">
        <v>2.0059529999999999</v>
      </c>
      <c r="L685" s="33">
        <f>IF(ISBLANK(K686),"",Long1[[#This Row],[Adj Close]]/K686-1)</f>
        <v>-4.6052581520188429E-2</v>
      </c>
      <c r="M685" s="37">
        <v>40301</v>
      </c>
      <c r="N685">
        <v>39.469704</v>
      </c>
      <c r="O685" s="36">
        <f>IF(ISBLANK(N686),"",Long2[[#This Row],[Adj Close]]/N686-1)</f>
        <v>-5.8271369335711531E-2</v>
      </c>
      <c r="P685" s="29">
        <v>40301</v>
      </c>
      <c r="Q685">
        <v>12.26932</v>
      </c>
      <c r="R685" s="33">
        <f>IF(ISBLANK(Q686),"",Long3[[#This Row],[Adj Close]]/Q686-1)</f>
        <v>-8.0770484292258526E-4</v>
      </c>
      <c r="S685" s="37">
        <v>40301</v>
      </c>
      <c r="T685" s="35">
        <v>12.823333999999999</v>
      </c>
      <c r="U685" s="36">
        <f>IF(ISBLANK(T686),"",Long4[[#This Row],[Adj Close]]/T686-1)</f>
        <v>-9.2883084567084162E-2</v>
      </c>
      <c r="Y685" s="37">
        <v>40301</v>
      </c>
      <c r="Z685" s="35">
        <v>11.762321999999999</v>
      </c>
      <c r="AA685" s="36">
        <f>IF(ISBLANK(Z686),"",Long6[[#This Row],[Adj Close]]/Z686-1)</f>
        <v>-9.5880403671199987E-2</v>
      </c>
      <c r="AH685" s="29">
        <v>40301</v>
      </c>
      <c r="AI685" s="44">
        <v>14.132031</v>
      </c>
      <c r="AJ685" s="33">
        <f>IF(ISBLANK(AI686),"",Short0[[#This Row],[Adj Close]]/AI686-1)</f>
        <v>-0.14762667143396369</v>
      </c>
      <c r="AK685" s="37">
        <v>40301</v>
      </c>
      <c r="AL685" s="39">
        <v>27.780256000000001</v>
      </c>
      <c r="AM685" s="36">
        <f>IF(ISBLANK(AL686),"",Short1[[#This Row],[Adj Close]]/AL686-1)</f>
        <v>-9.863780378797693E-2</v>
      </c>
      <c r="AN685" s="29">
        <v>40301</v>
      </c>
      <c r="AO685" s="44">
        <v>15.680457000000001</v>
      </c>
      <c r="AP685" s="33">
        <f>IF(ISBLANK(AO686),"",Short2[[#This Row],[Adj Close]]/AO686-1)</f>
        <v>-0.12198773719148748</v>
      </c>
    </row>
    <row r="686" spans="1:42" x14ac:dyDescent="0.25">
      <c r="A686" s="37">
        <v>40294</v>
      </c>
      <c r="B686" s="39">
        <v>1186.6899410000001</v>
      </c>
      <c r="C686" s="36">
        <f>IF(ISBLANK(B687), "", GSPC[[#This Row],[Adj Close]]/B687-1)</f>
        <v>-2.5129869275132832E-2</v>
      </c>
      <c r="D68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8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86" s="11" t="e">
        <f>IF(ISBLANK(GSPC[[#This Row],[Long Exp.]]), "", (GSPC[[#This Row],[Long Exp.]]/D687-1)+(E687/GSPC[[#This Row],[Short Exp.]]-1))</f>
        <v>#VALUE!</v>
      </c>
      <c r="G686" s="37">
        <v>40294</v>
      </c>
      <c r="H686">
        <v>20.154160000000001</v>
      </c>
      <c r="I686" s="36">
        <f>IF(ISBLANK(H687), "", Long0[[#This Row],[Adj Close]]/H687-1)</f>
        <v>-1.0341539452239146E-2</v>
      </c>
      <c r="J686" s="29">
        <v>40294</v>
      </c>
      <c r="K686">
        <v>2.102792</v>
      </c>
      <c r="L686" s="33">
        <f>IF(ISBLANK(K687),"",Long1[[#This Row],[Adj Close]]/K687-1)</f>
        <v>2.7027211831273545E-2</v>
      </c>
      <c r="M686" s="37">
        <v>40294</v>
      </c>
      <c r="N686">
        <v>41.911971999999999</v>
      </c>
      <c r="O686" s="36">
        <f>IF(ISBLANK(N687),"",Long2[[#This Row],[Adj Close]]/N687-1)</f>
        <v>-4.9089019775113707E-2</v>
      </c>
      <c r="P686" s="29">
        <v>40294</v>
      </c>
      <c r="Q686">
        <v>12.279237999999999</v>
      </c>
      <c r="R686" s="33">
        <f>IF(ISBLANK(Q687),"",Long3[[#This Row],[Adj Close]]/Q687-1)</f>
        <v>-0.13547460742619888</v>
      </c>
      <c r="S686" s="37">
        <v>40294</v>
      </c>
      <c r="T686" s="35">
        <v>14.136362999999999</v>
      </c>
      <c r="U686" s="36">
        <f>IF(ISBLANK(T687),"",Long4[[#This Row],[Adj Close]]/T687-1)</f>
        <v>-8.3471339667134159E-2</v>
      </c>
      <c r="Y686" s="37">
        <v>40294</v>
      </c>
      <c r="Z686" s="35">
        <v>13.009696999999999</v>
      </c>
      <c r="AA686" s="36">
        <f>IF(ISBLANK(Z687),"",Long6[[#This Row],[Adj Close]]/Z687-1)</f>
        <v>-3.956827256166473E-2</v>
      </c>
      <c r="AH686" s="29">
        <v>40294</v>
      </c>
      <c r="AI686" s="44">
        <v>16.579626000000001</v>
      </c>
      <c r="AJ686" s="33">
        <f>IF(ISBLANK(AI687),"",Short0[[#This Row],[Adj Close]]/AI687-1)</f>
        <v>-1.0350428015187818E-2</v>
      </c>
      <c r="AK686" s="37">
        <v>40294</v>
      </c>
      <c r="AL686" s="39">
        <v>30.820302999999999</v>
      </c>
      <c r="AM686" s="36">
        <f>IF(ISBLANK(AL687),"",Short1[[#This Row],[Adj Close]]/AL687-1)</f>
        <v>-6.2988902851358719E-2</v>
      </c>
      <c r="AN686" s="29">
        <v>40294</v>
      </c>
      <c r="AO686" s="44">
        <v>17.859041000000001</v>
      </c>
      <c r="AP686" s="33">
        <f>IF(ISBLANK(AO687),"",Short2[[#This Row],[Adj Close]]/AO687-1)</f>
        <v>-2.9712705105761739E-2</v>
      </c>
    </row>
    <row r="687" spans="1:42" x14ac:dyDescent="0.25">
      <c r="A687" s="37">
        <v>40287</v>
      </c>
      <c r="B687" s="39">
        <v>1217.280029</v>
      </c>
      <c r="C687" s="36">
        <f>IF(ISBLANK(B688), "", GSPC[[#This Row],[Adj Close]]/B688-1)</f>
        <v>2.1096712518363425E-2</v>
      </c>
      <c r="D68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8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87" s="11" t="e">
        <f>IF(ISBLANK(GSPC[[#This Row],[Long Exp.]]), "", (GSPC[[#This Row],[Long Exp.]]/D688-1)+(E688/GSPC[[#This Row],[Short Exp.]]-1))</f>
        <v>#VALUE!</v>
      </c>
      <c r="G687" s="37">
        <v>40287</v>
      </c>
      <c r="H687">
        <v>20.364763</v>
      </c>
      <c r="I687" s="36">
        <f>IF(ISBLANK(H688), "", Long0[[#This Row],[Adj Close]]/H688-1)</f>
        <v>2.2528577658999405E-2</v>
      </c>
      <c r="J687" s="29">
        <v>40287</v>
      </c>
      <c r="K687">
        <v>2.0474549999999998</v>
      </c>
      <c r="L687" s="33">
        <f>IF(ISBLANK(K688),"",Long1[[#This Row],[Adj Close]]/K688-1)</f>
        <v>0</v>
      </c>
      <c r="M687" s="37">
        <v>40287</v>
      </c>
      <c r="N687">
        <v>44.075600000000001</v>
      </c>
      <c r="O687" s="36">
        <f>IF(ISBLANK(N688),"",Long2[[#This Row],[Adj Close]]/N688-1)</f>
        <v>-6.4657853114383768E-3</v>
      </c>
      <c r="P687" s="29">
        <v>40287</v>
      </c>
      <c r="Q687">
        <v>14.203443999999999</v>
      </c>
      <c r="R687" s="33">
        <f>IF(ISBLANK(Q688),"",Long3[[#This Row],[Adj Close]]/Q688-1)</f>
        <v>4.2591883290908239E-2</v>
      </c>
      <c r="S687" s="37">
        <v>40287</v>
      </c>
      <c r="T687" s="35">
        <v>15.423809</v>
      </c>
      <c r="U687" s="36">
        <f>IF(ISBLANK(T688),"",Long4[[#This Row],[Adj Close]]/T688-1)</f>
        <v>1.8007887546752865E-2</v>
      </c>
      <c r="Y687" s="37">
        <v>40287</v>
      </c>
      <c r="Z687" s="35">
        <v>13.545676</v>
      </c>
      <c r="AA687" s="36">
        <f>IF(ISBLANK(Z688),"",Long6[[#This Row],[Adj Close]]/Z688-1)</f>
        <v>0.10055419014384892</v>
      </c>
      <c r="AH687" s="29">
        <v>40287</v>
      </c>
      <c r="AI687" s="44">
        <v>16.753026999999999</v>
      </c>
      <c r="AJ687" s="33">
        <f>IF(ISBLANK(AI688),"",Short0[[#This Row],[Adj Close]]/AI688-1)</f>
        <v>9.6943439767602557E-2</v>
      </c>
      <c r="AK687" s="37">
        <v>40287</v>
      </c>
      <c r="AL687" s="39">
        <v>32.892142999999997</v>
      </c>
      <c r="AM687" s="36">
        <f>IF(ISBLANK(AL688),"",Short1[[#This Row],[Adj Close]]/AL688-1)</f>
        <v>7.3603153452383552E-2</v>
      </c>
      <c r="AN687" s="29">
        <v>40287</v>
      </c>
      <c r="AO687" s="44">
        <v>18.405930999999999</v>
      </c>
      <c r="AP687" s="33">
        <f>IF(ISBLANK(AO688),"",Short2[[#This Row],[Adj Close]]/AO688-1)</f>
        <v>0.19708490587083038</v>
      </c>
    </row>
    <row r="688" spans="1:42" x14ac:dyDescent="0.25">
      <c r="A688" s="37">
        <v>40280</v>
      </c>
      <c r="B688" s="39">
        <v>1192.130005</v>
      </c>
      <c r="C688" s="36">
        <f>IF(ISBLANK(B689), "", GSPC[[#This Row],[Adj Close]]/B689-1)</f>
        <v>-1.8754573619375048E-3</v>
      </c>
      <c r="D68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8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88" s="11" t="e">
        <f>IF(ISBLANK(GSPC[[#This Row],[Long Exp.]]), "", (GSPC[[#This Row],[Long Exp.]]/D689-1)+(E689/GSPC[[#This Row],[Short Exp.]]-1))</f>
        <v>#VALUE!</v>
      </c>
      <c r="G688" s="37">
        <v>40280</v>
      </c>
      <c r="H688">
        <v>19.916081999999999</v>
      </c>
      <c r="I688" s="36">
        <f>IF(ISBLANK(H689), "", Long0[[#This Row],[Adj Close]]/H689-1)</f>
        <v>-3.5048627951487332E-2</v>
      </c>
      <c r="J688" s="29">
        <v>40280</v>
      </c>
      <c r="K688">
        <v>2.0474549999999998</v>
      </c>
      <c r="L688" s="33">
        <f>IF(ISBLANK(K689),"",Long1[[#This Row],[Adj Close]]/K689-1)</f>
        <v>0</v>
      </c>
      <c r="M688" s="37">
        <v>40280</v>
      </c>
      <c r="N688">
        <v>44.362437999999997</v>
      </c>
      <c r="O688" s="36">
        <f>IF(ISBLANK(N689),"",Long2[[#This Row],[Adj Close]]/N689-1)</f>
        <v>-4.4484039075698201E-2</v>
      </c>
      <c r="P688" s="29">
        <v>40280</v>
      </c>
      <c r="Q688">
        <v>13.623206</v>
      </c>
      <c r="R688" s="33">
        <f>IF(ISBLANK(Q689),"",Long3[[#This Row],[Adj Close]]/Q689-1)</f>
        <v>-1.8227343054054601E-2</v>
      </c>
      <c r="S688" s="37">
        <v>40280</v>
      </c>
      <c r="T688" s="35">
        <v>15.150971999999999</v>
      </c>
      <c r="U688" s="36">
        <f>IF(ISBLANK(T689),"",Long4[[#This Row],[Adj Close]]/T689-1)</f>
        <v>4.7141859336471192E-2</v>
      </c>
      <c r="Y688" s="37">
        <v>40280</v>
      </c>
      <c r="Z688" s="35">
        <v>12.30805</v>
      </c>
      <c r="AA688" s="36">
        <f>IF(ISBLANK(Z689),"",Long6[[#This Row],[Adj Close]]/Z689-1)</f>
        <v>6.7624749293963449E-2</v>
      </c>
      <c r="AH688" s="29">
        <v>40280</v>
      </c>
      <c r="AI688" s="44">
        <v>15.272462000000001</v>
      </c>
      <c r="AJ688" s="33">
        <f>IF(ISBLANK(AI689),"",Short0[[#This Row],[Adj Close]]/AI689-1)</f>
        <v>-5.0580721540554041E-2</v>
      </c>
      <c r="AK688" s="37">
        <v>40280</v>
      </c>
      <c r="AL688" s="39">
        <v>30.637152</v>
      </c>
      <c r="AM688" s="36">
        <f>IF(ISBLANK(AL689),"",Short1[[#This Row],[Adj Close]]/AL689-1)</f>
        <v>1.113777402474958E-2</v>
      </c>
      <c r="AN688" s="29">
        <v>40280</v>
      </c>
      <c r="AO688" s="44">
        <v>15.375627</v>
      </c>
      <c r="AP688" s="33">
        <f>IF(ISBLANK(AO689),"",Short2[[#This Row],[Adj Close]]/AO689-1)</f>
        <v>-2.111853035869915E-2</v>
      </c>
    </row>
    <row r="689" spans="1:42" x14ac:dyDescent="0.25">
      <c r="A689" s="37">
        <v>40273</v>
      </c>
      <c r="B689" s="39">
        <v>1194.369995</v>
      </c>
      <c r="C689" s="36">
        <f>IF(ISBLANK(B690), "", GSPC[[#This Row],[Adj Close]]/B690-1)</f>
        <v>1.3810389042907545E-2</v>
      </c>
      <c r="D68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8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89" s="11" t="e">
        <f>IF(ISBLANK(GSPC[[#This Row],[Long Exp.]]), "", (GSPC[[#This Row],[Long Exp.]]/D690-1)+(E690/GSPC[[#This Row],[Short Exp.]]-1))</f>
        <v>#VALUE!</v>
      </c>
      <c r="G689" s="37">
        <v>40273</v>
      </c>
      <c r="H689">
        <v>20.639467</v>
      </c>
      <c r="I689" s="36">
        <f>IF(ISBLANK(H690), "", Long0[[#This Row],[Adj Close]]/H690-1)</f>
        <v>-2.6770353508864142E-2</v>
      </c>
      <c r="J689" s="29">
        <v>40273</v>
      </c>
      <c r="K689">
        <v>2.0474549999999998</v>
      </c>
      <c r="L689" s="33">
        <f>IF(ISBLANK(K690),"",Long1[[#This Row],[Adj Close]]/K690-1)</f>
        <v>6.8026441505077972E-3</v>
      </c>
      <c r="M689" s="37">
        <v>40273</v>
      </c>
      <c r="N689">
        <v>46.427731000000001</v>
      </c>
      <c r="O689" s="36">
        <f>IF(ISBLANK(N690),"",Long2[[#This Row],[Adj Close]]/N690-1)</f>
        <v>-2.8801389256328136E-2</v>
      </c>
      <c r="P689" s="29">
        <v>40273</v>
      </c>
      <c r="Q689">
        <v>13.876131000000001</v>
      </c>
      <c r="R689" s="33">
        <f>IF(ISBLANK(Q690),"",Long3[[#This Row],[Adj Close]]/Q690-1)</f>
        <v>-1.0607914234861848E-2</v>
      </c>
      <c r="S689" s="37">
        <v>40273</v>
      </c>
      <c r="T689" s="35">
        <v>14.468882000000001</v>
      </c>
      <c r="U689" s="36">
        <f>IF(ISBLANK(T690),"",Long4[[#This Row],[Adj Close]]/T690-1)</f>
        <v>3.5480627424837596E-3</v>
      </c>
      <c r="Y689" s="37">
        <v>40273</v>
      </c>
      <c r="Z689" s="35">
        <v>11.528442</v>
      </c>
      <c r="AA689" s="36">
        <f>IF(ISBLANK(Z690),"",Long6[[#This Row],[Adj Close]]/Z690-1)</f>
        <v>-2.5297464543057036E-3</v>
      </c>
      <c r="AH689" s="29">
        <v>40273</v>
      </c>
      <c r="AI689" s="44">
        <v>16.086109</v>
      </c>
      <c r="AJ689" s="33">
        <f>IF(ISBLANK(AI690),"",Short0[[#This Row],[Adj Close]]/AI690-1)</f>
        <v>0.13239434735887334</v>
      </c>
      <c r="AK689" s="37">
        <v>40273</v>
      </c>
      <c r="AL689" s="39">
        <v>30.299681</v>
      </c>
      <c r="AM689" s="36">
        <f>IF(ISBLANK(AL690),"",Short1[[#This Row],[Adj Close]]/AL690-1)</f>
        <v>5.449888589105667E-2</v>
      </c>
      <c r="AN689" s="29">
        <v>40273</v>
      </c>
      <c r="AO689" s="44">
        <v>15.707343</v>
      </c>
      <c r="AP689" s="33">
        <f>IF(ISBLANK(AO690),"",Short2[[#This Row],[Adj Close]]/AO690-1)</f>
        <v>2.2766824999868041E-2</v>
      </c>
    </row>
    <row r="690" spans="1:42" x14ac:dyDescent="0.25">
      <c r="A690" s="37">
        <v>40266</v>
      </c>
      <c r="B690" s="39">
        <v>1178.099976</v>
      </c>
      <c r="C690" s="36">
        <f>IF(ISBLANK(B691), "", GSPC[[#This Row],[Adj Close]]/B691-1)</f>
        <v>9.8663715062332624E-3</v>
      </c>
      <c r="D69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9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90" s="11" t="e">
        <f>IF(ISBLANK(GSPC[[#This Row],[Long Exp.]]), "", (GSPC[[#This Row],[Long Exp.]]/D691-1)+(E691/GSPC[[#This Row],[Short Exp.]]-1))</f>
        <v>#VALUE!</v>
      </c>
      <c r="G690" s="37">
        <v>40266</v>
      </c>
      <c r="H690">
        <v>21.207191000000002</v>
      </c>
      <c r="I690" s="36">
        <f>IF(ISBLANK(H691), "", Long0[[#This Row],[Adj Close]]/H691-1)</f>
        <v>3.4852505445772675E-2</v>
      </c>
      <c r="J690" s="29">
        <v>40266</v>
      </c>
      <c r="K690">
        <v>2.0336210000000001</v>
      </c>
      <c r="L690" s="33">
        <f>IF(ISBLANK(K691),"",Long1[[#This Row],[Adj Close]]/K691-1)</f>
        <v>-0.10909098077836321</v>
      </c>
      <c r="M690" s="37">
        <v>40266</v>
      </c>
      <c r="N690">
        <v>47.804569000000001</v>
      </c>
      <c r="O690" s="36">
        <f>IF(ISBLANK(N691),"",Long2[[#This Row],[Adj Close]]/N691-1)</f>
        <v>-1.7186127012522423E-2</v>
      </c>
      <c r="P690" s="29">
        <v>40266</v>
      </c>
      <c r="Q690">
        <v>14.024906</v>
      </c>
      <c r="R690" s="33">
        <f>IF(ISBLANK(Q691),"",Long3[[#This Row],[Adj Close]]/Q691-1)</f>
        <v>2.5380400400387249E-2</v>
      </c>
      <c r="S690" s="37">
        <v>40266</v>
      </c>
      <c r="T690" s="35">
        <v>14.417726999999999</v>
      </c>
      <c r="U690" s="36">
        <f>IF(ISBLANK(T691),"",Long4[[#This Row],[Adj Close]]/T691-1)</f>
        <v>-5.2940223165248712E-3</v>
      </c>
      <c r="Y690" s="37">
        <v>40266</v>
      </c>
      <c r="Z690" s="35">
        <v>11.55768</v>
      </c>
      <c r="AA690" s="36">
        <f>IF(ISBLANK(Z691),"",Long6[[#This Row],[Adj Close]]/Z691-1)</f>
        <v>2.6840111912501241E-2</v>
      </c>
      <c r="AH690" s="29">
        <v>40266</v>
      </c>
      <c r="AI690" s="44">
        <v>14.205394999999999</v>
      </c>
      <c r="AJ690" s="33">
        <f>IF(ISBLANK(AI691),"",Short0[[#This Row],[Adj Close]]/AI691-1)</f>
        <v>-2.695296172760675E-2</v>
      </c>
      <c r="AK690" s="37">
        <v>40266</v>
      </c>
      <c r="AL690" s="39">
        <v>28.733725</v>
      </c>
      <c r="AM690" s="36">
        <f>IF(ISBLANK(AL691),"",Short1[[#This Row],[Adj Close]]/AL691-1)</f>
        <v>-1.3670478137543185E-2</v>
      </c>
      <c r="AN690" s="29">
        <v>40266</v>
      </c>
      <c r="AO690" s="44">
        <v>15.357697</v>
      </c>
      <c r="AP690" s="33">
        <f>IF(ISBLANK(AO691),"",Short2[[#This Row],[Adj Close]]/AO691-1)</f>
        <v>-6.3934452908019468E-2</v>
      </c>
    </row>
    <row r="691" spans="1:42" x14ac:dyDescent="0.25">
      <c r="A691" s="37">
        <v>40259</v>
      </c>
      <c r="B691" s="39">
        <v>1166.589966</v>
      </c>
      <c r="C691" s="36">
        <f>IF(ISBLANK(B692), "", GSPC[[#This Row],[Adj Close]]/B692-1)</f>
        <v>5.7676884745025969E-3</v>
      </c>
      <c r="D69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9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91" s="11" t="e">
        <f>IF(ISBLANK(GSPC[[#This Row],[Long Exp.]]), "", (GSPC[[#This Row],[Long Exp.]]/D692-1)+(E692/GSPC[[#This Row],[Short Exp.]]-1))</f>
        <v>#VALUE!</v>
      </c>
      <c r="G691" s="37">
        <v>40259</v>
      </c>
      <c r="H691">
        <v>20.49296</v>
      </c>
      <c r="I691" s="36">
        <f>IF(ISBLANK(H692), "", Long0[[#This Row],[Adj Close]]/H692-1)</f>
        <v>-6.6578724880289597E-3</v>
      </c>
      <c r="J691" s="29">
        <v>40259</v>
      </c>
      <c r="K691">
        <v>2.2826360000000001</v>
      </c>
      <c r="L691" s="33">
        <f>IF(ISBLANK(K692),"",Long1[[#This Row],[Adj Close]]/K692-1)</f>
        <v>0.13013698969247756</v>
      </c>
      <c r="M691" s="37">
        <v>40259</v>
      </c>
      <c r="N691">
        <v>48.640510999999996</v>
      </c>
      <c r="O691" s="36">
        <f>IF(ISBLANK(N692),"",Long2[[#This Row],[Adj Close]]/N692-1)</f>
        <v>1.5919122492367599E-2</v>
      </c>
      <c r="P691" s="29">
        <v>40259</v>
      </c>
      <c r="Q691">
        <v>13.677759</v>
      </c>
      <c r="R691" s="33">
        <f>IF(ISBLANK(Q692),"",Long3[[#This Row],[Adj Close]]/Q692-1)</f>
        <v>-3.2620186399650586E-2</v>
      </c>
      <c r="S691" s="37">
        <v>40259</v>
      </c>
      <c r="T691" s="35">
        <v>14.494460999999999</v>
      </c>
      <c r="U691" s="36">
        <f>IF(ISBLANK(T692),"",Long4[[#This Row],[Adj Close]]/T692-1)</f>
        <v>-3.1339002588917197E-2</v>
      </c>
      <c r="Y691" s="37">
        <v>40259</v>
      </c>
      <c r="Z691" s="35">
        <v>11.255579000000001</v>
      </c>
      <c r="AA691" s="36">
        <f>IF(ISBLANK(Z692),"",Long6[[#This Row],[Adj Close]]/Z692-1)</f>
        <v>-1.9524697342277686E-2</v>
      </c>
      <c r="AH691" s="29">
        <v>40259</v>
      </c>
      <c r="AI691" s="44">
        <v>14.598877999999999</v>
      </c>
      <c r="AJ691" s="33">
        <f>IF(ISBLANK(AI692),"",Short0[[#This Row],[Adj Close]]/AI692-1)</f>
        <v>0.12256438632223943</v>
      </c>
      <c r="AK691" s="37">
        <v>40259</v>
      </c>
      <c r="AL691" s="39">
        <v>29.131972999999999</v>
      </c>
      <c r="AM691" s="36">
        <f>IF(ISBLANK(AL692),"",Short1[[#This Row],[Adj Close]]/AL692-1)</f>
        <v>5.2939765587314502E-2</v>
      </c>
      <c r="AN691" s="29">
        <v>40259</v>
      </c>
      <c r="AO691" s="44">
        <v>16.406647</v>
      </c>
      <c r="AP691" s="33">
        <f>IF(ISBLANK(AO692),"",Short2[[#This Row],[Adj Close]]/AO692-1)</f>
        <v>0.13594006272695314</v>
      </c>
    </row>
    <row r="692" spans="1:42" x14ac:dyDescent="0.25">
      <c r="A692" s="37">
        <v>40252</v>
      </c>
      <c r="B692" s="39">
        <v>1159.900024</v>
      </c>
      <c r="C692" s="36">
        <f>IF(ISBLANK(B693), "", GSPC[[#This Row],[Adj Close]]/B693-1)</f>
        <v>8.6174958792466505E-3</v>
      </c>
      <c r="D69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9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92" s="11" t="e">
        <f>IF(ISBLANK(GSPC[[#This Row],[Long Exp.]]), "", (GSPC[[#This Row],[Long Exp.]]/D693-1)+(E693/GSPC[[#This Row],[Short Exp.]]-1))</f>
        <v>#VALUE!</v>
      </c>
      <c r="G692" s="37">
        <v>40252</v>
      </c>
      <c r="H692">
        <v>20.630313999999998</v>
      </c>
      <c r="I692" s="36">
        <f>IF(ISBLANK(H693), "", Long0[[#This Row],[Adj Close]]/H693-1)</f>
        <v>2.6423714594269176E-2</v>
      </c>
      <c r="J692" s="29">
        <v>40252</v>
      </c>
      <c r="K692">
        <v>2.019787</v>
      </c>
      <c r="L692" s="33">
        <f>IF(ISBLANK(K693),"",Long1[[#This Row],[Adj Close]]/K693-1)</f>
        <v>6.8964726491598238E-3</v>
      </c>
      <c r="M692" s="37">
        <v>40252</v>
      </c>
      <c r="N692">
        <v>47.878329999999998</v>
      </c>
      <c r="O692" s="36">
        <f>IF(ISBLANK(N693),"",Long2[[#This Row],[Adj Close]]/N693-1)</f>
        <v>-8.4325753180768959E-2</v>
      </c>
      <c r="P692" s="29">
        <v>40252</v>
      </c>
      <c r="Q692">
        <v>14.138975</v>
      </c>
      <c r="R692" s="33">
        <f>IF(ISBLANK(Q693),"",Long3[[#This Row],[Adj Close]]/Q693-1)</f>
        <v>2.3352216539656467E-2</v>
      </c>
      <c r="S692" s="37">
        <v>40252</v>
      </c>
      <c r="T692" s="35">
        <v>14.963399000000001</v>
      </c>
      <c r="U692" s="36">
        <f>IF(ISBLANK(T693),"",Long4[[#This Row],[Adj Close]]/T693-1)</f>
        <v>-1.2936044143399661E-2</v>
      </c>
      <c r="Y692" s="37">
        <v>40252</v>
      </c>
      <c r="Z692" s="35">
        <v>11.479717000000001</v>
      </c>
      <c r="AA692" s="36">
        <f>IF(ISBLANK(Z693),"",Long6[[#This Row],[Adj Close]]/Z693-1)</f>
        <v>9.4259671559162594E-3</v>
      </c>
      <c r="AH692" s="29">
        <v>40252</v>
      </c>
      <c r="AI692" s="44">
        <v>13.004936000000001</v>
      </c>
      <c r="AJ692" s="33">
        <f>IF(ISBLANK(AI693),"",Short0[[#This Row],[Adj Close]]/AI693-1)</f>
        <v>-4.5942735377680899E-3</v>
      </c>
      <c r="AK692" s="37">
        <v>40252</v>
      </c>
      <c r="AL692" s="39">
        <v>27.667273999999999</v>
      </c>
      <c r="AM692" s="36">
        <f>IF(ISBLANK(AL693),"",Short1[[#This Row],[Adj Close]]/AL693-1)</f>
        <v>2.1685500348411768E-2</v>
      </c>
      <c r="AN692" s="29">
        <v>40252</v>
      </c>
      <c r="AO692" s="44">
        <v>14.443232999999999</v>
      </c>
      <c r="AP692" s="33">
        <f>IF(ISBLANK(AO693),"",Short2[[#This Row],[Adj Close]]/AO693-1)</f>
        <v>-1.3472040173573729E-2</v>
      </c>
    </row>
    <row r="693" spans="1:42" x14ac:dyDescent="0.25">
      <c r="A693" s="37">
        <v>40245</v>
      </c>
      <c r="B693" s="39">
        <v>1149.98999</v>
      </c>
      <c r="C693" s="36">
        <f>IF(ISBLANK(B694), "", GSPC[[#This Row],[Adj Close]]/B694-1)</f>
        <v>9.9148498163059706E-3</v>
      </c>
      <c r="D69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9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93" s="11" t="e">
        <f>IF(ISBLANK(GSPC[[#This Row],[Long Exp.]]), "", (GSPC[[#This Row],[Long Exp.]]/D694-1)+(E694/GSPC[[#This Row],[Short Exp.]]-1))</f>
        <v>#VALUE!</v>
      </c>
      <c r="G693" s="37">
        <v>40245</v>
      </c>
      <c r="H693">
        <v>20.099218</v>
      </c>
      <c r="I693" s="36">
        <f>IF(ISBLANK(H694), "", Long0[[#This Row],[Adj Close]]/H694-1)</f>
        <v>8.2681708405827337E-3</v>
      </c>
      <c r="J693" s="29">
        <v>40245</v>
      </c>
      <c r="K693">
        <v>2.0059529999999999</v>
      </c>
      <c r="L693" s="33">
        <f>IF(ISBLANK(K694),"",Long1[[#This Row],[Adj Close]]/K694-1)</f>
        <v>7.4074312048922453E-2</v>
      </c>
      <c r="M693" s="37">
        <v>40245</v>
      </c>
      <c r="N693">
        <v>52.287514000000002</v>
      </c>
      <c r="O693" s="36">
        <f>IF(ISBLANK(N694),"",Long2[[#This Row],[Adj Close]]/N694-1)</f>
        <v>3.5713963125958204E-2</v>
      </c>
      <c r="P693" s="29">
        <v>40245</v>
      </c>
      <c r="Q693">
        <v>13.816333</v>
      </c>
      <c r="R693" s="33">
        <f>IF(ISBLANK(Q694),"",Long3[[#This Row],[Adj Close]]/Q694-1)</f>
        <v>-2.6915189842749432E-2</v>
      </c>
      <c r="S693" s="37">
        <v>40245</v>
      </c>
      <c r="T693" s="35">
        <v>15.159503000000001</v>
      </c>
      <c r="U693" s="36">
        <f>IF(ISBLANK(T694),"",Long4[[#This Row],[Adj Close]]/T694-1)</f>
        <v>-3.735765316865769E-2</v>
      </c>
      <c r="Y693" s="37">
        <v>40245</v>
      </c>
      <c r="Z693" s="35">
        <v>11.37252</v>
      </c>
      <c r="AA693" s="36">
        <f>IF(ISBLANK(Z694),"",Long6[[#This Row],[Adj Close]]/Z694-1)</f>
        <v>-3.6333693604224226E-2</v>
      </c>
      <c r="AH693" s="29">
        <v>40245</v>
      </c>
      <c r="AI693" s="44">
        <v>13.064959999999999</v>
      </c>
      <c r="AJ693" s="33">
        <f>IF(ISBLANK(AI694),"",Short0[[#This Row],[Adj Close]]/AI694-1)</f>
        <v>9.6250501348396522E-2</v>
      </c>
      <c r="AK693" s="37">
        <v>40245</v>
      </c>
      <c r="AL693" s="39">
        <v>27.080030000000001</v>
      </c>
      <c r="AM693" s="36">
        <f>IF(ISBLANK(AL694),"",Short1[[#This Row],[Adj Close]]/AL694-1)</f>
        <v>3.8301671621663314E-2</v>
      </c>
      <c r="AN693" s="29">
        <v>40245</v>
      </c>
      <c r="AO693" s="44">
        <v>14.640470000000001</v>
      </c>
      <c r="AP693" s="33">
        <f>IF(ISBLANK(AO694),"",Short2[[#This Row],[Adj Close]]/AO694-1)</f>
        <v>-3.997623099423786E-2</v>
      </c>
    </row>
    <row r="694" spans="1:42" x14ac:dyDescent="0.25">
      <c r="A694" s="37">
        <v>40238</v>
      </c>
      <c r="B694" s="39">
        <v>1138.6999510000001</v>
      </c>
      <c r="C694" s="36">
        <f>IF(ISBLANK(B695), "", GSPC[[#This Row],[Adj Close]]/B695-1)</f>
        <v>3.097353648266199E-2</v>
      </c>
      <c r="D69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9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94" s="11" t="e">
        <f>IF(ISBLANK(GSPC[[#This Row],[Long Exp.]]), "", (GSPC[[#This Row],[Long Exp.]]/D695-1)+(E695/GSPC[[#This Row],[Short Exp.]]-1))</f>
        <v>#VALUE!</v>
      </c>
      <c r="G694" s="37">
        <v>40238</v>
      </c>
      <c r="H694">
        <v>19.934397000000001</v>
      </c>
      <c r="I694" s="36">
        <f>IF(ISBLANK(H695), "", Long0[[#This Row],[Adj Close]]/H695-1)</f>
        <v>2.015009632995346E-2</v>
      </c>
      <c r="J694" s="29">
        <v>40238</v>
      </c>
      <c r="K694">
        <v>1.8676109999999999</v>
      </c>
      <c r="L694" s="33">
        <f>IF(ISBLANK(K695),"",Long1[[#This Row],[Adj Close]]/K695-1)</f>
        <v>-4.255322421224883E-2</v>
      </c>
      <c r="M694" s="37">
        <v>40238</v>
      </c>
      <c r="N694">
        <v>50.484512000000002</v>
      </c>
      <c r="O694" s="36">
        <f>IF(ISBLANK(N695),"",Long2[[#This Row],[Adj Close]]/N695-1)</f>
        <v>5.497515398220143E-2</v>
      </c>
      <c r="P694" s="29">
        <v>40238</v>
      </c>
      <c r="Q694">
        <v>14.198487999999999</v>
      </c>
      <c r="R694" s="33">
        <f>IF(ISBLANK(Q695),"",Long3[[#This Row],[Adj Close]]/Q695-1)</f>
        <v>1.7556364829937054E-2</v>
      </c>
      <c r="S694" s="37">
        <v>40238</v>
      </c>
      <c r="T694" s="35">
        <v>15.747804</v>
      </c>
      <c r="U694" s="36">
        <f>IF(ISBLANK(T695),"",Long4[[#This Row],[Adj Close]]/T695-1)</f>
        <v>5.6032020941721772E-2</v>
      </c>
      <c r="Y694" s="37">
        <v>40238</v>
      </c>
      <c r="Z694" s="35">
        <v>11.801304999999999</v>
      </c>
      <c r="AA694" s="36">
        <f>IF(ISBLANK(Z695),"",Long6[[#This Row],[Adj Close]]/Z695-1)</f>
        <v>0.15004755602938324</v>
      </c>
      <c r="AH694" s="29">
        <v>40238</v>
      </c>
      <c r="AI694" s="44">
        <v>11.917859999999999</v>
      </c>
      <c r="AJ694" s="33">
        <f>IF(ISBLANK(AI695),"",Short0[[#This Row],[Adj Close]]/AI695-1)</f>
        <v>7.4564256731004974E-2</v>
      </c>
      <c r="AK694" s="37">
        <v>40238</v>
      </c>
      <c r="AL694" s="39">
        <v>26.081081000000001</v>
      </c>
      <c r="AM694" s="36">
        <f>IF(ISBLANK(AL695),"",Short1[[#This Row],[Adj Close]]/AL695-1)</f>
        <v>5.8630519288296989E-2</v>
      </c>
      <c r="AN694" s="29">
        <v>40238</v>
      </c>
      <c r="AO694" s="44">
        <v>15.250112</v>
      </c>
      <c r="AP694" s="33">
        <f>IF(ISBLANK(AO695),"",Short2[[#This Row],[Adj Close]]/AO695-1)</f>
        <v>3.6562872480185193E-2</v>
      </c>
    </row>
    <row r="695" spans="1:42" x14ac:dyDescent="0.25">
      <c r="A695" s="37">
        <v>40231</v>
      </c>
      <c r="B695" s="39">
        <v>1104.48999</v>
      </c>
      <c r="C695" s="36">
        <f>IF(ISBLANK(B696), "", GSPC[[#This Row],[Adj Close]]/B696-1)</f>
        <v>-4.2194197592302363E-3</v>
      </c>
      <c r="D69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9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95" s="11" t="e">
        <f>IF(ISBLANK(GSPC[[#This Row],[Long Exp.]]), "", (GSPC[[#This Row],[Long Exp.]]/D696-1)+(E696/GSPC[[#This Row],[Short Exp.]]-1))</f>
        <v>#VALUE!</v>
      </c>
      <c r="G695" s="37">
        <v>40231</v>
      </c>
      <c r="H695">
        <v>19.540651</v>
      </c>
      <c r="I695" s="36">
        <f>IF(ISBLANK(H696), "", Long0[[#This Row],[Adj Close]]/H696-1)</f>
        <v>0.1190352725461632</v>
      </c>
      <c r="J695" s="29">
        <v>40231</v>
      </c>
      <c r="K695">
        <v>1.9506159999999999</v>
      </c>
      <c r="L695" s="33">
        <f>IF(ISBLANK(K696),"",Long1[[#This Row],[Adj Close]]/K696-1)</f>
        <v>4.4444480140671594E-2</v>
      </c>
      <c r="M695" s="37">
        <v>40231</v>
      </c>
      <c r="N695">
        <v>47.853745000000004</v>
      </c>
      <c r="O695" s="36">
        <f>IF(ISBLANK(N696),"",Long2[[#This Row],[Adj Close]]/N696-1)</f>
        <v>-3.9321961736126676E-2</v>
      </c>
      <c r="P695" s="29">
        <v>40231</v>
      </c>
      <c r="Q695">
        <v>13.953514999999999</v>
      </c>
      <c r="R695" s="33">
        <f>IF(ISBLANK(Q696),"",Long3[[#This Row],[Adj Close]]/Q696-1)</f>
        <v>-4.6215715307710403E-2</v>
      </c>
      <c r="S695" s="37">
        <v>40231</v>
      </c>
      <c r="T695" s="35">
        <v>14.912241</v>
      </c>
      <c r="U695" s="36">
        <f>IF(ISBLANK(T696),"",Long4[[#This Row],[Adj Close]]/T696-1)</f>
        <v>-0.10537087363333841</v>
      </c>
      <c r="Y695" s="37">
        <v>40231</v>
      </c>
      <c r="Z695" s="35">
        <v>10.26158</v>
      </c>
      <c r="AA695" s="36">
        <f>IF(ISBLANK(Z696),"",Long6[[#This Row],[Adj Close]]/Z696-1)</f>
        <v>-3.8356183382916798E-2</v>
      </c>
      <c r="AH695" s="29">
        <v>40231</v>
      </c>
      <c r="AI695" s="44">
        <v>11.090877000000001</v>
      </c>
      <c r="AJ695" s="33">
        <f>IF(ISBLANK(AI696),"",Short0[[#This Row],[Adj Close]]/AI696-1)</f>
        <v>2.4014802999378304E-2</v>
      </c>
      <c r="AK695" s="37">
        <v>40231</v>
      </c>
      <c r="AL695" s="39">
        <v>24.636623</v>
      </c>
      <c r="AM695" s="36">
        <f>IF(ISBLANK(AL696),"",Short1[[#This Row],[Adj Close]]/AL696-1)</f>
        <v>4.4025279025921016E-3</v>
      </c>
      <c r="AN695" s="29">
        <v>40231</v>
      </c>
      <c r="AO695" s="44">
        <v>14.712192</v>
      </c>
      <c r="AP695" s="33">
        <f>IF(ISBLANK(AO696),"",Short2[[#This Row],[Adj Close]]/AO696-1)</f>
        <v>-5.1992921742624598E-2</v>
      </c>
    </row>
    <row r="696" spans="1:42" x14ac:dyDescent="0.25">
      <c r="A696" s="37">
        <v>40224</v>
      </c>
      <c r="B696" s="39">
        <v>1109.170044</v>
      </c>
      <c r="C696" s="36">
        <f>IF(ISBLANK(B697), "", GSPC[[#This Row],[Adj Close]]/B697-1)</f>
        <v>3.1296811454130546E-2</v>
      </c>
      <c r="D69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9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96" s="11" t="e">
        <f>IF(ISBLANK(GSPC[[#This Row],[Long Exp.]]), "", (GSPC[[#This Row],[Long Exp.]]/D697-1)+(E697/GSPC[[#This Row],[Short Exp.]]-1))</f>
        <v>#VALUE!</v>
      </c>
      <c r="G696" s="37">
        <v>40224</v>
      </c>
      <c r="H696">
        <v>17.462050999999999</v>
      </c>
      <c r="I696" s="36">
        <f>IF(ISBLANK(H697), "", Long0[[#This Row],[Adj Close]]/H697-1)</f>
        <v>4.150730275685488E-2</v>
      </c>
      <c r="J696" s="29">
        <v>40224</v>
      </c>
      <c r="K696">
        <v>1.8676109999999999</v>
      </c>
      <c r="L696" s="33">
        <f>IF(ISBLANK(K697),"",Long1[[#This Row],[Adj Close]]/K697-1)</f>
        <v>6.29919780891528E-2</v>
      </c>
      <c r="M696" s="37">
        <v>40224</v>
      </c>
      <c r="N696">
        <v>49.812469</v>
      </c>
      <c r="O696" s="36">
        <f>IF(ISBLANK(N697),"",Long2[[#This Row],[Adj Close]]/N697-1)</f>
        <v>3.3146084800641962E-2</v>
      </c>
      <c r="P696" s="29">
        <v>40224</v>
      </c>
      <c r="Q696">
        <v>14.629633999999999</v>
      </c>
      <c r="R696" s="33">
        <f>IF(ISBLANK(Q697),"",Long3[[#This Row],[Adj Close]]/Q697-1)</f>
        <v>2.2252470534390056E-2</v>
      </c>
      <c r="S696" s="37">
        <v>40224</v>
      </c>
      <c r="T696" s="35">
        <v>16.668628999999999</v>
      </c>
      <c r="U696" s="36">
        <f>IF(ISBLANK(T697),"",Long4[[#This Row],[Adj Close]]/T697-1)</f>
        <v>5.4476777081848837E-2</v>
      </c>
      <c r="Y696" s="37">
        <v>40224</v>
      </c>
      <c r="Z696" s="35">
        <v>10.670874</v>
      </c>
      <c r="AA696" s="36">
        <f>IF(ISBLANK(Z697),"",Long6[[#This Row],[Adj Close]]/Z697-1)</f>
        <v>-4.5456911553246604E-3</v>
      </c>
      <c r="AH696" s="29">
        <v>40224</v>
      </c>
      <c r="AI696" s="44">
        <v>10.830778</v>
      </c>
      <c r="AJ696" s="33">
        <f>IF(ISBLANK(AI697),"",Short0[[#This Row],[Adj Close]]/AI697-1)</f>
        <v>-3.3908361863546954E-2</v>
      </c>
      <c r="AK696" s="37">
        <v>40224</v>
      </c>
      <c r="AL696" s="39">
        <v>24.528635000000001</v>
      </c>
      <c r="AM696" s="36">
        <f>IF(ISBLANK(AL697),"",Short1[[#This Row],[Adj Close]]/AL697-1)</f>
        <v>1.6219441703624993E-2</v>
      </c>
      <c r="AN696" s="29">
        <v>40224</v>
      </c>
      <c r="AO696" s="44">
        <v>15.519074</v>
      </c>
      <c r="AP696" s="33">
        <f>IF(ISBLANK(AO697),"",Short2[[#This Row],[Adj Close]]/AO697-1)</f>
        <v>2.0636502164707249E-2</v>
      </c>
    </row>
    <row r="697" spans="1:42" x14ac:dyDescent="0.25">
      <c r="A697" s="37">
        <v>40217</v>
      </c>
      <c r="B697" s="39">
        <v>1075.51001</v>
      </c>
      <c r="C697" s="36">
        <f>IF(ISBLANK(B698), "", GSPC[[#This Row],[Adj Close]]/B698-1)</f>
        <v>8.7414715160962775E-3</v>
      </c>
      <c r="D69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9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97" s="11" t="e">
        <f>IF(ISBLANK(GSPC[[#This Row],[Long Exp.]]), "", (GSPC[[#This Row],[Long Exp.]]/D698-1)+(E698/GSPC[[#This Row],[Short Exp.]]-1))</f>
        <v>#VALUE!</v>
      </c>
      <c r="G697" s="37">
        <v>40217</v>
      </c>
      <c r="H697">
        <v>16.766134000000001</v>
      </c>
      <c r="I697" s="36">
        <f>IF(ISBLANK(H698), "", Long0[[#This Row],[Adj Close]]/H698-1)</f>
        <v>2.3476780094286775E-2</v>
      </c>
      <c r="J697" s="29">
        <v>40217</v>
      </c>
      <c r="K697">
        <v>1.7569380000000001</v>
      </c>
      <c r="L697" s="33">
        <f>IF(ISBLANK(K698),"",Long1[[#This Row],[Adj Close]]/K698-1)</f>
        <v>2.4193266318300433E-2</v>
      </c>
      <c r="M697" s="37">
        <v>40217</v>
      </c>
      <c r="N697">
        <v>48.214351999999998</v>
      </c>
      <c r="O697" s="36">
        <f>IF(ISBLANK(N698),"",Long2[[#This Row],[Adj Close]]/N698-1)</f>
        <v>6.7095266340288839E-2</v>
      </c>
      <c r="P697" s="29">
        <v>40217</v>
      </c>
      <c r="Q697">
        <v>14.311175</v>
      </c>
      <c r="R697" s="33">
        <f>IF(ISBLANK(Q698),"",Long3[[#This Row],[Adj Close]]/Q698-1)</f>
        <v>7.2411951051112311E-3</v>
      </c>
      <c r="S697" s="37">
        <v>40217</v>
      </c>
      <c r="T697" s="35">
        <v>15.807487999999999</v>
      </c>
      <c r="U697" s="36">
        <f>IF(ISBLANK(T698),"",Long4[[#This Row],[Adj Close]]/T698-1)</f>
        <v>3.1719281289737777E-2</v>
      </c>
      <c r="Y697" s="37">
        <v>40217</v>
      </c>
      <c r="Z697" s="35">
        <v>10.719602</v>
      </c>
      <c r="AA697" s="36">
        <f>IF(ISBLANK(Z698),"",Long6[[#This Row],[Adj Close]]/Z698-1)</f>
        <v>3.8715990841518222E-2</v>
      </c>
      <c r="AH697" s="29">
        <v>40217</v>
      </c>
      <c r="AI697" s="44">
        <v>11.210922</v>
      </c>
      <c r="AJ697" s="33">
        <f>IF(ISBLANK(AI698),"",Short0[[#This Row],[Adj Close]]/AI698-1)</f>
        <v>7.0018913247978265E-2</v>
      </c>
      <c r="AK697" s="37">
        <v>40217</v>
      </c>
      <c r="AL697" s="39">
        <v>24.137143999999999</v>
      </c>
      <c r="AM697" s="36">
        <f>IF(ISBLANK(AL698),"",Short1[[#This Row],[Adj Close]]/AL698-1)</f>
        <v>-1.6750598890057367E-3</v>
      </c>
      <c r="AN697" s="29">
        <v>40217</v>
      </c>
      <c r="AO697" s="44">
        <v>15.20529</v>
      </c>
      <c r="AP697" s="33">
        <f>IF(ISBLANK(AO698),"",Short2[[#This Row],[Adj Close]]/AO698-1)</f>
        <v>0.15295723910641112</v>
      </c>
    </row>
    <row r="698" spans="1:42" x14ac:dyDescent="0.25">
      <c r="A698" s="37">
        <v>40210</v>
      </c>
      <c r="B698" s="39">
        <v>1066.1899410000001</v>
      </c>
      <c r="C698" s="36">
        <f>IF(ISBLANK(B699), "", GSPC[[#This Row],[Adj Close]]/B699-1)</f>
        <v>-7.1517539699951227E-3</v>
      </c>
      <c r="D69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9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98" s="11" t="e">
        <f>IF(ISBLANK(GSPC[[#This Row],[Long Exp.]]), "", (GSPC[[#This Row],[Long Exp.]]/D699-1)+(E699/GSPC[[#This Row],[Short Exp.]]-1))</f>
        <v>#VALUE!</v>
      </c>
      <c r="G698" s="37">
        <v>40210</v>
      </c>
      <c r="H698">
        <v>16.381547999999999</v>
      </c>
      <c r="I698" s="36">
        <f>IF(ISBLANK(H699), "", Long0[[#This Row],[Adj Close]]/H699-1)</f>
        <v>-1.8650527569270881E-2</v>
      </c>
      <c r="J698" s="29">
        <v>40210</v>
      </c>
      <c r="K698">
        <v>1.715436</v>
      </c>
      <c r="L698" s="33">
        <f>IF(ISBLANK(K699),"",Long1[[#This Row],[Adj Close]]/K699-1)</f>
        <v>-7.9999074754087962E-3</v>
      </c>
      <c r="M698" s="37">
        <v>40210</v>
      </c>
      <c r="N698">
        <v>45.1828</v>
      </c>
      <c r="O698" s="36">
        <f>IF(ISBLANK(N699),"",Long2[[#This Row],[Adj Close]]/N699-1)</f>
        <v>3.1209476241497613E-2</v>
      </c>
      <c r="P698" s="29">
        <v>40210</v>
      </c>
      <c r="Q698">
        <v>14.20829</v>
      </c>
      <c r="R698" s="33">
        <f>IF(ISBLANK(Q699),"",Long3[[#This Row],[Adj Close]]/Q699-1)</f>
        <v>-1.6615386319065339E-2</v>
      </c>
      <c r="S698" s="37">
        <v>40210</v>
      </c>
      <c r="T698" s="35">
        <v>15.321501</v>
      </c>
      <c r="U698" s="36">
        <f>IF(ISBLANK(T699),"",Long4[[#This Row],[Adj Close]]/T699-1)</f>
        <v>-5.6197443371080347E-2</v>
      </c>
      <c r="Y698" s="37">
        <v>40210</v>
      </c>
      <c r="Z698" s="35">
        <v>10.320050999999999</v>
      </c>
      <c r="AA698" s="36">
        <f>IF(ISBLANK(Z699),"",Long6[[#This Row],[Adj Close]]/Z699-1)</f>
        <v>-6.0337249850173746E-2</v>
      </c>
      <c r="AH698" s="29">
        <v>40210</v>
      </c>
      <c r="AI698" s="44">
        <v>10.477312</v>
      </c>
      <c r="AJ698" s="33">
        <f>IF(ISBLANK(AI699),"",Short0[[#This Row],[Adj Close]]/AI699-1)</f>
        <v>1.3548369059922072E-2</v>
      </c>
      <c r="AK698" s="37">
        <v>40210</v>
      </c>
      <c r="AL698" s="39">
        <v>24.177643</v>
      </c>
      <c r="AM698" s="36">
        <f>IF(ISBLANK(AL699),"",Short1[[#This Row],[Adj Close]]/AL699-1)</f>
        <v>-2.264688900774392E-2</v>
      </c>
      <c r="AN698" s="29">
        <v>40210</v>
      </c>
      <c r="AO698" s="44">
        <v>13.188078000000001</v>
      </c>
      <c r="AP698" s="33">
        <f>IF(ISBLANK(AO699),"",Short2[[#This Row],[Adj Close]]/AO699-1)</f>
        <v>-4.2317716843170095E-2</v>
      </c>
    </row>
    <row r="699" spans="1:42" x14ac:dyDescent="0.25">
      <c r="A699" s="37">
        <v>40203</v>
      </c>
      <c r="B699" s="39">
        <v>1073.869995</v>
      </c>
      <c r="C699" s="36">
        <f>IF(ISBLANK(B700), "", GSPC[[#This Row],[Adj Close]]/B700-1)</f>
        <v>-1.6386398875335217E-2</v>
      </c>
      <c r="D69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69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699" s="11" t="e">
        <f>IF(ISBLANK(GSPC[[#This Row],[Long Exp.]]), "", (GSPC[[#This Row],[Long Exp.]]/D700-1)+(E700/GSPC[[#This Row],[Short Exp.]]-1))</f>
        <v>#VALUE!</v>
      </c>
      <c r="G699" s="37">
        <v>40203</v>
      </c>
      <c r="H699">
        <v>16.692879000000001</v>
      </c>
      <c r="I699" s="36">
        <f>IF(ISBLANK(H700), "", Long0[[#This Row],[Adj Close]]/H700-1)</f>
        <v>2.5309159701673689E-2</v>
      </c>
      <c r="J699" s="29">
        <v>40203</v>
      </c>
      <c r="K699">
        <v>1.7292700000000001</v>
      </c>
      <c r="L699" s="33">
        <f>IF(ISBLANK(K700),"",Long1[[#This Row],[Adj Close]]/K700-1)</f>
        <v>-2.3437235284949121E-2</v>
      </c>
      <c r="M699" s="37">
        <v>40203</v>
      </c>
      <c r="N699">
        <v>43.815345999999998</v>
      </c>
      <c r="O699" s="36">
        <f>IF(ISBLANK(N700),"",Long2[[#This Row],[Adj Close]]/N700-1)</f>
        <v>-8.7327536157499996E-2</v>
      </c>
      <c r="P699" s="29">
        <v>40203</v>
      </c>
      <c r="Q699">
        <v>14.448354999999999</v>
      </c>
      <c r="R699" s="33">
        <f>IF(ISBLANK(Q700),"",Long3[[#This Row],[Adj Close]]/Q700-1)</f>
        <v>-3.120901446981994E-2</v>
      </c>
      <c r="S699" s="37">
        <v>40203</v>
      </c>
      <c r="T699" s="35">
        <v>16.233799000000001</v>
      </c>
      <c r="U699" s="36">
        <f>IF(ISBLANK(T700),"",Long4[[#This Row],[Adj Close]]/T700-1)</f>
        <v>3.8167949182987604E-2</v>
      </c>
      <c r="Y699" s="37">
        <v>40203</v>
      </c>
      <c r="Z699" s="35">
        <v>10.982718</v>
      </c>
      <c r="AA699" s="36">
        <f>IF(ISBLANK(Z700),"",Long6[[#This Row],[Adj Close]]/Z700-1)</f>
        <v>-9.9120752745238128E-2</v>
      </c>
      <c r="AH699" s="29">
        <v>40203</v>
      </c>
      <c r="AI699" s="44">
        <v>10.337259</v>
      </c>
      <c r="AJ699" s="33">
        <f>IF(ISBLANK(AI700),"",Short0[[#This Row],[Adj Close]]/AI700-1)</f>
        <v>-4.7911236640858612E-2</v>
      </c>
      <c r="AK699" s="37">
        <v>40203</v>
      </c>
      <c r="AL699" s="39">
        <v>24.737879</v>
      </c>
      <c r="AM699" s="36">
        <f>IF(ISBLANK(AL700),"",Short1[[#This Row],[Adj Close]]/AL700-1)</f>
        <v>-1.3458434126194296E-2</v>
      </c>
      <c r="AN699" s="29">
        <v>40203</v>
      </c>
      <c r="AO699" s="44">
        <v>13.770828</v>
      </c>
      <c r="AP699" s="33">
        <f>IF(ISBLANK(AO700),"",Short2[[#This Row],[Adj Close]]/AO700-1)</f>
        <v>4.1964665523727129E-2</v>
      </c>
    </row>
    <row r="700" spans="1:42" x14ac:dyDescent="0.25">
      <c r="A700" s="37">
        <v>40196</v>
      </c>
      <c r="B700" s="39">
        <v>1091.76001</v>
      </c>
      <c r="C700" s="36">
        <f>IF(ISBLANK(B701), "", GSPC[[#This Row],[Adj Close]]/B701-1)</f>
        <v>-3.8969057040656896E-2</v>
      </c>
      <c r="D70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0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00" s="11" t="e">
        <f>IF(ISBLANK(GSPC[[#This Row],[Long Exp.]]), "", (GSPC[[#This Row],[Long Exp.]]/D701-1)+(E701/GSPC[[#This Row],[Short Exp.]]-1))</f>
        <v>#VALUE!</v>
      </c>
      <c r="G700" s="37">
        <v>40196</v>
      </c>
      <c r="H700">
        <v>16.280825</v>
      </c>
      <c r="I700" s="36">
        <f>IF(ISBLANK(H701), "", Long0[[#This Row],[Adj Close]]/H701-1)</f>
        <v>-2.3076898613541452E-2</v>
      </c>
      <c r="J700" s="29">
        <v>40196</v>
      </c>
      <c r="K700">
        <v>1.770772</v>
      </c>
      <c r="L700" s="33">
        <f>IF(ISBLANK(K701),"",Long1[[#This Row],[Adj Close]]/K701-1)</f>
        <v>-7.7518511088721098E-3</v>
      </c>
      <c r="M700" s="37">
        <v>40196</v>
      </c>
      <c r="N700">
        <v>48.007744000000002</v>
      </c>
      <c r="O700" s="36">
        <f>IF(ISBLANK(N701),"",Long2[[#This Row],[Adj Close]]/N701-1)</f>
        <v>-4.7595615448689288E-2</v>
      </c>
      <c r="P700" s="29">
        <v>40196</v>
      </c>
      <c r="Q700">
        <v>14.9138</v>
      </c>
      <c r="R700" s="33">
        <f>IF(ISBLANK(Q701),"",Long3[[#This Row],[Adj Close]]/Q701-1)</f>
        <v>-4.5468783261673251E-2</v>
      </c>
      <c r="S700" s="37">
        <v>40196</v>
      </c>
      <c r="T700" s="35">
        <v>15.636968</v>
      </c>
      <c r="U700" s="36">
        <f>IF(ISBLANK(T701),"",Long4[[#This Row],[Adj Close]]/T701-1)</f>
        <v>-6.0931593557966846E-2</v>
      </c>
      <c r="Y700" s="37">
        <v>40196</v>
      </c>
      <c r="Z700" s="35">
        <v>12.19111</v>
      </c>
      <c r="AA700" s="36">
        <f>IF(ISBLANK(Z701),"",Long6[[#This Row],[Adj Close]]/Z701-1)</f>
        <v>-4.0644256929376343E-2</v>
      </c>
      <c r="AH700" s="29">
        <v>40196</v>
      </c>
      <c r="AI700" s="44">
        <v>10.857453</v>
      </c>
      <c r="AJ700" s="33">
        <f>IF(ISBLANK(AI701),"",Short0[[#This Row],[Adj Close]]/AI701-1)</f>
        <v>-0.11521718934882308</v>
      </c>
      <c r="AK700" s="37">
        <v>40196</v>
      </c>
      <c r="AL700" s="39">
        <v>25.075354000000001</v>
      </c>
      <c r="AM700" s="36">
        <f>IF(ISBLANK(AL701),"",Short1[[#This Row],[Adj Close]]/AL701-1)</f>
        <v>-4.5723199167144069E-2</v>
      </c>
      <c r="AN700" s="29">
        <v>40196</v>
      </c>
      <c r="AO700" s="44">
        <v>13.216214000000001</v>
      </c>
      <c r="AP700" s="33">
        <f>IF(ISBLANK(AO701),"",Short2[[#This Row],[Adj Close]]/AO701-1)</f>
        <v>-7.3934704064355872E-2</v>
      </c>
    </row>
    <row r="701" spans="1:42" x14ac:dyDescent="0.25">
      <c r="A701" s="37">
        <v>40189</v>
      </c>
      <c r="B701" s="39">
        <v>1136.030029</v>
      </c>
      <c r="C701" s="36">
        <f>IF(ISBLANK(B702), "", GSPC[[#This Row],[Adj Close]]/B702-1)</f>
        <v>-7.816687764269914E-3</v>
      </c>
      <c r="D70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0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01" s="11" t="e">
        <f>IF(ISBLANK(GSPC[[#This Row],[Long Exp.]]), "", (GSPC[[#This Row],[Long Exp.]]/D702-1)+(E702/GSPC[[#This Row],[Short Exp.]]-1))</f>
        <v>#VALUE!</v>
      </c>
      <c r="G701" s="37">
        <v>40189</v>
      </c>
      <c r="H701">
        <v>16.665410999999999</v>
      </c>
      <c r="I701" s="36">
        <f>IF(ISBLANK(H702), "", Long0[[#This Row],[Adj Close]]/H702-1)</f>
        <v>4.4776060454461586E-2</v>
      </c>
      <c r="J701" s="29">
        <v>40189</v>
      </c>
      <c r="K701">
        <v>1.7846059999999999</v>
      </c>
      <c r="L701" s="33">
        <f>IF(ISBLANK(K702),"",Long1[[#This Row],[Adj Close]]/K702-1)</f>
        <v>7.8124117616495958E-3</v>
      </c>
      <c r="M701" s="37">
        <v>40189</v>
      </c>
      <c r="N701">
        <v>50.406891000000002</v>
      </c>
      <c r="O701" s="36">
        <f>IF(ISBLANK(N702),"",Long2[[#This Row],[Adj Close]]/N702-1)</f>
        <v>-7.7061545244039742E-2</v>
      </c>
      <c r="P701" s="29">
        <v>40189</v>
      </c>
      <c r="Q701">
        <v>15.624214</v>
      </c>
      <c r="R701" s="33">
        <f>IF(ISBLANK(Q702),"",Long3[[#This Row],[Adj Close]]/Q702-1)</f>
        <v>5.6762256092741659E-3</v>
      </c>
      <c r="S701" s="37">
        <v>40189</v>
      </c>
      <c r="T701" s="35">
        <v>16.651575000000001</v>
      </c>
      <c r="U701" s="36">
        <f>IF(ISBLANK(T702),"",Long4[[#This Row],[Adj Close]]/T702-1)</f>
        <v>-4.8245828624548515E-2</v>
      </c>
      <c r="Y701" s="37">
        <v>40189</v>
      </c>
      <c r="Z701" s="35">
        <v>12.707601</v>
      </c>
      <c r="AA701" s="36">
        <f>IF(ISBLANK(Z702),"",Long6[[#This Row],[Adj Close]]/Z702-1)</f>
        <v>-8.4269522036807598E-2</v>
      </c>
      <c r="AH701" s="29">
        <v>40189</v>
      </c>
      <c r="AI701" s="44">
        <v>12.271319999999999</v>
      </c>
      <c r="AJ701" s="33">
        <f>IF(ISBLANK(AI702),"",Short0[[#This Row],[Adj Close]]/AI702-1)</f>
        <v>1.6574175547203085E-2</v>
      </c>
      <c r="AK701" s="37">
        <v>40189</v>
      </c>
      <c r="AL701" s="39">
        <v>26.276814000000002</v>
      </c>
      <c r="AM701" s="36">
        <f>IF(ISBLANK(AL702),"",Short1[[#This Row],[Adj Close]]/AL702-1)</f>
        <v>-2.4555414513056539E-2</v>
      </c>
      <c r="AN701" s="29">
        <v>40189</v>
      </c>
      <c r="AO701" s="44">
        <v>14.271362999999999</v>
      </c>
      <c r="AP701" s="33">
        <f>IF(ISBLANK(AO702),"",Short2[[#This Row],[Adj Close]]/AO702-1)</f>
        <v>6.2689212253008719E-4</v>
      </c>
    </row>
    <row r="702" spans="1:42" x14ac:dyDescent="0.25">
      <c r="A702" s="37">
        <v>40182</v>
      </c>
      <c r="B702" s="39">
        <v>1144.9799800000001</v>
      </c>
      <c r="C702" s="36">
        <f>IF(ISBLANK(B703), "", GSPC[[#This Row],[Adj Close]]/B703-1)</f>
        <v>2.6795807230830748E-2</v>
      </c>
      <c r="D70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0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02" s="11" t="e">
        <f>IF(ISBLANK(GSPC[[#This Row],[Long Exp.]]), "", (GSPC[[#This Row],[Long Exp.]]/D703-1)+(E703/GSPC[[#This Row],[Short Exp.]]-1))</f>
        <v>#VALUE!</v>
      </c>
      <c r="G702" s="37">
        <v>40182</v>
      </c>
      <c r="H702">
        <v>15.951180000000001</v>
      </c>
      <c r="I702" s="36">
        <f>IF(ISBLANK(H703), "", Long0[[#This Row],[Adj Close]]/H703-1)</f>
        <v>-5.4801852830558273E-2</v>
      </c>
      <c r="J702" s="29">
        <v>40182</v>
      </c>
      <c r="K702">
        <v>1.770772</v>
      </c>
      <c r="L702" s="33">
        <f>IF(ISBLANK(K703),"",Long1[[#This Row],[Adj Close]]/K703-1)</f>
        <v>0</v>
      </c>
      <c r="M702" s="37">
        <v>40182</v>
      </c>
      <c r="N702">
        <v>54.615658000000003</v>
      </c>
      <c r="O702" s="36">
        <f>IF(ISBLANK(N703),"",Long2[[#This Row],[Adj Close]]/N703-1)</f>
        <v>0.11669163269963301</v>
      </c>
      <c r="P702" s="29">
        <v>40182</v>
      </c>
      <c r="Q702">
        <v>15.536028</v>
      </c>
      <c r="R702" s="33">
        <f>IF(ISBLANK(Q703),"",Long3[[#This Row],[Adj Close]]/Q703-1)</f>
        <v>-1.8569818246229941E-2</v>
      </c>
      <c r="S702" s="37">
        <v>40182</v>
      </c>
      <c r="T702" s="35">
        <v>17.495667999999998</v>
      </c>
      <c r="U702" s="36">
        <f>IF(ISBLANK(T703),"",Long4[[#This Row],[Adj Close]]/T703-1)</f>
        <v>2.4463392276034224E-2</v>
      </c>
      <c r="Y702" s="37">
        <v>40182</v>
      </c>
      <c r="Z702" s="35">
        <v>13.87701</v>
      </c>
      <c r="AA702" s="36">
        <f>IF(ISBLANK(Z703),"",Long6[[#This Row],[Adj Close]]/Z703-1)</f>
        <v>0.15210373558802459</v>
      </c>
      <c r="AH702" s="29">
        <v>40182</v>
      </c>
      <c r="AI702" s="44">
        <v>12.071249</v>
      </c>
      <c r="AJ702" s="33">
        <f>IF(ISBLANK(AI703),"",Short0[[#This Row],[Adj Close]]/AI703-1)</f>
        <v>0.21151275690295113</v>
      </c>
      <c r="AK702" s="37">
        <v>40182</v>
      </c>
      <c r="AL702" s="39">
        <v>26.938295</v>
      </c>
      <c r="AM702" s="36">
        <f>IF(ISBLANK(AL703),"",Short1[[#This Row],[Adj Close]]/AL703-1)</f>
        <v>1.4926696292295372E-2</v>
      </c>
      <c r="AN702" s="29">
        <v>40182</v>
      </c>
      <c r="AO702" s="44">
        <v>14.262422000000001</v>
      </c>
      <c r="AP702" s="33">
        <f>IF(ISBLANK(AO703),"",Short2[[#This Row],[Adj Close]]/AO703-1)</f>
        <v>0.24902109488846547</v>
      </c>
    </row>
    <row r="703" spans="1:42" x14ac:dyDescent="0.25">
      <c r="A703" s="37">
        <v>40175</v>
      </c>
      <c r="B703" s="39">
        <v>1115.099976</v>
      </c>
      <c r="C703" s="36">
        <f>IF(ISBLANK(B704), "", GSPC[[#This Row],[Adj Close]]/B704-1)</f>
        <v>-1.010226919434476E-2</v>
      </c>
      <c r="D70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0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03" s="11" t="e">
        <f>IF(ISBLANK(GSPC[[#This Row],[Long Exp.]]), "", (GSPC[[#This Row],[Long Exp.]]/D704-1)+(E704/GSPC[[#This Row],[Short Exp.]]-1))</f>
        <v>#VALUE!</v>
      </c>
      <c r="G703" s="37">
        <v>40175</v>
      </c>
      <c r="H703">
        <v>16.876017000000001</v>
      </c>
      <c r="I703" s="36">
        <f>IF(ISBLANK(H704), "", Long0[[#This Row],[Adj Close]]/H704-1)</f>
        <v>-1.6542248547192662E-2</v>
      </c>
      <c r="J703" s="29">
        <v>40175</v>
      </c>
      <c r="K703">
        <v>1.770772</v>
      </c>
      <c r="L703" s="33">
        <f>IF(ISBLANK(K704),"",Long1[[#This Row],[Adj Close]]/K704-1)</f>
        <v>2.3999722426226056E-2</v>
      </c>
      <c r="M703" s="37">
        <v>40175</v>
      </c>
      <c r="N703">
        <v>48.908450999999999</v>
      </c>
      <c r="O703" s="36">
        <f>IF(ISBLANK(N704),"",Long2[[#This Row],[Adj Close]]/N704-1)</f>
        <v>-1.4518808104252767E-2</v>
      </c>
      <c r="P703" s="29">
        <v>40175</v>
      </c>
      <c r="Q703">
        <v>15.829988</v>
      </c>
      <c r="R703" s="33">
        <f>IF(ISBLANK(Q704),"",Long3[[#This Row],[Adj Close]]/Q704-1)</f>
        <v>-1.5539377552999611E-2</v>
      </c>
      <c r="S703" s="37">
        <v>40175</v>
      </c>
      <c r="T703" s="35">
        <v>17.077884999999998</v>
      </c>
      <c r="U703" s="36">
        <f>IF(ISBLANK(T704),"",Long4[[#This Row],[Adj Close]]/T704-1)</f>
        <v>-3.7019187231503436E-2</v>
      </c>
      <c r="Y703" s="37">
        <v>40175</v>
      </c>
      <c r="Z703" s="35">
        <v>12.044931</v>
      </c>
      <c r="AA703" s="36">
        <f>IF(ISBLANK(Z704),"",Long6[[#This Row],[Adj Close]]/Z704-1)</f>
        <v>-7.4850442899165648E-2</v>
      </c>
      <c r="AH703" s="29">
        <v>40175</v>
      </c>
      <c r="AI703" s="44">
        <v>9.9637820000000001</v>
      </c>
      <c r="AJ703" s="33">
        <f>IF(ISBLANK(AI704),"",Short0[[#This Row],[Adj Close]]/AI704-1)</f>
        <v>-2.5440339143227519E-2</v>
      </c>
      <c r="AK703" s="37">
        <v>40175</v>
      </c>
      <c r="AL703" s="39">
        <v>26.542109</v>
      </c>
      <c r="AM703" s="36">
        <f>IF(ISBLANK(AL704),"",Short1[[#This Row],[Adj Close]]/AL704-1)</f>
        <v>-3.046713999537487E-2</v>
      </c>
      <c r="AN703" s="29">
        <v>40175</v>
      </c>
      <c r="AO703" s="44">
        <v>11.41888</v>
      </c>
      <c r="AP703" s="33">
        <f>IF(ISBLANK(AO704),"",Short2[[#This Row],[Adj Close]]/AO704-1)</f>
        <v>-4.4161476213902207E-2</v>
      </c>
    </row>
    <row r="704" spans="1:42" x14ac:dyDescent="0.25">
      <c r="A704" s="37">
        <v>40168</v>
      </c>
      <c r="B704" s="39">
        <v>1126.4799800000001</v>
      </c>
      <c r="C704" s="36">
        <f>IF(ISBLANK(B705), "", GSPC[[#This Row],[Adj Close]]/B705-1)</f>
        <v>2.1778379122854297E-2</v>
      </c>
      <c r="D70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0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04" s="11" t="e">
        <f>IF(ISBLANK(GSPC[[#This Row],[Long Exp.]]), "", (GSPC[[#This Row],[Long Exp.]]/D705-1)+(E705/GSPC[[#This Row],[Short Exp.]]-1))</f>
        <v>#VALUE!</v>
      </c>
      <c r="G704" s="37">
        <v>40168</v>
      </c>
      <c r="H704">
        <v>17.159880000000001</v>
      </c>
      <c r="I704" s="36">
        <f>IF(ISBLANK(H705), "", Long0[[#This Row],[Adj Close]]/H705-1)</f>
        <v>2.6849489440999186E-2</v>
      </c>
      <c r="J704" s="29">
        <v>40168</v>
      </c>
      <c r="K704">
        <v>1.7292700000000001</v>
      </c>
      <c r="L704" s="33">
        <f>IF(ISBLANK(K705),"",Long1[[#This Row],[Adj Close]]/K705-1)</f>
        <v>9.649139493270531E-2</v>
      </c>
      <c r="M704" s="37">
        <v>40168</v>
      </c>
      <c r="N704">
        <v>49.629004999999999</v>
      </c>
      <c r="O704" s="36">
        <f>IF(ISBLANK(N705),"",Long2[[#This Row],[Adj Close]]/N705-1)</f>
        <v>9.7609520868688904E-2</v>
      </c>
      <c r="P704" s="29">
        <v>40168</v>
      </c>
      <c r="Q704">
        <v>16.079858999999999</v>
      </c>
      <c r="R704" s="33">
        <f>IF(ISBLANK(Q705),"",Long3[[#This Row],[Adj Close]]/Q705-1)</f>
        <v>5.2068671984430992E-3</v>
      </c>
      <c r="S704" s="37">
        <v>40168</v>
      </c>
      <c r="T704" s="35">
        <v>17.734397999999999</v>
      </c>
      <c r="U704" s="36">
        <f>IF(ISBLANK(T705),"",Long4[[#This Row],[Adj Close]]/T705-1)</f>
        <v>0.12432438395266154</v>
      </c>
      <c r="Y704" s="37">
        <v>40168</v>
      </c>
      <c r="Z704" s="35">
        <v>13.019442</v>
      </c>
      <c r="AA704" s="36">
        <f>IF(ISBLANK(Z705),"",Long6[[#This Row],[Adj Close]]/Z705-1)</f>
        <v>8.4415449201288073E-2</v>
      </c>
      <c r="AH704" s="29">
        <v>40168</v>
      </c>
      <c r="AI704" s="44">
        <v>10.223881</v>
      </c>
      <c r="AJ704" s="33">
        <f>IF(ISBLANK(AI705),"",Short0[[#This Row],[Adj Close]]/AI705-1)</f>
        <v>2.6160109559434375E-3</v>
      </c>
      <c r="AK704" s="37">
        <v>40168</v>
      </c>
      <c r="AL704" s="39">
        <v>27.376183000000001</v>
      </c>
      <c r="AM704" s="36">
        <f>IF(ISBLANK(AL705),"",Short1[[#This Row],[Adj Close]]/AL705-1)</f>
        <v>3.0379235437823171E-2</v>
      </c>
      <c r="AN704" s="29">
        <v>40168</v>
      </c>
      <c r="AO704" s="44">
        <v>11.946453</v>
      </c>
      <c r="AP704" s="33">
        <f>IF(ISBLANK(AO705),"",Short2[[#This Row],[Adj Close]]/AO705-1)</f>
        <v>7.3092178500219651E-2</v>
      </c>
    </row>
    <row r="705" spans="1:42" x14ac:dyDescent="0.25">
      <c r="A705" s="37">
        <v>40161</v>
      </c>
      <c r="B705" s="39">
        <v>1102.469971</v>
      </c>
      <c r="C705" s="36">
        <f>IF(ISBLANK(B706), "", GSPC[[#This Row],[Adj Close]]/B706-1)</f>
        <v>-3.5611237054272715E-3</v>
      </c>
      <c r="D70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0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05" s="11" t="e">
        <f>IF(ISBLANK(GSPC[[#This Row],[Long Exp.]]), "", (GSPC[[#This Row],[Long Exp.]]/D706-1)+(E706/GSPC[[#This Row],[Short Exp.]]-1))</f>
        <v>#VALUE!</v>
      </c>
      <c r="G705" s="37">
        <v>40161</v>
      </c>
      <c r="H705">
        <v>16.711193000000002</v>
      </c>
      <c r="I705" s="36">
        <f>IF(ISBLANK(H706), "", Long0[[#This Row],[Adj Close]]/H706-1)</f>
        <v>-1.4578828567059832E-2</v>
      </c>
      <c r="J705" s="29">
        <v>40161</v>
      </c>
      <c r="K705">
        <v>1.577094</v>
      </c>
      <c r="L705" s="33">
        <f>IF(ISBLANK(K706),"",Long1[[#This Row],[Adj Close]]/K706-1)</f>
        <v>-4.2016929230713207E-2</v>
      </c>
      <c r="M705" s="37">
        <v>40161</v>
      </c>
      <c r="N705">
        <v>45.215538000000002</v>
      </c>
      <c r="O705" s="36">
        <f>IF(ISBLANK(N706),"",Long2[[#This Row],[Adj Close]]/N706-1)</f>
        <v>-6.3909045710983214E-2</v>
      </c>
      <c r="P705" s="29">
        <v>40161</v>
      </c>
      <c r="Q705">
        <v>15.996567000000001</v>
      </c>
      <c r="R705" s="33">
        <f>IF(ISBLANK(Q706),"",Long3[[#This Row],[Adj Close]]/Q706-1)</f>
        <v>1.877216703042528E-2</v>
      </c>
      <c r="S705" s="37">
        <v>40161</v>
      </c>
      <c r="T705" s="35">
        <v>15.773382</v>
      </c>
      <c r="U705" s="36">
        <f>IF(ISBLANK(T706),"",Long4[[#This Row],[Adj Close]]/T706-1)</f>
        <v>-2.9890136627006125E-2</v>
      </c>
      <c r="Y705" s="37">
        <v>40161</v>
      </c>
      <c r="Z705" s="35">
        <v>12.005953999999999</v>
      </c>
      <c r="AA705" s="36">
        <f>IF(ISBLANK(Z706),"",Long6[[#This Row],[Adj Close]]/Z706-1)</f>
        <v>6.1154405363242903E-2</v>
      </c>
      <c r="AH705" s="29">
        <v>40161</v>
      </c>
      <c r="AI705" s="44">
        <v>10.197205</v>
      </c>
      <c r="AJ705" s="33">
        <f>IF(ISBLANK(AI706),"",Short0[[#This Row],[Adj Close]]/AI706-1)</f>
        <v>5.2598372412842043E-3</v>
      </c>
      <c r="AK705" s="37">
        <v>40161</v>
      </c>
      <c r="AL705" s="39">
        <v>26.569036000000001</v>
      </c>
      <c r="AM705" s="36">
        <f>IF(ISBLANK(AL706),"",Short1[[#This Row],[Adj Close]]/AL706-1)</f>
        <v>-0.10915586958158852</v>
      </c>
      <c r="AN705" s="29">
        <v>40161</v>
      </c>
      <c r="AO705" s="44">
        <v>11.132737000000001</v>
      </c>
      <c r="AP705" s="33">
        <f>IF(ISBLANK(AO706),"",Short2[[#This Row],[Adj Close]]/AO706-1)</f>
        <v>5.0632768040606235E-2</v>
      </c>
    </row>
    <row r="706" spans="1:42" x14ac:dyDescent="0.25">
      <c r="A706" s="37">
        <v>40154</v>
      </c>
      <c r="B706" s="39">
        <v>1106.410034</v>
      </c>
      <c r="C706" s="36">
        <f>IF(ISBLANK(B707), "", GSPC[[#This Row],[Adj Close]]/B707-1)</f>
        <v>3.8884428993002373E-4</v>
      </c>
      <c r="D70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0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06" s="11" t="e">
        <f>IF(ISBLANK(GSPC[[#This Row],[Long Exp.]]), "", (GSPC[[#This Row],[Long Exp.]]/D707-1)+(E707/GSPC[[#This Row],[Short Exp.]]-1))</f>
        <v>#VALUE!</v>
      </c>
      <c r="G706" s="37">
        <v>40154</v>
      </c>
      <c r="H706">
        <v>16.958427</v>
      </c>
      <c r="I706" s="36">
        <f>IF(ISBLANK(H707), "", Long0[[#This Row],[Adj Close]]/H707-1)</f>
        <v>2.9460664338105236E-2</v>
      </c>
      <c r="J706" s="29">
        <v>40154</v>
      </c>
      <c r="K706">
        <v>1.6462650000000001</v>
      </c>
      <c r="L706" s="33">
        <f>IF(ISBLANK(K707),"",Long1[[#This Row],[Adj Close]]/K707-1)</f>
        <v>5.3097373437559936E-2</v>
      </c>
      <c r="M706" s="37">
        <v>40154</v>
      </c>
      <c r="N706">
        <v>48.302504999999996</v>
      </c>
      <c r="O706" s="36">
        <f>IF(ISBLANK(N707),"",Long2[[#This Row],[Adj Close]]/N707-1)</f>
        <v>1.2008651282418681E-2</v>
      </c>
      <c r="P706" s="29">
        <v>40154</v>
      </c>
      <c r="Q706">
        <v>15.70181</v>
      </c>
      <c r="R706" s="33">
        <f>IF(ISBLANK(Q707),"",Long3[[#This Row],[Adj Close]]/Q707-1)</f>
        <v>2.4344024055870772E-2</v>
      </c>
      <c r="S706" s="37">
        <v>40154</v>
      </c>
      <c r="T706" s="35">
        <v>16.259377000000001</v>
      </c>
      <c r="U706" s="36">
        <f>IF(ISBLANK(T707),"",Long4[[#This Row],[Adj Close]]/T707-1)</f>
        <v>-1.3960393649855796E-2</v>
      </c>
      <c r="Y706" s="37">
        <v>40154</v>
      </c>
      <c r="Z706" s="35">
        <v>11.31405</v>
      </c>
      <c r="AA706" s="36">
        <f>IF(ISBLANK(Z707),"",Long6[[#This Row],[Adj Close]]/Z707-1)</f>
        <v>2.1108071546562135E-2</v>
      </c>
      <c r="AH706" s="29">
        <v>40154</v>
      </c>
      <c r="AI706" s="44">
        <v>10.14385</v>
      </c>
      <c r="AJ706" s="33">
        <f>IF(ISBLANK(AI707),"",Short0[[#This Row],[Adj Close]]/AI707-1)</f>
        <v>-5.9369115174462417E-2</v>
      </c>
      <c r="AK706" s="37">
        <v>40154</v>
      </c>
      <c r="AL706" s="39">
        <v>29.824562</v>
      </c>
      <c r="AM706" s="36">
        <f>IF(ISBLANK(AL707),"",Short1[[#This Row],[Adj Close]]/AL707-1)</f>
        <v>1.2559658718417799E-2</v>
      </c>
      <c r="AN706" s="29">
        <v>40154</v>
      </c>
      <c r="AO706" s="44">
        <v>10.596221</v>
      </c>
      <c r="AP706" s="33">
        <f>IF(ISBLANK(AO707),"",Short2[[#This Row],[Adj Close]]/AO707-1)</f>
        <v>-4.666150900546906E-2</v>
      </c>
    </row>
    <row r="707" spans="1:42" x14ac:dyDescent="0.25">
      <c r="A707" s="37">
        <v>40147</v>
      </c>
      <c r="B707" s="39">
        <v>1105.9799800000001</v>
      </c>
      <c r="C707" s="36">
        <f>IF(ISBLANK(B708), "", GSPC[[#This Row],[Adj Close]]/B708-1)</f>
        <v>1.3275421792920072E-2</v>
      </c>
      <c r="D70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0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07" s="11" t="e">
        <f>IF(ISBLANK(GSPC[[#This Row],[Long Exp.]]), "", (GSPC[[#This Row],[Long Exp.]]/D708-1)+(E708/GSPC[[#This Row],[Short Exp.]]-1))</f>
        <v>#VALUE!</v>
      </c>
      <c r="G707" s="37">
        <v>40147</v>
      </c>
      <c r="H707">
        <v>16.473117999999999</v>
      </c>
      <c r="I707" s="36">
        <f>IF(ISBLANK(H708), "", Long0[[#This Row],[Adj Close]]/H708-1)</f>
        <v>-1.1103949142070579E-3</v>
      </c>
      <c r="J707" s="29">
        <v>40147</v>
      </c>
      <c r="K707">
        <v>1.5632600000000001</v>
      </c>
      <c r="L707" s="33">
        <f>IF(ISBLANK(K708),"",Long1[[#This Row],[Adj Close]]/K708-1)</f>
        <v>0.10784333179314642</v>
      </c>
      <c r="M707" s="37">
        <v>40147</v>
      </c>
      <c r="N707">
        <v>47.729340000000001</v>
      </c>
      <c r="O707" s="36">
        <f>IF(ISBLANK(N708),"",Long2[[#This Row],[Adj Close]]/N708-1)</f>
        <v>7.2493303228204686E-2</v>
      </c>
      <c r="P707" s="29">
        <v>40147</v>
      </c>
      <c r="Q707">
        <v>15.328649</v>
      </c>
      <c r="R707" s="33">
        <f>IF(ISBLANK(Q708),"",Long3[[#This Row],[Adj Close]]/Q708-1)</f>
        <v>3.8410764980564949E-2</v>
      </c>
      <c r="S707" s="37">
        <v>40147</v>
      </c>
      <c r="T707" s="35">
        <v>16.489578000000002</v>
      </c>
      <c r="U707" s="36">
        <f>IF(ISBLANK(T708),"",Long4[[#This Row],[Adj Close]]/T708-1)</f>
        <v>3.6997287135609458E-2</v>
      </c>
      <c r="Y707" s="37">
        <v>40147</v>
      </c>
      <c r="Z707" s="35">
        <v>11.080169</v>
      </c>
      <c r="AA707" s="36">
        <f>IF(ISBLANK(Z708),"",Long6[[#This Row],[Adj Close]]/Z708-1)</f>
        <v>4.5998103449333749E-2</v>
      </c>
      <c r="AH707" s="29">
        <v>40147</v>
      </c>
      <c r="AI707" s="44">
        <v>10.784091999999999</v>
      </c>
      <c r="AJ707" s="33">
        <f>IF(ISBLANK(AI708),"",Short0[[#This Row],[Adj Close]]/AI708-1)</f>
        <v>2.4065816178905131E-2</v>
      </c>
      <c r="AK707" s="37">
        <v>40147</v>
      </c>
      <c r="AL707" s="39">
        <v>29.454622000000001</v>
      </c>
      <c r="AM707" s="36">
        <f>IF(ISBLANK(AL708),"",Short1[[#This Row],[Adj Close]]/AL708-1)</f>
        <v>2.2413621341452972E-2</v>
      </c>
      <c r="AN707" s="29">
        <v>40147</v>
      </c>
      <c r="AO707" s="44">
        <v>11.114857000000001</v>
      </c>
      <c r="AP707" s="33">
        <f>IF(ISBLANK(AO708),"",Short2[[#This Row],[Adj Close]]/AO708-1)</f>
        <v>-3.3436820261024902E-2</v>
      </c>
    </row>
    <row r="708" spans="1:42" x14ac:dyDescent="0.25">
      <c r="A708" s="37">
        <v>40140</v>
      </c>
      <c r="B708" s="39">
        <v>1091.48999</v>
      </c>
      <c r="C708" s="36">
        <f>IF(ISBLANK(B709), "", GSPC[[#This Row],[Adj Close]]/B709-1)</f>
        <v>1.0077608119640757E-4</v>
      </c>
      <c r="D70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0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08" s="11" t="e">
        <f>IF(ISBLANK(GSPC[[#This Row],[Long Exp.]]), "", (GSPC[[#This Row],[Long Exp.]]/D709-1)+(E709/GSPC[[#This Row],[Short Exp.]]-1))</f>
        <v>#VALUE!</v>
      </c>
      <c r="G708" s="37">
        <v>40140</v>
      </c>
      <c r="H708">
        <v>16.491430000000001</v>
      </c>
      <c r="I708" s="36">
        <f>IF(ISBLANK(H709), "", Long0[[#This Row],[Adj Close]]/H709-1)</f>
        <v>2.6210657116744862E-2</v>
      </c>
      <c r="J708" s="29">
        <v>40140</v>
      </c>
      <c r="K708">
        <v>1.411084</v>
      </c>
      <c r="L708" s="33">
        <f>IF(ISBLANK(K709),"",Long1[[#This Row],[Adj Close]]/K709-1)</f>
        <v>0</v>
      </c>
      <c r="M708" s="37">
        <v>40140</v>
      </c>
      <c r="N708">
        <v>44.503158999999997</v>
      </c>
      <c r="O708" s="36">
        <f>IF(ISBLANK(N709),"",Long2[[#This Row],[Adj Close]]/N709-1)</f>
        <v>-1.7357186262268565E-2</v>
      </c>
      <c r="P708" s="29">
        <v>40140</v>
      </c>
      <c r="Q708">
        <v>14.761642999999999</v>
      </c>
      <c r="R708" s="33">
        <f>IF(ISBLANK(Q709),"",Long3[[#This Row],[Adj Close]]/Q709-1)</f>
        <v>1.0617421940376071E-2</v>
      </c>
      <c r="S708" s="37">
        <v>40140</v>
      </c>
      <c r="T708" s="35">
        <v>15.901274000000001</v>
      </c>
      <c r="U708" s="36">
        <f>IF(ISBLANK(T709),"",Long4[[#This Row],[Adj Close]]/T709-1)</f>
        <v>-9.5595384543514239E-3</v>
      </c>
      <c r="Y708" s="37">
        <v>40140</v>
      </c>
      <c r="Z708" s="35">
        <v>10.592915</v>
      </c>
      <c r="AA708" s="36">
        <f>IF(ISBLANK(Z709),"",Long6[[#This Row],[Adj Close]]/Z709-1)</f>
        <v>-5.3135752086014287E-2</v>
      </c>
      <c r="AH708" s="29">
        <v>40140</v>
      </c>
      <c r="AI708" s="44">
        <v>10.530663000000001</v>
      </c>
      <c r="AJ708" s="33">
        <f>IF(ISBLANK(AI709),"",Short0[[#This Row],[Adj Close]]/AI709-1)</f>
        <v>-3.4250935883068157E-2</v>
      </c>
      <c r="AK708" s="37">
        <v>40140</v>
      </c>
      <c r="AL708" s="39">
        <v>28.808910000000001</v>
      </c>
      <c r="AM708" s="36">
        <f>IF(ISBLANK(AL709),"",Short1[[#This Row],[Adj Close]]/AL709-1)</f>
        <v>-1.085416609585188E-2</v>
      </c>
      <c r="AN708" s="29">
        <v>40140</v>
      </c>
      <c r="AO708" s="44">
        <v>11.499359</v>
      </c>
      <c r="AP708" s="33">
        <f>IF(ISBLANK(AO709),"",Short2[[#This Row],[Adj Close]]/AO709-1)</f>
        <v>-5.9253635676072447E-2</v>
      </c>
    </row>
    <row r="709" spans="1:42" x14ac:dyDescent="0.25">
      <c r="A709" s="37">
        <v>40133</v>
      </c>
      <c r="B709" s="39">
        <v>1091.380005</v>
      </c>
      <c r="C709" s="36">
        <f>IF(ISBLANK(B710), "", GSPC[[#This Row],[Adj Close]]/B710-1)</f>
        <v>-1.9204512550838881E-3</v>
      </c>
      <c r="D70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0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09" s="11" t="e">
        <f>IF(ISBLANK(GSPC[[#This Row],[Long Exp.]]), "", (GSPC[[#This Row],[Long Exp.]]/D710-1)+(E710/GSPC[[#This Row],[Short Exp.]]-1))</f>
        <v>#VALUE!</v>
      </c>
      <c r="G709" s="37">
        <v>40133</v>
      </c>
      <c r="H709">
        <v>16.070219000000002</v>
      </c>
      <c r="I709" s="36">
        <f>IF(ISBLANK(H710), "", Long0[[#This Row],[Adj Close]]/H710-1)</f>
        <v>5.7013664476235348E-4</v>
      </c>
      <c r="J709" s="29">
        <v>40133</v>
      </c>
      <c r="K709">
        <v>1.411084</v>
      </c>
      <c r="L709" s="33">
        <f>IF(ISBLANK(K710),"",Long1[[#This Row],[Adj Close]]/K710-1)</f>
        <v>-2.8571782619560837E-2</v>
      </c>
      <c r="M709" s="37">
        <v>40133</v>
      </c>
      <c r="N709">
        <v>45.289253000000002</v>
      </c>
      <c r="O709" s="36">
        <f>IF(ISBLANK(N710),"",Long2[[#This Row],[Adj Close]]/N710-1)</f>
        <v>0.17988194889700848</v>
      </c>
      <c r="P709" s="29">
        <v>40133</v>
      </c>
      <c r="Q709">
        <v>14.606559000000001</v>
      </c>
      <c r="R709" s="33">
        <f>IF(ISBLANK(Q710),"",Long3[[#This Row],[Adj Close]]/Q710-1)</f>
        <v>-1.6560966055897408E-3</v>
      </c>
      <c r="S709" s="37">
        <v>40133</v>
      </c>
      <c r="T709" s="35">
        <v>16.054749999999999</v>
      </c>
      <c r="U709" s="36">
        <f>IF(ISBLANK(T710),"",Long4[[#This Row],[Adj Close]]/T710-1)</f>
        <v>-4.2217594011938364E-2</v>
      </c>
      <c r="Y709" s="37">
        <v>40133</v>
      </c>
      <c r="Z709" s="35">
        <v>11.187364000000001</v>
      </c>
      <c r="AA709" s="36">
        <f>IF(ISBLANK(Z710),"",Long6[[#This Row],[Adj Close]]/Z710-1)</f>
        <v>1.9538096010990103E-2</v>
      </c>
      <c r="AH709" s="29">
        <v>40133</v>
      </c>
      <c r="AI709" s="44">
        <v>10.90414</v>
      </c>
      <c r="AJ709" s="33">
        <f>IF(ISBLANK(AI710),"",Short0[[#This Row],[Adj Close]]/AI710-1)</f>
        <v>-5.9804511862960874E-2</v>
      </c>
      <c r="AK709" s="37">
        <v>40133</v>
      </c>
      <c r="AL709" s="39">
        <v>29.125038</v>
      </c>
      <c r="AM709" s="36">
        <f>IF(ISBLANK(AL710),"",Short1[[#This Row],[Adj Close]]/AL710-1)</f>
        <v>3.3906589563545753E-2</v>
      </c>
      <c r="AN709" s="29">
        <v>40133</v>
      </c>
      <c r="AO709" s="44">
        <v>12.223655000000001</v>
      </c>
      <c r="AP709" s="33">
        <f>IF(ISBLANK(AO710),"",Short2[[#This Row],[Adj Close]]/AO710-1)</f>
        <v>-5.5287052376088774E-2</v>
      </c>
    </row>
    <row r="710" spans="1:42" x14ac:dyDescent="0.25">
      <c r="A710" s="37">
        <v>40126</v>
      </c>
      <c r="B710" s="39">
        <v>1093.4799800000001</v>
      </c>
      <c r="C710" s="36">
        <f>IF(ISBLANK(B711), "", GSPC[[#This Row],[Adj Close]]/B711-1)</f>
        <v>2.2612858778612299E-2</v>
      </c>
      <c r="D71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1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10" s="11" t="e">
        <f>IF(ISBLANK(GSPC[[#This Row],[Long Exp.]]), "", (GSPC[[#This Row],[Long Exp.]]/D711-1)+(E711/GSPC[[#This Row],[Short Exp.]]-1))</f>
        <v>#VALUE!</v>
      </c>
      <c r="G710" s="37">
        <v>40126</v>
      </c>
      <c r="H710">
        <v>16.061062</v>
      </c>
      <c r="I710" s="36">
        <f>IF(ISBLANK(H711), "", Long0[[#This Row],[Adj Close]]/H711-1)</f>
        <v>4.006948068830285E-3</v>
      </c>
      <c r="J710" s="29">
        <v>40126</v>
      </c>
      <c r="K710">
        <v>1.4525870000000001</v>
      </c>
      <c r="L710" s="33">
        <f>IF(ISBLANK(K711),"",Long1[[#This Row],[Adj Close]]/K711-1)</f>
        <v>3.9604222580067905E-2</v>
      </c>
      <c r="M710" s="37">
        <v>40126</v>
      </c>
      <c r="N710">
        <v>38.384563</v>
      </c>
      <c r="O710" s="36">
        <f>IF(ISBLANK(N711),"",Long2[[#This Row],[Adj Close]]/N711-1)</f>
        <v>-4.3281409894988077E-2</v>
      </c>
      <c r="P710" s="29">
        <v>40126</v>
      </c>
      <c r="Q710">
        <v>14.630789</v>
      </c>
      <c r="R710" s="33">
        <f>IF(ISBLANK(Q711),"",Long3[[#This Row],[Adj Close]]/Q711-1)</f>
        <v>1.1390071353419851E-2</v>
      </c>
      <c r="S710" s="37">
        <v>40126</v>
      </c>
      <c r="T710" s="35">
        <v>16.762419000000001</v>
      </c>
      <c r="U710" s="36">
        <f>IF(ISBLANK(T711),"",Long4[[#This Row],[Adj Close]]/T711-1)</f>
        <v>-9.5717926101556161E-3</v>
      </c>
      <c r="Y710" s="37">
        <v>40126</v>
      </c>
      <c r="Z710" s="35">
        <v>10.972973</v>
      </c>
      <c r="AA710" s="36">
        <f>IF(ISBLANK(Z711),"",Long6[[#This Row],[Adj Close]]/Z711-1)</f>
        <v>-7.054518116662023E-3</v>
      </c>
      <c r="AH710" s="29">
        <v>40126</v>
      </c>
      <c r="AI710" s="44">
        <v>11.597737</v>
      </c>
      <c r="AJ710" s="33">
        <f>IF(ISBLANK(AI711),"",Short0[[#This Row],[Adj Close]]/AI711-1)</f>
        <v>0.13289895763703852</v>
      </c>
      <c r="AK710" s="37">
        <v>40126</v>
      </c>
      <c r="AL710" s="39">
        <v>28.169892999999998</v>
      </c>
      <c r="AM710" s="36">
        <f>IF(ISBLANK(AL711),"",Short1[[#This Row],[Adj Close]]/AL711-1)</f>
        <v>4.0755466462312873E-2</v>
      </c>
      <c r="AN710" s="29">
        <v>40126</v>
      </c>
      <c r="AO710" s="44">
        <v>12.939014999999999</v>
      </c>
      <c r="AP710" s="33">
        <f>IF(ISBLANK(AO711),"",Short2[[#This Row],[Adj Close]]/AO711-1)</f>
        <v>2.3338237927327476E-2</v>
      </c>
    </row>
    <row r="711" spans="1:42" x14ac:dyDescent="0.25">
      <c r="A711" s="37">
        <v>40119</v>
      </c>
      <c r="B711" s="39">
        <v>1069.3000489999999</v>
      </c>
      <c r="C711" s="36">
        <f>IF(ISBLANK(B712), "", GSPC[[#This Row],[Adj Close]]/B712-1)</f>
        <v>3.1953705290794554E-2</v>
      </c>
      <c r="D71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1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11" s="11" t="e">
        <f>IF(ISBLANK(GSPC[[#This Row],[Long Exp.]]), "", (GSPC[[#This Row],[Long Exp.]]/D712-1)+(E712/GSPC[[#This Row],[Short Exp.]]-1))</f>
        <v>#VALUE!</v>
      </c>
      <c r="G711" s="37">
        <v>40119</v>
      </c>
      <c r="H711">
        <v>15.996962999999999</v>
      </c>
      <c r="I711" s="36">
        <f>IF(ISBLANK(H712), "", Long0[[#This Row],[Adj Close]]/H712-1)</f>
        <v>7.573886188757406E-2</v>
      </c>
      <c r="J711" s="29">
        <v>40119</v>
      </c>
      <c r="K711">
        <v>1.3972500000000001</v>
      </c>
      <c r="L711" s="33">
        <f>IF(ISBLANK(K712),"",Long1[[#This Row],[Adj Close]]/K712-1)</f>
        <v>0</v>
      </c>
      <c r="M711" s="37">
        <v>40119</v>
      </c>
      <c r="N711">
        <v>40.121059000000002</v>
      </c>
      <c r="O711" s="36">
        <f>IF(ISBLANK(N712),"",Long2[[#This Row],[Adj Close]]/N712-1)</f>
        <v>7.7466565915996988E-2</v>
      </c>
      <c r="P711" s="29">
        <v>40119</v>
      </c>
      <c r="Q711">
        <v>14.46602</v>
      </c>
      <c r="R711" s="33">
        <f>IF(ISBLANK(Q712),"",Long3[[#This Row],[Adj Close]]/Q712-1)</f>
        <v>1.3926505919889864E-2</v>
      </c>
      <c r="S711" s="37">
        <v>40119</v>
      </c>
      <c r="T711" s="35">
        <v>16.924416000000001</v>
      </c>
      <c r="U711" s="36">
        <f>IF(ISBLANK(T712),"",Long4[[#This Row],[Adj Close]]/T712-1)</f>
        <v>0.10955854239426954</v>
      </c>
      <c r="Y711" s="37">
        <v>40119</v>
      </c>
      <c r="Z711" s="35">
        <v>11.050932</v>
      </c>
      <c r="AA711" s="36">
        <f>IF(ISBLANK(Z712),"",Long6[[#This Row],[Adj Close]]/Z712-1)</f>
        <v>-1.7606373306603418E-3</v>
      </c>
      <c r="AH711" s="29">
        <v>40119</v>
      </c>
      <c r="AI711" s="44">
        <v>10.237221</v>
      </c>
      <c r="AJ711" s="33">
        <f>IF(ISBLANK(AI712),"",Short0[[#This Row],[Adj Close]]/AI712-1)</f>
        <v>1.7229935108152628E-2</v>
      </c>
      <c r="AK711" s="37">
        <v>40119</v>
      </c>
      <c r="AL711" s="39">
        <v>27.066773999999999</v>
      </c>
      <c r="AM711" s="36">
        <f>IF(ISBLANK(AL712),"",Short1[[#This Row],[Adj Close]]/AL712-1)</f>
        <v>5.3954658427369795E-2</v>
      </c>
      <c r="AN711" s="29">
        <v>40119</v>
      </c>
      <c r="AO711" s="44">
        <v>12.643928000000001</v>
      </c>
      <c r="AP711" s="33">
        <f>IF(ISBLANK(AO712),"",Short2[[#This Row],[Adj Close]]/AO712-1)</f>
        <v>0.1222220762682229</v>
      </c>
    </row>
    <row r="712" spans="1:42" x14ac:dyDescent="0.25">
      <c r="A712" s="37">
        <v>40112</v>
      </c>
      <c r="B712" s="39">
        <v>1036.1899410000001</v>
      </c>
      <c r="C712" s="36">
        <f>IF(ISBLANK(B713), "", GSPC[[#This Row],[Adj Close]]/B713-1)</f>
        <v>-4.0209370104691389E-2</v>
      </c>
      <c r="D71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1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12" s="11" t="e">
        <f>IF(ISBLANK(GSPC[[#This Row],[Long Exp.]]), "", (GSPC[[#This Row],[Long Exp.]]/D713-1)+(E713/GSPC[[#This Row],[Short Exp.]]-1))</f>
        <v>#VALUE!</v>
      </c>
      <c r="G712" s="37">
        <v>40112</v>
      </c>
      <c r="H712">
        <v>14.870675</v>
      </c>
      <c r="I712" s="36">
        <f>IF(ISBLANK(H713), "", Long0[[#This Row],[Adj Close]]/H713-1)</f>
        <v>6.8196579419468328E-3</v>
      </c>
      <c r="J712" s="29">
        <v>40112</v>
      </c>
      <c r="K712">
        <v>1.3972500000000001</v>
      </c>
      <c r="L712" s="33">
        <f>IF(ISBLANK(K713),"",Long1[[#This Row],[Adj Close]]/K713-1)</f>
        <v>-7.3394331142903058E-2</v>
      </c>
      <c r="M712" s="37">
        <v>40112</v>
      </c>
      <c r="N712">
        <v>37.236477000000001</v>
      </c>
      <c r="O712" s="36">
        <f>IF(ISBLANK(N713),"",Long2[[#This Row],[Adj Close]]/N713-1)</f>
        <v>-9.7702478400421122E-2</v>
      </c>
      <c r="P712" s="29">
        <v>40112</v>
      </c>
      <c r="Q712">
        <v>14.267326000000001</v>
      </c>
      <c r="R712" s="33">
        <f>IF(ISBLANK(Q713),"",Long3[[#This Row],[Adj Close]]/Q713-1)</f>
        <v>-3.6018777576499628E-2</v>
      </c>
      <c r="S712" s="37">
        <v>40112</v>
      </c>
      <c r="T712" s="35">
        <v>15.253288</v>
      </c>
      <c r="U712" s="36">
        <f>IF(ISBLANK(T713),"",Long4[[#This Row],[Adj Close]]/T713-1)</f>
        <v>9.0853672534527918E-2</v>
      </c>
      <c r="Y712" s="37">
        <v>40112</v>
      </c>
      <c r="Z712" s="35">
        <v>11.070423</v>
      </c>
      <c r="AA712" s="36">
        <f>IF(ISBLANK(Z713),"",Long6[[#This Row],[Adj Close]]/Z713-1)</f>
        <v>-0.14522187246549056</v>
      </c>
      <c r="AH712" s="29">
        <v>40112</v>
      </c>
      <c r="AI712" s="44">
        <v>10.063822</v>
      </c>
      <c r="AJ712" s="33">
        <f>IF(ISBLANK(AI713),"",Short0[[#This Row],[Adj Close]]/AI713-1)</f>
        <v>-8.6008120721717596E-2</v>
      </c>
      <c r="AK712" s="37">
        <v>40112</v>
      </c>
      <c r="AL712" s="39">
        <v>25.681156000000001</v>
      </c>
      <c r="AM712" s="36">
        <f>IF(ISBLANK(AL713),"",Short1[[#This Row],[Adj Close]]/AL713-1)</f>
        <v>-2.527413405407164E-2</v>
      </c>
      <c r="AN712" s="29">
        <v>40112</v>
      </c>
      <c r="AO712" s="44">
        <v>11.266868000000001</v>
      </c>
      <c r="AP712" s="33">
        <f>IF(ISBLANK(AO713),"",Short2[[#This Row],[Adj Close]]/AO713-1)</f>
        <v>-0.10572129974260314</v>
      </c>
    </row>
    <row r="713" spans="1:42" x14ac:dyDescent="0.25">
      <c r="A713" s="37">
        <v>40105</v>
      </c>
      <c r="B713" s="39">
        <v>1079.599976</v>
      </c>
      <c r="C713" s="36">
        <f>IF(ISBLANK(B714), "", GSPC[[#This Row],[Adj Close]]/B714-1)</f>
        <v>-7.4287268303625531E-3</v>
      </c>
      <c r="D71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1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13" s="11" t="e">
        <f>IF(ISBLANK(GSPC[[#This Row],[Long Exp.]]), "", (GSPC[[#This Row],[Long Exp.]]/D714-1)+(E714/GSPC[[#This Row],[Short Exp.]]-1))</f>
        <v>#VALUE!</v>
      </c>
      <c r="G713" s="37">
        <v>40105</v>
      </c>
      <c r="H713">
        <v>14.769949</v>
      </c>
      <c r="I713" s="36">
        <f>IF(ISBLANK(H714), "", Long0[[#This Row],[Adj Close]]/H714-1)</f>
        <v>-3.2393507069415017E-2</v>
      </c>
      <c r="J713" s="29">
        <v>40105</v>
      </c>
      <c r="K713">
        <v>1.5079229999999999</v>
      </c>
      <c r="L713" s="33">
        <f>IF(ISBLANK(K714),"",Long1[[#This Row],[Adj Close]]/K714-1)</f>
        <v>3.8094792256849308E-2</v>
      </c>
      <c r="M713" s="37">
        <v>40105</v>
      </c>
      <c r="N713">
        <v>41.268512999999999</v>
      </c>
      <c r="O713" s="36">
        <f>IF(ISBLANK(N714),"",Long2[[#This Row],[Adj Close]]/N714-1)</f>
        <v>3.4875305312416227E-3</v>
      </c>
      <c r="P713" s="29">
        <v>40105</v>
      </c>
      <c r="Q713">
        <v>14.800419</v>
      </c>
      <c r="R713" s="33">
        <f>IF(ISBLANK(Q714),"",Long3[[#This Row],[Adj Close]]/Q714-1)</f>
        <v>-5.5351822956946073E-3</v>
      </c>
      <c r="S713" s="37">
        <v>40105</v>
      </c>
      <c r="T713" s="35">
        <v>13.982891</v>
      </c>
      <c r="U713" s="36">
        <f>IF(ISBLANK(T714),"",Long4[[#This Row],[Adj Close]]/T714-1)</f>
        <v>-7.4492086921775558E-2</v>
      </c>
      <c r="Y713" s="37">
        <v>40105</v>
      </c>
      <c r="Z713" s="35">
        <v>12.951224</v>
      </c>
      <c r="AA713" s="36">
        <f>IF(ISBLANK(Z714),"",Long6[[#This Row],[Adj Close]]/Z714-1)</f>
        <v>-1.628438558676093E-2</v>
      </c>
      <c r="AH713" s="29">
        <v>40105</v>
      </c>
      <c r="AI713" s="44">
        <v>11.010844000000001</v>
      </c>
      <c r="AJ713" s="33">
        <f>IF(ISBLANK(AI714),"",Short0[[#This Row],[Adj Close]]/AI714-1)</f>
        <v>-2.0178329892503788E-2</v>
      </c>
      <c r="AK713" s="37">
        <v>40105</v>
      </c>
      <c r="AL713" s="39">
        <v>26.347055000000001</v>
      </c>
      <c r="AM713" s="36">
        <f>IF(ISBLANK(AL714),"",Short1[[#This Row],[Adj Close]]/AL714-1)</f>
        <v>-3.8300961273617262E-2</v>
      </c>
      <c r="AN713" s="29">
        <v>40105</v>
      </c>
      <c r="AO713" s="44">
        <v>12.598833000000001</v>
      </c>
      <c r="AP713" s="33">
        <f>IF(ISBLANK(AO714),"",Short2[[#This Row],[Adj Close]]/AO714-1)</f>
        <v>-3.5495152225211601E-2</v>
      </c>
    </row>
    <row r="714" spans="1:42" x14ac:dyDescent="0.25">
      <c r="A714" s="37">
        <v>40098</v>
      </c>
      <c r="B714" s="39">
        <v>1087.6800539999999</v>
      </c>
      <c r="C714" s="36">
        <f>IF(ISBLANK(B715), "", GSPC[[#This Row],[Adj Close]]/B715-1)</f>
        <v>1.5109860242371376E-2</v>
      </c>
      <c r="D71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1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14" s="11" t="e">
        <f>IF(ISBLANK(GSPC[[#This Row],[Long Exp.]]), "", (GSPC[[#This Row],[Long Exp.]]/D715-1)+(E715/GSPC[[#This Row],[Short Exp.]]-1))</f>
        <v>#VALUE!</v>
      </c>
      <c r="G714" s="37">
        <v>40098</v>
      </c>
      <c r="H714">
        <v>15.264417</v>
      </c>
      <c r="I714" s="36">
        <f>IF(ISBLANK(H715), "", Long0[[#This Row],[Adj Close]]/H715-1)</f>
        <v>-7.1471226102731711E-3</v>
      </c>
      <c r="J714" s="29">
        <v>40098</v>
      </c>
      <c r="K714">
        <v>1.4525870000000001</v>
      </c>
      <c r="L714" s="33">
        <f>IF(ISBLANK(K715),"",Long1[[#This Row],[Adj Close]]/K715-1)</f>
        <v>5.0000144569674054E-2</v>
      </c>
      <c r="M714" s="37">
        <v>40098</v>
      </c>
      <c r="N714">
        <v>41.125087999999998</v>
      </c>
      <c r="O714" s="36">
        <f>IF(ISBLANK(N715),"",Long2[[#This Row],[Adj Close]]/N715-1)</f>
        <v>4.8131817668729759E-2</v>
      </c>
      <c r="P714" s="29">
        <v>40098</v>
      </c>
      <c r="Q714">
        <v>14.882797999999999</v>
      </c>
      <c r="R714" s="33">
        <f>IF(ISBLANK(Q715),"",Long3[[#This Row],[Adj Close]]/Q715-1)</f>
        <v>2.3666812874014287E-2</v>
      </c>
      <c r="S714" s="37">
        <v>40098</v>
      </c>
      <c r="T714" s="35">
        <v>15.108343</v>
      </c>
      <c r="U714" s="36">
        <f>IF(ISBLANK(T715),"",Long4[[#This Row],[Adj Close]]/T715-1)</f>
        <v>2.9633807477978502E-2</v>
      </c>
      <c r="Y714" s="37">
        <v>40098</v>
      </c>
      <c r="Z714" s="35">
        <v>13.165618</v>
      </c>
      <c r="AA714" s="36">
        <f>IF(ISBLANK(Z715),"",Long6[[#This Row],[Adj Close]]/Z715-1)</f>
        <v>1.2743585514777278E-2</v>
      </c>
      <c r="AH714" s="29">
        <v>40098</v>
      </c>
      <c r="AI714" s="44">
        <v>11.2376</v>
      </c>
      <c r="AJ714" s="33">
        <f>IF(ISBLANK(AI715),"",Short0[[#This Row],[Adj Close]]/AI715-1)</f>
        <v>-6.6481772860567556E-2</v>
      </c>
      <c r="AK714" s="37">
        <v>40098</v>
      </c>
      <c r="AL714" s="39">
        <v>27.396362</v>
      </c>
      <c r="AM714" s="36">
        <f>IF(ISBLANK(AL715),"",Short1[[#This Row],[Adj Close]]/AL715-1)</f>
        <v>5.9573209890843692E-2</v>
      </c>
      <c r="AN714" s="29">
        <v>40098</v>
      </c>
      <c r="AO714" s="44">
        <v>13.062488</v>
      </c>
      <c r="AP714" s="33">
        <f>IF(ISBLANK(AO715),"",Short2[[#This Row],[Adj Close]]/AO715-1)</f>
        <v>2.2331097051300874E-2</v>
      </c>
    </row>
    <row r="715" spans="1:42" x14ac:dyDescent="0.25">
      <c r="A715" s="37">
        <v>40091</v>
      </c>
      <c r="B715" s="39">
        <v>1071.48999</v>
      </c>
      <c r="C715" s="36">
        <f>IF(ISBLANK(B716), "", GSPC[[#This Row],[Adj Close]]/B716-1)</f>
        <v>4.5142000917410163E-2</v>
      </c>
      <c r="D71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1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15" s="11" t="e">
        <f>IF(ISBLANK(GSPC[[#This Row],[Long Exp.]]), "", (GSPC[[#This Row],[Long Exp.]]/D716-1)+(E716/GSPC[[#This Row],[Short Exp.]]-1))</f>
        <v>#VALUE!</v>
      </c>
      <c r="G715" s="37">
        <v>40091</v>
      </c>
      <c r="H715">
        <v>15.374299000000001</v>
      </c>
      <c r="I715" s="36">
        <f>IF(ISBLANK(H716), "", Long0[[#This Row],[Adj Close]]/H716-1)</f>
        <v>5.7304820539510581E-2</v>
      </c>
      <c r="J715" s="29">
        <v>40091</v>
      </c>
      <c r="K715">
        <v>1.383416</v>
      </c>
      <c r="L715" s="33">
        <f>IF(ISBLANK(K716),"",Long1[[#This Row],[Adj Close]]/K716-1)</f>
        <v>9.8901587725235052E-2</v>
      </c>
      <c r="M715" s="37">
        <v>40091</v>
      </c>
      <c r="N715">
        <v>39.236561000000002</v>
      </c>
      <c r="O715" s="36">
        <f>IF(ISBLANK(N716),"",Long2[[#This Row],[Adj Close]]/N716-1)</f>
        <v>6.6262326511672853E-2</v>
      </c>
      <c r="P715" s="29">
        <v>40091</v>
      </c>
      <c r="Q715">
        <v>14.538713</v>
      </c>
      <c r="R715" s="33">
        <f>IF(ISBLANK(Q716),"",Long3[[#This Row],[Adj Close]]/Q716-1)</f>
        <v>2.8806368577953378E-2</v>
      </c>
      <c r="S715" s="37">
        <v>40091</v>
      </c>
      <c r="T715" s="35">
        <v>14.673511</v>
      </c>
      <c r="U715" s="36">
        <f>IF(ISBLANK(T716),"",Long4[[#This Row],[Adj Close]]/T716-1)</f>
        <v>6.2345713468848096E-2</v>
      </c>
      <c r="Y715" s="37">
        <v>40091</v>
      </c>
      <c r="Z715" s="35">
        <v>12.999952</v>
      </c>
      <c r="AA715" s="36">
        <f>IF(ISBLANK(Z716),"",Long6[[#This Row],[Adj Close]]/Z716-1)</f>
        <v>0.15397910775248702</v>
      </c>
      <c r="AH715" s="29">
        <v>40091</v>
      </c>
      <c r="AI715" s="44">
        <v>12.037901</v>
      </c>
      <c r="AJ715" s="33">
        <f>IF(ISBLANK(AI716),"",Short0[[#This Row],[Adj Close]]/AI716-1)</f>
        <v>0.11903255967184689</v>
      </c>
      <c r="AK715" s="37">
        <v>40091</v>
      </c>
      <c r="AL715" s="39">
        <v>25.856034999999999</v>
      </c>
      <c r="AM715" s="36">
        <f>IF(ISBLANK(AL716),"",Short1[[#This Row],[Adj Close]]/AL716-1)</f>
        <v>5.9762950498037926E-2</v>
      </c>
      <c r="AN715" s="29">
        <v>40091</v>
      </c>
      <c r="AO715" s="44">
        <v>12.77716</v>
      </c>
      <c r="AP715" s="33">
        <f>IF(ISBLANK(AO716),"",Short2[[#This Row],[Adj Close]]/AO716-1)</f>
        <v>9.9769547928677094E-2</v>
      </c>
    </row>
    <row r="716" spans="1:42" x14ac:dyDescent="0.25">
      <c r="A716" s="37">
        <v>40084</v>
      </c>
      <c r="B716" s="39">
        <v>1025.209961</v>
      </c>
      <c r="C716" s="36">
        <f>IF(ISBLANK(B717), "", GSPC[[#This Row],[Adj Close]]/B717-1)</f>
        <v>-1.8355429928017419E-2</v>
      </c>
      <c r="D71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1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16" s="11" t="e">
        <f>IF(ISBLANK(GSPC[[#This Row],[Long Exp.]]), "", (GSPC[[#This Row],[Long Exp.]]/D717-1)+(E717/GSPC[[#This Row],[Short Exp.]]-1))</f>
        <v>#VALUE!</v>
      </c>
      <c r="G716" s="37">
        <v>40084</v>
      </c>
      <c r="H716">
        <v>14.541028000000001</v>
      </c>
      <c r="I716" s="36">
        <f>IF(ISBLANK(H717), "", Long0[[#This Row],[Adj Close]]/H717-1)</f>
        <v>-1.1207853419411551E-2</v>
      </c>
      <c r="J716" s="29">
        <v>40084</v>
      </c>
      <c r="K716">
        <v>1.2589079999999999</v>
      </c>
      <c r="L716" s="33">
        <f>IF(ISBLANK(K717),"",Long1[[#This Row],[Adj Close]]/K717-1)</f>
        <v>1.1110986174315718E-2</v>
      </c>
      <c r="M716" s="37">
        <v>40084</v>
      </c>
      <c r="N716">
        <v>36.798225000000002</v>
      </c>
      <c r="O716" s="36">
        <f>IF(ISBLANK(N717),"",Long2[[#This Row],[Adj Close]]/N717-1)</f>
        <v>-6.1572891939853491E-2</v>
      </c>
      <c r="P716" s="29">
        <v>40084</v>
      </c>
      <c r="Q716">
        <v>14.131632</v>
      </c>
      <c r="R716" s="33">
        <f>IF(ISBLANK(Q717),"",Long3[[#This Row],[Adj Close]]/Q717-1)</f>
        <v>-3.8575607091839381E-2</v>
      </c>
      <c r="S716" s="37">
        <v>40084</v>
      </c>
      <c r="T716" s="35">
        <v>13.812369</v>
      </c>
      <c r="U716" s="36">
        <f>IF(ISBLANK(T717),"",Long4[[#This Row],[Adj Close]]/T717-1)</f>
        <v>-6.7357702925307072E-2</v>
      </c>
      <c r="Y716" s="37">
        <v>40084</v>
      </c>
      <c r="Z716" s="35">
        <v>11.265326999999999</v>
      </c>
      <c r="AA716" s="36">
        <f>IF(ISBLANK(Z717),"",Long6[[#This Row],[Adj Close]]/Z717-1)</f>
        <v>-1.8675547489541922E-2</v>
      </c>
      <c r="AH716" s="29">
        <v>40084</v>
      </c>
      <c r="AI716" s="44">
        <v>10.757417999999999</v>
      </c>
      <c r="AJ716" s="33">
        <f>IF(ISBLANK(AI717),"",Short0[[#This Row],[Adj Close]]/AI717-1)</f>
        <v>-8.3522473188515134E-2</v>
      </c>
      <c r="AK716" s="37">
        <v>40084</v>
      </c>
      <c r="AL716" s="39">
        <v>24.397942</v>
      </c>
      <c r="AM716" s="36">
        <f>IF(ISBLANK(AL717),"",Short1[[#This Row],[Adj Close]]/AL717-1)</f>
        <v>-2.3860697332722336E-2</v>
      </c>
      <c r="AN716" s="29">
        <v>40084</v>
      </c>
      <c r="AO716" s="44">
        <v>11.618034</v>
      </c>
      <c r="AP716" s="33">
        <f>IF(ISBLANK(AO717),"",Short2[[#This Row],[Adj Close]]/AO717-1)</f>
        <v>-0.10692246829057483</v>
      </c>
    </row>
    <row r="717" spans="1:42" x14ac:dyDescent="0.25">
      <c r="A717" s="37">
        <v>40077</v>
      </c>
      <c r="B717" s="39">
        <v>1044.380005</v>
      </c>
      <c r="C717" s="36">
        <f>IF(ISBLANK(B718), "", GSPC[[#This Row],[Adj Close]]/B718-1)</f>
        <v>-2.2390754378782129E-2</v>
      </c>
      <c r="D71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1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17" s="11" t="e">
        <f>IF(ISBLANK(GSPC[[#This Row],[Long Exp.]]), "", (GSPC[[#This Row],[Long Exp.]]/D718-1)+(E718/GSPC[[#This Row],[Short Exp.]]-1))</f>
        <v>#VALUE!</v>
      </c>
      <c r="G717" s="37">
        <v>40077</v>
      </c>
      <c r="H717">
        <v>14.705849000000001</v>
      </c>
      <c r="I717" s="36">
        <f>IF(ISBLANK(H718), "", Long0[[#This Row],[Adj Close]]/H718-1)</f>
        <v>-1.2439415070395476E-3</v>
      </c>
      <c r="J717" s="29">
        <v>40077</v>
      </c>
      <c r="K717">
        <v>1.245074</v>
      </c>
      <c r="L717" s="33">
        <f>IF(ISBLANK(K718),"",Long1[[#This Row],[Adj Close]]/K718-1)</f>
        <v>-1.098888878297688E-2</v>
      </c>
      <c r="M717" s="37">
        <v>40077</v>
      </c>
      <c r="N717">
        <v>39.212662000000002</v>
      </c>
      <c r="O717" s="36">
        <f>IF(ISBLANK(N718),"",Long2[[#This Row],[Adj Close]]/N718-1)</f>
        <v>-9.290289929127471E-2</v>
      </c>
      <c r="P717" s="29">
        <v>40077</v>
      </c>
      <c r="Q717">
        <v>14.698641</v>
      </c>
      <c r="R717" s="33">
        <f>IF(ISBLANK(Q718),"",Long3[[#This Row],[Adj Close]]/Q718-1)</f>
        <v>-1.0116934182044512E-2</v>
      </c>
      <c r="S717" s="37">
        <v>40077</v>
      </c>
      <c r="T717" s="35">
        <v>14.809932</v>
      </c>
      <c r="U717" s="36">
        <f>IF(ISBLANK(T718),"",Long4[[#This Row],[Adj Close]]/T718-1)</f>
        <v>5.2085790228906248E-3</v>
      </c>
      <c r="Y717" s="37">
        <v>40077</v>
      </c>
      <c r="Z717" s="35">
        <v>11.479717000000001</v>
      </c>
      <c r="AA717" s="36">
        <f>IF(ISBLANK(Z718),"",Long6[[#This Row],[Adj Close]]/Z718-1)</f>
        <v>-4.149710154269326E-2</v>
      </c>
      <c r="AH717" s="29">
        <v>40077</v>
      </c>
      <c r="AI717" s="44">
        <v>11.737787000000001</v>
      </c>
      <c r="AJ717" s="33">
        <f>IF(ISBLANK(AI718),"",Short0[[#This Row],[Adj Close]]/AI718-1)</f>
        <v>-6.6808293679121333E-2</v>
      </c>
      <c r="AK717" s="37">
        <v>40077</v>
      </c>
      <c r="AL717" s="39">
        <v>24.994323999999999</v>
      </c>
      <c r="AM717" s="36">
        <f>IF(ISBLANK(AL718),"",Short1[[#This Row],[Adj Close]]/AL718-1)</f>
        <v>-1.5831193887916095E-2</v>
      </c>
      <c r="AN717" s="29">
        <v>40077</v>
      </c>
      <c r="AO717" s="44">
        <v>13.008986999999999</v>
      </c>
      <c r="AP717" s="33">
        <f>IF(ISBLANK(AO718),"",Short2[[#This Row],[Adj Close]]/AO718-1)</f>
        <v>-0.11789633423822121</v>
      </c>
    </row>
    <row r="718" spans="1:42" x14ac:dyDescent="0.25">
      <c r="A718" s="37">
        <v>40070</v>
      </c>
      <c r="B718" s="39">
        <v>1068.3000489999999</v>
      </c>
      <c r="C718" s="36">
        <f>IF(ISBLANK(B719), "", GSPC[[#This Row],[Adj Close]]/B719-1)</f>
        <v>2.4522234413937083E-2</v>
      </c>
      <c r="D71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1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18" s="11" t="e">
        <f>IF(ISBLANK(GSPC[[#This Row],[Long Exp.]]), "", (GSPC[[#This Row],[Long Exp.]]/D719-1)+(E719/GSPC[[#This Row],[Short Exp.]]-1))</f>
        <v>#VALUE!</v>
      </c>
      <c r="G718" s="37">
        <v>40070</v>
      </c>
      <c r="H718">
        <v>14.724164999999999</v>
      </c>
      <c r="I718" s="36">
        <f>IF(ISBLANK(H719), "", Long0[[#This Row],[Adj Close]]/H719-1)</f>
        <v>6.068606543979338E-2</v>
      </c>
      <c r="J718" s="29">
        <v>40070</v>
      </c>
      <c r="K718">
        <v>1.2589079999999999</v>
      </c>
      <c r="L718" s="33">
        <f>IF(ISBLANK(K719),"",Long1[[#This Row],[Adj Close]]/K719-1)</f>
        <v>0</v>
      </c>
      <c r="M718" s="37">
        <v>40070</v>
      </c>
      <c r="N718">
        <v>43.228737000000002</v>
      </c>
      <c r="O718" s="36">
        <f>IF(ISBLANK(N719),"",Long2[[#This Row],[Adj Close]]/N719-1)</f>
        <v>3.8078319930533455E-2</v>
      </c>
      <c r="P718" s="29">
        <v>40070</v>
      </c>
      <c r="Q718">
        <v>14.848865999999999</v>
      </c>
      <c r="R718" s="33">
        <f>IF(ISBLANK(Q719),"",Long3[[#This Row],[Adj Close]]/Q719-1)</f>
        <v>6.9701989963339761E-2</v>
      </c>
      <c r="S718" s="37">
        <v>40070</v>
      </c>
      <c r="T718" s="35">
        <v>14.733193</v>
      </c>
      <c r="U718" s="36">
        <f>IF(ISBLANK(T719),"",Long4[[#This Row],[Adj Close]]/T719-1)</f>
        <v>-1.0309161315008031E-2</v>
      </c>
      <c r="Y718" s="37">
        <v>40070</v>
      </c>
      <c r="Z718" s="35">
        <v>11.976716</v>
      </c>
      <c r="AA718" s="36">
        <f>IF(ISBLANK(Z719),"",Long6[[#This Row],[Adj Close]]/Z719-1)</f>
        <v>3.6256065231084378E-2</v>
      </c>
      <c r="AH718" s="29">
        <v>40070</v>
      </c>
      <c r="AI718" s="44">
        <v>12.578109</v>
      </c>
      <c r="AJ718" s="33">
        <f>IF(ISBLANK(AI719),"",Short0[[#This Row],[Adj Close]]/AI719-1)</f>
        <v>0.12731636499997134</v>
      </c>
      <c r="AK718" s="37">
        <v>40070</v>
      </c>
      <c r="AL718" s="39">
        <v>25.396379</v>
      </c>
      <c r="AM718" s="36">
        <f>IF(ISBLANK(AL719),"",Short1[[#This Row],[Adj Close]]/AL719-1)</f>
        <v>-4.6780869091966881E-2</v>
      </c>
      <c r="AN718" s="29">
        <v>40070</v>
      </c>
      <c r="AO718" s="44">
        <v>14.747685000000001</v>
      </c>
      <c r="AP718" s="33">
        <f>IF(ISBLANK(AO719),"",Short2[[#This Row],[Adj Close]]/AO719-1)</f>
        <v>5.2832728805399132E-2</v>
      </c>
    </row>
    <row r="719" spans="1:42" x14ac:dyDescent="0.25">
      <c r="A719" s="37">
        <v>40063</v>
      </c>
      <c r="B719" s="39">
        <v>1042.7299800000001</v>
      </c>
      <c r="C719" s="36">
        <f>IF(ISBLANK(B720), "", GSPC[[#This Row],[Adj Close]]/B720-1)</f>
        <v>2.5905111548875759E-2</v>
      </c>
      <c r="D71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1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19" s="11" t="e">
        <f>IF(ISBLANK(GSPC[[#This Row],[Long Exp.]]), "", (GSPC[[#This Row],[Long Exp.]]/D720-1)+(E720/GSPC[[#This Row],[Short Exp.]]-1))</f>
        <v>#VALUE!</v>
      </c>
      <c r="G719" s="37">
        <v>40063</v>
      </c>
      <c r="H719">
        <v>13.881736999999999</v>
      </c>
      <c r="I719" s="36">
        <f>IF(ISBLANK(H720), "", Long0[[#This Row],[Adj Close]]/H720-1)</f>
        <v>4.3358523630992574E-2</v>
      </c>
      <c r="J719" s="29">
        <v>40063</v>
      </c>
      <c r="K719">
        <v>1.2589079999999999</v>
      </c>
      <c r="L719" s="33">
        <f>IF(ISBLANK(K720),"",Long1[[#This Row],[Adj Close]]/K720-1)</f>
        <v>0.12345625027329898</v>
      </c>
      <c r="M719" s="37">
        <v>40063</v>
      </c>
      <c r="N719">
        <v>41.643039999999999</v>
      </c>
      <c r="O719" s="36">
        <f>IF(ISBLANK(N720),"",Long2[[#This Row],[Adj Close]]/N720-1)</f>
        <v>1.75236596686561E-2</v>
      </c>
      <c r="P719" s="29">
        <v>40063</v>
      </c>
      <c r="Q719">
        <v>13.881311</v>
      </c>
      <c r="R719" s="33">
        <f>IF(ISBLANK(Q720),"",Long3[[#This Row],[Adj Close]]/Q720-1)</f>
        <v>-2.457062850577707E-2</v>
      </c>
      <c r="S719" s="37">
        <v>40063</v>
      </c>
      <c r="T719" s="35">
        <v>14.886661999999999</v>
      </c>
      <c r="U719" s="36">
        <f>IF(ISBLANK(T720),"",Long4[[#This Row],[Adj Close]]/T720-1)</f>
        <v>4.2387854109721568E-2</v>
      </c>
      <c r="Y719" s="37">
        <v>40063</v>
      </c>
      <c r="Z719" s="35">
        <v>11.55768</v>
      </c>
      <c r="AA719" s="36">
        <f>IF(ISBLANK(Z720),"",Long6[[#This Row],[Adj Close]]/Z720-1)</f>
        <v>5.7984230673677528E-2</v>
      </c>
      <c r="AH719" s="29">
        <v>40063</v>
      </c>
      <c r="AI719" s="44">
        <v>11.157567999999999</v>
      </c>
      <c r="AJ719" s="33">
        <f>IF(ISBLANK(AI720),"",Short0[[#This Row],[Adj Close]]/AI720-1)</f>
        <v>7.8658706827812397E-2</v>
      </c>
      <c r="AK719" s="37">
        <v>40063</v>
      </c>
      <c r="AL719" s="39">
        <v>26.642749999999999</v>
      </c>
      <c r="AM719" s="36">
        <f>IF(ISBLANK(AL720),"",Short1[[#This Row],[Adj Close]]/AL720-1)</f>
        <v>8.8812907470330327E-3</v>
      </c>
      <c r="AN719" s="29">
        <v>40063</v>
      </c>
      <c r="AO719" s="44">
        <v>14.007624</v>
      </c>
      <c r="AP719" s="33">
        <f>IF(ISBLANK(AO720),"",Short2[[#This Row],[Adj Close]]/AO720-1)</f>
        <v>4.0397518576399616E-2</v>
      </c>
    </row>
    <row r="720" spans="1:42" x14ac:dyDescent="0.25">
      <c r="A720" s="37">
        <v>40056</v>
      </c>
      <c r="B720" s="39">
        <v>1016.400024</v>
      </c>
      <c r="C720" s="36">
        <f>IF(ISBLANK(B721), "", GSPC[[#This Row],[Adj Close]]/B721-1)</f>
        <v>-1.2177727680602768E-2</v>
      </c>
      <c r="D72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2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20" s="11" t="e">
        <f>IF(ISBLANK(GSPC[[#This Row],[Long Exp.]]), "", (GSPC[[#This Row],[Long Exp.]]/D721-1)+(E721/GSPC[[#This Row],[Short Exp.]]-1))</f>
        <v>#VALUE!</v>
      </c>
      <c r="G720" s="37">
        <v>40056</v>
      </c>
      <c r="H720">
        <v>13.304857999999999</v>
      </c>
      <c r="I720" s="36">
        <f>IF(ISBLANK(H721), "", Long0[[#This Row],[Adj Close]]/H721-1)</f>
        <v>-1.8243235066586094E-2</v>
      </c>
      <c r="J720" s="29">
        <v>40056</v>
      </c>
      <c r="K720">
        <v>1.1205670000000001</v>
      </c>
      <c r="L720" s="33">
        <f>IF(ISBLANK(K721),"",Long1[[#This Row],[Adj Close]]/K721-1)</f>
        <v>-2.4096112729536934E-2</v>
      </c>
      <c r="M720" s="37">
        <v>40056</v>
      </c>
      <c r="N720">
        <v>40.925868999999999</v>
      </c>
      <c r="O720" s="36">
        <f>IF(ISBLANK(N721),"",Long2[[#This Row],[Adj Close]]/N721-1)</f>
        <v>3.1118170687816082E-2</v>
      </c>
      <c r="P720" s="29">
        <v>40056</v>
      </c>
      <c r="Q720">
        <v>14.230975000000001</v>
      </c>
      <c r="R720" s="33">
        <f>IF(ISBLANK(Q721),"",Long3[[#This Row],[Adj Close]]/Q721-1)</f>
        <v>2.6998468292442901E-3</v>
      </c>
      <c r="S720" s="37">
        <v>40056</v>
      </c>
      <c r="T720" s="35">
        <v>14.281307999999999</v>
      </c>
      <c r="U720" s="36">
        <f>IF(ISBLANK(T721),"",Long4[[#This Row],[Adj Close]]/T721-1)</f>
        <v>-3.2351201034882981E-2</v>
      </c>
      <c r="Y720" s="37">
        <v>40056</v>
      </c>
      <c r="Z720" s="35">
        <v>10.924246</v>
      </c>
      <c r="AA720" s="36">
        <f>IF(ISBLANK(Z721),"",Long6[[#This Row],[Adj Close]]/Z721-1)</f>
        <v>-2.6690145351966343E-3</v>
      </c>
      <c r="AH720" s="29">
        <v>40056</v>
      </c>
      <c r="AI720" s="44">
        <v>10.343928</v>
      </c>
      <c r="AJ720" s="33">
        <f>IF(ISBLANK(AI721),"",Short0[[#This Row],[Adj Close]]/AI721-1)</f>
        <v>5.3668613617518846E-2</v>
      </c>
      <c r="AK720" s="37">
        <v>40056</v>
      </c>
      <c r="AL720" s="39">
        <v>26.408211000000001</v>
      </c>
      <c r="AM720" s="36">
        <f>IF(ISBLANK(AL721),"",Short1[[#This Row],[Adj Close]]/AL721-1)</f>
        <v>4.9813549069725127E-2</v>
      </c>
      <c r="AN720" s="29">
        <v>40056</v>
      </c>
      <c r="AO720" s="44">
        <v>13.463723</v>
      </c>
      <c r="AP720" s="33">
        <f>IF(ISBLANK(AO721),"",Short2[[#This Row],[Adj Close]]/AO721-1)</f>
        <v>-4.0050824736226009E-2</v>
      </c>
    </row>
    <row r="721" spans="1:42" x14ac:dyDescent="0.25">
      <c r="A721" s="37">
        <v>40049</v>
      </c>
      <c r="B721" s="39">
        <v>1028.9300539999999</v>
      </c>
      <c r="C721" s="36">
        <f>IF(ISBLANK(B722), "", GSPC[[#This Row],[Adj Close]]/B722-1)</f>
        <v>2.7287468316452568E-3</v>
      </c>
      <c r="D72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2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21" s="11" t="e">
        <f>IF(ISBLANK(GSPC[[#This Row],[Long Exp.]]), "", (GSPC[[#This Row],[Long Exp.]]/D722-1)+(E722/GSPC[[#This Row],[Short Exp.]]-1))</f>
        <v>#VALUE!</v>
      </c>
      <c r="G721" s="37">
        <v>40049</v>
      </c>
      <c r="H721">
        <v>13.552092</v>
      </c>
      <c r="I721" s="36">
        <f>IF(ISBLANK(H722), "", Long0[[#This Row],[Adj Close]]/H722-1)</f>
        <v>2.8492041459361905E-2</v>
      </c>
      <c r="J721" s="29">
        <v>40049</v>
      </c>
      <c r="K721">
        <v>1.1482349999999999</v>
      </c>
      <c r="L721" s="33">
        <f>IF(ISBLANK(K722),"",Long1[[#This Row],[Adj Close]]/K722-1)</f>
        <v>-3.4884150964330063E-2</v>
      </c>
      <c r="M721" s="37">
        <v>40049</v>
      </c>
      <c r="N721">
        <v>39.690764999999999</v>
      </c>
      <c r="O721" s="36">
        <f>IF(ISBLANK(N722),"",Long2[[#This Row],[Adj Close]]/N722-1)</f>
        <v>-8.5383549425067873E-2</v>
      </c>
      <c r="P721" s="29">
        <v>40049</v>
      </c>
      <c r="Q721">
        <v>14.192657000000001</v>
      </c>
      <c r="R721" s="33">
        <f>IF(ISBLANK(Q722),"",Long3[[#This Row],[Adj Close]]/Q722-1)</f>
        <v>1.0134509892874011E-3</v>
      </c>
      <c r="S721" s="37">
        <v>40049</v>
      </c>
      <c r="T721" s="35">
        <v>14.758772</v>
      </c>
      <c r="U721" s="36">
        <f>IF(ISBLANK(T722),"",Long4[[#This Row],[Adj Close]]/T722-1)</f>
        <v>1.9434764802840787E-2</v>
      </c>
      <c r="Y721" s="37">
        <v>40049</v>
      </c>
      <c r="Z721" s="35">
        <v>10.953481</v>
      </c>
      <c r="AA721" s="36">
        <f>IF(ISBLANK(Z722),"",Long6[[#This Row],[Adj Close]]/Z722-1)</f>
        <v>8.0715810751499362E-3</v>
      </c>
      <c r="AH721" s="29">
        <v>40049</v>
      </c>
      <c r="AI721" s="44">
        <v>9.8170599999999997</v>
      </c>
      <c r="AJ721" s="33">
        <f>IF(ISBLANK(AI722),"",Short0[[#This Row],[Adj Close]]/AI722-1)</f>
        <v>5.2180299965477683E-2</v>
      </c>
      <c r="AK721" s="37">
        <v>40049</v>
      </c>
      <c r="AL721" s="39">
        <v>25.155144</v>
      </c>
      <c r="AM721" s="36">
        <f>IF(ISBLANK(AL722),"",Short1[[#This Row],[Adj Close]]/AL722-1)</f>
        <v>1.3336310315077426E-3</v>
      </c>
      <c r="AN721" s="29">
        <v>40049</v>
      </c>
      <c r="AO721" s="44">
        <v>14.025454</v>
      </c>
      <c r="AP721" s="33">
        <f>IF(ISBLANK(AO722),"",Short2[[#This Row],[Adj Close]]/AO722-1)</f>
        <v>8.3333577928362601E-2</v>
      </c>
    </row>
    <row r="722" spans="1:42" x14ac:dyDescent="0.25">
      <c r="A722" s="37">
        <v>40042</v>
      </c>
      <c r="B722" s="39">
        <v>1026.130005</v>
      </c>
      <c r="C722" s="36">
        <f>IF(ISBLANK(B723), "", GSPC[[#This Row],[Adj Close]]/B723-1)</f>
        <v>2.1950201084907306E-2</v>
      </c>
      <c r="D72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2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22" s="11" t="e">
        <f>IF(ISBLANK(GSPC[[#This Row],[Long Exp.]]), "", (GSPC[[#This Row],[Long Exp.]]/D723-1)+(E723/GSPC[[#This Row],[Short Exp.]]-1))</f>
        <v>#VALUE!</v>
      </c>
      <c r="G722" s="37">
        <v>40042</v>
      </c>
      <c r="H722">
        <v>13.176662</v>
      </c>
      <c r="I722" s="36">
        <f>IF(ISBLANK(H723), "", Long0[[#This Row],[Adj Close]]/H723-1)</f>
        <v>2.8591791506737962E-2</v>
      </c>
      <c r="J722" s="29">
        <v>40042</v>
      </c>
      <c r="K722">
        <v>1.189738</v>
      </c>
      <c r="L722" s="33">
        <f>IF(ISBLANK(K723),"",Long1[[#This Row],[Adj Close]]/K723-1)</f>
        <v>1.1765426229884746E-2</v>
      </c>
      <c r="M722" s="37">
        <v>40042</v>
      </c>
      <c r="N722">
        <v>43.396076000000001</v>
      </c>
      <c r="O722" s="36">
        <f>IF(ISBLANK(N723),"",Long2[[#This Row],[Adj Close]]/N723-1)</f>
        <v>7.2127596522917337E-3</v>
      </c>
      <c r="P722" s="29">
        <v>40042</v>
      </c>
      <c r="Q722">
        <v>14.178288</v>
      </c>
      <c r="R722" s="33">
        <f>IF(ISBLANK(Q723),"",Long3[[#This Row],[Adj Close]]/Q723-1)</f>
        <v>6.1183355061869005E-3</v>
      </c>
      <c r="S722" s="37">
        <v>40042</v>
      </c>
      <c r="T722" s="35">
        <v>14.477406999999999</v>
      </c>
      <c r="U722" s="36">
        <f>IF(ISBLANK(T723),"",Long4[[#This Row],[Adj Close]]/T723-1)</f>
        <v>3.5457573708492784E-3</v>
      </c>
      <c r="Y722" s="37">
        <v>40042</v>
      </c>
      <c r="Z722" s="35">
        <v>10.865777</v>
      </c>
      <c r="AA722" s="36">
        <f>IF(ISBLANK(Z723),"",Long6[[#This Row],[Adj Close]]/Z723-1)</f>
        <v>8.2524403874572494E-2</v>
      </c>
      <c r="AH722" s="29">
        <v>40042</v>
      </c>
      <c r="AI722" s="44">
        <v>9.3302069999999997</v>
      </c>
      <c r="AJ722" s="33">
        <f>IF(ISBLANK(AI723),"",Short0[[#This Row],[Adj Close]]/AI723-1)</f>
        <v>5.0300392756352563E-2</v>
      </c>
      <c r="AK722" s="37">
        <v>40042</v>
      </c>
      <c r="AL722" s="39">
        <v>25.121641</v>
      </c>
      <c r="AM722" s="36">
        <f>IF(ISBLANK(AL723),"",Short1[[#This Row],[Adj Close]]/AL723-1)</f>
        <v>2.8814591831573866E-2</v>
      </c>
      <c r="AN722" s="29">
        <v>40042</v>
      </c>
      <c r="AO722" s="44">
        <v>12.946569999999999</v>
      </c>
      <c r="AP722" s="33">
        <f>IF(ISBLANK(AO723),"",Short2[[#This Row],[Adj Close]]/AO723-1)</f>
        <v>8.2773675389778534E-2</v>
      </c>
    </row>
    <row r="723" spans="1:42" x14ac:dyDescent="0.25">
      <c r="A723" s="37">
        <v>40035</v>
      </c>
      <c r="B723" s="39">
        <v>1004.090027</v>
      </c>
      <c r="C723" s="36">
        <f>IF(ISBLANK(B724), "", GSPC[[#This Row],[Adj Close]]/B724-1)</f>
        <v>-6.3236809501163727E-3</v>
      </c>
      <c r="D72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2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23" s="11" t="e">
        <f>IF(ISBLANK(GSPC[[#This Row],[Long Exp.]]), "", (GSPC[[#This Row],[Long Exp.]]/D724-1)+(E724/GSPC[[#This Row],[Short Exp.]]-1))</f>
        <v>#VALUE!</v>
      </c>
      <c r="G723" s="37">
        <v>40035</v>
      </c>
      <c r="H723">
        <v>12.81039</v>
      </c>
      <c r="I723" s="36">
        <f>IF(ISBLANK(H724), "", Long0[[#This Row],[Adj Close]]/H724-1)</f>
        <v>6.0651962332684439E-2</v>
      </c>
      <c r="J723" s="29">
        <v>40035</v>
      </c>
      <c r="K723">
        <v>1.1759029999999999</v>
      </c>
      <c r="L723" s="33">
        <f>IF(ISBLANK(K724),"",Long1[[#This Row],[Adj Close]]/K724-1)</f>
        <v>-2.2989069204002899E-2</v>
      </c>
      <c r="M723" s="37">
        <v>40035</v>
      </c>
      <c r="N723">
        <v>43.085312000000002</v>
      </c>
      <c r="O723" s="36">
        <f>IF(ISBLANK(N724),"",Long2[[#This Row],[Adj Close]]/N724-1)</f>
        <v>6.3048154507323595E-3</v>
      </c>
      <c r="P723" s="29">
        <v>40035</v>
      </c>
      <c r="Q723">
        <v>14.092067999999999</v>
      </c>
      <c r="R723" s="33">
        <f>IF(ISBLANK(Q724),"",Long3[[#This Row],[Adj Close]]/Q724-1)</f>
        <v>-1.0186129920688458E-3</v>
      </c>
      <c r="S723" s="37">
        <v>40035</v>
      </c>
      <c r="T723" s="35">
        <v>14.426254999999999</v>
      </c>
      <c r="U723" s="36">
        <f>IF(ISBLANK(T724),"",Long4[[#This Row],[Adj Close]]/T724-1)</f>
        <v>-2.9461156708584513E-3</v>
      </c>
      <c r="Y723" s="37">
        <v>40035</v>
      </c>
      <c r="Z723" s="35">
        <v>10.037443</v>
      </c>
      <c r="AA723" s="36">
        <f>IF(ISBLANK(Z724),"",Long6[[#This Row],[Adj Close]]/Z724-1)</f>
        <v>-0.17993647954106584</v>
      </c>
      <c r="AH723" s="29">
        <v>40035</v>
      </c>
      <c r="AI723" s="44">
        <v>8.8833699999999993</v>
      </c>
      <c r="AJ723" s="33">
        <f>IF(ISBLANK(AI724),"",Short0[[#This Row],[Adj Close]]/AI724-1)</f>
        <v>6.389741500343038E-2</v>
      </c>
      <c r="AK723" s="37">
        <v>40035</v>
      </c>
      <c r="AL723" s="39">
        <v>24.418044999999999</v>
      </c>
      <c r="AM723" s="36">
        <f>IF(ISBLANK(AL724),"",Short1[[#This Row],[Adj Close]]/AL724-1)</f>
        <v>-8.3270758362097963E-2</v>
      </c>
      <c r="AN723" s="29">
        <v>40035</v>
      </c>
      <c r="AO723" s="44">
        <v>11.956856999999999</v>
      </c>
      <c r="AP723" s="33">
        <f>IF(ISBLANK(AO724),"",Short2[[#This Row],[Adj Close]]/AO724-1)</f>
        <v>-1.4893911258844206E-3</v>
      </c>
    </row>
    <row r="724" spans="1:42" x14ac:dyDescent="0.25">
      <c r="A724" s="37">
        <v>40028</v>
      </c>
      <c r="B724" s="39">
        <v>1010.47998</v>
      </c>
      <c r="C724" s="36">
        <f>IF(ISBLANK(B725), "", GSPC[[#This Row],[Adj Close]]/B725-1)</f>
        <v>2.3291611441074389E-2</v>
      </c>
      <c r="D72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2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24" s="11" t="e">
        <f>IF(ISBLANK(GSPC[[#This Row],[Long Exp.]]), "", (GSPC[[#This Row],[Long Exp.]]/D725-1)+(E725/GSPC[[#This Row],[Short Exp.]]-1))</f>
        <v>#VALUE!</v>
      </c>
      <c r="G724" s="37">
        <v>40028</v>
      </c>
      <c r="H724">
        <v>12.077845</v>
      </c>
      <c r="I724" s="36">
        <f>IF(ISBLANK(H725), "", Long0[[#This Row],[Adj Close]]/H725-1)</f>
        <v>0</v>
      </c>
      <c r="J724" s="29">
        <v>40028</v>
      </c>
      <c r="K724">
        <v>1.2035720000000001</v>
      </c>
      <c r="L724" s="33">
        <f>IF(ISBLANK(K725),"",Long1[[#This Row],[Adj Close]]/K725-1)</f>
        <v>0</v>
      </c>
      <c r="M724" s="37">
        <v>40028</v>
      </c>
      <c r="N724">
        <v>42.815368999999997</v>
      </c>
      <c r="O724" s="36">
        <f>IF(ISBLANK(N725),"",Long2[[#This Row],[Adj Close]]/N725-1)</f>
        <v>3.1256074970839487E-2</v>
      </c>
      <c r="P724" s="29">
        <v>40028</v>
      </c>
      <c r="Q724">
        <v>14.106437</v>
      </c>
      <c r="R724" s="33">
        <f>IF(ISBLANK(Q725),"",Long3[[#This Row],[Adj Close]]/Q725-1)</f>
        <v>-0.12844024056923831</v>
      </c>
      <c r="S724" s="37">
        <v>40028</v>
      </c>
      <c r="T724" s="35">
        <v>14.468882000000001</v>
      </c>
      <c r="U724" s="36">
        <f>IF(ISBLANK(T725),"",Long4[[#This Row],[Adj Close]]/T725-1)</f>
        <v>1.4952236388926288E-2</v>
      </c>
      <c r="Y724" s="37">
        <v>40028</v>
      </c>
      <c r="Z724" s="35">
        <v>12.239836</v>
      </c>
      <c r="AA724" s="36">
        <f>IF(ISBLANK(Z725),"",Long6[[#This Row],[Adj Close]]/Z725-1)</f>
        <v>3.3745049211231004E-2</v>
      </c>
      <c r="AH724" s="29">
        <v>40028</v>
      </c>
      <c r="AI724" s="44">
        <v>8.3498370000000008</v>
      </c>
      <c r="AJ724" s="33">
        <f>IF(ISBLANK(AI725),"",Short0[[#This Row],[Adj Close]]/AI725-1)</f>
        <v>0.33903763811600962</v>
      </c>
      <c r="AK724" s="37">
        <v>40028</v>
      </c>
      <c r="AL724" s="39">
        <v>26.636049</v>
      </c>
      <c r="AM724" s="36">
        <f>IF(ISBLANK(AL725),"",Short1[[#This Row],[Adj Close]]/AL725-1)</f>
        <v>6.36881509766698E-2</v>
      </c>
      <c r="AN724" s="29">
        <v>40028</v>
      </c>
      <c r="AO724" s="44">
        <v>11.974691999999999</v>
      </c>
      <c r="AP724" s="33">
        <f>IF(ISBLANK(AO725),"",Short2[[#This Row],[Adj Close]]/AO725-1)</f>
        <v>0.1342904686175197</v>
      </c>
    </row>
    <row r="725" spans="1:42" x14ac:dyDescent="0.25">
      <c r="A725" s="37">
        <v>40021</v>
      </c>
      <c r="B725" s="39">
        <v>987.47997999999995</v>
      </c>
      <c r="C725" s="36">
        <f>IF(ISBLANK(B726), "", GSPC[[#This Row],[Adj Close]]/B726-1)</f>
        <v>8.3940627780767496E-3</v>
      </c>
      <c r="D72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2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25" s="11" t="e">
        <f>IF(ISBLANK(GSPC[[#This Row],[Long Exp.]]), "", (GSPC[[#This Row],[Long Exp.]]/D726-1)+(E726/GSPC[[#This Row],[Short Exp.]]-1))</f>
        <v>#VALUE!</v>
      </c>
      <c r="G725" s="37">
        <v>40021</v>
      </c>
      <c r="H725">
        <v>12.077845</v>
      </c>
      <c r="I725" s="36">
        <f>IF(ISBLANK(H726), "", Long0[[#This Row],[Adj Close]]/H726-1)</f>
        <v>-4.7653347677854563E-2</v>
      </c>
      <c r="J725" s="29">
        <v>40021</v>
      </c>
      <c r="K725">
        <v>1.2035720000000001</v>
      </c>
      <c r="L725" s="33">
        <f>IF(ISBLANK(K726),"",Long1[[#This Row],[Adj Close]]/K726-1)</f>
        <v>2.3530002049488852E-2</v>
      </c>
      <c r="M725" s="37">
        <v>40021</v>
      </c>
      <c r="N725">
        <v>41.517688999999997</v>
      </c>
      <c r="O725" s="36">
        <f>IF(ISBLANK(N726),"",Long2[[#This Row],[Adj Close]]/N726-1)</f>
        <v>-2.4321824209901699E-2</v>
      </c>
      <c r="P725" s="29">
        <v>40021</v>
      </c>
      <c r="Q725">
        <v>16.185278</v>
      </c>
      <c r="R725" s="33">
        <f>IF(ISBLANK(Q726),"",Long3[[#This Row],[Adj Close]]/Q726-1)</f>
        <v>3.5637838311755043E-3</v>
      </c>
      <c r="S725" s="37">
        <v>40021</v>
      </c>
      <c r="T725" s="35">
        <v>14.255727</v>
      </c>
      <c r="U725" s="36">
        <f>IF(ISBLANK(T726),"",Long4[[#This Row],[Adj Close]]/T726-1)</f>
        <v>6.3613132262631877E-2</v>
      </c>
      <c r="Y725" s="37">
        <v>40021</v>
      </c>
      <c r="Z725" s="35">
        <v>11.840285</v>
      </c>
      <c r="AA725" s="36">
        <f>IF(ISBLANK(Z726),"",Long6[[#This Row],[Adj Close]]/Z726-1)</f>
        <v>-2.0161187880314624E-2</v>
      </c>
      <c r="AH725" s="29">
        <v>40021</v>
      </c>
      <c r="AI725" s="44">
        <v>6.2356999999999996</v>
      </c>
      <c r="AJ725" s="33">
        <f>IF(ISBLANK(AI726),"",Short0[[#This Row],[Adj Close]]/AI726-1)</f>
        <v>-0.14062508613456737</v>
      </c>
      <c r="AK725" s="37">
        <v>40021</v>
      </c>
      <c r="AL725" s="39">
        <v>25.041219999999999</v>
      </c>
      <c r="AM725" s="36">
        <f>IF(ISBLANK(AL726),"",Short1[[#This Row],[Adj Close]]/AL726-1)</f>
        <v>2.2434651071977063E-2</v>
      </c>
      <c r="AN725" s="29">
        <v>40021</v>
      </c>
      <c r="AO725" s="44">
        <v>10.556989</v>
      </c>
      <c r="AP725" s="33">
        <f>IF(ISBLANK(AO726),"",Short2[[#This Row],[Adj Close]]/AO726-1)</f>
        <v>7.0101611610994707E-2</v>
      </c>
    </row>
    <row r="726" spans="1:42" x14ac:dyDescent="0.25">
      <c r="A726" s="37">
        <v>40014</v>
      </c>
      <c r="B726" s="39">
        <v>979.26000999999997</v>
      </c>
      <c r="C726" s="36">
        <f>IF(ISBLANK(B727), "", GSPC[[#This Row],[Adj Close]]/B727-1)</f>
        <v>4.1344993293429333E-2</v>
      </c>
      <c r="D72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2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26" s="11" t="e">
        <f>IF(ISBLANK(GSPC[[#This Row],[Long Exp.]]), "", (GSPC[[#This Row],[Long Exp.]]/D727-1)+(E727/GSPC[[#This Row],[Short Exp.]]-1))</f>
        <v>#VALUE!</v>
      </c>
      <c r="G726" s="37">
        <v>40014</v>
      </c>
      <c r="H726">
        <v>12.682194000000001</v>
      </c>
      <c r="I726" s="36">
        <f>IF(ISBLANK(H727), "", Long0[[#This Row],[Adj Close]]/H727-1)</f>
        <v>0.11334410550288365</v>
      </c>
      <c r="J726" s="29">
        <v>40014</v>
      </c>
      <c r="K726">
        <v>1.1759029999999999</v>
      </c>
      <c r="L726" s="33">
        <f>IF(ISBLANK(K727),"",Long1[[#This Row],[Adj Close]]/K727-1)</f>
        <v>-1.1628610668903638E-2</v>
      </c>
      <c r="M726" s="37">
        <v>40014</v>
      </c>
      <c r="N726">
        <v>42.552647</v>
      </c>
      <c r="O726" s="36">
        <f>IF(ISBLANK(N727),"",Long2[[#This Row],[Adj Close]]/N727-1)</f>
        <v>7.8490822145141248E-2</v>
      </c>
      <c r="P726" s="29">
        <v>40014</v>
      </c>
      <c r="Q726">
        <v>16.127801999999999</v>
      </c>
      <c r="R726" s="33">
        <f>IF(ISBLANK(Q727),"",Long3[[#This Row],[Adj Close]]/Q727-1)</f>
        <v>3.7596010816401959E-2</v>
      </c>
      <c r="S726" s="37">
        <v>40014</v>
      </c>
      <c r="T726" s="35">
        <v>13.403112999999999</v>
      </c>
      <c r="U726" s="36">
        <f>IF(ISBLANK(T727),"",Long4[[#This Row],[Adj Close]]/T727-1)</f>
        <v>1.2234315277177998E-2</v>
      </c>
      <c r="Y726" s="37">
        <v>40014</v>
      </c>
      <c r="Z726" s="35">
        <v>12.083911000000001</v>
      </c>
      <c r="AA726" s="36">
        <f>IF(ISBLANK(Z727),"",Long6[[#This Row],[Adj Close]]/Z727-1)</f>
        <v>0.12318828321209674</v>
      </c>
      <c r="AH726" s="29">
        <v>40014</v>
      </c>
      <c r="AI726" s="44">
        <v>7.2560880000000001</v>
      </c>
      <c r="AJ726" s="33">
        <f>IF(ISBLANK(AI727),"",Short0[[#This Row],[Adj Close]]/AI727-1)</f>
        <v>0.2665889546264324</v>
      </c>
      <c r="AK726" s="37">
        <v>40014</v>
      </c>
      <c r="AL726" s="39">
        <v>24.491755999999999</v>
      </c>
      <c r="AM726" s="36">
        <f>IF(ISBLANK(AL727),"",Short1[[#This Row],[Adj Close]]/AL727-1)</f>
        <v>1.0226521176979197E-2</v>
      </c>
      <c r="AN726" s="29">
        <v>40014</v>
      </c>
      <c r="AO726" s="44">
        <v>9.8654080000000004</v>
      </c>
      <c r="AP726" s="33">
        <f>IF(ISBLANK(AO727),"",Short2[[#This Row],[Adj Close]]/AO727-1)</f>
        <v>0.14065702364768073</v>
      </c>
    </row>
    <row r="727" spans="1:42" x14ac:dyDescent="0.25">
      <c r="A727" s="37">
        <v>40007</v>
      </c>
      <c r="B727" s="39">
        <v>940.38000499999998</v>
      </c>
      <c r="C727" s="36">
        <f>IF(ISBLANK(B728), "", GSPC[[#This Row],[Adj Close]]/B728-1)</f>
        <v>6.9671151765545725E-2</v>
      </c>
      <c r="D72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2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27" s="11" t="e">
        <f>IF(ISBLANK(GSPC[[#This Row],[Long Exp.]]), "", (GSPC[[#This Row],[Long Exp.]]/D728-1)+(E728/GSPC[[#This Row],[Short Exp.]]-1))</f>
        <v>#VALUE!</v>
      </c>
      <c r="G727" s="37">
        <v>40007</v>
      </c>
      <c r="H727">
        <v>11.391082000000001</v>
      </c>
      <c r="I727" s="36">
        <f>IF(ISBLANK(H728), "", Long0[[#This Row],[Adj Close]]/H728-1)</f>
        <v>2.2185785572971461E-2</v>
      </c>
      <c r="J727" s="29">
        <v>40007</v>
      </c>
      <c r="K727">
        <v>1.189738</v>
      </c>
      <c r="L727" s="33">
        <f>IF(ISBLANK(K728),"",Long1[[#This Row],[Adj Close]]/K728-1)</f>
        <v>-4.4443944697262983E-2</v>
      </c>
      <c r="M727" s="37">
        <v>40007</v>
      </c>
      <c r="N727">
        <v>39.455734</v>
      </c>
      <c r="O727" s="36">
        <f>IF(ISBLANK(N728),"",Long2[[#This Row],[Adj Close]]/N728-1)</f>
        <v>0.20495987746071553</v>
      </c>
      <c r="P727" s="29">
        <v>40007</v>
      </c>
      <c r="Q727">
        <v>15.543431</v>
      </c>
      <c r="R727" s="33">
        <f>IF(ISBLANK(Q728),"",Long3[[#This Row],[Adj Close]]/Q728-1)</f>
        <v>3.5088135214202953E-2</v>
      </c>
      <c r="S727" s="37">
        <v>40007</v>
      </c>
      <c r="T727" s="35">
        <v>13.241116999999999</v>
      </c>
      <c r="U727" s="36">
        <f>IF(ISBLANK(T728),"",Long4[[#This Row],[Adj Close]]/T728-1)</f>
        <v>9.2892391205302349E-2</v>
      </c>
      <c r="Y727" s="37">
        <v>40007</v>
      </c>
      <c r="Z727" s="35">
        <v>10.75858</v>
      </c>
      <c r="AA727" s="36">
        <f>IF(ISBLANK(Z728),"",Long6[[#This Row],[Adj Close]]/Z728-1)</f>
        <v>0.20261426511128877</v>
      </c>
      <c r="AH727" s="29">
        <v>40007</v>
      </c>
      <c r="AI727" s="44">
        <v>5.7288420000000002</v>
      </c>
      <c r="AJ727" s="33">
        <f>IF(ISBLANK(AI728),"",Short0[[#This Row],[Adj Close]]/AI728-1)</f>
        <v>0.25584772278430146</v>
      </c>
      <c r="AK727" s="37">
        <v>40007</v>
      </c>
      <c r="AL727" s="39">
        <v>24.243825999999999</v>
      </c>
      <c r="AM727" s="36">
        <f>IF(ISBLANK(AL728),"",Short1[[#This Row],[Adj Close]]/AL728-1)</f>
        <v>0.10405878859235496</v>
      </c>
      <c r="AN727" s="29">
        <v>40007</v>
      </c>
      <c r="AO727" s="44">
        <v>8.6488820000000004</v>
      </c>
      <c r="AP727" s="33">
        <f>IF(ISBLANK(AO728),"",Short2[[#This Row],[Adj Close]]/AO728-1)</f>
        <v>0.1706733460071157</v>
      </c>
    </row>
    <row r="728" spans="1:42" x14ac:dyDescent="0.25">
      <c r="A728" s="37">
        <v>40000</v>
      </c>
      <c r="B728" s="39">
        <v>879.13000499999998</v>
      </c>
      <c r="C728" s="36">
        <f>IF(ISBLANK(B729), "", GSPC[[#This Row],[Adj Close]]/B729-1)</f>
        <v>-1.9287809651606147E-2</v>
      </c>
      <c r="D72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2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28" s="11" t="e">
        <f>IF(ISBLANK(GSPC[[#This Row],[Long Exp.]]), "", (GSPC[[#This Row],[Long Exp.]]/D729-1)+(E729/GSPC[[#This Row],[Short Exp.]]-1))</f>
        <v>#VALUE!</v>
      </c>
      <c r="G728" s="37">
        <v>40000</v>
      </c>
      <c r="H728">
        <v>11.143846999999999</v>
      </c>
      <c r="I728" s="36">
        <f>IF(ISBLANK(H729), "", Long0[[#This Row],[Adj Close]]/H729-1)</f>
        <v>-2.0128786600481674E-2</v>
      </c>
      <c r="J728" s="29">
        <v>40000</v>
      </c>
      <c r="K728">
        <v>1.245074</v>
      </c>
      <c r="L728" s="33">
        <f>IF(ISBLANK(K729),"",Long1[[#This Row],[Adj Close]]/K729-1)</f>
        <v>4.6511080590852849E-2</v>
      </c>
      <c r="M728" s="37">
        <v>40000</v>
      </c>
      <c r="N728">
        <v>32.744438000000002</v>
      </c>
      <c r="O728" s="36">
        <f>IF(ISBLANK(N729),"",Long2[[#This Row],[Adj Close]]/N729-1)</f>
        <v>-8.8228602290463476E-2</v>
      </c>
      <c r="P728" s="29">
        <v>40000</v>
      </c>
      <c r="Q728">
        <v>15.016529</v>
      </c>
      <c r="R728" s="33">
        <f>IF(ISBLANK(Q729),"",Long3[[#This Row],[Adj Close]]/Q729-1)</f>
        <v>-1.5080168180811704E-2</v>
      </c>
      <c r="S728" s="37">
        <v>40000</v>
      </c>
      <c r="T728" s="35">
        <v>12.115664000000001</v>
      </c>
      <c r="U728" s="36">
        <f>IF(ISBLANK(T729),"",Long4[[#This Row],[Adj Close]]/T729-1)</f>
        <v>-4.1160642494001087E-2</v>
      </c>
      <c r="Y728" s="37">
        <v>40000</v>
      </c>
      <c r="Z728" s="35">
        <v>8.9459940000000007</v>
      </c>
      <c r="AA728" s="36">
        <f>IF(ISBLANK(Z729),"",Long6[[#This Row],[Adj Close]]/Z729-1)</f>
        <v>-0.10176120587785531</v>
      </c>
      <c r="AH728" s="29">
        <v>40000</v>
      </c>
      <c r="AI728" s="44">
        <v>4.5617330000000003</v>
      </c>
      <c r="AJ728" s="33">
        <f>IF(ISBLANK(AI729),"",Short0[[#This Row],[Adj Close]]/AI729-1)</f>
        <v>-7.0651905967774375E-2</v>
      </c>
      <c r="AK728" s="37">
        <v>40000</v>
      </c>
      <c r="AL728" s="39">
        <v>21.958818000000001</v>
      </c>
      <c r="AM728" s="36">
        <f>IF(ISBLANK(AL729),"",Short1[[#This Row],[Adj Close]]/AL729-1)</f>
        <v>2.5732223514784991E-2</v>
      </c>
      <c r="AN728" s="29">
        <v>40000</v>
      </c>
      <c r="AO728" s="44">
        <v>7.3879549999999998</v>
      </c>
      <c r="AP728" s="33">
        <f>IF(ISBLANK(AO729),"",Short2[[#This Row],[Adj Close]]/AO729-1)</f>
        <v>-9.1702911277103283E-2</v>
      </c>
    </row>
    <row r="729" spans="1:42" x14ac:dyDescent="0.25">
      <c r="A729" s="37">
        <v>39993</v>
      </c>
      <c r="B729" s="39">
        <v>896.419983</v>
      </c>
      <c r="C729" s="36">
        <f>IF(ISBLANK(B730), "", GSPC[[#This Row],[Adj Close]]/B730-1)</f>
        <v>-2.4464077062642531E-2</v>
      </c>
      <c r="D72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2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29" s="11" t="e">
        <f>IF(ISBLANK(GSPC[[#This Row],[Long Exp.]]), "", (GSPC[[#This Row],[Long Exp.]]/D730-1)+(E730/GSPC[[#This Row],[Short Exp.]]-1))</f>
        <v>#VALUE!</v>
      </c>
      <c r="G729" s="37">
        <v>39993</v>
      </c>
      <c r="H729">
        <v>11.372767</v>
      </c>
      <c r="I729" s="36">
        <f>IF(ISBLANK(H730), "", Long0[[#This Row],[Adj Close]]/H730-1)</f>
        <v>-7.4515819772565384E-2</v>
      </c>
      <c r="J729" s="29">
        <v>39993</v>
      </c>
      <c r="K729">
        <v>1.189738</v>
      </c>
      <c r="L729" s="33">
        <f>IF(ISBLANK(K730),"",Long1[[#This Row],[Adj Close]]/K730-1)</f>
        <v>-1.149411917193166E-2</v>
      </c>
      <c r="M729" s="37">
        <v>39993</v>
      </c>
      <c r="N729">
        <v>35.912990999999998</v>
      </c>
      <c r="O729" s="36">
        <f>IF(ISBLANK(N730),"",Long2[[#This Row],[Adj Close]]/N730-1)</f>
        <v>4.0599561437288267E-2</v>
      </c>
      <c r="P729" s="29">
        <v>39993</v>
      </c>
      <c r="Q729">
        <v>15.246448000000001</v>
      </c>
      <c r="R729" s="33">
        <f>IF(ISBLANK(Q730),"",Long3[[#This Row],[Adj Close]]/Q730-1)</f>
        <v>-2.95730297716158E-2</v>
      </c>
      <c r="S729" s="37">
        <v>39993</v>
      </c>
      <c r="T729" s="35">
        <v>12.635759999999999</v>
      </c>
      <c r="U729" s="36">
        <f>IF(ISBLANK(T730),"",Long4[[#This Row],[Adj Close]]/T730-1)</f>
        <v>2.6315885658961147E-2</v>
      </c>
      <c r="Y729" s="37">
        <v>39993</v>
      </c>
      <c r="Z729" s="35">
        <v>9.9594830000000005</v>
      </c>
      <c r="AA729" s="36">
        <f>IF(ISBLANK(Z730),"",Long6[[#This Row],[Adj Close]]/Z730-1)</f>
        <v>5.9055579369058364E-3</v>
      </c>
      <c r="AH729" s="29">
        <v>39993</v>
      </c>
      <c r="AI729" s="44">
        <v>4.9085299999999998</v>
      </c>
      <c r="AJ729" s="33">
        <f>IF(ISBLANK(AI730),"",Short0[[#This Row],[Adj Close]]/AI730-1)</f>
        <v>-0.10787884383549595</v>
      </c>
      <c r="AK729" s="37">
        <v>39993</v>
      </c>
      <c r="AL729" s="39">
        <v>21.407944000000001</v>
      </c>
      <c r="AM729" s="36">
        <f>IF(ISBLANK(AL730),"",Short1[[#This Row],[Adj Close]]/AL730-1)</f>
        <v>-4.4669237724560995E-2</v>
      </c>
      <c r="AN729" s="29">
        <v>39993</v>
      </c>
      <c r="AO729" s="44">
        <v>8.1338530000000002</v>
      </c>
      <c r="AP729" s="33">
        <f>IF(ISBLANK(AO730),"",Short2[[#This Row],[Adj Close]]/AO730-1)</f>
        <v>-2.1790771302280243E-3</v>
      </c>
    </row>
    <row r="730" spans="1:42" x14ac:dyDescent="0.25">
      <c r="A730" s="37">
        <v>39986</v>
      </c>
      <c r="B730" s="39">
        <v>918.90002400000003</v>
      </c>
      <c r="C730" s="36">
        <f>IF(ISBLANK(B731), "", GSPC[[#This Row],[Adj Close]]/B731-1)</f>
        <v>-2.5291795214913426E-3</v>
      </c>
      <c r="D73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3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30" s="11" t="e">
        <f>IF(ISBLANK(GSPC[[#This Row],[Long Exp.]]), "", (GSPC[[#This Row],[Long Exp.]]/D731-1)+(E731/GSPC[[#This Row],[Short Exp.]]-1))</f>
        <v>#VALUE!</v>
      </c>
      <c r="G730" s="37">
        <v>39986</v>
      </c>
      <c r="H730">
        <v>12.288451</v>
      </c>
      <c r="I730" s="36">
        <f>IF(ISBLANK(H731), "", Long0[[#This Row],[Adj Close]]/H731-1)</f>
        <v>2.7565128790042248E-2</v>
      </c>
      <c r="J730" s="29">
        <v>39986</v>
      </c>
      <c r="K730">
        <v>1.2035720000000001</v>
      </c>
      <c r="L730" s="33">
        <f>IF(ISBLANK(K731),"",Long1[[#This Row],[Adj Close]]/K731-1)</f>
        <v>-3.3332958522947154E-2</v>
      </c>
      <c r="M730" s="37">
        <v>39986</v>
      </c>
      <c r="N730">
        <v>34.511825999999999</v>
      </c>
      <c r="O730" s="36">
        <f>IF(ISBLANK(N731),"",Long2[[#This Row],[Adj Close]]/N731-1)</f>
        <v>-6.6738561763643678E-2</v>
      </c>
      <c r="P730" s="29">
        <v>39986</v>
      </c>
      <c r="Q730">
        <v>15.711072</v>
      </c>
      <c r="R730" s="33">
        <f>IF(ISBLANK(Q731),"",Long3[[#This Row],[Adj Close]]/Q731-1)</f>
        <v>-5.7593676580086628E-3</v>
      </c>
      <c r="S730" s="37">
        <v>39986</v>
      </c>
      <c r="T730" s="35">
        <v>12.311764999999999</v>
      </c>
      <c r="U730" s="36">
        <f>IF(ISBLANK(T731),"",Long4[[#This Row],[Adj Close]]/T731-1)</f>
        <v>7.2808414561578383E-2</v>
      </c>
      <c r="Y730" s="37">
        <v>39986</v>
      </c>
      <c r="Z730" s="35">
        <v>9.9010119999999997</v>
      </c>
      <c r="AA730" s="36">
        <f>IF(ISBLANK(Z731),"",Long6[[#This Row],[Adj Close]]/Z731-1)</f>
        <v>3.2520551576586287E-2</v>
      </c>
      <c r="AH730" s="29">
        <v>39986</v>
      </c>
      <c r="AI730" s="44">
        <v>5.5020889999999998</v>
      </c>
      <c r="AJ730" s="33">
        <f>IF(ISBLANK(AI731),"",Short0[[#This Row],[Adj Close]]/AI731-1)</f>
        <v>1.3513665358379612E-2</v>
      </c>
      <c r="AK730" s="37">
        <v>39986</v>
      </c>
      <c r="AL730" s="39">
        <v>22.408933999999999</v>
      </c>
      <c r="AM730" s="36">
        <f>IF(ISBLANK(AL731),"",Short1[[#This Row],[Adj Close]]/AL731-1)</f>
        <v>-2.3269690725711722E-2</v>
      </c>
      <c r="AN730" s="29">
        <v>39986</v>
      </c>
      <c r="AO730" s="44">
        <v>8.1516160000000006</v>
      </c>
      <c r="AP730" s="33">
        <f>IF(ISBLANK(AO731),"",Short2[[#This Row],[Adj Close]]/AO731-1)</f>
        <v>0.17843370513858603</v>
      </c>
    </row>
    <row r="731" spans="1:42" x14ac:dyDescent="0.25">
      <c r="A731" s="37">
        <v>39979</v>
      </c>
      <c r="B731" s="39">
        <v>921.22997999999995</v>
      </c>
      <c r="C731" s="36">
        <f>IF(ISBLANK(B732), "", GSPC[[#This Row],[Adj Close]]/B732-1)</f>
        <v>-2.6400102957269245E-2</v>
      </c>
      <c r="D73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3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31" s="11" t="e">
        <f>IF(ISBLANK(GSPC[[#This Row],[Long Exp.]]), "", (GSPC[[#This Row],[Long Exp.]]/D732-1)+(E732/GSPC[[#This Row],[Short Exp.]]-1))</f>
        <v>#VALUE!</v>
      </c>
      <c r="G731" s="37">
        <v>39979</v>
      </c>
      <c r="H731">
        <v>11.958805</v>
      </c>
      <c r="I731" s="36">
        <f>IF(ISBLANK(H732), "", Long0[[#This Row],[Adj Close]]/H732-1)</f>
        <v>-4.1116018354360184E-2</v>
      </c>
      <c r="J731" s="29">
        <v>39979</v>
      </c>
      <c r="K731">
        <v>1.245074</v>
      </c>
      <c r="L731" s="33">
        <f>IF(ISBLANK(K732),"",Long1[[#This Row],[Adj Close]]/K732-1)</f>
        <v>-4.2553469633831109E-2</v>
      </c>
      <c r="M731" s="37">
        <v>39979</v>
      </c>
      <c r="N731">
        <v>36.979804999999999</v>
      </c>
      <c r="O731" s="36">
        <f>IF(ISBLANK(N732),"",Long2[[#This Row],[Adj Close]]/N732-1)</f>
        <v>-0.16276119192462835</v>
      </c>
      <c r="P731" s="29">
        <v>39979</v>
      </c>
      <c r="Q731">
        <v>15.802082</v>
      </c>
      <c r="R731" s="33">
        <f>IF(ISBLANK(Q732),"",Long3[[#This Row],[Adj Close]]/Q732-1)</f>
        <v>1.0083513638905472E-3</v>
      </c>
      <c r="S731" s="37">
        <v>39979</v>
      </c>
      <c r="T731" s="35">
        <v>11.476201</v>
      </c>
      <c r="U731" s="36">
        <f>IF(ISBLANK(T732),"",Long4[[#This Row],[Adj Close]]/T732-1)</f>
        <v>-5.3445884091711138E-2</v>
      </c>
      <c r="Y731" s="37">
        <v>39979</v>
      </c>
      <c r="Z731" s="35">
        <v>9.5891669999999998</v>
      </c>
      <c r="AA731" s="36">
        <f>IF(ISBLANK(Z732),"",Long6[[#This Row],[Adj Close]]/Z732-1)</f>
        <v>-4.9275785627667879E-2</v>
      </c>
      <c r="AH731" s="29">
        <v>39979</v>
      </c>
      <c r="AI731" s="44">
        <v>5.4287270000000003</v>
      </c>
      <c r="AJ731" s="33">
        <f>IF(ISBLANK(AI732),"",Short0[[#This Row],[Adj Close]]/AI732-1)</f>
        <v>-0.10549480208509765</v>
      </c>
      <c r="AK731" s="37">
        <v>39979</v>
      </c>
      <c r="AL731" s="39">
        <v>22.942806000000001</v>
      </c>
      <c r="AM731" s="36">
        <f>IF(ISBLANK(AL732),"",Short1[[#This Row],[Adj Close]]/AL732-1)</f>
        <v>-0.10817081889875979</v>
      </c>
      <c r="AN731" s="29">
        <v>39979</v>
      </c>
      <c r="AO731" s="44">
        <v>6.9173309999999999</v>
      </c>
      <c r="AP731" s="33">
        <f>IF(ISBLANK(AO732),"",Short2[[#This Row],[Adj Close]]/AO732-1)</f>
        <v>-2.3809332286204854E-2</v>
      </c>
    </row>
    <row r="732" spans="1:42" x14ac:dyDescent="0.25">
      <c r="A732" s="37">
        <v>39972</v>
      </c>
      <c r="B732" s="39">
        <v>946.21002199999998</v>
      </c>
      <c r="C732" s="36">
        <f>IF(ISBLANK(B733), "", GSPC[[#This Row],[Adj Close]]/B733-1)</f>
        <v>6.5100094929524399E-3</v>
      </c>
      <c r="D73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3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32" s="11" t="e">
        <f>IF(ISBLANK(GSPC[[#This Row],[Long Exp.]]), "", (GSPC[[#This Row],[Long Exp.]]/D733-1)+(E733/GSPC[[#This Row],[Short Exp.]]-1))</f>
        <v>#VALUE!</v>
      </c>
      <c r="G732" s="37">
        <v>39972</v>
      </c>
      <c r="H732">
        <v>12.471587</v>
      </c>
      <c r="I732" s="36">
        <f>IF(ISBLANK(H733), "", Long0[[#This Row],[Adj Close]]/H733-1)</f>
        <v>-5.8394517842472737E-3</v>
      </c>
      <c r="J732" s="29">
        <v>39972</v>
      </c>
      <c r="K732">
        <v>1.300411</v>
      </c>
      <c r="L732" s="33">
        <f>IF(ISBLANK(K733),"",Long1[[#This Row],[Adj Close]]/K733-1)</f>
        <v>3.2967460688152039E-2</v>
      </c>
      <c r="M732" s="37">
        <v>39972</v>
      </c>
      <c r="N732">
        <v>44.168765999999998</v>
      </c>
      <c r="O732" s="36">
        <f>IF(ISBLANK(N733),"",Long2[[#This Row],[Adj Close]]/N733-1)</f>
        <v>4.4231052114519276E-2</v>
      </c>
      <c r="P732" s="29">
        <v>39972</v>
      </c>
      <c r="Q732">
        <v>15.786163999999999</v>
      </c>
      <c r="R732" s="33">
        <f>IF(ISBLANK(Q733),"",Long3[[#This Row],[Adj Close]]/Q733-1)</f>
        <v>-5.0789229048167073E-3</v>
      </c>
      <c r="S732" s="37">
        <v>39972</v>
      </c>
      <c r="T732" s="35">
        <v>12.124188999999999</v>
      </c>
      <c r="U732" s="36">
        <f>IF(ISBLANK(T733),"",Long4[[#This Row],[Adj Close]]/T733-1)</f>
        <v>6.2780285960929882E-2</v>
      </c>
      <c r="Y732" s="37">
        <v>39972</v>
      </c>
      <c r="Z732" s="35">
        <v>10.086171</v>
      </c>
      <c r="AA732" s="36">
        <f>IF(ISBLANK(Z733),"",Long6[[#This Row],[Adj Close]]/Z733-1)</f>
        <v>3.8797912650203603E-3</v>
      </c>
      <c r="AH732" s="29">
        <v>39972</v>
      </c>
      <c r="AI732" s="44">
        <v>6.0689719999999996</v>
      </c>
      <c r="AJ732" s="33">
        <f>IF(ISBLANK(AI733),"",Short0[[#This Row],[Adj Close]]/AI733-1)</f>
        <v>-9.090906367395768E-2</v>
      </c>
      <c r="AK732" s="37">
        <v>39972</v>
      </c>
      <c r="AL732" s="39">
        <v>25.725560999999999</v>
      </c>
      <c r="AM732" s="36">
        <f>IF(ISBLANK(AL733),"",Short1[[#This Row],[Adj Close]]/AL733-1)</f>
        <v>2.9647106306454063E-2</v>
      </c>
      <c r="AN732" s="29">
        <v>39972</v>
      </c>
      <c r="AO732" s="44">
        <v>7.0860450000000004</v>
      </c>
      <c r="AP732" s="33">
        <f>IF(ISBLANK(AO733),"",Short2[[#This Row],[Adj Close]]/AO733-1)</f>
        <v>-5.562148867279415E-2</v>
      </c>
    </row>
    <row r="733" spans="1:42" x14ac:dyDescent="0.25">
      <c r="A733" s="37">
        <v>39965</v>
      </c>
      <c r="B733" s="39">
        <v>940.09002699999996</v>
      </c>
      <c r="C733" s="36">
        <f>IF(ISBLANK(B734), "", GSPC[[#This Row],[Adj Close]]/B734-1)</f>
        <v>2.2793058356838092E-2</v>
      </c>
      <c r="D73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3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33" s="11" t="e">
        <f>IF(ISBLANK(GSPC[[#This Row],[Long Exp.]]), "", (GSPC[[#This Row],[Long Exp.]]/D734-1)+(E734/GSPC[[#This Row],[Short Exp.]]-1))</f>
        <v>#VALUE!</v>
      </c>
      <c r="G733" s="37">
        <v>39965</v>
      </c>
      <c r="H733">
        <v>12.544841999999999</v>
      </c>
      <c r="I733" s="36">
        <f>IF(ISBLANK(H734), "", Long0[[#This Row],[Adj Close]]/H734-1)</f>
        <v>3.7093185877134394E-2</v>
      </c>
      <c r="J733" s="29">
        <v>39965</v>
      </c>
      <c r="K733">
        <v>1.2589079999999999</v>
      </c>
      <c r="L733" s="33">
        <f>IF(ISBLANK(K734),"",Long1[[#This Row],[Adj Close]]/K734-1)</f>
        <v>7.0588305327905498E-2</v>
      </c>
      <c r="M733" s="37">
        <v>39965</v>
      </c>
      <c r="N733">
        <v>42.297885999999998</v>
      </c>
      <c r="O733" s="36">
        <f>IF(ISBLANK(N734),"",Long2[[#This Row],[Adj Close]]/N734-1)</f>
        <v>-2.8702071227573955E-2</v>
      </c>
      <c r="P733" s="29">
        <v>39965</v>
      </c>
      <c r="Q733">
        <v>15.86675</v>
      </c>
      <c r="R733" s="33">
        <f>IF(ISBLANK(Q734),"",Long3[[#This Row],[Adj Close]]/Q734-1)</f>
        <v>3.0797869741788997E-2</v>
      </c>
      <c r="S733" s="37">
        <v>39965</v>
      </c>
      <c r="T733" s="35">
        <v>11.407992</v>
      </c>
      <c r="U733" s="36">
        <f>IF(ISBLANK(T734),"",Long4[[#This Row],[Adj Close]]/T734-1)</f>
        <v>0.16045097304818179</v>
      </c>
      <c r="Y733" s="37">
        <v>39965</v>
      </c>
      <c r="Z733" s="35">
        <v>10.047190000000001</v>
      </c>
      <c r="AA733" s="36">
        <f>IF(ISBLANK(Z734),"",Long6[[#This Row],[Adj Close]]/Z734-1)</f>
        <v>0.17292391315133737</v>
      </c>
      <c r="AH733" s="29">
        <v>39965</v>
      </c>
      <c r="AI733" s="44">
        <v>6.6758689999999996</v>
      </c>
      <c r="AJ733" s="33">
        <f>IF(ISBLANK(AI734),"",Short0[[#This Row],[Adj Close]]/AI734-1)</f>
        <v>1.0090664830028739E-2</v>
      </c>
      <c r="AK733" s="37">
        <v>39965</v>
      </c>
      <c r="AL733" s="39">
        <v>24.984832999999998</v>
      </c>
      <c r="AM733" s="36">
        <f>IF(ISBLANK(AL734),"",Short1[[#This Row],[Adj Close]]/AL734-1)</f>
        <v>6.6666754897979796E-2</v>
      </c>
      <c r="AN733" s="29">
        <v>39965</v>
      </c>
      <c r="AO733" s="44">
        <v>7.5033950000000003</v>
      </c>
      <c r="AP733" s="33">
        <f>IF(ISBLANK(AO734),"",Short2[[#This Row],[Adj Close]]/AO734-1)</f>
        <v>-0.11146158946333939</v>
      </c>
    </row>
    <row r="734" spans="1:42" x14ac:dyDescent="0.25">
      <c r="A734" s="37">
        <v>39958</v>
      </c>
      <c r="B734" s="39">
        <v>919.14001499999995</v>
      </c>
      <c r="C734" s="36">
        <f>IF(ISBLANK(B735), "", GSPC[[#This Row],[Adj Close]]/B735-1)</f>
        <v>3.6234515219842001E-2</v>
      </c>
      <c r="D73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3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34" s="11" t="e">
        <f>IF(ISBLANK(GSPC[[#This Row],[Long Exp.]]), "", (GSPC[[#This Row],[Long Exp.]]/D735-1)+(E735/GSPC[[#This Row],[Short Exp.]]-1))</f>
        <v>#VALUE!</v>
      </c>
      <c r="G734" s="37">
        <v>39958</v>
      </c>
      <c r="H734">
        <v>12.096157</v>
      </c>
      <c r="I734" s="36">
        <f>IF(ISBLANK(H735), "", Long0[[#This Row],[Adj Close]]/H735-1)</f>
        <v>5.007953190117731E-2</v>
      </c>
      <c r="J734" s="29">
        <v>39958</v>
      </c>
      <c r="K734">
        <v>1.1759029999999999</v>
      </c>
      <c r="L734" s="33">
        <f>IF(ISBLANK(K735),"",Long1[[#This Row],[Adj Close]]/K735-1)</f>
        <v>-3.4091338468842824E-2</v>
      </c>
      <c r="M734" s="37">
        <v>39958</v>
      </c>
      <c r="N734">
        <v>43.547798</v>
      </c>
      <c r="O734" s="36">
        <f>IF(ISBLANK(N735),"",Long2[[#This Row],[Adj Close]]/N735-1)</f>
        <v>-1.19219067989903E-2</v>
      </c>
      <c r="P734" s="29">
        <v>39958</v>
      </c>
      <c r="Q734">
        <v>15.392688</v>
      </c>
      <c r="R734" s="33">
        <f>IF(ISBLANK(Q735),"",Long3[[#This Row],[Adj Close]]/Q735-1)</f>
        <v>4.3045382914444152E-2</v>
      </c>
      <c r="S734" s="37">
        <v>39958</v>
      </c>
      <c r="T734" s="35">
        <v>9.8306539999999991</v>
      </c>
      <c r="U734" s="36">
        <f>IF(ISBLANK(T735),"",Long4[[#This Row],[Adj Close]]/T735-1)</f>
        <v>0.12487772202584879</v>
      </c>
      <c r="Y734" s="37">
        <v>39958</v>
      </c>
      <c r="Z734" s="35">
        <v>8.5659349999999996</v>
      </c>
      <c r="AA734" s="36">
        <f>IF(ISBLANK(Z735),"",Long6[[#This Row],[Adj Close]]/Z735-1)</f>
        <v>8.5185146710138548E-2</v>
      </c>
      <c r="AH734" s="29">
        <v>39958</v>
      </c>
      <c r="AI734" s="44">
        <v>6.609178</v>
      </c>
      <c r="AJ734" s="33">
        <f>IF(ISBLANK(AI735),"",Short0[[#This Row],[Adj Close]]/AI735-1)</f>
        <v>0.10602714170053495</v>
      </c>
      <c r="AK734" s="37">
        <v>39958</v>
      </c>
      <c r="AL734" s="39">
        <v>23.423279000000001</v>
      </c>
      <c r="AM734" s="36">
        <f>IF(ISBLANK(AL735),"",Short1[[#This Row],[Adj Close]]/AL735-1)</f>
        <v>-2.2741727116397659E-3</v>
      </c>
      <c r="AN734" s="29">
        <v>39958</v>
      </c>
      <c r="AO734" s="44">
        <v>8.4446490000000001</v>
      </c>
      <c r="AP734" s="33">
        <f>IF(ISBLANK(AO735),"",Short2[[#This Row],[Adj Close]]/AO735-1)</f>
        <v>8.4836766938036767E-3</v>
      </c>
    </row>
    <row r="735" spans="1:42" x14ac:dyDescent="0.25">
      <c r="A735" s="37">
        <v>39951</v>
      </c>
      <c r="B735" s="39">
        <v>887</v>
      </c>
      <c r="C735" s="36">
        <f>IF(ISBLANK(B736), "", GSPC[[#This Row],[Adj Close]]/B736-1)</f>
        <v>4.666540160233934E-3</v>
      </c>
      <c r="D73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3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35" s="11" t="e">
        <f>IF(ISBLANK(GSPC[[#This Row],[Long Exp.]]), "", (GSPC[[#This Row],[Long Exp.]]/D736-1)+(E736/GSPC[[#This Row],[Short Exp.]]-1))</f>
        <v>#VALUE!</v>
      </c>
      <c r="G735" s="37">
        <v>39951</v>
      </c>
      <c r="H735">
        <v>11.519277000000001</v>
      </c>
      <c r="I735" s="36">
        <f>IF(ISBLANK(H736), "", Long0[[#This Row],[Adj Close]]/H736-1)</f>
        <v>-1.4106690792898724E-2</v>
      </c>
      <c r="J735" s="29">
        <v>39951</v>
      </c>
      <c r="K735">
        <v>1.217406</v>
      </c>
      <c r="L735" s="33">
        <f>IF(ISBLANK(K736),"",Long1[[#This Row],[Adj Close]]/K736-1)</f>
        <v>3.5294577869092958E-2</v>
      </c>
      <c r="M735" s="37">
        <v>39951</v>
      </c>
      <c r="N735">
        <v>44.073234999999997</v>
      </c>
      <c r="O735" s="36">
        <f>IF(ISBLANK(N736),"",Long2[[#This Row],[Adj Close]]/N736-1)</f>
        <v>7.9142233287794017E-2</v>
      </c>
      <c r="P735" s="29">
        <v>39951</v>
      </c>
      <c r="Q735">
        <v>14.757448</v>
      </c>
      <c r="R735" s="33">
        <f>IF(ISBLANK(Q736),"",Long3[[#This Row],[Adj Close]]/Q736-1)</f>
        <v>-7.6506153966364732E-3</v>
      </c>
      <c r="S735" s="37">
        <v>39951</v>
      </c>
      <c r="T735" s="35">
        <v>8.7393090000000004</v>
      </c>
      <c r="U735" s="36">
        <f>IF(ISBLANK(T736),"",Long4[[#This Row],[Adj Close]]/T736-1)</f>
        <v>-5.4427824092357469E-2</v>
      </c>
      <c r="Y735" s="37">
        <v>39951</v>
      </c>
      <c r="Z735" s="35">
        <v>7.8935240000000002</v>
      </c>
      <c r="AA735" s="36">
        <f>IF(ISBLANK(Z736),"",Long6[[#This Row],[Adj Close]]/Z736-1)</f>
        <v>-4.5936215527472291E-2</v>
      </c>
      <c r="AH735" s="29">
        <v>39951</v>
      </c>
      <c r="AI735" s="44">
        <v>5.9756020000000003</v>
      </c>
      <c r="AJ735" s="33">
        <f>IF(ISBLANK(AI736),"",Short0[[#This Row],[Adj Close]]/AI736-1)</f>
        <v>-2.9252380325780813E-2</v>
      </c>
      <c r="AK735" s="37">
        <v>39951</v>
      </c>
      <c r="AL735" s="39">
        <v>23.476669000000001</v>
      </c>
      <c r="AM735" s="36">
        <f>IF(ISBLANK(AL736),"",Short1[[#This Row],[Adj Close]]/AL736-1)</f>
        <v>-6.4955968772282269E-3</v>
      </c>
      <c r="AN735" s="29">
        <v>39951</v>
      </c>
      <c r="AO735" s="44">
        <v>8.3736099999999993</v>
      </c>
      <c r="AP735" s="33">
        <f>IF(ISBLANK(AO736),"",Short2[[#This Row],[Adj Close]]/AO736-1)</f>
        <v>7.0374727855990971E-2</v>
      </c>
    </row>
    <row r="736" spans="1:42" x14ac:dyDescent="0.25">
      <c r="A736" s="37">
        <v>39944</v>
      </c>
      <c r="B736" s="39">
        <v>882.88000499999998</v>
      </c>
      <c r="C736" s="36">
        <f>IF(ISBLANK(B737), "", GSPC[[#This Row],[Adj Close]]/B737-1)</f>
        <v>-4.9879982348395524E-2</v>
      </c>
      <c r="D73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3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36" s="11" t="e">
        <f>IF(ISBLANK(GSPC[[#This Row],[Long Exp.]]), "", (GSPC[[#This Row],[Long Exp.]]/D737-1)+(E737/GSPC[[#This Row],[Short Exp.]]-1))</f>
        <v>#VALUE!</v>
      </c>
      <c r="G736" s="37">
        <v>39944</v>
      </c>
      <c r="H736">
        <v>11.684101</v>
      </c>
      <c r="I736" s="36">
        <f>IF(ISBLANK(H737), "", Long0[[#This Row],[Adj Close]]/H737-1)</f>
        <v>-6.9970873560751712E-2</v>
      </c>
      <c r="J736" s="29">
        <v>39944</v>
      </c>
      <c r="K736">
        <v>1.1759029999999999</v>
      </c>
      <c r="L736" s="33">
        <f>IF(ISBLANK(K737),"",Long1[[#This Row],[Adj Close]]/K737-1)</f>
        <v>-0.10526347827079441</v>
      </c>
      <c r="M736" s="37">
        <v>39944</v>
      </c>
      <c r="N736">
        <v>40.840988000000003</v>
      </c>
      <c r="O736" s="36">
        <f>IF(ISBLANK(N737),"",Long2[[#This Row],[Adj Close]]/N737-1)</f>
        <v>0.12998950302775358</v>
      </c>
      <c r="P736" s="29">
        <v>39944</v>
      </c>
      <c r="Q736">
        <v>14.871221999999999</v>
      </c>
      <c r="R736" s="33">
        <f>IF(ISBLANK(Q737),"",Long3[[#This Row],[Adj Close]]/Q737-1)</f>
        <v>-3.7139720265132015E-2</v>
      </c>
      <c r="S736" s="37">
        <v>39944</v>
      </c>
      <c r="T736" s="35">
        <v>9.2423500000000001</v>
      </c>
      <c r="U736" s="36">
        <f>IF(ISBLANK(T737),"",Long4[[#This Row],[Adj Close]]/T737-1)</f>
        <v>-8.9075609380608656E-2</v>
      </c>
      <c r="Y736" s="37">
        <v>39944</v>
      </c>
      <c r="Z736" s="35">
        <v>8.2735810000000001</v>
      </c>
      <c r="AA736" s="36">
        <f>IF(ISBLANK(Z737),"",Long6[[#This Row],[Adj Close]]/Z737-1)</f>
        <v>-0.15184835994696788</v>
      </c>
      <c r="AH736" s="29">
        <v>39944</v>
      </c>
      <c r="AI736" s="44">
        <v>6.1556699999999998</v>
      </c>
      <c r="AJ736" s="33">
        <f>IF(ISBLANK(AI737),"",Short0[[#This Row],[Adj Close]]/AI737-1)</f>
        <v>-0.12095210731471029</v>
      </c>
      <c r="AK736" s="37">
        <v>39944</v>
      </c>
      <c r="AL736" s="39">
        <v>23.630161000000001</v>
      </c>
      <c r="AM736" s="36">
        <f>IF(ISBLANK(AL737),"",Short1[[#This Row],[Adj Close]]/AL737-1)</f>
        <v>-6.6437880318783726E-2</v>
      </c>
      <c r="AN736" s="29">
        <v>39944</v>
      </c>
      <c r="AO736" s="44">
        <v>7.8230639999999996</v>
      </c>
      <c r="AP736" s="33">
        <f>IF(ISBLANK(AO737),"",Short2[[#This Row],[Adj Close]]/AO737-1)</f>
        <v>-0.14631792462342486</v>
      </c>
    </row>
    <row r="737" spans="1:42" x14ac:dyDescent="0.25">
      <c r="A737" s="37">
        <v>39937</v>
      </c>
      <c r="B737" s="39">
        <v>929.22997999999995</v>
      </c>
      <c r="C737" s="36">
        <f>IF(ISBLANK(B738), "", GSPC[[#This Row],[Adj Close]]/B738-1)</f>
        <v>5.8927384927354609E-2</v>
      </c>
      <c r="D73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3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37" s="11" t="e">
        <f>IF(ISBLANK(GSPC[[#This Row],[Long Exp.]]), "", (GSPC[[#This Row],[Long Exp.]]/D738-1)+(E738/GSPC[[#This Row],[Short Exp.]]-1))</f>
        <v>#VALUE!</v>
      </c>
      <c r="G737" s="37">
        <v>39937</v>
      </c>
      <c r="H737">
        <v>12.563155999999999</v>
      </c>
      <c r="I737" s="36">
        <f>IF(ISBLANK(H738), "", Long0[[#This Row],[Adj Close]]/H738-1)</f>
        <v>5.5384616677020437E-2</v>
      </c>
      <c r="J737" s="29">
        <v>39937</v>
      </c>
      <c r="K737">
        <v>1.3142450000000001</v>
      </c>
      <c r="L737" s="33">
        <f>IF(ISBLANK(K738),"",Long1[[#This Row],[Adj Close]]/K738-1)</f>
        <v>0.11764745901660278</v>
      </c>
      <c r="M737" s="37">
        <v>39937</v>
      </c>
      <c r="N737">
        <v>36.142803000000001</v>
      </c>
      <c r="O737" s="36">
        <f>IF(ISBLANK(N738),"",Long2[[#This Row],[Adj Close]]/N738-1)</f>
        <v>7.3199569708259693E-2</v>
      </c>
      <c r="P737" s="29">
        <v>39937</v>
      </c>
      <c r="Q737">
        <v>15.444839</v>
      </c>
      <c r="R737" s="33">
        <f>IF(ISBLANK(Q738),"",Long3[[#This Row],[Adj Close]]/Q738-1)</f>
        <v>4.1227089984329224E-2</v>
      </c>
      <c r="S737" s="37">
        <v>39937</v>
      </c>
      <c r="T737" s="35">
        <v>10.146122</v>
      </c>
      <c r="U737" s="36">
        <f>IF(ISBLANK(T738),"",Long4[[#This Row],[Adj Close]]/T738-1)</f>
        <v>-0.10120849949245381</v>
      </c>
      <c r="Y737" s="37">
        <v>39937</v>
      </c>
      <c r="Z737" s="35">
        <v>9.7548370000000002</v>
      </c>
      <c r="AA737" s="36">
        <f>IF(ISBLANK(Z738),"",Long6[[#This Row],[Adj Close]]/Z738-1)</f>
        <v>-0.12499991030090096</v>
      </c>
      <c r="AH737" s="29">
        <v>39937</v>
      </c>
      <c r="AI737" s="44">
        <v>7.002656</v>
      </c>
      <c r="AJ737" s="33">
        <f>IF(ISBLANK(AI738),"",Short0[[#This Row],[Adj Close]]/AI738-1)</f>
        <v>0.31249949628506712</v>
      </c>
      <c r="AK737" s="37">
        <v>39937</v>
      </c>
      <c r="AL737" s="39">
        <v>25.311824999999999</v>
      </c>
      <c r="AM737" s="36">
        <f>IF(ISBLANK(AL738),"",Short1[[#This Row],[Adj Close]]/AL738-1)</f>
        <v>1.9623949034240695E-2</v>
      </c>
      <c r="AN737" s="29">
        <v>39937</v>
      </c>
      <c r="AO737" s="44">
        <v>9.1639079999999993</v>
      </c>
      <c r="AP737" s="33">
        <f>IF(ISBLANK(AO738),"",Short2[[#This Row],[Adj Close]]/AO738-1)</f>
        <v>9.540795450592654E-2</v>
      </c>
    </row>
    <row r="738" spans="1:42" x14ac:dyDescent="0.25">
      <c r="A738" s="37">
        <v>39930</v>
      </c>
      <c r="B738" s="39">
        <v>877.52002000000005</v>
      </c>
      <c r="C738" s="36">
        <f>IF(ISBLANK(B739), "", GSPC[[#This Row],[Adj Close]]/B739-1)</f>
        <v>1.3033536428743941E-2</v>
      </c>
      <c r="D73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3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38" s="11" t="e">
        <f>IF(ISBLANK(GSPC[[#This Row],[Long Exp.]]), "", (GSPC[[#This Row],[Long Exp.]]/D739-1)+(E739/GSPC[[#This Row],[Short Exp.]]-1))</f>
        <v>#VALUE!</v>
      </c>
      <c r="G738" s="37">
        <v>39930</v>
      </c>
      <c r="H738">
        <v>11.903865</v>
      </c>
      <c r="I738" s="36">
        <f>IF(ISBLANK(H739), "", Long0[[#This Row],[Adj Close]]/H739-1)</f>
        <v>-8.9635724738940326E-2</v>
      </c>
      <c r="J738" s="29">
        <v>39930</v>
      </c>
      <c r="K738">
        <v>1.1759029999999999</v>
      </c>
      <c r="L738" s="33">
        <f>IF(ISBLANK(K739),"",Long1[[#This Row],[Adj Close]]/K739-1)</f>
        <v>3.6584946592959522E-2</v>
      </c>
      <c r="M738" s="37">
        <v>39930</v>
      </c>
      <c r="N738">
        <v>33.677616</v>
      </c>
      <c r="O738" s="36">
        <f>IF(ISBLANK(N739),"",Long2[[#This Row],[Adj Close]]/N739-1)</f>
        <v>3.3935089516166084E-2</v>
      </c>
      <c r="P738" s="29">
        <v>39930</v>
      </c>
      <c r="Q738">
        <v>14.833304999999999</v>
      </c>
      <c r="R738" s="33">
        <f>IF(ISBLANK(Q739),"",Long3[[#This Row],[Adj Close]]/Q739-1)</f>
        <v>6.7918523948514498E-2</v>
      </c>
      <c r="S738" s="37">
        <v>39930</v>
      </c>
      <c r="T738" s="35">
        <v>11.288627</v>
      </c>
      <c r="U738" s="36">
        <f>IF(ISBLANK(T739),"",Long4[[#This Row],[Adj Close]]/T739-1)</f>
        <v>6.8441621489185867E-3</v>
      </c>
      <c r="Y738" s="37">
        <v>39930</v>
      </c>
      <c r="Z738" s="35">
        <v>11.148384</v>
      </c>
      <c r="AA738" s="36">
        <f>IF(ISBLANK(Z739),"",Long6[[#This Row],[Adj Close]]/Z739-1)</f>
        <v>0.13944214637831776</v>
      </c>
      <c r="AH738" s="29">
        <v>39930</v>
      </c>
      <c r="AI738" s="44">
        <v>5.3353590000000004</v>
      </c>
      <c r="AJ738" s="33">
        <f>IF(ISBLANK(AI739),"",Short0[[#This Row],[Adj Close]]/AI739-1)</f>
        <v>7.8167000973619283E-2</v>
      </c>
      <c r="AK738" s="37">
        <v>39930</v>
      </c>
      <c r="AL738" s="39">
        <v>24.824667000000002</v>
      </c>
      <c r="AM738" s="36">
        <f>IF(ISBLANK(AL739),"",Short1[[#This Row],[Adj Close]]/AL739-1)</f>
        <v>-5.2712044524390267E-2</v>
      </c>
      <c r="AN738" s="29">
        <v>39930</v>
      </c>
      <c r="AO738" s="44">
        <v>8.3657489999999992</v>
      </c>
      <c r="AP738" s="33">
        <f>IF(ISBLANK(AO739),"",Short2[[#This Row],[Adj Close]]/AO739-1)</f>
        <v>-5.1154040451585447E-2</v>
      </c>
    </row>
    <row r="739" spans="1:42" x14ac:dyDescent="0.25">
      <c r="A739" s="37">
        <v>39923</v>
      </c>
      <c r="B739" s="39">
        <v>866.22997999999995</v>
      </c>
      <c r="C739" s="36">
        <f>IF(ISBLANK(B740), "", GSPC[[#This Row],[Adj Close]]/B740-1)</f>
        <v>-3.8753404933397073E-3</v>
      </c>
      <c r="D73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3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39" s="11" t="e">
        <f>IF(ISBLANK(GSPC[[#This Row],[Long Exp.]]), "", (GSPC[[#This Row],[Long Exp.]]/D740-1)+(E740/GSPC[[#This Row],[Short Exp.]]-1))</f>
        <v>#VALUE!</v>
      </c>
      <c r="G739" s="37">
        <v>39923</v>
      </c>
      <c r="H739">
        <v>13.075936</v>
      </c>
      <c r="I739" s="36">
        <f>IF(ISBLANK(H740), "", Long0[[#This Row],[Adj Close]]/H740-1)</f>
        <v>-2.1918014995485402E-2</v>
      </c>
      <c r="J739" s="29">
        <v>39923</v>
      </c>
      <c r="K739">
        <v>1.134401</v>
      </c>
      <c r="L739" s="33">
        <f>IF(ISBLANK(K740),"",Long1[[#This Row],[Adj Close]]/K740-1)</f>
        <v>6.4935272194737381E-2</v>
      </c>
      <c r="M739" s="37">
        <v>39923</v>
      </c>
      <c r="N739">
        <v>32.572273000000003</v>
      </c>
      <c r="O739" s="36">
        <f>IF(ISBLANK(N740),"",Long2[[#This Row],[Adj Close]]/N740-1)</f>
        <v>-2.8923306125307358E-2</v>
      </c>
      <c r="P739" s="29">
        <v>39923</v>
      </c>
      <c r="Q739">
        <v>13.889922</v>
      </c>
      <c r="R739" s="33">
        <f>IF(ISBLANK(Q740),"",Long3[[#This Row],[Adj Close]]/Q740-1)</f>
        <v>-4.7557037706428273E-3</v>
      </c>
      <c r="S739" s="37">
        <v>39923</v>
      </c>
      <c r="T739" s="35">
        <v>11.211891</v>
      </c>
      <c r="U739" s="36">
        <f>IF(ISBLANK(T740),"",Long4[[#This Row],[Adj Close]]/T740-1)</f>
        <v>2.0170491691107184E-2</v>
      </c>
      <c r="Y739" s="37">
        <v>39923</v>
      </c>
      <c r="Z739" s="35">
        <v>9.7840720000000001</v>
      </c>
      <c r="AA739" s="36">
        <f>IF(ISBLANK(Z740),"",Long6[[#This Row],[Adj Close]]/Z740-1)</f>
        <v>-5.1039518229577086E-2</v>
      </c>
      <c r="AH739" s="29">
        <v>39923</v>
      </c>
      <c r="AI739" s="44">
        <v>4.9485460000000003</v>
      </c>
      <c r="AJ739" s="33">
        <f>IF(ISBLANK(AI740),"",Short0[[#This Row],[Adj Close]]/AI740-1)</f>
        <v>0.47514924997175534</v>
      </c>
      <c r="AK739" s="37">
        <v>39923</v>
      </c>
      <c r="AL739" s="39">
        <v>26.206040999999999</v>
      </c>
      <c r="AM739" s="36">
        <f>IF(ISBLANK(AL740),"",Short1[[#This Row],[Adj Close]]/AL740-1)</f>
        <v>-2.6730573229185595E-3</v>
      </c>
      <c r="AN739" s="29">
        <v>39923</v>
      </c>
      <c r="AO739" s="44">
        <v>8.8167620000000007</v>
      </c>
      <c r="AP739" s="33">
        <f>IF(ISBLANK(AO740),"",Short2[[#This Row],[Adj Close]]/AO740-1)</f>
        <v>6.745228691209082E-2</v>
      </c>
    </row>
    <row r="740" spans="1:42" x14ac:dyDescent="0.25">
      <c r="A740" s="37">
        <v>39916</v>
      </c>
      <c r="B740" s="39">
        <v>869.59997599999997</v>
      </c>
      <c r="C740" s="36">
        <f>IF(ISBLANK(B741), "", GSPC[[#This Row],[Adj Close]]/B741-1)</f>
        <v>1.5223659790846389E-2</v>
      </c>
      <c r="D74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4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40" s="11" t="e">
        <f>IF(ISBLANK(GSPC[[#This Row],[Long Exp.]]), "", (GSPC[[#This Row],[Long Exp.]]/D741-1)+(E741/GSPC[[#This Row],[Short Exp.]]-1))</f>
        <v>#VALUE!</v>
      </c>
      <c r="G740" s="37">
        <v>39916</v>
      </c>
      <c r="H740">
        <v>13.368957</v>
      </c>
      <c r="I740" s="36">
        <f>IF(ISBLANK(H741), "", Long0[[#This Row],[Adj Close]]/H741-1)</f>
        <v>2.7445620868810305E-2</v>
      </c>
      <c r="J740" s="29">
        <v>39916</v>
      </c>
      <c r="K740">
        <v>1.0652299999999999</v>
      </c>
      <c r="L740" s="33">
        <f>IF(ISBLANK(K741),"",Long1[[#This Row],[Adj Close]]/K741-1)</f>
        <v>-0.11494285343959498</v>
      </c>
      <c r="M740" s="37">
        <v>39916</v>
      </c>
      <c r="N740">
        <v>33.542431000000001</v>
      </c>
      <c r="O740" s="36">
        <f>IF(ISBLANK(N741),"",Long2[[#This Row],[Adj Close]]/N741-1)</f>
        <v>-5.3623467850132722E-2</v>
      </c>
      <c r="P740" s="29">
        <v>39916</v>
      </c>
      <c r="Q740">
        <v>13.956294</v>
      </c>
      <c r="R740" s="33">
        <f>IF(ISBLANK(Q741),"",Long3[[#This Row],[Adj Close]]/Q741-1)</f>
        <v>1.8332889336120983E-2</v>
      </c>
      <c r="S740" s="37">
        <v>39916</v>
      </c>
      <c r="T740" s="35">
        <v>10.990213000000001</v>
      </c>
      <c r="U740" s="36">
        <f>IF(ISBLANK(T741),"",Long4[[#This Row],[Adj Close]]/T741-1)</f>
        <v>7.7647457776519602E-4</v>
      </c>
      <c r="Y740" s="37">
        <v>39916</v>
      </c>
      <c r="Z740" s="35">
        <v>10.310305</v>
      </c>
      <c r="AA740" s="36">
        <f>IF(ISBLANK(Z741),"",Long6[[#This Row],[Adj Close]]/Z741-1)</f>
        <v>4.4422503103798139E-2</v>
      </c>
      <c r="AH740" s="29">
        <v>39916</v>
      </c>
      <c r="AI740" s="44">
        <v>3.3546070000000001</v>
      </c>
      <c r="AJ740" s="33">
        <f>IF(ISBLANK(AI741),"",Short0[[#This Row],[Adj Close]]/AI741-1)</f>
        <v>0.13288298632546303</v>
      </c>
      <c r="AK740" s="37">
        <v>39916</v>
      </c>
      <c r="AL740" s="39">
        <v>26.276278999999999</v>
      </c>
      <c r="AM740" s="36">
        <f>IF(ISBLANK(AL741),"",Short1[[#This Row],[Adj Close]]/AL741-1)</f>
        <v>-3.8452525140452276E-2</v>
      </c>
      <c r="AN740" s="29">
        <v>39916</v>
      </c>
      <c r="AO740" s="44">
        <v>8.2596310000000006</v>
      </c>
      <c r="AP740" s="33">
        <f>IF(ISBLANK(AO741),"",Short2[[#This Row],[Adj Close]]/AO741-1)</f>
        <v>0.14180906855321496</v>
      </c>
    </row>
    <row r="741" spans="1:42" x14ac:dyDescent="0.25">
      <c r="A741" s="37">
        <v>39909</v>
      </c>
      <c r="B741" s="39">
        <v>856.55999799999995</v>
      </c>
      <c r="C741" s="36">
        <f>IF(ISBLANK(B742), "", GSPC[[#This Row],[Adj Close]]/B742-1)</f>
        <v>1.6688424925815903E-2</v>
      </c>
      <c r="D74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4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41" s="11" t="e">
        <f>IF(ISBLANK(GSPC[[#This Row],[Long Exp.]]), "", (GSPC[[#This Row],[Long Exp.]]/D742-1)+(E742/GSPC[[#This Row],[Short Exp.]]-1))</f>
        <v>#VALUE!</v>
      </c>
      <c r="G741" s="37">
        <v>39909</v>
      </c>
      <c r="H741">
        <v>13.011839</v>
      </c>
      <c r="I741" s="36">
        <f>IF(ISBLANK(H742), "", Long0[[#This Row],[Adj Close]]/H742-1)</f>
        <v>1.2108268922641274E-2</v>
      </c>
      <c r="J741" s="29">
        <v>39909</v>
      </c>
      <c r="K741">
        <v>1.2035720000000001</v>
      </c>
      <c r="L741" s="33">
        <f>IF(ISBLANK(K742),"",Long1[[#This Row],[Adj Close]]/K742-1)</f>
        <v>0</v>
      </c>
      <c r="M741" s="37">
        <v>39909</v>
      </c>
      <c r="N741">
        <v>35.443007999999999</v>
      </c>
      <c r="O741" s="36">
        <f>IF(ISBLANK(N742),"",Long2[[#This Row],[Adj Close]]/N742-1)</f>
        <v>-2.3444679020090065E-2</v>
      </c>
      <c r="P741" s="29">
        <v>39909</v>
      </c>
      <c r="Q741">
        <v>13.705041</v>
      </c>
      <c r="R741" s="33">
        <f>IF(ISBLANK(Q742),"",Long3[[#This Row],[Adj Close]]/Q742-1)</f>
        <v>8.3709622699690289E-3</v>
      </c>
      <c r="S741" s="37">
        <v>39909</v>
      </c>
      <c r="T741" s="35">
        <v>10.981686</v>
      </c>
      <c r="U741" s="36">
        <f>IF(ISBLANK(T742),"",Long4[[#This Row],[Adj Close]]/T742-1)</f>
        <v>2.3847318388700467E-2</v>
      </c>
      <c r="Y741" s="37">
        <v>39909</v>
      </c>
      <c r="Z741" s="35">
        <v>9.8717760000000006</v>
      </c>
      <c r="AA741" s="36">
        <f>IF(ISBLANK(Z742),"",Long6[[#This Row],[Adj Close]]/Z742-1)</f>
        <v>1.6048098700526259E-2</v>
      </c>
      <c r="AH741" s="29">
        <v>39909</v>
      </c>
      <c r="AI741" s="44">
        <v>2.9611239999999999</v>
      </c>
      <c r="AJ741" s="33">
        <f>IF(ISBLANK(AI742),"",Short0[[#This Row],[Adj Close]]/AI742-1)</f>
        <v>-8.9286401604391497E-3</v>
      </c>
      <c r="AK741" s="37">
        <v>39909</v>
      </c>
      <c r="AL741" s="39">
        <v>27.327074</v>
      </c>
      <c r="AM741" s="36">
        <f>IF(ISBLANK(AL742),"",Short1[[#This Row],[Adj Close]]/AL742-1)</f>
        <v>2.0616189520148431E-2</v>
      </c>
      <c r="AN741" s="29">
        <v>39909</v>
      </c>
      <c r="AO741" s="44">
        <v>7.2338110000000002</v>
      </c>
      <c r="AP741" s="33">
        <f>IF(ISBLANK(AO742),"",Short2[[#This Row],[Adj Close]]/AO742-1)</f>
        <v>6.5104247188384035E-2</v>
      </c>
    </row>
    <row r="742" spans="1:42" x14ac:dyDescent="0.25">
      <c r="A742" s="37">
        <v>39902</v>
      </c>
      <c r="B742" s="39">
        <v>842.5</v>
      </c>
      <c r="C742" s="36">
        <f>IF(ISBLANK(B743), "", GSPC[[#This Row],[Adj Close]]/B743-1)</f>
        <v>3.2551410563150585E-2</v>
      </c>
      <c r="D74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4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42" s="11" t="e">
        <f>IF(ISBLANK(GSPC[[#This Row],[Long Exp.]]), "", (GSPC[[#This Row],[Long Exp.]]/D743-1)+(E743/GSPC[[#This Row],[Short Exp.]]-1))</f>
        <v>#VALUE!</v>
      </c>
      <c r="G742" s="37">
        <v>39902</v>
      </c>
      <c r="H742">
        <v>12.856173</v>
      </c>
      <c r="I742" s="36">
        <f>IF(ISBLANK(H743), "", Long0[[#This Row],[Adj Close]]/H743-1)</f>
        <v>5.9622584592078365E-2</v>
      </c>
      <c r="J742" s="29">
        <v>39902</v>
      </c>
      <c r="K742">
        <v>1.2035720000000001</v>
      </c>
      <c r="L742" s="33">
        <f>IF(ISBLANK(K743),"",Long1[[#This Row],[Adj Close]]/K743-1)</f>
        <v>3.57147467146961E-2</v>
      </c>
      <c r="M742" s="37">
        <v>39902</v>
      </c>
      <c r="N742">
        <v>36.293906999999997</v>
      </c>
      <c r="O742" s="36">
        <f>IF(ISBLANK(N743),"",Long2[[#This Row],[Adj Close]]/N743-1)</f>
        <v>-2.9967801551654683E-2</v>
      </c>
      <c r="P742" s="29">
        <v>39902</v>
      </c>
      <c r="Q742">
        <v>13.591269</v>
      </c>
      <c r="R742" s="33">
        <f>IF(ISBLANK(Q743),"",Long3[[#This Row],[Adj Close]]/Q743-1)</f>
        <v>-6.9702043615393894E-4</v>
      </c>
      <c r="S742" s="37">
        <v>39902</v>
      </c>
      <c r="T742" s="35">
        <v>10.725902</v>
      </c>
      <c r="U742" s="36">
        <f>IF(ISBLANK(T743),"",Long4[[#This Row],[Adj Close]]/T743-1)</f>
        <v>0.15201494905031465</v>
      </c>
      <c r="Y742" s="37">
        <v>39902</v>
      </c>
      <c r="Z742" s="35">
        <v>9.7158549999999995</v>
      </c>
      <c r="AA742" s="36">
        <f>IF(ISBLANK(Z743),"",Long6[[#This Row],[Adj Close]]/Z743-1)</f>
        <v>5.6144092554214264E-2</v>
      </c>
      <c r="AH742" s="29">
        <v>39902</v>
      </c>
      <c r="AI742" s="44">
        <v>2.9878010000000002</v>
      </c>
      <c r="AJ742" s="33">
        <f>IF(ISBLANK(AI743),"",Short0[[#This Row],[Adj Close]]/AI743-1)</f>
        <v>0.42675185088972611</v>
      </c>
      <c r="AK742" s="37">
        <v>39902</v>
      </c>
      <c r="AL742" s="39">
        <v>26.775074</v>
      </c>
      <c r="AM742" s="36">
        <f>IF(ISBLANK(AL743),"",Short1[[#This Row],[Adj Close]]/AL743-1)</f>
        <v>5.8359584728911562E-2</v>
      </c>
      <c r="AN742" s="29">
        <v>39902</v>
      </c>
      <c r="AO742" s="44">
        <v>6.7916460000000001</v>
      </c>
      <c r="AP742" s="33">
        <f>IF(ISBLANK(AO743),"",Short2[[#This Row],[Adj Close]]/AO743-1)</f>
        <v>-0.25146227060784831</v>
      </c>
    </row>
    <row r="743" spans="1:42" x14ac:dyDescent="0.25">
      <c r="A743" s="37">
        <v>39895</v>
      </c>
      <c r="B743" s="39">
        <v>815.94000200000005</v>
      </c>
      <c r="C743" s="36">
        <f>IF(ISBLANK(B744), "", GSPC[[#This Row],[Adj Close]]/B744-1)</f>
        <v>6.1675417488821882E-2</v>
      </c>
      <c r="D74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4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43" s="11" t="e">
        <f>IF(ISBLANK(GSPC[[#This Row],[Long Exp.]]), "", (GSPC[[#This Row],[Long Exp.]]/D744-1)+(E744/GSPC[[#This Row],[Short Exp.]]-1))</f>
        <v>#VALUE!</v>
      </c>
      <c r="G743" s="37">
        <v>39895</v>
      </c>
      <c r="H743">
        <v>12.132785</v>
      </c>
      <c r="I743" s="36">
        <f>IF(ISBLANK(H744), "", Long0[[#This Row],[Adj Close]]/H744-1)</f>
        <v>2.872668207169693E-2</v>
      </c>
      <c r="J743" s="29">
        <v>39895</v>
      </c>
      <c r="K743">
        <v>1.162069</v>
      </c>
      <c r="L743" s="33">
        <f>IF(ISBLANK(K744),"",Long1[[#This Row],[Adj Close]]/K744-1)</f>
        <v>4.9999412685805877E-2</v>
      </c>
      <c r="M743" s="37">
        <v>39895</v>
      </c>
      <c r="N743">
        <v>37.415157000000001</v>
      </c>
      <c r="O743" s="36">
        <f>IF(ISBLANK(N744),"",Long2[[#This Row],[Adj Close]]/N744-1)</f>
        <v>0.13046594912770493</v>
      </c>
      <c r="P743" s="29">
        <v>39895</v>
      </c>
      <c r="Q743">
        <v>13.600749</v>
      </c>
      <c r="R743" s="33">
        <f>IF(ISBLANK(Q744),"",Long3[[#This Row],[Adj Close]]/Q744-1)</f>
        <v>9.8551234702652923E-3</v>
      </c>
      <c r="S743" s="37">
        <v>39895</v>
      </c>
      <c r="T743" s="35">
        <v>9.3105580000000003</v>
      </c>
      <c r="U743" s="36">
        <f>IF(ISBLANK(T744),"",Long4[[#This Row],[Adj Close]]/T744-1)</f>
        <v>0.11542361094055953</v>
      </c>
      <c r="Y743" s="37">
        <v>39895</v>
      </c>
      <c r="Z743" s="35">
        <v>9.1993650000000002</v>
      </c>
      <c r="AA743" s="36">
        <f>IF(ISBLANK(Z744),"",Long6[[#This Row],[Adj Close]]/Z744-1)</f>
        <v>0.25699044238733171</v>
      </c>
      <c r="AH743" s="29">
        <v>39895</v>
      </c>
      <c r="AI743" s="44">
        <v>2.094128</v>
      </c>
      <c r="AJ743" s="33">
        <f>IF(ISBLANK(AI744),"",Short0[[#This Row],[Adj Close]]/AI744-1)</f>
        <v>0.30290422870482181</v>
      </c>
      <c r="AK743" s="37">
        <v>39895</v>
      </c>
      <c r="AL743" s="39">
        <v>25.298655</v>
      </c>
      <c r="AM743" s="36">
        <f>IF(ISBLANK(AL744),"",Short1[[#This Row],[Adj Close]]/AL744-1)</f>
        <v>0.1777089735720625</v>
      </c>
      <c r="AN743" s="29">
        <v>39895</v>
      </c>
      <c r="AO743" s="44">
        <v>9.0732180000000007</v>
      </c>
      <c r="AP743" s="33">
        <f>IF(ISBLANK(AO744),"",Short2[[#This Row],[Adj Close]]/AO744-1)</f>
        <v>0.26510553819305516</v>
      </c>
    </row>
    <row r="744" spans="1:42" x14ac:dyDescent="0.25">
      <c r="A744" s="37">
        <v>39888</v>
      </c>
      <c r="B744" s="39">
        <v>768.53997800000002</v>
      </c>
      <c r="C744" s="36">
        <f>IF(ISBLANK(B745), "", GSPC[[#This Row],[Adj Close]]/B745-1)</f>
        <v>1.5848245575545539E-2</v>
      </c>
      <c r="D74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4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44" s="11" t="e">
        <f>IF(ISBLANK(GSPC[[#This Row],[Long Exp.]]), "", (GSPC[[#This Row],[Long Exp.]]/D745-1)+(E745/GSPC[[#This Row],[Short Exp.]]-1))</f>
        <v>#VALUE!</v>
      </c>
      <c r="G744" s="37">
        <v>39888</v>
      </c>
      <c r="H744">
        <v>11.793983000000001</v>
      </c>
      <c r="I744" s="36">
        <f>IF(ISBLANK(H745), "", Long0[[#This Row],[Adj Close]]/H745-1)</f>
        <v>-2.9389525127687888E-2</v>
      </c>
      <c r="J744" s="29">
        <v>39888</v>
      </c>
      <c r="K744">
        <v>1.106733</v>
      </c>
      <c r="L744" s="33">
        <f>IF(ISBLANK(K745),"",Long1[[#This Row],[Adj Close]]/K745-1)</f>
        <v>0.11111189196623883</v>
      </c>
      <c r="M744" s="37">
        <v>39888</v>
      </c>
      <c r="N744">
        <v>33.097110999999998</v>
      </c>
      <c r="O744" s="36">
        <f>IF(ISBLANK(N745),"",Long2[[#This Row],[Adj Close]]/N745-1)</f>
        <v>-1.0931594301679781E-2</v>
      </c>
      <c r="P744" s="29">
        <v>39888</v>
      </c>
      <c r="Q744">
        <v>13.468019999999999</v>
      </c>
      <c r="R744" s="33">
        <f>IF(ISBLANK(Q745),"",Long3[[#This Row],[Adj Close]]/Q745-1)</f>
        <v>9.9458565625039741E-2</v>
      </c>
      <c r="S744" s="37">
        <v>39888</v>
      </c>
      <c r="T744" s="35">
        <v>8.3471050000000009</v>
      </c>
      <c r="U744" s="36">
        <f>IF(ISBLANK(T745),"",Long4[[#This Row],[Adj Close]]/T745-1)</f>
        <v>-7.0991458566923571E-3</v>
      </c>
      <c r="Y744" s="37">
        <v>39888</v>
      </c>
      <c r="Z744" s="35">
        <v>7.3185640000000003</v>
      </c>
      <c r="AA744" s="36">
        <f>IF(ISBLANK(Z745),"",Long6[[#This Row],[Adj Close]]/Z745-1)</f>
        <v>5.3296009786637066E-2</v>
      </c>
      <c r="AH744" s="29">
        <v>39888</v>
      </c>
      <c r="AI744" s="44">
        <v>1.6072770000000001</v>
      </c>
      <c r="AJ744" s="33">
        <f>IF(ISBLANK(AI745),"",Short0[[#This Row],[Adj Close]]/AI745-1)</f>
        <v>6.1674157214308911E-2</v>
      </c>
      <c r="AK744" s="37">
        <v>39888</v>
      </c>
      <c r="AL744" s="39">
        <v>21.481245000000001</v>
      </c>
      <c r="AM744" s="36">
        <f>IF(ISBLANK(AL745),"",Short1[[#This Row],[Adj Close]]/AL745-1)</f>
        <v>8.7908110923124116E-2</v>
      </c>
      <c r="AN744" s="29">
        <v>39888</v>
      </c>
      <c r="AO744" s="44">
        <v>7.1719059999999999</v>
      </c>
      <c r="AP744" s="33">
        <f>IF(ISBLANK(AO745),"",Short2[[#This Row],[Adj Close]]/AO745-1)</f>
        <v>-4.4758549969226014E-2</v>
      </c>
    </row>
    <row r="745" spans="1:42" x14ac:dyDescent="0.25">
      <c r="A745" s="37">
        <v>39881</v>
      </c>
      <c r="B745" s="39">
        <v>756.54998799999998</v>
      </c>
      <c r="C745" s="36">
        <f>IF(ISBLANK(B746), "", GSPC[[#This Row],[Adj Close]]/B746-1)</f>
        <v>0.10707071097287968</v>
      </c>
      <c r="D74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4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45" s="11" t="e">
        <f>IF(ISBLANK(GSPC[[#This Row],[Long Exp.]]), "", (GSPC[[#This Row],[Long Exp.]]/D746-1)+(E746/GSPC[[#This Row],[Short Exp.]]-1))</f>
        <v>#VALUE!</v>
      </c>
      <c r="G745" s="37">
        <v>39881</v>
      </c>
      <c r="H745">
        <v>12.151097999999999</v>
      </c>
      <c r="I745" s="36">
        <f>IF(ISBLANK(H746), "", Long0[[#This Row],[Adj Close]]/H746-1)</f>
        <v>0.1086049071086721</v>
      </c>
      <c r="J745" s="29">
        <v>39881</v>
      </c>
      <c r="K745">
        <v>0.99605900000000003</v>
      </c>
      <c r="L745" s="33">
        <f>IF(ISBLANK(K746),"",Long1[[#This Row],[Adj Close]]/K746-1)</f>
        <v>7.462598002565568E-2</v>
      </c>
      <c r="M745" s="37">
        <v>39881</v>
      </c>
      <c r="N745">
        <v>33.462913999999998</v>
      </c>
      <c r="O745" s="36">
        <f>IF(ISBLANK(N746),"",Long2[[#This Row],[Adj Close]]/N746-1)</f>
        <v>7.4565769210501509E-2</v>
      </c>
      <c r="P745" s="29">
        <v>39881</v>
      </c>
      <c r="Q745">
        <v>12.249684</v>
      </c>
      <c r="R745" s="33">
        <f>IF(ISBLANK(Q746),"",Long3[[#This Row],[Adj Close]]/Q746-1)</f>
        <v>5.0457024908908021E-2</v>
      </c>
      <c r="S745" s="37">
        <v>39881</v>
      </c>
      <c r="T745" s="35">
        <v>8.4067860000000003</v>
      </c>
      <c r="U745" s="36">
        <f>IF(ISBLANK(T746),"",Long4[[#This Row],[Adj Close]]/T746-1)</f>
        <v>0.13856793571850456</v>
      </c>
      <c r="Y745" s="37">
        <v>39881</v>
      </c>
      <c r="Z745" s="35">
        <v>6.9482499999999998</v>
      </c>
      <c r="AA745" s="36">
        <f>IF(ISBLANK(Z746),"",Long6[[#This Row],[Adj Close]]/Z746-1)</f>
        <v>0.33022410061860463</v>
      </c>
      <c r="AH745" s="29">
        <v>39881</v>
      </c>
      <c r="AI745" s="44">
        <v>1.513908</v>
      </c>
      <c r="AJ745" s="33">
        <f>IF(ISBLANK(AI746),"",Short0[[#This Row],[Adj Close]]/AI746-1)</f>
        <v>0.28248597142779697</v>
      </c>
      <c r="AK745" s="37">
        <v>39881</v>
      </c>
      <c r="AL745" s="39">
        <v>19.745459</v>
      </c>
      <c r="AM745" s="36">
        <f>IF(ISBLANK(AL746),"",Short1[[#This Row],[Adj Close]]/AL746-1)</f>
        <v>0.20153799373194503</v>
      </c>
      <c r="AN745" s="29">
        <v>39881</v>
      </c>
      <c r="AO745" s="44">
        <v>7.5079510000000003</v>
      </c>
      <c r="AP745" s="33">
        <f>IF(ISBLANK(AO746),"",Short2[[#This Row],[Adj Close]]/AO746-1)</f>
        <v>0.39638125102292854</v>
      </c>
    </row>
    <row r="746" spans="1:42" x14ac:dyDescent="0.25">
      <c r="A746" s="37">
        <v>39874</v>
      </c>
      <c r="B746" s="39">
        <v>683.38000499999998</v>
      </c>
      <c r="C746" s="36">
        <f>IF(ISBLANK(B747), "", GSPC[[#This Row],[Adj Close]]/B747-1)</f>
        <v>-7.0345155151996019E-2</v>
      </c>
      <c r="D74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4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46" s="11" t="e">
        <f>IF(ISBLANK(GSPC[[#This Row],[Long Exp.]]), "", (GSPC[[#This Row],[Long Exp.]]/D747-1)+(E747/GSPC[[#This Row],[Short Exp.]]-1))</f>
        <v>#VALUE!</v>
      </c>
      <c r="G746" s="37">
        <v>39874</v>
      </c>
      <c r="H746">
        <v>10.960711</v>
      </c>
      <c r="I746" s="36">
        <f>IF(ISBLANK(H747), "", Long0[[#This Row],[Adj Close]]/H747-1)</f>
        <v>-3.7007272495645616E-2</v>
      </c>
      <c r="J746" s="29">
        <v>39874</v>
      </c>
      <c r="K746">
        <v>0.92688899999999996</v>
      </c>
      <c r="L746" s="33">
        <f>IF(ISBLANK(K747),"",Long1[[#This Row],[Adj Close]]/K747-1)</f>
        <v>-0.21176406557343586</v>
      </c>
      <c r="M746" s="37">
        <v>39874</v>
      </c>
      <c r="N746">
        <v>31.140871000000001</v>
      </c>
      <c r="O746" s="36">
        <f>IF(ISBLANK(N747),"",Long2[[#This Row],[Adj Close]]/N747-1)</f>
        <v>-9.0360063916045674E-2</v>
      </c>
      <c r="P746" s="29">
        <v>39874</v>
      </c>
      <c r="Q746">
        <v>11.661289999999999</v>
      </c>
      <c r="R746" s="33">
        <f>IF(ISBLANK(Q747),"",Long3[[#This Row],[Adj Close]]/Q747-1)</f>
        <v>-0.10577270290483598</v>
      </c>
      <c r="S746" s="37">
        <v>39874</v>
      </c>
      <c r="T746" s="35">
        <v>7.3836490000000001</v>
      </c>
      <c r="U746" s="36">
        <f>IF(ISBLANK(T747),"",Long4[[#This Row],[Adj Close]]/T747-1)</f>
        <v>0</v>
      </c>
      <c r="Y746" s="37">
        <v>39874</v>
      </c>
      <c r="Z746" s="35">
        <v>5.2233679999999998</v>
      </c>
      <c r="AA746" s="36">
        <f>IF(ISBLANK(Z747),"",Long6[[#This Row],[Adj Close]]/Z747-1)</f>
        <v>-0.11111126237813318</v>
      </c>
      <c r="AH746" s="29">
        <v>39874</v>
      </c>
      <c r="AI746" s="44">
        <v>1.1804479999999999</v>
      </c>
      <c r="AJ746" s="33">
        <f>IF(ISBLANK(AI747),"",Short0[[#This Row],[Adj Close]]/AI747-1)</f>
        <v>-0.22368416726019147</v>
      </c>
      <c r="AK746" s="37">
        <v>39874</v>
      </c>
      <c r="AL746" s="39">
        <v>16.433487</v>
      </c>
      <c r="AM746" s="36">
        <f>IF(ISBLANK(AL747),"",Short1[[#This Row],[Adj Close]]/AL747-1)</f>
        <v>-0.14260892412634718</v>
      </c>
      <c r="AN746" s="29">
        <v>39874</v>
      </c>
      <c r="AO746" s="44">
        <v>5.3767199999999997</v>
      </c>
      <c r="AP746" s="33">
        <f>IF(ISBLANK(AO747),"",Short2[[#This Row],[Adj Close]]/AO747-1)</f>
        <v>-8.9820148439663683E-2</v>
      </c>
    </row>
    <row r="747" spans="1:42" x14ac:dyDescent="0.25">
      <c r="A747" s="37">
        <v>39867</v>
      </c>
      <c r="B747" s="39">
        <v>735.09002699999996</v>
      </c>
      <c r="C747" s="36">
        <f>IF(ISBLANK(B748), "", GSPC[[#This Row],[Adj Close]]/B748-1)</f>
        <v>-4.5399599434835625E-2</v>
      </c>
      <c r="D74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4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47" s="11" t="e">
        <f>IF(ISBLANK(GSPC[[#This Row],[Long Exp.]]), "", (GSPC[[#This Row],[Long Exp.]]/D748-1)+(E748/GSPC[[#This Row],[Short Exp.]]-1))</f>
        <v>#VALUE!</v>
      </c>
      <c r="G747" s="37">
        <v>39867</v>
      </c>
      <c r="H747">
        <v>11.381925000000001</v>
      </c>
      <c r="I747" s="36">
        <f>IF(ISBLANK(H748), "", Long0[[#This Row],[Adj Close]]/H748-1)</f>
        <v>-1.4274494058890475E-2</v>
      </c>
      <c r="J747" s="29">
        <v>39867</v>
      </c>
      <c r="K747">
        <v>1.1759029999999999</v>
      </c>
      <c r="L747" s="33">
        <f>IF(ISBLANK(K748),"",Long1[[#This Row],[Adj Close]]/K748-1)</f>
        <v>2.4096112729537156E-2</v>
      </c>
      <c r="M747" s="37">
        <v>39867</v>
      </c>
      <c r="N747">
        <v>34.234282999999998</v>
      </c>
      <c r="O747" s="36">
        <f>IF(ISBLANK(N748),"",Long2[[#This Row],[Adj Close]]/N748-1)</f>
        <v>1.246480143488804E-2</v>
      </c>
      <c r="P747" s="29">
        <v>39867</v>
      </c>
      <c r="Q747">
        <v>13.040633</v>
      </c>
      <c r="R747" s="33">
        <f>IF(ISBLANK(Q748),"",Long3[[#This Row],[Adj Close]]/Q748-1)</f>
        <v>-3.1597283435488399E-2</v>
      </c>
      <c r="S747" s="37">
        <v>39867</v>
      </c>
      <c r="T747" s="35">
        <v>7.3836490000000001</v>
      </c>
      <c r="U747" s="36">
        <f>IF(ISBLANK(T748),"",Long4[[#This Row],[Adj Close]]/T748-1)</f>
        <v>2.1226448366831407E-2</v>
      </c>
      <c r="Y747" s="37">
        <v>39867</v>
      </c>
      <c r="Z747" s="35">
        <v>5.87629</v>
      </c>
      <c r="AA747" s="36">
        <f>IF(ISBLANK(Z748),"",Long6[[#This Row],[Adj Close]]/Z748-1)</f>
        <v>-9.7305399110038659E-2</v>
      </c>
      <c r="AH747" s="29">
        <v>39867</v>
      </c>
      <c r="AI747" s="44">
        <v>1.5205770000000001</v>
      </c>
      <c r="AJ747" s="33">
        <f>IF(ISBLANK(AI748),"",Short0[[#This Row],[Adj Close]]/AI748-1)</f>
        <v>-0.12307726909928074</v>
      </c>
      <c r="AK747" s="37">
        <v>39867</v>
      </c>
      <c r="AL747" s="39">
        <v>19.166851000000001</v>
      </c>
      <c r="AM747" s="36">
        <f>IF(ISBLANK(AL748),"",Short1[[#This Row],[Adj Close]]/AL748-1)</f>
        <v>3.2974659237512638E-2</v>
      </c>
      <c r="AN747" s="29">
        <v>39867</v>
      </c>
      <c r="AO747" s="44">
        <v>5.9073159999999998</v>
      </c>
      <c r="AP747" s="33">
        <f>IF(ISBLANK(AO748),"",Short2[[#This Row],[Adj Close]]/AO748-1)</f>
        <v>0.13798971683737826</v>
      </c>
    </row>
    <row r="748" spans="1:42" x14ac:dyDescent="0.25">
      <c r="A748" s="37">
        <v>39860</v>
      </c>
      <c r="B748" s="39">
        <v>770.04998799999998</v>
      </c>
      <c r="C748" s="36">
        <f>IF(ISBLANK(B749), "", GSPC[[#This Row],[Adj Close]]/B749-1)</f>
        <v>-6.8683224258082487E-2</v>
      </c>
      <c r="D74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4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48" s="11" t="e">
        <f>IF(ISBLANK(GSPC[[#This Row],[Long Exp.]]), "", (GSPC[[#This Row],[Long Exp.]]/D749-1)+(E749/GSPC[[#This Row],[Short Exp.]]-1))</f>
        <v>#VALUE!</v>
      </c>
      <c r="G748" s="37">
        <v>39860</v>
      </c>
      <c r="H748">
        <v>11.546749</v>
      </c>
      <c r="I748" s="36">
        <f>IF(ISBLANK(H749), "", Long0[[#This Row],[Adj Close]]/H749-1)</f>
        <v>6.8644131639976402E-2</v>
      </c>
      <c r="J748" s="29">
        <v>39860</v>
      </c>
      <c r="K748">
        <v>1.1482349999999999</v>
      </c>
      <c r="L748" s="33">
        <f>IF(ISBLANK(K749),"",Long1[[#This Row],[Adj Close]]/K749-1)</f>
        <v>-0.16161646400142538</v>
      </c>
      <c r="M748" s="37">
        <v>39860</v>
      </c>
      <c r="N748">
        <v>33.812812999999998</v>
      </c>
      <c r="O748" s="36">
        <f>IF(ISBLANK(N749),"",Long2[[#This Row],[Adj Close]]/N749-1)</f>
        <v>-8.3951241029120993E-3</v>
      </c>
      <c r="P748" s="29">
        <v>39860</v>
      </c>
      <c r="Q748">
        <v>13.466125999999999</v>
      </c>
      <c r="R748" s="33">
        <f>IF(ISBLANK(Q749),"",Long3[[#This Row],[Adj Close]]/Q749-1)</f>
        <v>-7.5144842940240042E-2</v>
      </c>
      <c r="S748" s="37">
        <v>39860</v>
      </c>
      <c r="T748" s="35">
        <v>7.2301780000000004</v>
      </c>
      <c r="U748" s="36">
        <f>IF(ISBLANK(T749),"",Long4[[#This Row],[Adj Close]]/T749-1)</f>
        <v>4.9504930374392631E-2</v>
      </c>
      <c r="Y748" s="37">
        <v>39860</v>
      </c>
      <c r="Z748" s="35">
        <v>6.5097209999999999</v>
      </c>
      <c r="AA748" s="36">
        <f>IF(ISBLANK(Z749),"",Long6[[#This Row],[Adj Close]]/Z749-1)</f>
        <v>-0.10094214528817558</v>
      </c>
      <c r="AH748" s="29">
        <v>39860</v>
      </c>
      <c r="AI748" s="44">
        <v>1.733992</v>
      </c>
      <c r="AJ748" s="33">
        <f>IF(ISBLANK(AI749),"",Short0[[#This Row],[Adj Close]]/AI749-1)</f>
        <v>-0.2261900618069036</v>
      </c>
      <c r="AK748" s="37">
        <v>39860</v>
      </c>
      <c r="AL748" s="39">
        <v>18.555005999999999</v>
      </c>
      <c r="AM748" s="36">
        <f>IF(ISBLANK(AL749),"",Short1[[#This Row],[Adj Close]]/AL749-1)</f>
        <v>-8.0724637458573834E-2</v>
      </c>
      <c r="AN748" s="29">
        <v>39860</v>
      </c>
      <c r="AO748" s="44">
        <v>5.1910100000000003</v>
      </c>
      <c r="AP748" s="33">
        <f>IF(ISBLANK(AO749),"",Short2[[#This Row],[Adj Close]]/AO749-1)</f>
        <v>-0.21628830872293137</v>
      </c>
    </row>
    <row r="749" spans="1:42" x14ac:dyDescent="0.25">
      <c r="A749" s="37">
        <v>39853</v>
      </c>
      <c r="B749" s="39">
        <v>826.84002699999996</v>
      </c>
      <c r="C749" s="36">
        <f>IF(ISBLANK(B750), "", GSPC[[#This Row],[Adj Close]]/B750-1)</f>
        <v>-4.8077308489356874E-2</v>
      </c>
      <c r="D74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4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49" s="11" t="e">
        <f>IF(ISBLANK(GSPC[[#This Row],[Long Exp.]]), "", (GSPC[[#This Row],[Long Exp.]]/D750-1)+(E750/GSPC[[#This Row],[Short Exp.]]-1))</f>
        <v>#VALUE!</v>
      </c>
      <c r="G749" s="37">
        <v>39853</v>
      </c>
      <c r="H749">
        <v>10.805046000000001</v>
      </c>
      <c r="I749" s="36">
        <f>IF(ISBLANK(H750), "", Long0[[#This Row],[Adj Close]]/H750-1)</f>
        <v>-8.467568067659359E-4</v>
      </c>
      <c r="J749" s="29">
        <v>39853</v>
      </c>
      <c r="K749">
        <v>1.3695820000000001</v>
      </c>
      <c r="L749" s="33">
        <f>IF(ISBLANK(K750),"",Long1[[#This Row],[Adj Close]]/K750-1)</f>
        <v>4.2105543486944841E-2</v>
      </c>
      <c r="M749" s="37">
        <v>39853</v>
      </c>
      <c r="N749">
        <v>34.099079000000003</v>
      </c>
      <c r="O749" s="36">
        <f>IF(ISBLANK(N750),"",Long2[[#This Row],[Adj Close]]/N750-1)</f>
        <v>-4.6828618119656662E-2</v>
      </c>
      <c r="P749" s="29">
        <v>39853</v>
      </c>
      <c r="Q749">
        <v>14.560254</v>
      </c>
      <c r="R749" s="33">
        <f>IF(ISBLANK(Q750),"",Long3[[#This Row],[Adj Close]]/Q750-1)</f>
        <v>-6.2330251570601569E-2</v>
      </c>
      <c r="S749" s="37">
        <v>39853</v>
      </c>
      <c r="T749" s="35">
        <v>6.889132</v>
      </c>
      <c r="U749" s="36">
        <f>IF(ISBLANK(T750),"",Long4[[#This Row],[Adj Close]]/T750-1)</f>
        <v>1.3801803116957778E-2</v>
      </c>
      <c r="Y749" s="37">
        <v>39853</v>
      </c>
      <c r="Z749" s="35">
        <v>7.2406030000000001</v>
      </c>
      <c r="AA749" s="36">
        <f>IF(ISBLANK(Z750),"",Long6[[#This Row],[Adj Close]]/Z750-1)</f>
        <v>-4.7436099665143838E-2</v>
      </c>
      <c r="AH749" s="29">
        <v>39853</v>
      </c>
      <c r="AI749" s="44">
        <v>2.24085</v>
      </c>
      <c r="AJ749" s="33">
        <f>IF(ISBLANK(AI750),"",Short0[[#This Row],[Adj Close]]/AI750-1)</f>
        <v>-0.18840629050770197</v>
      </c>
      <c r="AK749" s="37">
        <v>39853</v>
      </c>
      <c r="AL749" s="39">
        <v>20.184383</v>
      </c>
      <c r="AM749" s="36">
        <f>IF(ISBLANK(AL750),"",Short1[[#This Row],[Adj Close]]/AL750-1)</f>
        <v>1.7090771462115351E-2</v>
      </c>
      <c r="AN749" s="29">
        <v>39853</v>
      </c>
      <c r="AO749" s="44">
        <v>6.6236220000000001</v>
      </c>
      <c r="AP749" s="33">
        <f>IF(ISBLANK(AO750),"",Short2[[#This Row],[Adj Close]]/AO750-1)</f>
        <v>-0.19462395400923604</v>
      </c>
    </row>
    <row r="750" spans="1:42" x14ac:dyDescent="0.25">
      <c r="A750" s="37">
        <v>39846</v>
      </c>
      <c r="B750" s="39">
        <v>868.59997599999997</v>
      </c>
      <c r="C750" s="36">
        <f>IF(ISBLANK(B751), "", GSPC[[#This Row],[Adj Close]]/B751-1)</f>
        <v>5.1726607668628466E-2</v>
      </c>
      <c r="D75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5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50" s="11" t="e">
        <f>IF(ISBLANK(GSPC[[#This Row],[Long Exp.]]), "", (GSPC[[#This Row],[Long Exp.]]/D751-1)+(E751/GSPC[[#This Row],[Short Exp.]]-1))</f>
        <v>#VALUE!</v>
      </c>
      <c r="G750" s="37">
        <v>39846</v>
      </c>
      <c r="H750">
        <v>10.814202999999999</v>
      </c>
      <c r="I750" s="36">
        <f>IF(ISBLANK(H751), "", Long0[[#This Row],[Adj Close]]/H751-1)</f>
        <v>4.2365371217375936E-2</v>
      </c>
      <c r="J750" s="29">
        <v>39846</v>
      </c>
      <c r="K750">
        <v>1.3142450000000001</v>
      </c>
      <c r="L750" s="33">
        <f>IF(ISBLANK(K751),"",Long1[[#This Row],[Adj Close]]/K751-1)</f>
        <v>-4.040429853780203E-2</v>
      </c>
      <c r="M750" s="37">
        <v>39846</v>
      </c>
      <c r="N750">
        <v>35.774341999999997</v>
      </c>
      <c r="O750" s="36">
        <f>IF(ISBLANK(N751),"",Long2[[#This Row],[Adj Close]]/N751-1)</f>
        <v>0.2629663666311759</v>
      </c>
      <c r="P750" s="29">
        <v>39846</v>
      </c>
      <c r="Q750">
        <v>15.528126</v>
      </c>
      <c r="R750" s="33">
        <f>IF(ISBLANK(Q751),"",Long3[[#This Row],[Adj Close]]/Q751-1)</f>
        <v>8.3169937227853818E-2</v>
      </c>
      <c r="S750" s="37">
        <v>39846</v>
      </c>
      <c r="T750" s="35">
        <v>6.7953440000000001</v>
      </c>
      <c r="U750" s="36">
        <f>IF(ISBLANK(T751),"",Long4[[#This Row],[Adj Close]]/T751-1)</f>
        <v>-1.4833150614309898E-2</v>
      </c>
      <c r="Y750" s="37">
        <v>39846</v>
      </c>
      <c r="Z750" s="35">
        <v>7.6011730000000002</v>
      </c>
      <c r="AA750" s="36">
        <f>IF(ISBLANK(Z751),"",Long6[[#This Row],[Adj Close]]/Z751-1)</f>
        <v>2.2280803022902029E-2</v>
      </c>
      <c r="AH750" s="29">
        <v>39846</v>
      </c>
      <c r="AI750" s="44">
        <v>2.7610489999999999</v>
      </c>
      <c r="AJ750" s="33">
        <f>IF(ISBLANK(AI751),"",Short0[[#This Row],[Adj Close]]/AI751-1)</f>
        <v>-0.1961162125721001</v>
      </c>
      <c r="AK750" s="37">
        <v>39846</v>
      </c>
      <c r="AL750" s="39">
        <v>19.845213000000001</v>
      </c>
      <c r="AM750" s="36">
        <f>IF(ISBLANK(AL751),"",Short1[[#This Row],[Adj Close]]/AL751-1)</f>
        <v>6.4953811444613097E-2</v>
      </c>
      <c r="AN750" s="29">
        <v>39846</v>
      </c>
      <c r="AO750" s="44">
        <v>8.2242599999999992</v>
      </c>
      <c r="AP750" s="33">
        <f>IF(ISBLANK(AO751),"",Short2[[#This Row],[Adj Close]]/AO751-1)</f>
        <v>0.21544033343156244</v>
      </c>
    </row>
    <row r="751" spans="1:42" x14ac:dyDescent="0.25">
      <c r="A751" s="37">
        <v>39839</v>
      </c>
      <c r="B751" s="39">
        <v>825.88000499999998</v>
      </c>
      <c r="C751" s="36">
        <f>IF(ISBLANK(B752), "", GSPC[[#This Row],[Adj Close]]/B752-1)</f>
        <v>-7.2961198538933347E-3</v>
      </c>
      <c r="D75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5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51" s="11" t="e">
        <f>IF(ISBLANK(GSPC[[#This Row],[Long Exp.]]), "", (GSPC[[#This Row],[Long Exp.]]/D752-1)+(E752/GSPC[[#This Row],[Short Exp.]]-1))</f>
        <v>#VALUE!</v>
      </c>
      <c r="G751" s="37">
        <v>39839</v>
      </c>
      <c r="H751">
        <v>10.374675999999999</v>
      </c>
      <c r="I751" s="36">
        <f>IF(ISBLANK(H752), "", Long0[[#This Row],[Adj Close]]/H752-1)</f>
        <v>3.6596547920782152E-2</v>
      </c>
      <c r="J751" s="29">
        <v>39839</v>
      </c>
      <c r="K751">
        <v>1.3695820000000001</v>
      </c>
      <c r="L751" s="33">
        <f>IF(ISBLANK(K752),"",Long1[[#This Row],[Adj Close]]/K752-1)</f>
        <v>0</v>
      </c>
      <c r="M751" s="37">
        <v>39839</v>
      </c>
      <c r="N751">
        <v>28.325648999999999</v>
      </c>
      <c r="O751" s="36">
        <f>IF(ISBLANK(N752),"",Long2[[#This Row],[Adj Close]]/N752-1)</f>
        <v>7.9119901096298406E-3</v>
      </c>
      <c r="P751" s="29">
        <v>39839</v>
      </c>
      <c r="Q751">
        <v>14.335817</v>
      </c>
      <c r="R751" s="33">
        <f>IF(ISBLANK(Q752),"",Long3[[#This Row],[Adj Close]]/Q752-1)</f>
        <v>-4.0375048388514356E-2</v>
      </c>
      <c r="S751" s="37">
        <v>39839</v>
      </c>
      <c r="T751" s="35">
        <v>6.8976579999999998</v>
      </c>
      <c r="U751" s="36">
        <f>IF(ISBLANK(T752),"",Long4[[#This Row],[Adj Close]]/T752-1)</f>
        <v>0.10068021197043486</v>
      </c>
      <c r="Y751" s="37">
        <v>39839</v>
      </c>
      <c r="Z751" s="35">
        <v>7.4355039999999999</v>
      </c>
      <c r="AA751" s="36">
        <f>IF(ISBLANK(Z752),"",Long6[[#This Row],[Adj Close]]/Z752-1)</f>
        <v>-1.0376171313768001E-2</v>
      </c>
      <c r="AH751" s="29">
        <v>39839</v>
      </c>
      <c r="AI751" s="44">
        <v>3.4346369999999999</v>
      </c>
      <c r="AJ751" s="33">
        <f>IF(ISBLANK(AI752),"",Short0[[#This Row],[Adj Close]]/AI752-1)</f>
        <v>-0.13590603098186049</v>
      </c>
      <c r="AK751" s="37">
        <v>39839</v>
      </c>
      <c r="AL751" s="39">
        <v>18.634810999999999</v>
      </c>
      <c r="AM751" s="36">
        <f>IF(ISBLANK(AL752),"",Short1[[#This Row],[Adj Close]]/AL752-1)</f>
        <v>1.3381392443116313E-2</v>
      </c>
      <c r="AN751" s="29">
        <v>39839</v>
      </c>
      <c r="AO751" s="44">
        <v>6.7664860000000004</v>
      </c>
      <c r="AP751" s="33">
        <f>IF(ISBLANK(AO752),"",Short2[[#This Row],[Adj Close]]/AO752-1)</f>
        <v>0.12426861743002959</v>
      </c>
    </row>
    <row r="752" spans="1:42" x14ac:dyDescent="0.25">
      <c r="A752" s="37">
        <v>39832</v>
      </c>
      <c r="B752" s="39">
        <v>831.95001200000002</v>
      </c>
      <c r="C752" s="36">
        <f>IF(ISBLANK(B753), "", GSPC[[#This Row],[Adj Close]]/B753-1)</f>
        <v>-2.1373433288085386E-2</v>
      </c>
      <c r="D75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5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52" s="11" t="e">
        <f>IF(ISBLANK(GSPC[[#This Row],[Long Exp.]]), "", (GSPC[[#This Row],[Long Exp.]]/D753-1)+(E753/GSPC[[#This Row],[Short Exp.]]-1))</f>
        <v>#VALUE!</v>
      </c>
      <c r="G752" s="37">
        <v>39832</v>
      </c>
      <c r="H752">
        <v>10.008402999999999</v>
      </c>
      <c r="I752" s="36">
        <f>IF(ISBLANK(H753), "", Long0[[#This Row],[Adj Close]]/H753-1)</f>
        <v>-6.3634655113891103E-3</v>
      </c>
      <c r="J752" s="29">
        <v>39832</v>
      </c>
      <c r="K752">
        <v>1.3695820000000001</v>
      </c>
      <c r="L752" s="33">
        <f>IF(ISBLANK(K753),"",Long1[[#This Row],[Adj Close]]/K753-1)</f>
        <v>1.0204706335326552E-2</v>
      </c>
      <c r="M752" s="37">
        <v>39832</v>
      </c>
      <c r="N752">
        <v>28.103296</v>
      </c>
      <c r="O752" s="36">
        <f>IF(ISBLANK(N753),"",Long2[[#This Row],[Adj Close]]/N753-1)</f>
        <v>-1.6929798651590389E-3</v>
      </c>
      <c r="P752" s="29">
        <v>39832</v>
      </c>
      <c r="Q752">
        <v>14.938979</v>
      </c>
      <c r="R752" s="33">
        <f>IF(ISBLANK(Q753),"",Long3[[#This Row],[Adj Close]]/Q753-1)</f>
        <v>-5.2930151615956378E-3</v>
      </c>
      <c r="S752" s="37">
        <v>39832</v>
      </c>
      <c r="T752" s="35">
        <v>6.2667229999999998</v>
      </c>
      <c r="U752" s="36">
        <f>IF(ISBLANK(T753),"",Long4[[#This Row],[Adj Close]]/T753-1)</f>
        <v>-4.6692529463020938E-2</v>
      </c>
      <c r="Y752" s="37">
        <v>39832</v>
      </c>
      <c r="Z752" s="35">
        <v>7.5134650000000001</v>
      </c>
      <c r="AA752" s="36">
        <f>IF(ISBLANK(Z753),"",Long6[[#This Row],[Adj Close]]/Z753-1)</f>
        <v>-8.5409415549122736E-2</v>
      </c>
      <c r="AH752" s="29">
        <v>39832</v>
      </c>
      <c r="AI752" s="44">
        <v>3.9748420000000002</v>
      </c>
      <c r="AJ752" s="33">
        <f>IF(ISBLANK(AI753),"",Short0[[#This Row],[Adj Close]]/AI753-1)</f>
        <v>-4.9442209648054791E-2</v>
      </c>
      <c r="AK752" s="37">
        <v>39832</v>
      </c>
      <c r="AL752" s="39">
        <v>18.388743999999999</v>
      </c>
      <c r="AM752" s="36">
        <f>IF(ISBLANK(AL753),"",Short1[[#This Row],[Adj Close]]/AL753-1)</f>
        <v>-5.7600481819928051E-2</v>
      </c>
      <c r="AN752" s="29">
        <v>39832</v>
      </c>
      <c r="AO752" s="44">
        <v>6.018567</v>
      </c>
      <c r="AP752" s="33">
        <f>IF(ISBLANK(AO753),"",Short2[[#This Row],[Adj Close]]/AO753-1)</f>
        <v>-0.12866247958311772</v>
      </c>
    </row>
    <row r="753" spans="1:42" x14ac:dyDescent="0.25">
      <c r="A753" s="37">
        <v>39825</v>
      </c>
      <c r="B753" s="39">
        <v>850.11999500000002</v>
      </c>
      <c r="C753" s="36">
        <f>IF(ISBLANK(B754), "", GSPC[[#This Row],[Adj Close]]/B754-1)</f>
        <v>-4.518445789231984E-2</v>
      </c>
      <c r="D75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5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53" s="11" t="e">
        <f>IF(ISBLANK(GSPC[[#This Row],[Long Exp.]]), "", (GSPC[[#This Row],[Long Exp.]]/D754-1)+(E754/GSPC[[#This Row],[Short Exp.]]-1))</f>
        <v>#VALUE!</v>
      </c>
      <c r="G753" s="37">
        <v>39825</v>
      </c>
      <c r="H753">
        <v>10.072499000000001</v>
      </c>
      <c r="I753" s="36">
        <f>IF(ISBLANK(H754), "", Long0[[#This Row],[Adj Close]]/H754-1)</f>
        <v>2.9962320094017114E-2</v>
      </c>
      <c r="J753" s="29">
        <v>39825</v>
      </c>
      <c r="K753">
        <v>1.355747</v>
      </c>
      <c r="L753" s="33">
        <f>IF(ISBLANK(K754),"",Long1[[#This Row],[Adj Close]]/K754-1)</f>
        <v>-0.1090910046742023</v>
      </c>
      <c r="M753" s="37">
        <v>39825</v>
      </c>
      <c r="N753">
        <v>28.150955</v>
      </c>
      <c r="O753" s="36">
        <f>IF(ISBLANK(N754),"",Long2[[#This Row],[Adj Close]]/N754-1)</f>
        <v>-8.6104536679646348E-2</v>
      </c>
      <c r="P753" s="29">
        <v>39825</v>
      </c>
      <c r="Q753">
        <v>15.018471999999999</v>
      </c>
      <c r="R753" s="33">
        <f>IF(ISBLANK(Q754),"",Long3[[#This Row],[Adj Close]]/Q754-1)</f>
        <v>-1.2439834123132432E-3</v>
      </c>
      <c r="S753" s="37">
        <v>39825</v>
      </c>
      <c r="T753" s="35">
        <v>6.573664</v>
      </c>
      <c r="U753" s="36">
        <f>IF(ISBLANK(T754),"",Long4[[#This Row],[Adj Close]]/T754-1)</f>
        <v>-6.204395548889996E-2</v>
      </c>
      <c r="Y753" s="37">
        <v>39825</v>
      </c>
      <c r="Z753" s="35">
        <v>8.2151130000000006</v>
      </c>
      <c r="AA753" s="36">
        <f>IF(ISBLANK(Z754),"",Long6[[#This Row],[Adj Close]]/Z754-1)</f>
        <v>-0.10032029909037765</v>
      </c>
      <c r="AH753" s="29">
        <v>39825</v>
      </c>
      <c r="AI753" s="44">
        <v>4.1815889999999998</v>
      </c>
      <c r="AJ753" s="33">
        <f>IF(ISBLANK(AI754),"",Short0[[#This Row],[Adj Close]]/AI754-1)</f>
        <v>-0.10300400920680342</v>
      </c>
      <c r="AK753" s="37">
        <v>39825</v>
      </c>
      <c r="AL753" s="39">
        <v>19.512684</v>
      </c>
      <c r="AM753" s="36">
        <f>IF(ISBLANK(AL754),"",Short1[[#This Row],[Adj Close]]/AL754-1)</f>
        <v>4.4871625645344304E-2</v>
      </c>
      <c r="AN753" s="29">
        <v>39825</v>
      </c>
      <c r="AO753" s="44">
        <v>6.9072740000000001</v>
      </c>
      <c r="AP753" s="33">
        <f>IF(ISBLANK(AO754),"",Short2[[#This Row],[Adj Close]]/AO754-1)</f>
        <v>-0.14207631404797727</v>
      </c>
    </row>
    <row r="754" spans="1:42" x14ac:dyDescent="0.25">
      <c r="A754" s="37">
        <v>39818</v>
      </c>
      <c r="B754" s="39">
        <v>890.34997599999997</v>
      </c>
      <c r="C754" s="36">
        <f>IF(ISBLANK(B755), "", GSPC[[#This Row],[Adj Close]]/B755-1)</f>
        <v>-4.4483808256928214E-2</v>
      </c>
      <c r="D75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5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54" s="11" t="e">
        <f>IF(ISBLANK(GSPC[[#This Row],[Long Exp.]]), "", (GSPC[[#This Row],[Long Exp.]]/D755-1)+(E755/GSPC[[#This Row],[Short Exp.]]-1))</f>
        <v>#VALUE!</v>
      </c>
      <c r="G754" s="37">
        <v>39818</v>
      </c>
      <c r="H754">
        <v>9.7794830000000008</v>
      </c>
      <c r="I754" s="36">
        <f>IF(ISBLANK(H755), "", Long0[[#This Row],[Adj Close]]/H755-1)</f>
        <v>6.5868138819553002E-2</v>
      </c>
      <c r="J754" s="29">
        <v>39818</v>
      </c>
      <c r="K754">
        <v>1.521757</v>
      </c>
      <c r="L754" s="33">
        <f>IF(ISBLANK(K755),"",Long1[[#This Row],[Adj Close]]/K755-1)</f>
        <v>1.8518307811649759E-2</v>
      </c>
      <c r="M754" s="37">
        <v>39818</v>
      </c>
      <c r="N754">
        <v>30.803255</v>
      </c>
      <c r="O754" s="36">
        <f>IF(ISBLANK(N755),"",Long2[[#This Row],[Adj Close]]/N755-1)</f>
        <v>5.2360218455094865E-2</v>
      </c>
      <c r="P754" s="29">
        <v>39818</v>
      </c>
      <c r="Q754">
        <v>15.037178000000001</v>
      </c>
      <c r="R754" s="33">
        <f>IF(ISBLANK(Q755),"",Long3[[#This Row],[Adj Close]]/Q755-1)</f>
        <v>2.7475856448077929E-2</v>
      </c>
      <c r="S754" s="37">
        <v>39818</v>
      </c>
      <c r="T754" s="35">
        <v>7.0084989999999996</v>
      </c>
      <c r="U754" s="36">
        <f>IF(ISBLANK(T755),"",Long4[[#This Row],[Adj Close]]/T755-1)</f>
        <v>-4.6403688935845788E-2</v>
      </c>
      <c r="Y754" s="37">
        <v>39818</v>
      </c>
      <c r="Z754" s="35">
        <v>9.1311529999999994</v>
      </c>
      <c r="AA754" s="36">
        <f>IF(ISBLANK(Z755),"",Long6[[#This Row],[Adj Close]]/Z755-1)</f>
        <v>-3.9958848558700799E-2</v>
      </c>
      <c r="AH754" s="29">
        <v>39818</v>
      </c>
      <c r="AI754" s="44">
        <v>4.6617699999999997</v>
      </c>
      <c r="AJ754" s="33">
        <f>IF(ISBLANK(AI755),"",Short0[[#This Row],[Adj Close]]/AI755-1)</f>
        <v>-1.4104166239290228E-2</v>
      </c>
      <c r="AK754" s="37">
        <v>39818</v>
      </c>
      <c r="AL754" s="39">
        <v>18.674719</v>
      </c>
      <c r="AM754" s="36">
        <f>IF(ISBLANK(AL755),"",Short1[[#This Row],[Adj Close]]/AL755-1)</f>
        <v>-2.7548266747289718E-2</v>
      </c>
      <c r="AN754" s="29">
        <v>39818</v>
      </c>
      <c r="AO754" s="44">
        <v>8.0511520000000001</v>
      </c>
      <c r="AP754" s="33">
        <f>IF(ISBLANK(AO755),"",Short2[[#This Row],[Adj Close]]/AO755-1)</f>
        <v>-3.2675765634760934E-3</v>
      </c>
    </row>
    <row r="755" spans="1:42" x14ac:dyDescent="0.25">
      <c r="A755" s="37">
        <v>39811</v>
      </c>
      <c r="B755" s="39">
        <v>931.79998799999998</v>
      </c>
      <c r="C755" s="36">
        <f>IF(ISBLANK(B756), "", GSPC[[#This Row],[Adj Close]]/B756-1)</f>
        <v>6.7598534384947673E-2</v>
      </c>
      <c r="D75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5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55" s="11" t="e">
        <f>IF(ISBLANK(GSPC[[#This Row],[Long Exp.]]), "", (GSPC[[#This Row],[Long Exp.]]/D756-1)+(E756/GSPC[[#This Row],[Short Exp.]]-1))</f>
        <v>#VALUE!</v>
      </c>
      <c r="G755" s="37">
        <v>39811</v>
      </c>
      <c r="H755">
        <v>9.1751339999999999</v>
      </c>
      <c r="I755" s="36">
        <f>IF(ISBLANK(H756), "", Long0[[#This Row],[Adj Close]]/H756-1)</f>
        <v>5.8078370922147737E-2</v>
      </c>
      <c r="J755" s="29">
        <v>39811</v>
      </c>
      <c r="K755">
        <v>1.494089</v>
      </c>
      <c r="L755" s="33">
        <f>IF(ISBLANK(K756),"",Long1[[#This Row],[Adj Close]]/K756-1)</f>
        <v>0.14893599023693271</v>
      </c>
      <c r="M755" s="37">
        <v>39811</v>
      </c>
      <c r="N755">
        <v>29.270638000000002</v>
      </c>
      <c r="O755" s="36">
        <f>IF(ISBLANK(N756),"",Long2[[#This Row],[Adj Close]]/N756-1)</f>
        <v>0.13102152472134287</v>
      </c>
      <c r="P755" s="29">
        <v>39811</v>
      </c>
      <c r="Q755">
        <v>14.635066999999999</v>
      </c>
      <c r="R755" s="33">
        <f>IF(ISBLANK(Q756),"",Long3[[#This Row],[Adj Close]]/Q756-1)</f>
        <v>7.1551253522520897E-2</v>
      </c>
      <c r="S755" s="37">
        <v>39811</v>
      </c>
      <c r="T755" s="35">
        <v>7.349545</v>
      </c>
      <c r="U755" s="36">
        <f>IF(ISBLANK(T756),"",Long4[[#This Row],[Adj Close]]/T756-1)</f>
        <v>9.6692156762973047E-2</v>
      </c>
      <c r="Y755" s="37">
        <v>39811</v>
      </c>
      <c r="Z755" s="35">
        <v>9.5112100000000002</v>
      </c>
      <c r="AA755" s="36">
        <f>IF(ISBLANK(Z756),"",Long6[[#This Row],[Adj Close]]/Z756-1)</f>
        <v>-6.243977730503758E-2</v>
      </c>
      <c r="AH755" s="29">
        <v>39811</v>
      </c>
      <c r="AI755" s="44">
        <v>4.7284610000000002</v>
      </c>
      <c r="AJ755" s="33">
        <f>IF(ISBLANK(AI756),"",Short0[[#This Row],[Adj Close]]/AI756-1)</f>
        <v>0.17190038033481159</v>
      </c>
      <c r="AK755" s="37">
        <v>39811</v>
      </c>
      <c r="AL755" s="39">
        <v>19.203748999999998</v>
      </c>
      <c r="AM755" s="36">
        <f>IF(ISBLANK(AL756),"",Short1[[#This Row],[Adj Close]]/AL756-1)</f>
        <v>8.6891562132732636E-2</v>
      </c>
      <c r="AN755" s="29">
        <v>39811</v>
      </c>
      <c r="AO755" s="44">
        <v>8.0775459999999999</v>
      </c>
      <c r="AP755" s="33">
        <f>IF(ISBLANK(AO756),"",Short2[[#This Row],[Adj Close]]/AO756-1)</f>
        <v>6.9929760554328313E-2</v>
      </c>
    </row>
    <row r="756" spans="1:42" x14ac:dyDescent="0.25">
      <c r="A756" s="37">
        <v>39804</v>
      </c>
      <c r="B756" s="39">
        <v>872.79998799999998</v>
      </c>
      <c r="C756" s="36">
        <f>IF(ISBLANK(B757), "", GSPC[[#This Row],[Adj Close]]/B757-1)</f>
        <v>-1.6984296205656779E-2</v>
      </c>
      <c r="D75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5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56" s="11" t="e">
        <f>IF(ISBLANK(GSPC[[#This Row],[Long Exp.]]), "", (GSPC[[#This Row],[Long Exp.]]/D757-1)+(E757/GSPC[[#This Row],[Short Exp.]]-1))</f>
        <v>#VALUE!</v>
      </c>
      <c r="G756" s="37">
        <v>39804</v>
      </c>
      <c r="H756">
        <v>8.6715070000000001</v>
      </c>
      <c r="I756" s="36">
        <f>IF(ISBLANK(H757), "", Long0[[#This Row],[Adj Close]]/H757-1)</f>
        <v>-1.8652879645735254E-2</v>
      </c>
      <c r="J756" s="29">
        <v>39804</v>
      </c>
      <c r="K756">
        <v>1.300411</v>
      </c>
      <c r="L756" s="33">
        <f>IF(ISBLANK(K757),"",Long1[[#This Row],[Adj Close]]/K757-1)</f>
        <v>6.8181855519029888E-2</v>
      </c>
      <c r="M756" s="37">
        <v>39804</v>
      </c>
      <c r="N756">
        <v>25.879823999999999</v>
      </c>
      <c r="O756" s="36">
        <f>IF(ISBLANK(N757),"",Long2[[#This Row],[Adj Close]]/N757-1)</f>
        <v>-3.0347918628402026E-2</v>
      </c>
      <c r="P756" s="29">
        <v>39804</v>
      </c>
      <c r="Q756">
        <v>13.657832000000001</v>
      </c>
      <c r="R756" s="33">
        <f>IF(ISBLANK(Q757),"",Long3[[#This Row],[Adj Close]]/Q757-1)</f>
        <v>-2.2750278428009585E-2</v>
      </c>
      <c r="S756" s="37">
        <v>39804</v>
      </c>
      <c r="T756" s="35">
        <v>6.7015570000000002</v>
      </c>
      <c r="U756" s="36">
        <f>IF(ISBLANK(T757),"",Long4[[#This Row],[Adj Close]]/T757-1)</f>
        <v>-0.10783193488526521</v>
      </c>
      <c r="Y756" s="37">
        <v>39804</v>
      </c>
      <c r="Z756" s="35">
        <v>10.144639</v>
      </c>
      <c r="AA756" s="36">
        <f>IF(ISBLANK(Z757),"",Long6[[#This Row],[Adj Close]]/Z757-1)</f>
        <v>0.10862605144273485</v>
      </c>
      <c r="AH756" s="29">
        <v>39804</v>
      </c>
      <c r="AI756" s="44">
        <v>4.0348660000000001</v>
      </c>
      <c r="AJ756" s="33">
        <f>IF(ISBLANK(AI757),"",Short0[[#This Row],[Adj Close]]/AI757-1)</f>
        <v>-9.4311458563878237E-2</v>
      </c>
      <c r="AK756" s="37">
        <v>39804</v>
      </c>
      <c r="AL756" s="39">
        <v>17.668505</v>
      </c>
      <c r="AM756" s="36">
        <f>IF(ISBLANK(AL757),"",Short1[[#This Row],[Adj Close]]/AL757-1)</f>
        <v>-4.9821887029482315E-2</v>
      </c>
      <c r="AN756" s="29">
        <v>39804</v>
      </c>
      <c r="AO756" s="44">
        <v>7.5496040000000004</v>
      </c>
      <c r="AP756" s="33">
        <f>IF(ISBLANK(AO757),"",Short2[[#This Row],[Adj Close]]/AO757-1)</f>
        <v>-0.14114122039881805</v>
      </c>
    </row>
    <row r="757" spans="1:42" x14ac:dyDescent="0.25">
      <c r="A757" s="37">
        <v>39797</v>
      </c>
      <c r="B757" s="39">
        <v>887.88000499999998</v>
      </c>
      <c r="C757" s="36">
        <f>IF(ISBLANK(B758), "", GSPC[[#This Row],[Adj Close]]/B758-1)</f>
        <v>9.2642346916493867E-3</v>
      </c>
      <c r="D75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5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57" s="11" t="e">
        <f>IF(ISBLANK(GSPC[[#This Row],[Long Exp.]]), "", (GSPC[[#This Row],[Long Exp.]]/D758-1)+(E758/GSPC[[#This Row],[Short Exp.]]-1))</f>
        <v>#VALUE!</v>
      </c>
      <c r="G757" s="37">
        <v>39797</v>
      </c>
      <c r="H757">
        <v>8.8363300000000002</v>
      </c>
      <c r="I757" s="36">
        <f>IF(ISBLANK(H758), "", Long0[[#This Row],[Adj Close]]/H758-1)</f>
        <v>3.6519891265663684E-2</v>
      </c>
      <c r="J757" s="29">
        <v>39797</v>
      </c>
      <c r="K757">
        <v>1.217406</v>
      </c>
      <c r="L757" s="33">
        <f>IF(ISBLANK(K758),"",Long1[[#This Row],[Adj Close]]/K758-1)</f>
        <v>-4.3477782614229743E-2</v>
      </c>
      <c r="M757" s="37">
        <v>39797</v>
      </c>
      <c r="N757">
        <v>26.689803999999999</v>
      </c>
      <c r="O757" s="36">
        <f>IF(ISBLANK(N758),"",Long2[[#This Row],[Adj Close]]/N758-1)</f>
        <v>6.6984235062230724E-2</v>
      </c>
      <c r="P757" s="29">
        <v>39797</v>
      </c>
      <c r="Q757">
        <v>13.975785</v>
      </c>
      <c r="R757" s="33">
        <f>IF(ISBLANK(Q758),"",Long3[[#This Row],[Adj Close]]/Q758-1)</f>
        <v>5.108396739704979E-3</v>
      </c>
      <c r="S757" s="37">
        <v>39797</v>
      </c>
      <c r="T757" s="35">
        <v>7.5115410000000002</v>
      </c>
      <c r="U757" s="36">
        <f>IF(ISBLANK(T758),"",Long4[[#This Row],[Adj Close]]/T758-1)</f>
        <v>0.24435038356561978</v>
      </c>
      <c r="Y757" s="37">
        <v>39797</v>
      </c>
      <c r="Z757" s="35">
        <v>9.1506410000000002</v>
      </c>
      <c r="AA757" s="36">
        <f>IF(ISBLANK(Z758),"",Long6[[#This Row],[Adj Close]]/Z758-1)</f>
        <v>8.179717073701287E-2</v>
      </c>
      <c r="AH757" s="29">
        <v>39797</v>
      </c>
      <c r="AI757" s="44">
        <v>4.4550260000000002</v>
      </c>
      <c r="AJ757" s="33">
        <f>IF(ISBLANK(AI758),"",Short0[[#This Row],[Adj Close]]/AI758-1)</f>
        <v>0.12457916877550335</v>
      </c>
      <c r="AK757" s="37">
        <v>39797</v>
      </c>
      <c r="AL757" s="39">
        <v>18.594940000000001</v>
      </c>
      <c r="AM757" s="36">
        <f>IF(ISBLANK(AL758),"",Short1[[#This Row],[Adj Close]]/AL758-1)</f>
        <v>0.15069584990100382</v>
      </c>
      <c r="AN757" s="29">
        <v>39797</v>
      </c>
      <c r="AO757" s="44">
        <v>8.7902740000000001</v>
      </c>
      <c r="AP757" s="33">
        <f>IF(ISBLANK(AO758),"",Short2[[#This Row],[Adj Close]]/AO758-1)</f>
        <v>3.3091996148884695E-2</v>
      </c>
    </row>
    <row r="758" spans="1:42" x14ac:dyDescent="0.25">
      <c r="A758" s="37">
        <v>39790</v>
      </c>
      <c r="B758" s="39">
        <v>879.72997999999995</v>
      </c>
      <c r="C758" s="36">
        <f>IF(ISBLANK(B759), "", GSPC[[#This Row],[Adj Close]]/B759-1)</f>
        <v>4.1777175006059153E-3</v>
      </c>
      <c r="D75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5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58" s="11" t="e">
        <f>IF(ISBLANK(GSPC[[#This Row],[Long Exp.]]), "", (GSPC[[#This Row],[Long Exp.]]/D759-1)+(E759/GSPC[[#This Row],[Short Exp.]]-1))</f>
        <v>#VALUE!</v>
      </c>
      <c r="G758" s="37">
        <v>39790</v>
      </c>
      <c r="H758">
        <v>8.5249980000000001</v>
      </c>
      <c r="I758" s="36">
        <f>IF(ISBLANK(H759), "", Long0[[#This Row],[Adj Close]]/H759-1)</f>
        <v>-4.3165427252271349E-2</v>
      </c>
      <c r="J758" s="29">
        <v>39790</v>
      </c>
      <c r="K758">
        <v>1.272742</v>
      </c>
      <c r="L758" s="33">
        <f>IF(ISBLANK(K759),"",Long1[[#This Row],[Adj Close]]/K759-1)</f>
        <v>-3.1579347838492922E-2</v>
      </c>
      <c r="M758" s="37">
        <v>39790</v>
      </c>
      <c r="N758">
        <v>25.014244000000001</v>
      </c>
      <c r="O758" s="36">
        <f>IF(ISBLANK(N759),"",Long2[[#This Row],[Adj Close]]/N759-1)</f>
        <v>0.14254646888116818</v>
      </c>
      <c r="P758" s="29">
        <v>39790</v>
      </c>
      <c r="Q758">
        <v>13.904754000000001</v>
      </c>
      <c r="R758" s="33">
        <f>IF(ISBLANK(Q759),"",Long3[[#This Row],[Adj Close]]/Q759-1)</f>
        <v>-9.2257994043278835E-3</v>
      </c>
      <c r="S758" s="37">
        <v>39790</v>
      </c>
      <c r="T758" s="35">
        <v>6.0365159999999998</v>
      </c>
      <c r="U758" s="36">
        <f>IF(ISBLANK(T759),"",Long4[[#This Row],[Adj Close]]/T759-1)</f>
        <v>-0.13553126772181268</v>
      </c>
      <c r="Y758" s="37">
        <v>39790</v>
      </c>
      <c r="Z758" s="35">
        <v>8.4587400000000006</v>
      </c>
      <c r="AA758" s="36">
        <f>IF(ISBLANK(Z759),"",Long6[[#This Row],[Adj Close]]/Z759-1)</f>
        <v>0.25072063921049148</v>
      </c>
      <c r="AH758" s="29">
        <v>39790</v>
      </c>
      <c r="AI758" s="44">
        <v>3.9615049999999998</v>
      </c>
      <c r="AJ758" s="33">
        <f>IF(ISBLANK(AI759),"",Short0[[#This Row],[Adj Close]]/AI759-1)</f>
        <v>0.16242674138583157</v>
      </c>
      <c r="AK758" s="37">
        <v>39790</v>
      </c>
      <c r="AL758" s="39">
        <v>16.159735000000001</v>
      </c>
      <c r="AM758" s="36">
        <f>IF(ISBLANK(AL759),"",Short1[[#This Row],[Adj Close]]/AL759-1)</f>
        <v>5.9436475448796156E-2</v>
      </c>
      <c r="AN758" s="29">
        <v>39790</v>
      </c>
      <c r="AO758" s="44">
        <v>8.5087039999999998</v>
      </c>
      <c r="AP758" s="33">
        <f>IF(ISBLANK(AO759),"",Short2[[#This Row],[Adj Close]]/AO759-1)</f>
        <v>6.7328720332585634E-2</v>
      </c>
    </row>
    <row r="759" spans="1:42" x14ac:dyDescent="0.25">
      <c r="A759" s="37">
        <v>39783</v>
      </c>
      <c r="B759" s="39">
        <v>876.07000700000003</v>
      </c>
      <c r="C759" s="36">
        <f>IF(ISBLANK(B760), "", GSPC[[#This Row],[Adj Close]]/B760-1)</f>
        <v>-2.2505113836752577E-2</v>
      </c>
      <c r="D75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5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59" s="11" t="e">
        <f>IF(ISBLANK(GSPC[[#This Row],[Long Exp.]]), "", (GSPC[[#This Row],[Long Exp.]]/D760-1)+(E760/GSPC[[#This Row],[Short Exp.]]-1))</f>
        <v>#VALUE!</v>
      </c>
      <c r="G759" s="37">
        <v>39783</v>
      </c>
      <c r="H759">
        <v>8.9095840000000006</v>
      </c>
      <c r="I759" s="36">
        <f>IF(ISBLANK(H760), "", Long0[[#This Row],[Adj Close]]/H760-1)</f>
        <v>3.4006354735749644E-2</v>
      </c>
      <c r="J759" s="29">
        <v>39783</v>
      </c>
      <c r="K759">
        <v>1.3142450000000001</v>
      </c>
      <c r="L759" s="33">
        <f>IF(ISBLANK(K760),"",Long1[[#This Row],[Adj Close]]/K760-1)</f>
        <v>-7.7669732574084827E-2</v>
      </c>
      <c r="M759" s="37">
        <v>39783</v>
      </c>
      <c r="N759">
        <v>21.893415000000001</v>
      </c>
      <c r="O759" s="36">
        <f>IF(ISBLANK(N760),"",Long2[[#This Row],[Adj Close]]/N760-1)</f>
        <v>-9.1598178915626938E-2</v>
      </c>
      <c r="P759" s="29">
        <v>39783</v>
      </c>
      <c r="Q759">
        <v>14.034231</v>
      </c>
      <c r="R759" s="33">
        <f>IF(ISBLANK(Q760),"",Long3[[#This Row],[Adj Close]]/Q760-1)</f>
        <v>-0.10445532840947147</v>
      </c>
      <c r="S759" s="37">
        <v>39783</v>
      </c>
      <c r="T759" s="35">
        <v>6.98292</v>
      </c>
      <c r="U759" s="36">
        <f>IF(ISBLANK(T760),"",Long4[[#This Row],[Adj Close]]/T760-1)</f>
        <v>-7.1428485943010878E-2</v>
      </c>
      <c r="Y759" s="37">
        <v>39783</v>
      </c>
      <c r="Z759" s="35">
        <v>6.7630929999999996</v>
      </c>
      <c r="AA759" s="36">
        <f>IF(ISBLANK(Z760),"",Long6[[#This Row],[Adj Close]]/Z760-1)</f>
        <v>-4.8011084191092346E-2</v>
      </c>
      <c r="AH759" s="29">
        <v>39783</v>
      </c>
      <c r="AI759" s="44">
        <v>3.4079609999999998</v>
      </c>
      <c r="AJ759" s="33">
        <f>IF(ISBLANK(AI760),"",Short0[[#This Row],[Adj Close]]/AI760-1)</f>
        <v>-1.1605072542579364E-2</v>
      </c>
      <c r="AK759" s="37">
        <v>39783</v>
      </c>
      <c r="AL759" s="39">
        <v>15.253142</v>
      </c>
      <c r="AM759" s="36">
        <f>IF(ISBLANK(AL760),"",Short1[[#This Row],[Adj Close]]/AL760-1)</f>
        <v>0.11298815090557413</v>
      </c>
      <c r="AN759" s="29">
        <v>39783</v>
      </c>
      <c r="AO759" s="44">
        <v>7.9719620000000004</v>
      </c>
      <c r="AP759" s="33">
        <f>IF(ISBLANK(AO760),"",Short2[[#This Row],[Adj Close]]/AO760-1)</f>
        <v>0.2742622886096362</v>
      </c>
    </row>
    <row r="760" spans="1:42" x14ac:dyDescent="0.25">
      <c r="A760" s="37">
        <v>39776</v>
      </c>
      <c r="B760" s="39">
        <v>896.23999000000003</v>
      </c>
      <c r="C760" s="36">
        <f>IF(ISBLANK(B761), "", GSPC[[#This Row],[Adj Close]]/B761-1)</f>
        <v>0.12025793721800415</v>
      </c>
      <c r="D76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6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60" s="11" t="e">
        <f>IF(ISBLANK(GSPC[[#This Row],[Long Exp.]]), "", (GSPC[[#This Row],[Long Exp.]]/D761-1)+(E761/GSPC[[#This Row],[Short Exp.]]-1))</f>
        <v>#VALUE!</v>
      </c>
      <c r="G760" s="37">
        <v>39776</v>
      </c>
      <c r="H760">
        <v>8.6165660000000006</v>
      </c>
      <c r="I760" s="36">
        <f>IF(ISBLANK(H761), "", Long0[[#This Row],[Adj Close]]/H761-1)</f>
        <v>0.20332462227850545</v>
      </c>
      <c r="J760" s="29">
        <v>39776</v>
      </c>
      <c r="K760">
        <v>1.4249179999999999</v>
      </c>
      <c r="L760" s="33">
        <f>IF(ISBLANK(K761),"",Long1[[#This Row],[Adj Close]]/K761-1)</f>
        <v>2.9999653032782625E-2</v>
      </c>
      <c r="M760" s="37">
        <v>39776</v>
      </c>
      <c r="N760">
        <v>24.101025</v>
      </c>
      <c r="O760" s="36">
        <f>IF(ISBLANK(N761),"",Long2[[#This Row],[Adj Close]]/N761-1)</f>
        <v>0.21692060683078473</v>
      </c>
      <c r="P760" s="29">
        <v>39776</v>
      </c>
      <c r="Q760">
        <v>15.671168</v>
      </c>
      <c r="R760" s="33">
        <f>IF(ISBLANK(Q761),"",Long3[[#This Row],[Adj Close]]/Q761-1)</f>
        <v>5.9393186682872079E-2</v>
      </c>
      <c r="S760" s="37">
        <v>39776</v>
      </c>
      <c r="T760" s="35">
        <v>7.5200670000000001</v>
      </c>
      <c r="U760" s="36">
        <f>IF(ISBLANK(T761),"",Long4[[#This Row],[Adj Close]]/T761-1)</f>
        <v>0.25999981904419145</v>
      </c>
      <c r="Y760" s="37">
        <v>39776</v>
      </c>
      <c r="Z760" s="35">
        <v>7.1041720000000002</v>
      </c>
      <c r="AA760" s="36">
        <f>IF(ISBLANK(Z761),"",Long6[[#This Row],[Adj Close]]/Z761-1)</f>
        <v>0.32304915965877945</v>
      </c>
      <c r="AH760" s="29">
        <v>39776</v>
      </c>
      <c r="AI760" s="44">
        <v>3.447975</v>
      </c>
      <c r="AJ760" s="33">
        <f>IF(ISBLANK(AI761),"",Short0[[#This Row],[Adj Close]]/AI761-1)</f>
        <v>0.60061899096210047</v>
      </c>
      <c r="AK760" s="37">
        <v>39776</v>
      </c>
      <c r="AL760" s="39">
        <v>13.704675999999999</v>
      </c>
      <c r="AM760" s="36">
        <f>IF(ISBLANK(AL761),"",Short1[[#This Row],[Adj Close]]/AL761-1)</f>
        <v>0.17470218816919636</v>
      </c>
      <c r="AN760" s="29">
        <v>39776</v>
      </c>
      <c r="AO760" s="44">
        <v>6.2561390000000001</v>
      </c>
      <c r="AP760" s="33">
        <f>IF(ISBLANK(AO761),"",Short2[[#This Row],[Adj Close]]/AO761-1)</f>
        <v>0.95329645798039375</v>
      </c>
    </row>
    <row r="761" spans="1:42" x14ac:dyDescent="0.25">
      <c r="A761" s="37">
        <v>39769</v>
      </c>
      <c r="B761" s="39">
        <v>800.03002900000001</v>
      </c>
      <c r="C761" s="36">
        <f>IF(ISBLANK(B762), "", GSPC[[#This Row],[Adj Close]]/B762-1)</f>
        <v>-8.388960236069487E-2</v>
      </c>
      <c r="D76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6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61" s="11" t="e">
        <f>IF(ISBLANK(GSPC[[#This Row],[Long Exp.]]), "", (GSPC[[#This Row],[Long Exp.]]/D762-1)+(E762/GSPC[[#This Row],[Short Exp.]]-1))</f>
        <v>#VALUE!</v>
      </c>
      <c r="G761" s="37">
        <v>39769</v>
      </c>
      <c r="H761">
        <v>7.1606329999999998</v>
      </c>
      <c r="I761" s="36">
        <f>IF(ISBLANK(H762), "", Long0[[#This Row],[Adj Close]]/H762-1)</f>
        <v>-0.14348288163824319</v>
      </c>
      <c r="J761" s="29">
        <v>39769</v>
      </c>
      <c r="K761">
        <v>1.383416</v>
      </c>
      <c r="L761" s="33">
        <f>IF(ISBLANK(K762),"",Long1[[#This Row],[Adj Close]]/K762-1)</f>
        <v>-6.5420484984006211E-2</v>
      </c>
      <c r="M761" s="37">
        <v>39769</v>
      </c>
      <c r="N761">
        <v>19.804928</v>
      </c>
      <c r="O761" s="36">
        <f>IF(ISBLANK(N762),"",Long2[[#This Row],[Adj Close]]/N762-1)</f>
        <v>-0.2319064244929856</v>
      </c>
      <c r="P761" s="29">
        <v>39769</v>
      </c>
      <c r="Q761">
        <v>14.792589</v>
      </c>
      <c r="R761" s="33">
        <f>IF(ISBLANK(Q762),"",Long3[[#This Row],[Adj Close]]/Q762-1)</f>
        <v>-1.9313231027396904E-2</v>
      </c>
      <c r="S761" s="37">
        <v>39769</v>
      </c>
      <c r="T761" s="35">
        <v>5.9683080000000004</v>
      </c>
      <c r="U761" s="36">
        <f>IF(ISBLANK(T762),"",Long4[[#This Row],[Adj Close]]/T762-1)</f>
        <v>-0.19447629287103763</v>
      </c>
      <c r="Y761" s="37">
        <v>39769</v>
      </c>
      <c r="Z761" s="35">
        <v>5.3695449999999996</v>
      </c>
      <c r="AA761" s="36">
        <f>IF(ISBLANK(Z762),"",Long6[[#This Row],[Adj Close]]/Z762-1)</f>
        <v>-0.14573622617603277</v>
      </c>
      <c r="AH761" s="29">
        <v>39769</v>
      </c>
      <c r="AI761" s="44">
        <v>2.1541510000000001</v>
      </c>
      <c r="AJ761" s="33">
        <f>IF(ISBLANK(AI762),"",Short0[[#This Row],[Adj Close]]/AI762-1)</f>
        <v>-0.47135842037066122</v>
      </c>
      <c r="AK761" s="37">
        <v>39769</v>
      </c>
      <c r="AL761" s="39">
        <v>11.666511</v>
      </c>
      <c r="AM761" s="36">
        <f>IF(ISBLANK(AL762),"",Short1[[#This Row],[Adj Close]]/AL762-1)</f>
        <v>-0.20081552155703308</v>
      </c>
      <c r="AN761" s="29">
        <v>39769</v>
      </c>
      <c r="AO761" s="44">
        <v>3.2028620000000001</v>
      </c>
      <c r="AP761" s="33">
        <f>IF(ISBLANK(AO762),"",Short2[[#This Row],[Adj Close]]/AO762-1)</f>
        <v>-0.42222222222222228</v>
      </c>
    </row>
    <row r="762" spans="1:42" x14ac:dyDescent="0.25">
      <c r="A762" s="37">
        <v>39762</v>
      </c>
      <c r="B762" s="39">
        <v>873.28997800000002</v>
      </c>
      <c r="C762" s="36">
        <f>IF(ISBLANK(B763), "", GSPC[[#This Row],[Adj Close]]/B763-1)</f>
        <v>-6.1977048754305097E-2</v>
      </c>
      <c r="D76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6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62" s="11" t="e">
        <f>IF(ISBLANK(GSPC[[#This Row],[Long Exp.]]), "", (GSPC[[#This Row],[Long Exp.]]/D763-1)+(E763/GSPC[[#This Row],[Short Exp.]]-1))</f>
        <v>#VALUE!</v>
      </c>
      <c r="G762" s="37">
        <v>39762</v>
      </c>
      <c r="H762">
        <v>8.3601749999999999</v>
      </c>
      <c r="I762" s="36">
        <f>IF(ISBLANK(H763), "", Long0[[#This Row],[Adj Close]]/H763-1)</f>
        <v>-2.1436185572549005E-2</v>
      </c>
      <c r="J762" s="29">
        <v>39762</v>
      </c>
      <c r="K762">
        <v>1.4802550000000001</v>
      </c>
      <c r="L762" s="33">
        <f>IF(ISBLANK(K763),"",Long1[[#This Row],[Adj Close]]/K763-1)</f>
        <v>-8.5469752798103982E-2</v>
      </c>
      <c r="M762" s="37">
        <v>39762</v>
      </c>
      <c r="N762">
        <v>25.784524999999999</v>
      </c>
      <c r="O762" s="36">
        <f>IF(ISBLANK(N763),"",Long2[[#This Row],[Adj Close]]/N763-1)</f>
        <v>-0.10897278686758238</v>
      </c>
      <c r="P762" s="29">
        <v>39762</v>
      </c>
      <c r="Q762">
        <v>15.083907999999999</v>
      </c>
      <c r="R762" s="33">
        <f>IF(ISBLANK(Q763),"",Long3[[#This Row],[Adj Close]]/Q763-1)</f>
        <v>1.1786811381772067E-2</v>
      </c>
      <c r="S762" s="37">
        <v>39762</v>
      </c>
      <c r="T762" s="35">
        <v>7.4092269999999996</v>
      </c>
      <c r="U762" s="36">
        <f>IF(ISBLANK(T763),"",Long4[[#This Row],[Adj Close]]/T763-1)</f>
        <v>-0.11507146334437079</v>
      </c>
      <c r="Y762" s="37">
        <v>39762</v>
      </c>
      <c r="Z762" s="35">
        <v>6.2855819999999998</v>
      </c>
      <c r="AA762" s="36">
        <f>IF(ISBLANK(Z763),"",Long6[[#This Row],[Adj Close]]/Z763-1)</f>
        <v>-0.28093659717851238</v>
      </c>
      <c r="AH762" s="29">
        <v>39762</v>
      </c>
      <c r="AI762" s="44">
        <v>4.0748800000000003</v>
      </c>
      <c r="AJ762" s="33">
        <f>IF(ISBLANK(AI763),"",Short0[[#This Row],[Adj Close]]/AI763-1)</f>
        <v>-0.13086766915946124</v>
      </c>
      <c r="AK762" s="37">
        <v>39762</v>
      </c>
      <c r="AL762" s="39">
        <v>14.59802</v>
      </c>
      <c r="AM762" s="36">
        <f>IF(ISBLANK(AL763),"",Short1[[#This Row],[Adj Close]]/AL763-1)</f>
        <v>-0.13794451483550696</v>
      </c>
      <c r="AN762" s="29">
        <v>39762</v>
      </c>
      <c r="AO762" s="44">
        <v>5.5434150000000004</v>
      </c>
      <c r="AP762" s="33">
        <f>IF(ISBLANK(AO763),"",Short2[[#This Row],[Adj Close]]/AO763-1)</f>
        <v>-0.18709673161976037</v>
      </c>
    </row>
    <row r="763" spans="1:42" x14ac:dyDescent="0.25">
      <c r="A763" s="37">
        <v>39755</v>
      </c>
      <c r="B763" s="39">
        <v>930.98999000000003</v>
      </c>
      <c r="C763" s="36">
        <f>IF(ISBLANK(B764), "", GSPC[[#This Row],[Adj Close]]/B764-1)</f>
        <v>-3.8978074838709631E-2</v>
      </c>
      <c r="D76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6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63" s="11" t="e">
        <f>IF(ISBLANK(GSPC[[#This Row],[Long Exp.]]), "", (GSPC[[#This Row],[Long Exp.]]/D764-1)+(E764/GSPC[[#This Row],[Short Exp.]]-1))</f>
        <v>#VALUE!</v>
      </c>
      <c r="G763" s="37">
        <v>39755</v>
      </c>
      <c r="H763">
        <v>8.5433109999999992</v>
      </c>
      <c r="I763" s="36">
        <f>IF(ISBLANK(H764), "", Long0[[#This Row],[Adj Close]]/H764-1)</f>
        <v>8.8681287061666447E-2</v>
      </c>
      <c r="J763" s="29">
        <v>39755</v>
      </c>
      <c r="K763">
        <v>1.6185959999999999</v>
      </c>
      <c r="L763" s="33">
        <f>IF(ISBLANK(K764),"",Long1[[#This Row],[Adj Close]]/K764-1)</f>
        <v>0.16999947954917394</v>
      </c>
      <c r="M763" s="37">
        <v>39755</v>
      </c>
      <c r="N763">
        <v>28.937977</v>
      </c>
      <c r="O763" s="36">
        <f>IF(ISBLANK(N764),"",Long2[[#This Row],[Adj Close]]/N764-1)</f>
        <v>-7.4092733823526769E-2</v>
      </c>
      <c r="P763" s="29">
        <v>39755</v>
      </c>
      <c r="Q763">
        <v>14.908188000000001</v>
      </c>
      <c r="R763" s="33">
        <f>IF(ISBLANK(Q764),"",Long3[[#This Row],[Adj Close]]/Q764-1)</f>
        <v>-1.797146211520928E-2</v>
      </c>
      <c r="S763" s="37">
        <v>39755</v>
      </c>
      <c r="T763" s="35">
        <v>8.3726839999999996</v>
      </c>
      <c r="U763" s="36">
        <f>IF(ISBLANK(T764),"",Long4[[#This Row],[Adj Close]]/T764-1)</f>
        <v>8.6283316443171998E-2</v>
      </c>
      <c r="Y763" s="37">
        <v>39755</v>
      </c>
      <c r="Z763" s="35">
        <v>8.7413460000000001</v>
      </c>
      <c r="AA763" s="36">
        <f>IF(ISBLANK(Z764),"",Long6[[#This Row],[Adj Close]]/Z764-1)</f>
        <v>-0.17097969042281869</v>
      </c>
      <c r="AH763" s="29">
        <v>39755</v>
      </c>
      <c r="AI763" s="44">
        <v>4.6884459999999999</v>
      </c>
      <c r="AJ763" s="33">
        <f>IF(ISBLANK(AI764),"",Short0[[#This Row],[Adj Close]]/AI764-1)</f>
        <v>-0.50458066076608765</v>
      </c>
      <c r="AK763" s="37">
        <v>39755</v>
      </c>
      <c r="AL763" s="39">
        <v>16.933968</v>
      </c>
      <c r="AM763" s="36">
        <f>IF(ISBLANK(AL764),"",Short1[[#This Row],[Adj Close]]/AL764-1)</f>
        <v>-4.7991302264794311E-2</v>
      </c>
      <c r="AN763" s="29">
        <v>39755</v>
      </c>
      <c r="AO763" s="44">
        <v>6.81928</v>
      </c>
      <c r="AP763" s="33">
        <f>IF(ISBLANK(AO764),"",Short2[[#This Row],[Adj Close]]/AO764-1)</f>
        <v>1.2916851859112732E-3</v>
      </c>
    </row>
    <row r="764" spans="1:42" x14ac:dyDescent="0.25">
      <c r="A764" s="37">
        <v>39748</v>
      </c>
      <c r="B764" s="39">
        <v>968.75</v>
      </c>
      <c r="C764" s="36">
        <f>IF(ISBLANK(B765), "", GSPC[[#This Row],[Adj Close]]/B765-1)</f>
        <v>0.10490776133061663</v>
      </c>
      <c r="D76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6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64" s="11" t="e">
        <f>IF(ISBLANK(GSPC[[#This Row],[Long Exp.]]), "", (GSPC[[#This Row],[Long Exp.]]/D765-1)+(E765/GSPC[[#This Row],[Short Exp.]]-1))</f>
        <v>#VALUE!</v>
      </c>
      <c r="G764" s="37">
        <v>39748</v>
      </c>
      <c r="H764">
        <v>7.8473940000000004</v>
      </c>
      <c r="I764" s="36">
        <f>IF(ISBLANK(H765), "", Long0[[#This Row],[Adj Close]]/H765-1)</f>
        <v>0.36900953199391018</v>
      </c>
      <c r="J764" s="29">
        <v>39748</v>
      </c>
      <c r="K764">
        <v>1.383416</v>
      </c>
      <c r="L764" s="33">
        <f>IF(ISBLANK(K765),"",Long1[[#This Row],[Adj Close]]/K765-1)</f>
        <v>4.1666949029387501E-2</v>
      </c>
      <c r="M764" s="37">
        <v>39748</v>
      </c>
      <c r="N764">
        <v>31.253644999999999</v>
      </c>
      <c r="O764" s="36">
        <f>IF(ISBLANK(N765),"",Long2[[#This Row],[Adj Close]]/N765-1)</f>
        <v>0.41864688944950301</v>
      </c>
      <c r="P764" s="29">
        <v>39748</v>
      </c>
      <c r="Q764">
        <v>15.181013</v>
      </c>
      <c r="R764" s="33">
        <f>IF(ISBLANK(Q765),"",Long3[[#This Row],[Adj Close]]/Q765-1)</f>
        <v>0.11933142179816647</v>
      </c>
      <c r="S764" s="37">
        <v>39748</v>
      </c>
      <c r="T764" s="35">
        <v>7.707643</v>
      </c>
      <c r="U764" s="36">
        <f>IF(ISBLANK(T765),"",Long4[[#This Row],[Adj Close]]/T765-1)</f>
        <v>0.18015661838538888</v>
      </c>
      <c r="Y764" s="37">
        <v>39748</v>
      </c>
      <c r="Z764" s="35">
        <v>10.544188</v>
      </c>
      <c r="AA764" s="36">
        <f>IF(ISBLANK(Z765),"",Long6[[#This Row],[Adj Close]]/Z765-1)</f>
        <v>0.11661503932068995</v>
      </c>
      <c r="AH764" s="29">
        <v>39748</v>
      </c>
      <c r="AI764" s="44">
        <v>9.4635909999999992</v>
      </c>
      <c r="AJ764" s="33">
        <f>IF(ISBLANK(AI765),"",Short0[[#This Row],[Adj Close]]/AI765-1)</f>
        <v>1.2452530087666869</v>
      </c>
      <c r="AK764" s="37">
        <v>39748</v>
      </c>
      <c r="AL764" s="39">
        <v>17.787618999999999</v>
      </c>
      <c r="AM764" s="36">
        <f>IF(ISBLANK(AL765),"",Short1[[#This Row],[Adj Close]]/AL765-1)</f>
        <v>0.19413613430089893</v>
      </c>
      <c r="AN764" s="29">
        <v>39748</v>
      </c>
      <c r="AO764" s="44">
        <v>6.8104829999999996</v>
      </c>
      <c r="AP764" s="33">
        <f>IF(ISBLANK(AO765),"",Short2[[#This Row],[Adj Close]]/AO765-1)</f>
        <v>0.19203222354427463</v>
      </c>
    </row>
    <row r="765" spans="1:42" x14ac:dyDescent="0.25">
      <c r="A765" s="37">
        <v>39741</v>
      </c>
      <c r="B765" s="39">
        <v>876.77002000000005</v>
      </c>
      <c r="C765" s="36">
        <f>IF(ISBLANK(B766), "", GSPC[[#This Row],[Adj Close]]/B766-1)</f>
        <v>-6.781135379696579E-2</v>
      </c>
      <c r="D76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6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65" s="11" t="e">
        <f>IF(ISBLANK(GSPC[[#This Row],[Long Exp.]]), "", (GSPC[[#This Row],[Long Exp.]]/D766-1)+(E766/GSPC[[#This Row],[Short Exp.]]-1))</f>
        <v>#VALUE!</v>
      </c>
      <c r="G765" s="37">
        <v>39741</v>
      </c>
      <c r="H765">
        <v>5.7321689999999998</v>
      </c>
      <c r="I765" s="36">
        <f>IF(ISBLANK(H766), "", Long0[[#This Row],[Adj Close]]/H766-1)</f>
        <v>-0.23751514416285302</v>
      </c>
      <c r="J765" s="29">
        <v>39741</v>
      </c>
      <c r="K765">
        <v>1.328079</v>
      </c>
      <c r="L765" s="33">
        <f>IF(ISBLANK(K766),"",Long1[[#This Row],[Adj Close]]/K766-1)</f>
        <v>-5.8823571098531313E-2</v>
      </c>
      <c r="M765" s="37">
        <v>39741</v>
      </c>
      <c r="N765">
        <v>22.030601999999998</v>
      </c>
      <c r="O765" s="36">
        <f>IF(ISBLANK(N766),"",Long2[[#This Row],[Adj Close]]/N766-1)</f>
        <v>-0.17468840374863293</v>
      </c>
      <c r="P765" s="29">
        <v>39741</v>
      </c>
      <c r="Q765">
        <v>13.562571999999999</v>
      </c>
      <c r="R765" s="33">
        <f>IF(ISBLANK(Q766),"",Long3[[#This Row],[Adj Close]]/Q766-1)</f>
        <v>-4.4625289410961222E-2</v>
      </c>
      <c r="S765" s="37">
        <v>39741</v>
      </c>
      <c r="T765" s="35">
        <v>6.531034</v>
      </c>
      <c r="U765" s="36">
        <f>IF(ISBLANK(T766),"",Long4[[#This Row],[Adj Close]]/T766-1)</f>
        <v>-0.19958198567588881</v>
      </c>
      <c r="Y765" s="37">
        <v>39741</v>
      </c>
      <c r="Z765" s="35">
        <v>9.4429929999999995</v>
      </c>
      <c r="AA765" s="36">
        <f>IF(ISBLANK(Z766),"",Long6[[#This Row],[Adj Close]]/Z766-1)</f>
        <v>-8.67105306425624E-2</v>
      </c>
      <c r="AH765" s="29">
        <v>39741</v>
      </c>
      <c r="AI765" s="44">
        <v>4.2149330000000003</v>
      </c>
      <c r="AJ765" s="33">
        <f>IF(ISBLANK(AI766),"",Short0[[#This Row],[Adj Close]]/AI766-1)</f>
        <v>-0.51607967097027729</v>
      </c>
      <c r="AK765" s="37">
        <v>39741</v>
      </c>
      <c r="AL765" s="39">
        <v>14.895804999999999</v>
      </c>
      <c r="AM765" s="36">
        <f>IF(ISBLANK(AL766),"",Short1[[#This Row],[Adj Close]]/AL766-1)</f>
        <v>-9.0504976003023652E-2</v>
      </c>
      <c r="AN765" s="29">
        <v>39741</v>
      </c>
      <c r="AO765" s="44">
        <v>5.7133380000000002</v>
      </c>
      <c r="AP765" s="33">
        <f>IF(ISBLANK(AO766),"",Short2[[#This Row],[Adj Close]]/AO766-1)</f>
        <v>-0.26987719378508379</v>
      </c>
    </row>
    <row r="766" spans="1:42" x14ac:dyDescent="0.25">
      <c r="A766" s="37">
        <v>39734</v>
      </c>
      <c r="B766" s="39">
        <v>940.54998799999998</v>
      </c>
      <c r="C766" s="36">
        <f>IF(ISBLANK(B767), "", GSPC[[#This Row],[Adj Close]]/B767-1)</f>
        <v>4.5962076391650841E-2</v>
      </c>
      <c r="D76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6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66" s="11" t="e">
        <f>IF(ISBLANK(GSPC[[#This Row],[Long Exp.]]), "", (GSPC[[#This Row],[Long Exp.]]/D767-1)+(E767/GSPC[[#This Row],[Short Exp.]]-1))</f>
        <v>#VALUE!</v>
      </c>
      <c r="G766" s="37">
        <v>39734</v>
      </c>
      <c r="H766">
        <v>7.5177480000000001</v>
      </c>
      <c r="I766" s="36">
        <f>IF(ISBLANK(H767), "", Long0[[#This Row],[Adj Close]]/H767-1)</f>
        <v>0.1371191079169467</v>
      </c>
      <c r="J766" s="29">
        <v>39734</v>
      </c>
      <c r="K766">
        <v>1.411084</v>
      </c>
      <c r="L766" s="33">
        <f>IF(ISBLANK(K767),"",Long1[[#This Row],[Adj Close]]/K767-1)</f>
        <v>-8.1080834675378965E-2</v>
      </c>
      <c r="M766" s="37">
        <v>39734</v>
      </c>
      <c r="N766">
        <v>26.693677999999998</v>
      </c>
      <c r="O766" s="36">
        <f>IF(ISBLANK(N767),"",Long2[[#This Row],[Adj Close]]/N767-1)</f>
        <v>-7.5274543955612727E-2</v>
      </c>
      <c r="P766" s="29">
        <v>39734</v>
      </c>
      <c r="Q766">
        <v>14.196076</v>
      </c>
      <c r="R766" s="33">
        <f>IF(ISBLANK(Q767),"",Long3[[#This Row],[Adj Close]]/Q767-1)</f>
        <v>2.3333700009126046E-2</v>
      </c>
      <c r="S766" s="37">
        <v>39734</v>
      </c>
      <c r="T766" s="35">
        <v>8.1595289999999991</v>
      </c>
      <c r="U766" s="36">
        <f>IF(ISBLANK(T767),"",Long4[[#This Row],[Adj Close]]/T767-1)</f>
        <v>-9.1168116871834015E-2</v>
      </c>
      <c r="Y766" s="37">
        <v>39734</v>
      </c>
      <c r="Z766" s="35">
        <v>10.33954</v>
      </c>
      <c r="AA766" s="36">
        <f>IF(ISBLANK(Z767),"",Long6[[#This Row],[Adj Close]]/Z767-1)</f>
        <v>0.10751574986383061</v>
      </c>
      <c r="AH766" s="29">
        <v>39734</v>
      </c>
      <c r="AI766" s="44">
        <v>8.7099729999999997</v>
      </c>
      <c r="AJ766" s="33">
        <f>IF(ISBLANK(AI767),"",Short0[[#This Row],[Adj Close]]/AI767-1)</f>
        <v>-7.0462669835854586E-2</v>
      </c>
      <c r="AK766" s="37">
        <v>39734</v>
      </c>
      <c r="AL766" s="39">
        <v>16.378105000000001</v>
      </c>
      <c r="AM766" s="36">
        <f>IF(ISBLANK(AL767),"",Short1[[#This Row],[Adj Close]]/AL767-1)</f>
        <v>-3.8835255141887237E-2</v>
      </c>
      <c r="AN766" s="29">
        <v>39734</v>
      </c>
      <c r="AO766" s="44">
        <v>7.8251739999999996</v>
      </c>
      <c r="AP766" s="33">
        <f>IF(ISBLANK(AO767),"",Short2[[#This Row],[Adj Close]]/AO767-1)</f>
        <v>-8.0329250086000448E-2</v>
      </c>
    </row>
    <row r="767" spans="1:42" x14ac:dyDescent="0.25">
      <c r="A767" s="37">
        <v>39727</v>
      </c>
      <c r="B767" s="39">
        <v>899.21997099999999</v>
      </c>
      <c r="C767" s="36">
        <f>IF(ISBLANK(B768), "", GSPC[[#This Row],[Adj Close]]/B768-1)</f>
        <v>-0.18195465247408926</v>
      </c>
      <c r="D76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6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67" s="11" t="e">
        <f>IF(ISBLANK(GSPC[[#This Row],[Long Exp.]]), "", (GSPC[[#This Row],[Long Exp.]]/D768-1)+(E768/GSPC[[#This Row],[Short Exp.]]-1))</f>
        <v>#VALUE!</v>
      </c>
      <c r="G767" s="37">
        <v>39727</v>
      </c>
      <c r="H767">
        <v>6.6112229999999998</v>
      </c>
      <c r="I767" s="36">
        <f>IF(ISBLANK(H768), "", Long0[[#This Row],[Adj Close]]/H768-1)</f>
        <v>-0.29698159963777326</v>
      </c>
      <c r="J767" s="29">
        <v>39727</v>
      </c>
      <c r="K767">
        <v>1.5355909999999999</v>
      </c>
      <c r="L767" s="33">
        <f>IF(ISBLANK(K768),"",Long1[[#This Row],[Adj Close]]/K768-1)</f>
        <v>-7.5000346364885506E-2</v>
      </c>
      <c r="M767" s="37">
        <v>39727</v>
      </c>
      <c r="N767">
        <v>28.866598</v>
      </c>
      <c r="O767" s="36">
        <f>IF(ISBLANK(N768),"",Long2[[#This Row],[Adj Close]]/N768-1)</f>
        <v>-0.10958925912858775</v>
      </c>
      <c r="P767" s="29">
        <v>39727</v>
      </c>
      <c r="Q767">
        <v>13.872382</v>
      </c>
      <c r="R767" s="33">
        <f>IF(ISBLANK(Q768),"",Long3[[#This Row],[Adj Close]]/Q768-1)</f>
        <v>-0.1643459512495552</v>
      </c>
      <c r="S767" s="37">
        <v>39727</v>
      </c>
      <c r="T767" s="35">
        <v>8.97804</v>
      </c>
      <c r="U767" s="36">
        <f>IF(ISBLANK(T768),"",Long4[[#This Row],[Adj Close]]/T768-1)</f>
        <v>-0.14943453469880463</v>
      </c>
      <c r="Y767" s="37">
        <v>39727</v>
      </c>
      <c r="Z767" s="35">
        <v>9.3357949999999992</v>
      </c>
      <c r="AA767" s="36">
        <f>IF(ISBLANK(Z768),"",Long6[[#This Row],[Adj Close]]/Z768-1)</f>
        <v>-0.11623639832297072</v>
      </c>
      <c r="AH767" s="29">
        <v>39727</v>
      </c>
      <c r="AI767" s="44">
        <v>9.3702240000000003</v>
      </c>
      <c r="AJ767" s="33">
        <f>IF(ISBLANK(AI768),"",Short0[[#This Row],[Adj Close]]/AI768-1)</f>
        <v>-0.39203800339931516</v>
      </c>
      <c r="AK767" s="37">
        <v>39727</v>
      </c>
      <c r="AL767" s="39">
        <v>17.039852</v>
      </c>
      <c r="AM767" s="36">
        <f>IF(ISBLANK(AL768),"",Short1[[#This Row],[Adj Close]]/AL768-1)</f>
        <v>-0.2323269911759186</v>
      </c>
      <c r="AN767" s="29">
        <v>39727</v>
      </c>
      <c r="AO767" s="44">
        <v>8.5086689999999994</v>
      </c>
      <c r="AP767" s="33">
        <f>IF(ISBLANK(AO768),"",Short2[[#This Row],[Adj Close]]/AO768-1)</f>
        <v>-0.19619180937753511</v>
      </c>
    </row>
    <row r="768" spans="1:42" x14ac:dyDescent="0.25">
      <c r="A768" s="37">
        <v>39720</v>
      </c>
      <c r="B768" s="39">
        <v>1099.2299800000001</v>
      </c>
      <c r="C768" s="36">
        <f>IF(ISBLANK(B769), "", GSPC[[#This Row],[Adj Close]]/B769-1)</f>
        <v>-9.3993948684234274E-2</v>
      </c>
      <c r="D76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6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68" s="11" t="e">
        <f>IF(ISBLANK(GSPC[[#This Row],[Long Exp.]]), "", (GSPC[[#This Row],[Long Exp.]]/D769-1)+(E769/GSPC[[#This Row],[Short Exp.]]-1))</f>
        <v>#VALUE!</v>
      </c>
      <c r="G768" s="37">
        <v>39720</v>
      </c>
      <c r="H768">
        <v>9.4040540000000004</v>
      </c>
      <c r="I768" s="36">
        <f>IF(ISBLANK(H769), "", Long0[[#This Row],[Adj Close]]/H769-1)</f>
        <v>-0.12222203865281078</v>
      </c>
      <c r="J768" s="29">
        <v>39720</v>
      </c>
      <c r="K768">
        <v>1.660099</v>
      </c>
      <c r="L768" s="33">
        <f>IF(ISBLANK(K769),"",Long1[[#This Row],[Adj Close]]/K769-1)</f>
        <v>-4.0000115655739132E-2</v>
      </c>
      <c r="M768" s="37">
        <v>39720</v>
      </c>
      <c r="N768">
        <v>32.419418</v>
      </c>
      <c r="O768" s="36">
        <f>IF(ISBLANK(N769),"",Long2[[#This Row],[Adj Close]]/N769-1)</f>
        <v>-0.46245873401353921</v>
      </c>
      <c r="P768" s="29">
        <v>39720</v>
      </c>
      <c r="Q768">
        <v>16.600628</v>
      </c>
      <c r="R768" s="33">
        <f>IF(ISBLANK(Q769),"",Long3[[#This Row],[Adj Close]]/Q769-1)</f>
        <v>-4.521264725599905E-2</v>
      </c>
      <c r="S768" s="37">
        <v>39720</v>
      </c>
      <c r="T768" s="35">
        <v>10.555377999999999</v>
      </c>
      <c r="U768" s="36">
        <f>IF(ISBLANK(T769),"",Long4[[#This Row],[Adj Close]]/T769-1)</f>
        <v>-0.10094420900616374</v>
      </c>
      <c r="Y768" s="37">
        <v>39720</v>
      </c>
      <c r="Z768" s="35">
        <v>10.563679</v>
      </c>
      <c r="AA768" s="36">
        <f>IF(ISBLANK(Z769),"",Long6[[#This Row],[Adj Close]]/Z769-1)</f>
        <v>-0.22126436040190289</v>
      </c>
      <c r="AH768" s="29">
        <v>39720</v>
      </c>
      <c r="AI768" s="44">
        <v>15.412516</v>
      </c>
      <c r="AJ768" s="33">
        <f>IF(ISBLANK(AI769),"",Short0[[#This Row],[Adj Close]]/AI769-1)</f>
        <v>-0.39581705520146782</v>
      </c>
      <c r="AK768" s="37">
        <v>39720</v>
      </c>
      <c r="AL768" s="39">
        <v>22.196757999999999</v>
      </c>
      <c r="AM768" s="36">
        <f>IF(ISBLANK(AL769),"",Short1[[#This Row],[Adj Close]]/AL769-1)</f>
        <v>-0.13905935245324808</v>
      </c>
      <c r="AN768" s="29">
        <v>39720</v>
      </c>
      <c r="AO768" s="44">
        <v>10.585447</v>
      </c>
      <c r="AP768" s="33">
        <f>IF(ISBLANK(AO769),"",Short2[[#This Row],[Adj Close]]/AO769-1)</f>
        <v>-0.20942432463901117</v>
      </c>
    </row>
    <row r="769" spans="1:42" x14ac:dyDescent="0.25">
      <c r="A769" s="37">
        <v>39713</v>
      </c>
      <c r="B769" s="39">
        <v>1213.2700199999999</v>
      </c>
      <c r="C769" s="36">
        <f>IF(ISBLANK(B770), "", GSPC[[#This Row],[Adj Close]]/B770-1)</f>
        <v>-3.3312567697479922E-2</v>
      </c>
      <c r="D76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6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69" s="11" t="e">
        <f>IF(ISBLANK(GSPC[[#This Row],[Long Exp.]]), "", (GSPC[[#This Row],[Long Exp.]]/D770-1)+(E770/GSPC[[#This Row],[Short Exp.]]-1))</f>
        <v>#VALUE!</v>
      </c>
      <c r="G769" s="37">
        <v>39713</v>
      </c>
      <c r="H769">
        <v>10.713476999999999</v>
      </c>
      <c r="I769" s="36">
        <f>IF(ISBLANK(H770), "", Long0[[#This Row],[Adj Close]]/H770-1)</f>
        <v>-8.4746515655742538E-3</v>
      </c>
      <c r="J769" s="29">
        <v>39713</v>
      </c>
      <c r="K769">
        <v>1.7292700000000001</v>
      </c>
      <c r="L769" s="33">
        <f>IF(ISBLANK(K770),"",Long1[[#This Row],[Adj Close]]/K770-1)</f>
        <v>1.6260568723220237E-2</v>
      </c>
      <c r="M769" s="37">
        <v>39713</v>
      </c>
      <c r="N769">
        <v>60.310566000000001</v>
      </c>
      <c r="O769" s="36">
        <f>IF(ISBLANK(N770),"",Long2[[#This Row],[Adj Close]]/N770-1)</f>
        <v>-0.20224495765277939</v>
      </c>
      <c r="P769" s="29">
        <v>39713</v>
      </c>
      <c r="Q769">
        <v>17.386728000000002</v>
      </c>
      <c r="R769" s="33">
        <f>IF(ISBLANK(Q770),"",Long3[[#This Row],[Adj Close]]/Q770-1)</f>
        <v>2.6630845906483458E-4</v>
      </c>
      <c r="S769" s="37">
        <v>39713</v>
      </c>
      <c r="T769" s="35">
        <v>11.740515</v>
      </c>
      <c r="U769" s="36">
        <f>IF(ISBLANK(T770),"",Long4[[#This Row],[Adj Close]]/T770-1)</f>
        <v>-0.12125083782512391</v>
      </c>
      <c r="Y769" s="37">
        <v>39713</v>
      </c>
      <c r="Z769" s="35">
        <v>13.565167000000001</v>
      </c>
      <c r="AA769" s="36">
        <f>IF(ISBLANK(Z770),"",Long6[[#This Row],[Adj Close]]/Z770-1)</f>
        <v>-0.13432837440101708</v>
      </c>
      <c r="AH769" s="29">
        <v>39713</v>
      </c>
      <c r="AI769" s="44">
        <v>25.509684</v>
      </c>
      <c r="AJ769" s="33">
        <f>IF(ISBLANK(AI770),"",Short0[[#This Row],[Adj Close]]/AI770-1)</f>
        <v>-0.12671217541944013</v>
      </c>
      <c r="AK769" s="37">
        <v>39713</v>
      </c>
      <c r="AL769" s="39">
        <v>25.781984000000001</v>
      </c>
      <c r="AM769" s="36">
        <f>IF(ISBLANK(AL770),"",Short1[[#This Row],[Adj Close]]/AL770-1)</f>
        <v>-5.7122117097518577E-2</v>
      </c>
      <c r="AN769" s="29">
        <v>39713</v>
      </c>
      <c r="AO769" s="44">
        <v>13.389543</v>
      </c>
      <c r="AP769" s="33">
        <f>IF(ISBLANK(AO770),"",Short2[[#This Row],[Adj Close]]/AO770-1)</f>
        <v>-8.7761310970572715E-2</v>
      </c>
    </row>
    <row r="770" spans="1:42" x14ac:dyDescent="0.25">
      <c r="A770" s="37">
        <v>39706</v>
      </c>
      <c r="B770" s="39">
        <v>1255.079956</v>
      </c>
      <c r="C770" s="36">
        <f>IF(ISBLANK(B771), "", GSPC[[#This Row],[Adj Close]]/B771-1)</f>
        <v>2.7003316548024348E-3</v>
      </c>
      <c r="D77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7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70" s="11" t="e">
        <f>IF(ISBLANK(GSPC[[#This Row],[Long Exp.]]), "", (GSPC[[#This Row],[Long Exp.]]/D771-1)+(E771/GSPC[[#This Row],[Short Exp.]]-1))</f>
        <v>#VALUE!</v>
      </c>
      <c r="G770" s="37">
        <v>39706</v>
      </c>
      <c r="H770">
        <v>10.805046000000001</v>
      </c>
      <c r="I770" s="36">
        <f>IF(ISBLANK(H771), "", Long0[[#This Row],[Adj Close]]/H771-1)</f>
        <v>2.1645073219161315E-2</v>
      </c>
      <c r="J770" s="29">
        <v>39706</v>
      </c>
      <c r="K770">
        <v>1.7016009999999999</v>
      </c>
      <c r="L770" s="33">
        <f>IF(ISBLANK(K771),"",Long1[[#This Row],[Adj Close]]/K771-1)</f>
        <v>-5.3846111074042025E-2</v>
      </c>
      <c r="M770" s="37">
        <v>39706</v>
      </c>
      <c r="N770">
        <v>75.600357000000002</v>
      </c>
      <c r="O770" s="36">
        <f>IF(ISBLANK(N771),"",Long2[[#This Row],[Adj Close]]/N771-1)</f>
        <v>3.6759378116263397E-2</v>
      </c>
      <c r="P770" s="29">
        <v>39706</v>
      </c>
      <c r="Q770">
        <v>17.382099</v>
      </c>
      <c r="R770" s="33">
        <f>IF(ISBLANK(Q771),"",Long3[[#This Row],[Adj Close]]/Q771-1)</f>
        <v>-3.7567328238002573E-2</v>
      </c>
      <c r="S770" s="37">
        <v>39706</v>
      </c>
      <c r="T770" s="35">
        <v>13.360485000000001</v>
      </c>
      <c r="U770" s="36">
        <f>IF(ISBLANK(T771),"",Long4[[#This Row],[Adj Close]]/T771-1)</f>
        <v>3.160001995177919E-2</v>
      </c>
      <c r="Y770" s="37">
        <v>39706</v>
      </c>
      <c r="Z770" s="35">
        <v>15.670107</v>
      </c>
      <c r="AA770" s="36">
        <f>IF(ISBLANK(Z771),"",Long6[[#This Row],[Adj Close]]/Z771-1)</f>
        <v>0.24074098414237755</v>
      </c>
      <c r="AH770" s="29">
        <v>39706</v>
      </c>
      <c r="AI770" s="44">
        <v>29.211084</v>
      </c>
      <c r="AJ770" s="33">
        <f>IF(ISBLANK(AI771),"",Short0[[#This Row],[Adj Close]]/AI771-1)</f>
        <v>0.16149524896090584</v>
      </c>
      <c r="AK770" s="37">
        <v>39706</v>
      </c>
      <c r="AL770" s="39">
        <v>27.343927000000001</v>
      </c>
      <c r="AM770" s="36">
        <f>IF(ISBLANK(AL771),"",Short1[[#This Row],[Adj Close]]/AL771-1)</f>
        <v>-6.7430538498230441E-2</v>
      </c>
      <c r="AN770" s="29">
        <v>39706</v>
      </c>
      <c r="AO770" s="44">
        <v>14.677675000000001</v>
      </c>
      <c r="AP770" s="33">
        <f>IF(ISBLANK(AO771),"",Short2[[#This Row],[Adj Close]]/AO771-1)</f>
        <v>0.16643490564208441</v>
      </c>
    </row>
    <row r="771" spans="1:42" x14ac:dyDescent="0.25">
      <c r="A771" s="37">
        <v>39699</v>
      </c>
      <c r="B771" s="39">
        <v>1251.6999510000001</v>
      </c>
      <c r="C771" s="36">
        <f>IF(ISBLANK(B772), "", GSPC[[#This Row],[Adj Close]]/B772-1)</f>
        <v>7.5584125975431959E-3</v>
      </c>
      <c r="D77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7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71" s="11" t="e">
        <f>IF(ISBLANK(GSPC[[#This Row],[Long Exp.]]), "", (GSPC[[#This Row],[Long Exp.]]/D772-1)+(E772/GSPC[[#This Row],[Short Exp.]]-1))</f>
        <v>#VALUE!</v>
      </c>
      <c r="G771" s="37">
        <v>39699</v>
      </c>
      <c r="H771">
        <v>10.576124999999999</v>
      </c>
      <c r="I771" s="36">
        <f>IF(ISBLANK(H772), "", Long0[[#This Row],[Adj Close]]/H772-1)</f>
        <v>-7.6000022016380786E-2</v>
      </c>
      <c r="J771" s="29">
        <v>39699</v>
      </c>
      <c r="K771">
        <v>1.79844</v>
      </c>
      <c r="L771" s="33">
        <f>IF(ISBLANK(K772),"",Long1[[#This Row],[Adj Close]]/K772-1)</f>
        <v>-1.5151888523631363E-2</v>
      </c>
      <c r="M771" s="37">
        <v>39699</v>
      </c>
      <c r="N771">
        <v>72.919867999999994</v>
      </c>
      <c r="O771" s="36">
        <f>IF(ISBLANK(N772),"",Long2[[#This Row],[Adj Close]]/N772-1)</f>
        <v>-2.7190125241493668E-2</v>
      </c>
      <c r="P771" s="29">
        <v>39699</v>
      </c>
      <c r="Q771">
        <v>18.060587000000002</v>
      </c>
      <c r="R771" s="33">
        <f>IF(ISBLANK(Q772),"",Long3[[#This Row],[Adj Close]]/Q772-1)</f>
        <v>-6.8079288906387481E-3</v>
      </c>
      <c r="S771" s="37">
        <v>39699</v>
      </c>
      <c r="T771" s="35">
        <v>12.951226</v>
      </c>
      <c r="U771" s="36">
        <f>IF(ISBLANK(T772),"",Long4[[#This Row],[Adj Close]]/T772-1)</f>
        <v>-1.7464489634776426E-2</v>
      </c>
      <c r="Y771" s="37">
        <v>39699</v>
      </c>
      <c r="Z771" s="35">
        <v>12.629636</v>
      </c>
      <c r="AA771" s="36">
        <f>IF(ISBLANK(Z772),"",Long6[[#This Row],[Adj Close]]/Z772-1)</f>
        <v>1.2499477902383704E-2</v>
      </c>
      <c r="AH771" s="29">
        <v>39699</v>
      </c>
      <c r="AI771" s="44">
        <v>25.149550999999999</v>
      </c>
      <c r="AJ771" s="33">
        <f>IF(ISBLANK(AI772),"",Short0[[#This Row],[Adj Close]]/AI772-1)</f>
        <v>-0.11520394543761114</v>
      </c>
      <c r="AK771" s="37">
        <v>39699</v>
      </c>
      <c r="AL771" s="39">
        <v>29.321062000000001</v>
      </c>
      <c r="AM771" s="36">
        <f>IF(ISBLANK(AL772),"",Short1[[#This Row],[Adj Close]]/AL772-1)</f>
        <v>-9.5725467237156581E-3</v>
      </c>
      <c r="AN771" s="29">
        <v>39699</v>
      </c>
      <c r="AO771" s="44">
        <v>12.583364</v>
      </c>
      <c r="AP771" s="33">
        <f>IF(ISBLANK(AO772),"",Short2[[#This Row],[Adj Close]]/AO772-1)</f>
        <v>5.8996866190447417E-2</v>
      </c>
    </row>
    <row r="772" spans="1:42" x14ac:dyDescent="0.25">
      <c r="A772" s="37">
        <v>39692</v>
      </c>
      <c r="B772" s="39">
        <v>1242.3100589999999</v>
      </c>
      <c r="C772" s="36">
        <f>IF(ISBLANK(B773), "", GSPC[[#This Row],[Adj Close]]/B773-1)</f>
        <v>-3.1586335204040195E-2</v>
      </c>
      <c r="D77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7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72" s="11" t="e">
        <f>IF(ISBLANK(GSPC[[#This Row],[Long Exp.]]), "", (GSPC[[#This Row],[Long Exp.]]/D773-1)+(E773/GSPC[[#This Row],[Short Exp.]]-1))</f>
        <v>#VALUE!</v>
      </c>
      <c r="G772" s="37">
        <v>39692</v>
      </c>
      <c r="H772">
        <v>11.446023</v>
      </c>
      <c r="I772" s="36">
        <f>IF(ISBLANK(H773), "", Long0[[#This Row],[Adj Close]]/H773-1)</f>
        <v>-3.0255937022849344E-2</v>
      </c>
      <c r="J772" s="29">
        <v>39692</v>
      </c>
      <c r="K772">
        <v>1.826109</v>
      </c>
      <c r="L772" s="33">
        <f>IF(ISBLANK(K773),"",Long1[[#This Row],[Adj Close]]/K773-1)</f>
        <v>-7.0422255593168614E-2</v>
      </c>
      <c r="M772" s="37">
        <v>39692</v>
      </c>
      <c r="N772">
        <v>74.957984999999994</v>
      </c>
      <c r="O772" s="36">
        <f>IF(ISBLANK(N773),"",Long2[[#This Row],[Adj Close]]/N773-1)</f>
        <v>-0.11448392150893927</v>
      </c>
      <c r="P772" s="29">
        <v>39692</v>
      </c>
      <c r="Q772">
        <v>18.184384999999999</v>
      </c>
      <c r="R772" s="33">
        <f>IF(ISBLANK(Q773),"",Long3[[#This Row],[Adj Close]]/Q773-1)</f>
        <v>-9.389981865424657E-2</v>
      </c>
      <c r="S772" s="37">
        <v>39692</v>
      </c>
      <c r="T772" s="35">
        <v>13.181433</v>
      </c>
      <c r="U772" s="36">
        <f>IF(ISBLANK(T773),"",Long4[[#This Row],[Adj Close]]/T773-1)</f>
        <v>2.5941394779334104E-3</v>
      </c>
      <c r="Y772" s="37">
        <v>39692</v>
      </c>
      <c r="Z772" s="35">
        <v>12.473720999999999</v>
      </c>
      <c r="AA772" s="36">
        <f>IF(ISBLANK(Z773),"",Long6[[#This Row],[Adj Close]]/Z773-1)</f>
        <v>-9.7319709025637025E-2</v>
      </c>
      <c r="AH772" s="29">
        <v>39692</v>
      </c>
      <c r="AI772" s="44">
        <v>28.424122000000001</v>
      </c>
      <c r="AJ772" s="33">
        <f>IF(ISBLANK(AI773),"",Short0[[#This Row],[Adj Close]]/AI773-1)</f>
        <v>-0.10103368348190955</v>
      </c>
      <c r="AK772" s="37">
        <v>39692</v>
      </c>
      <c r="AL772" s="39">
        <v>29.604451999999998</v>
      </c>
      <c r="AM772" s="36">
        <f>IF(ISBLANK(AL773),"",Short1[[#This Row],[Adj Close]]/AL773-1)</f>
        <v>3.3503472798619427E-3</v>
      </c>
      <c r="AN772" s="29">
        <v>39692</v>
      </c>
      <c r="AO772" s="44">
        <v>11.882343000000001</v>
      </c>
      <c r="AP772" s="33">
        <f>IF(ISBLANK(AO773),"",Short2[[#This Row],[Adj Close]]/AO773-1)</f>
        <v>3.1178941437981944E-2</v>
      </c>
    </row>
    <row r="773" spans="1:42" x14ac:dyDescent="0.25">
      <c r="A773" s="37">
        <v>39685</v>
      </c>
      <c r="B773" s="39">
        <v>1282.829956</v>
      </c>
      <c r="C773" s="36">
        <f>IF(ISBLANK(B774), "", GSPC[[#This Row],[Adj Close]]/B774-1)</f>
        <v>-7.2511959103146451E-3</v>
      </c>
      <c r="D77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7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73" s="11" t="e">
        <f>IF(ISBLANK(GSPC[[#This Row],[Long Exp.]]), "", (GSPC[[#This Row],[Long Exp.]]/D774-1)+(E774/GSPC[[#This Row],[Short Exp.]]-1))</f>
        <v>#VALUE!</v>
      </c>
      <c r="G773" s="37">
        <v>39685</v>
      </c>
      <c r="H773">
        <v>11.803138000000001</v>
      </c>
      <c r="I773" s="36">
        <f>IF(ISBLANK(H774), "", Long0[[#This Row],[Adj Close]]/H774-1)</f>
        <v>-4.0922699094579129E-2</v>
      </c>
      <c r="J773" s="29">
        <v>39685</v>
      </c>
      <c r="K773">
        <v>1.96445</v>
      </c>
      <c r="L773" s="33">
        <f>IF(ISBLANK(K774),"",Long1[[#This Row],[Adj Close]]/K774-1)</f>
        <v>2.8985173226952377E-2</v>
      </c>
      <c r="M773" s="37">
        <v>39685</v>
      </c>
      <c r="N773">
        <v>84.648926000000003</v>
      </c>
      <c r="O773" s="36">
        <f>IF(ISBLANK(N774),"",Long2[[#This Row],[Adj Close]]/N774-1)</f>
        <v>-5.6822135540259833E-3</v>
      </c>
      <c r="P773" s="29">
        <v>39685</v>
      </c>
      <c r="Q773">
        <v>20.068846000000001</v>
      </c>
      <c r="R773" s="33">
        <f>IF(ISBLANK(Q774),"",Long3[[#This Row],[Adj Close]]/Q774-1)</f>
        <v>-3.2921122978546769E-2</v>
      </c>
      <c r="S773" s="37">
        <v>39685</v>
      </c>
      <c r="T773" s="35">
        <v>13.147327000000001</v>
      </c>
      <c r="U773" s="36">
        <f>IF(ISBLANK(T774),"",Long4[[#This Row],[Adj Close]]/T774-1)</f>
        <v>5.870582020175874E-3</v>
      </c>
      <c r="Y773" s="37">
        <v>39685</v>
      </c>
      <c r="Z773" s="35">
        <v>13.818536999999999</v>
      </c>
      <c r="AA773" s="36">
        <f>IF(ISBLANK(Z774),"",Long6[[#This Row],[Adj Close]]/Z774-1)</f>
        <v>-4.3184969295587794E-2</v>
      </c>
      <c r="AH773" s="29">
        <v>39685</v>
      </c>
      <c r="AI773" s="44">
        <v>31.618673000000001</v>
      </c>
      <c r="AJ773" s="33">
        <f>IF(ISBLANK(AI774),"",Short0[[#This Row],[Adj Close]]/AI774-1)</f>
        <v>0.17555183079433356</v>
      </c>
      <c r="AK773" s="37">
        <v>39685</v>
      </c>
      <c r="AL773" s="39">
        <v>29.505597999999999</v>
      </c>
      <c r="AM773" s="36">
        <f>IF(ISBLANK(AL774),"",Short1[[#This Row],[Adj Close]]/AL774-1)</f>
        <v>-8.1971241291186603E-3</v>
      </c>
      <c r="AN773" s="29">
        <v>39685</v>
      </c>
      <c r="AO773" s="44">
        <v>11.523066</v>
      </c>
      <c r="AP773" s="33">
        <f>IF(ISBLANK(AO774),"",Short2[[#This Row],[Adj Close]]/AO774-1)</f>
        <v>0.11158072761768878</v>
      </c>
    </row>
    <row r="774" spans="1:42" x14ac:dyDescent="0.25">
      <c r="A774" s="37">
        <v>39678</v>
      </c>
      <c r="B774" s="39">
        <v>1292.1999510000001</v>
      </c>
      <c r="C774" s="36">
        <f>IF(ISBLANK(B775), "", GSPC[[#This Row],[Adj Close]]/B775-1)</f>
        <v>-4.6217841830745732E-3</v>
      </c>
      <c r="D77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7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74" s="11" t="e">
        <f>IF(ISBLANK(GSPC[[#This Row],[Long Exp.]]), "", (GSPC[[#This Row],[Long Exp.]]/D775-1)+(E775/GSPC[[#This Row],[Short Exp.]]-1))</f>
        <v>#VALUE!</v>
      </c>
      <c r="G774" s="37">
        <v>39678</v>
      </c>
      <c r="H774">
        <v>12.306763999999999</v>
      </c>
      <c r="I774" s="36">
        <f>IF(ISBLANK(H775), "", Long0[[#This Row],[Adj Close]]/H775-1)</f>
        <v>-2.0408247736476426E-2</v>
      </c>
      <c r="J774" s="29">
        <v>39678</v>
      </c>
      <c r="K774">
        <v>1.909114</v>
      </c>
      <c r="L774" s="33">
        <f>IF(ISBLANK(K775),"",Long1[[#This Row],[Adj Close]]/K775-1)</f>
        <v>6.1538889259580509E-2</v>
      </c>
      <c r="M774" s="37">
        <v>39678</v>
      </c>
      <c r="N774">
        <v>85.132667999999995</v>
      </c>
      <c r="O774" s="36">
        <f>IF(ISBLANK(N775),"",Long2[[#This Row],[Adj Close]]/N775-1)</f>
        <v>0.10079977780394023</v>
      </c>
      <c r="P774" s="29">
        <v>39678</v>
      </c>
      <c r="Q774">
        <v>20.752026000000001</v>
      </c>
      <c r="R774" s="33">
        <f>IF(ISBLANK(Q775),"",Long3[[#This Row],[Adj Close]]/Q775-1)</f>
        <v>2.6303849851222694E-2</v>
      </c>
      <c r="S774" s="37">
        <v>39678</v>
      </c>
      <c r="T774" s="35">
        <v>13.070595000000001</v>
      </c>
      <c r="U774" s="36">
        <f>IF(ISBLANK(T775),"",Long4[[#This Row],[Adj Close]]/T775-1)</f>
        <v>-5.3119120523176022E-2</v>
      </c>
      <c r="Y774" s="37">
        <v>39678</v>
      </c>
      <c r="Z774" s="35">
        <v>14.442224</v>
      </c>
      <c r="AA774" s="36">
        <f>IF(ISBLANK(Z775),"",Long6[[#This Row],[Adj Close]]/Z775-1)</f>
        <v>-5.1216374692374389E-2</v>
      </c>
      <c r="AH774" s="29">
        <v>39678</v>
      </c>
      <c r="AI774" s="44">
        <v>26.896877</v>
      </c>
      <c r="AJ774" s="33">
        <f>IF(ISBLANK(AI775),"",Short0[[#This Row],[Adj Close]]/AI775-1)</f>
        <v>-0.28365893572116552</v>
      </c>
      <c r="AK774" s="37">
        <v>39678</v>
      </c>
      <c r="AL774" s="39">
        <v>29.749458000000001</v>
      </c>
      <c r="AM774" s="36">
        <f>IF(ISBLANK(AL775),"",Short1[[#This Row],[Adj Close]]/AL775-1)</f>
        <v>-3.6293460757851226E-2</v>
      </c>
      <c r="AN774" s="29">
        <v>39678</v>
      </c>
      <c r="AO774" s="44">
        <v>10.366377999999999</v>
      </c>
      <c r="AP774" s="33">
        <f>IF(ISBLANK(AO775),"",Short2[[#This Row],[Adj Close]]/AO775-1)</f>
        <v>8.4585093270006517E-4</v>
      </c>
    </row>
    <row r="775" spans="1:42" x14ac:dyDescent="0.25">
      <c r="A775" s="37">
        <v>39671</v>
      </c>
      <c r="B775" s="39">
        <v>1298.1999510000001</v>
      </c>
      <c r="C775" s="36">
        <f>IF(ISBLANK(B776), "", GSPC[[#This Row],[Adj Close]]/B776-1)</f>
        <v>1.4502631127455423E-3</v>
      </c>
      <c r="D77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7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75" s="11" t="e">
        <f>IF(ISBLANK(GSPC[[#This Row],[Long Exp.]]), "", (GSPC[[#This Row],[Long Exp.]]/D776-1)+(E776/GSPC[[#This Row],[Short Exp.]]-1))</f>
        <v>#VALUE!</v>
      </c>
      <c r="G775" s="37">
        <v>39671</v>
      </c>
      <c r="H775">
        <v>12.563155999999999</v>
      </c>
      <c r="I775" s="36">
        <f>IF(ISBLANK(H776), "", Long0[[#This Row],[Adj Close]]/H776-1)</f>
        <v>-2.1397958849839416E-2</v>
      </c>
      <c r="J775" s="29">
        <v>39671</v>
      </c>
      <c r="K775">
        <v>1.79844</v>
      </c>
      <c r="L775" s="33">
        <f>IF(ISBLANK(K776),"",Long1[[#This Row],[Adj Close]]/K776-1)</f>
        <v>-7.6340511235877262E-3</v>
      </c>
      <c r="M775" s="37">
        <v>39671</v>
      </c>
      <c r="N775">
        <v>77.337104999999994</v>
      </c>
      <c r="O775" s="36">
        <f>IF(ISBLANK(N776),"",Long2[[#This Row],[Adj Close]]/N776-1)</f>
        <v>-6.5651686072537574E-2</v>
      </c>
      <c r="P775" s="29">
        <v>39671</v>
      </c>
      <c r="Q775">
        <v>20.220158000000001</v>
      </c>
      <c r="R775" s="33">
        <f>IF(ISBLANK(Q776),"",Long3[[#This Row],[Adj Close]]/Q776-1)</f>
        <v>-2.0000176417976356E-2</v>
      </c>
      <c r="S775" s="37">
        <v>39671</v>
      </c>
      <c r="T775" s="35">
        <v>13.803843000000001</v>
      </c>
      <c r="U775" s="36">
        <f>IF(ISBLANK(T776),"",Long4[[#This Row],[Adj Close]]/T776-1)</f>
        <v>1.1875005772679303E-2</v>
      </c>
      <c r="Y775" s="37">
        <v>39671</v>
      </c>
      <c r="Z775" s="35">
        <v>15.221831</v>
      </c>
      <c r="AA775" s="36">
        <f>IF(ISBLANK(Z776),"",Long6[[#This Row],[Adj Close]]/Z776-1)</f>
        <v>0.20431737778380832</v>
      </c>
      <c r="AH775" s="29">
        <v>39671</v>
      </c>
      <c r="AI775" s="44">
        <v>37.547584999999998</v>
      </c>
      <c r="AJ775" s="33">
        <f>IF(ISBLANK(AI776),"",Short0[[#This Row],[Adj Close]]/AI776-1)</f>
        <v>0.10500464808679766</v>
      </c>
      <c r="AK775" s="37">
        <v>39671</v>
      </c>
      <c r="AL775" s="39">
        <v>30.869831000000001</v>
      </c>
      <c r="AM775" s="36">
        <f>IF(ISBLANK(AL776),"",Short1[[#This Row],[Adj Close]]/AL776-1)</f>
        <v>9.4903972636259715E-2</v>
      </c>
      <c r="AN775" s="29">
        <v>39671</v>
      </c>
      <c r="AO775" s="44">
        <v>10.357616999999999</v>
      </c>
      <c r="AP775" s="33">
        <f>IF(ISBLANK(AO776),"",Short2[[#This Row],[Adj Close]]/AO776-1)</f>
        <v>-4.446219627940895E-2</v>
      </c>
    </row>
    <row r="776" spans="1:42" x14ac:dyDescent="0.25">
      <c r="A776" s="37">
        <v>39664</v>
      </c>
      <c r="B776" s="39">
        <v>1296.3199460000001</v>
      </c>
      <c r="C776" s="36">
        <f>IF(ISBLANK(B777), "", GSPC[[#This Row],[Adj Close]]/B777-1)</f>
        <v>2.8572244379746037E-2</v>
      </c>
      <c r="D77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7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76" s="11" t="e">
        <f>IF(ISBLANK(GSPC[[#This Row],[Long Exp.]]), "", (GSPC[[#This Row],[Long Exp.]]/D777-1)+(E777/GSPC[[#This Row],[Short Exp.]]-1))</f>
        <v>#VALUE!</v>
      </c>
      <c r="G776" s="37">
        <v>39664</v>
      </c>
      <c r="H776">
        <v>12.837859999999999</v>
      </c>
      <c r="I776" s="36">
        <f>IF(ISBLANK(H777), "", Long0[[#This Row],[Adj Close]]/H777-1)</f>
        <v>9.8746065272800942E-2</v>
      </c>
      <c r="J776" s="29">
        <v>39664</v>
      </c>
      <c r="K776">
        <v>1.8122750000000001</v>
      </c>
      <c r="L776" s="33">
        <f>IF(ISBLANK(K777),"",Long1[[#This Row],[Adj Close]]/K777-1)</f>
        <v>-7.5756704555970389E-3</v>
      </c>
      <c r="M776" s="37">
        <v>39664</v>
      </c>
      <c r="N776">
        <v>82.771172000000007</v>
      </c>
      <c r="O776" s="36">
        <f>IF(ISBLANK(N777),"",Long2[[#This Row],[Adj Close]]/N777-1)</f>
        <v>-0.14891206034480731</v>
      </c>
      <c r="P776" s="29">
        <v>39664</v>
      </c>
      <c r="Q776">
        <v>20.632818</v>
      </c>
      <c r="R776" s="33">
        <f>IF(ISBLANK(Q777),"",Long3[[#This Row],[Adj Close]]/Q777-1)</f>
        <v>2.1566770372311916E-2</v>
      </c>
      <c r="S776" s="37">
        <v>39664</v>
      </c>
      <c r="T776" s="35">
        <v>13.641845999999999</v>
      </c>
      <c r="U776" s="36">
        <f>IF(ISBLANK(T777),"",Long4[[#This Row],[Adj Close]]/T777-1)</f>
        <v>0.13879003736963069</v>
      </c>
      <c r="Y776" s="37">
        <v>39664</v>
      </c>
      <c r="Z776" s="35">
        <v>12.639385000000001</v>
      </c>
      <c r="AA776" s="36">
        <f>IF(ISBLANK(Z777),"",Long6[[#This Row],[Adj Close]]/Z777-1)</f>
        <v>-3.1366551566875289E-2</v>
      </c>
      <c r="AH776" s="29">
        <v>39664</v>
      </c>
      <c r="AI776" s="44">
        <v>33.979571999999997</v>
      </c>
      <c r="AJ776" s="33">
        <f>IF(ISBLANK(AI777),"",Short0[[#This Row],[Adj Close]]/AI777-1)</f>
        <v>0.1229887820666411</v>
      </c>
      <c r="AK776" s="37">
        <v>39664</v>
      </c>
      <c r="AL776" s="39">
        <v>28.194099000000001</v>
      </c>
      <c r="AM776" s="36">
        <f>IF(ISBLANK(AL777),"",Short1[[#This Row],[Adj Close]]/AL777-1)</f>
        <v>7.6226404809494275E-2</v>
      </c>
      <c r="AN776" s="29">
        <v>39664</v>
      </c>
      <c r="AO776" s="44">
        <v>10.839568</v>
      </c>
      <c r="AP776" s="33">
        <f>IF(ISBLANK(AO777),"",Short2[[#This Row],[Adj Close]]/AO777-1)</f>
        <v>4.3881761618751458E-2</v>
      </c>
    </row>
    <row r="777" spans="1:42" x14ac:dyDescent="0.25">
      <c r="A777" s="37">
        <v>39657</v>
      </c>
      <c r="B777" s="39">
        <v>1260.3100589999999</v>
      </c>
      <c r="C777" s="36">
        <f>IF(ISBLANK(B778), "", GSPC[[#This Row],[Adj Close]]/B778-1)</f>
        <v>2.0274527570645073E-3</v>
      </c>
      <c r="D77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7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77" s="11" t="e">
        <f>IF(ISBLANK(GSPC[[#This Row],[Long Exp.]]), "", (GSPC[[#This Row],[Long Exp.]]/D778-1)+(E778/GSPC[[#This Row],[Short Exp.]]-1))</f>
        <v>#VALUE!</v>
      </c>
      <c r="G777" s="37">
        <v>39657</v>
      </c>
      <c r="H777">
        <v>11.684101</v>
      </c>
      <c r="I777" s="36">
        <f>IF(ISBLANK(H778), "", Long0[[#This Row],[Adj Close]]/H778-1)</f>
        <v>-3.7707236240666631E-2</v>
      </c>
      <c r="J777" s="29">
        <v>39657</v>
      </c>
      <c r="K777">
        <v>1.826109</v>
      </c>
      <c r="L777" s="33">
        <f>IF(ISBLANK(K778),"",Long1[[#This Row],[Adj Close]]/K778-1)</f>
        <v>5.5999930606556392E-2</v>
      </c>
      <c r="M777" s="37">
        <v>39657</v>
      </c>
      <c r="N777">
        <v>97.253371999999999</v>
      </c>
      <c r="O777" s="36">
        <f>IF(ISBLANK(N778),"",Long2[[#This Row],[Adj Close]]/N778-1)</f>
        <v>5.2436341316641766E-3</v>
      </c>
      <c r="P777" s="29">
        <v>39657</v>
      </c>
      <c r="Q777">
        <v>20.197229</v>
      </c>
      <c r="R777" s="33">
        <f>IF(ISBLANK(Q778),"",Long3[[#This Row],[Adj Close]]/Q778-1)</f>
        <v>-5.7754202642923524E-2</v>
      </c>
      <c r="S777" s="37">
        <v>39657</v>
      </c>
      <c r="T777" s="35">
        <v>11.979246</v>
      </c>
      <c r="U777" s="36">
        <f>IF(ISBLANK(T778),"",Long4[[#This Row],[Adj Close]]/T778-1)</f>
        <v>7.2519025876552901E-2</v>
      </c>
      <c r="Y777" s="37">
        <v>39657</v>
      </c>
      <c r="Z777" s="35">
        <v>13.048677</v>
      </c>
      <c r="AA777" s="36">
        <f>IF(ISBLANK(Z778),"",Long6[[#This Row],[Adj Close]]/Z778-1)</f>
        <v>-1.5441257193949509E-2</v>
      </c>
      <c r="AH777" s="29">
        <v>39657</v>
      </c>
      <c r="AI777" s="44">
        <v>30.258158000000002</v>
      </c>
      <c r="AJ777" s="33">
        <f>IF(ISBLANK(AI778),"",Short0[[#This Row],[Adj Close]]/AI778-1)</f>
        <v>3.3956466142647246E-2</v>
      </c>
      <c r="AK777" s="37">
        <v>39657</v>
      </c>
      <c r="AL777" s="39">
        <v>26.197182000000002</v>
      </c>
      <c r="AM777" s="36">
        <f>IF(ISBLANK(AL778),"",Short1[[#This Row],[Adj Close]]/AL778-1)</f>
        <v>3.8129938235720084E-2</v>
      </c>
      <c r="AN777" s="29">
        <v>39657</v>
      </c>
      <c r="AO777" s="44">
        <v>10.383903999999999</v>
      </c>
      <c r="AP777" s="33">
        <f>IF(ISBLANK(AO778),"",Short2[[#This Row],[Adj Close]]/AO778-1)</f>
        <v>4.3164442069129283E-2</v>
      </c>
    </row>
    <row r="778" spans="1:42" x14ac:dyDescent="0.25">
      <c r="A778" s="37">
        <v>39650</v>
      </c>
      <c r="B778" s="39">
        <v>1257.76001</v>
      </c>
      <c r="C778" s="36">
        <f>IF(ISBLANK(B779), "", GSPC[[#This Row],[Adj Close]]/B779-1)</f>
        <v>-2.3162451017885166E-3</v>
      </c>
      <c r="D77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7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78" s="11" t="e">
        <f>IF(ISBLANK(GSPC[[#This Row],[Long Exp.]]), "", (GSPC[[#This Row],[Long Exp.]]/D779-1)+(E779/GSPC[[#This Row],[Short Exp.]]-1))</f>
        <v>#VALUE!</v>
      </c>
      <c r="G778" s="37">
        <v>39650</v>
      </c>
      <c r="H778">
        <v>12.14194</v>
      </c>
      <c r="I778" s="36">
        <f>IF(ISBLANK(H779), "", Long0[[#This Row],[Adj Close]]/H779-1)</f>
        <v>3.3515097379189562E-2</v>
      </c>
      <c r="J778" s="29">
        <v>39650</v>
      </c>
      <c r="K778">
        <v>1.7292700000000001</v>
      </c>
      <c r="L778" s="33">
        <f>IF(ISBLANK(K779),"",Long1[[#This Row],[Adj Close]]/K779-1)</f>
        <v>2.4590479610040905E-2</v>
      </c>
      <c r="M778" s="37">
        <v>39650</v>
      </c>
      <c r="N778">
        <v>96.746071000000001</v>
      </c>
      <c r="O778" s="36">
        <f>IF(ISBLANK(N779),"",Long2[[#This Row],[Adj Close]]/N779-1)</f>
        <v>-3.9959110024310518E-2</v>
      </c>
      <c r="P778" s="29">
        <v>39650</v>
      </c>
      <c r="Q778">
        <v>21.435202</v>
      </c>
      <c r="R778" s="33">
        <f>IF(ISBLANK(Q779),"",Long3[[#This Row],[Adj Close]]/Q779-1)</f>
        <v>-4.0041040265946681E-2</v>
      </c>
      <c r="S778" s="37">
        <v>39650</v>
      </c>
      <c r="T778" s="35">
        <v>11.169262</v>
      </c>
      <c r="U778" s="36">
        <f>IF(ISBLANK(T779),"",Long4[[#This Row],[Adj Close]]/T779-1)</f>
        <v>-1.6516569136585391E-2</v>
      </c>
      <c r="Y778" s="37">
        <v>39650</v>
      </c>
      <c r="Z778" s="35">
        <v>13.253325</v>
      </c>
      <c r="AA778" s="36">
        <f>IF(ISBLANK(Z779),"",Long6[[#This Row],[Adj Close]]/Z779-1)</f>
        <v>0.14478136145051734</v>
      </c>
      <c r="AH778" s="29">
        <v>39650</v>
      </c>
      <c r="AI778" s="44">
        <v>29.264441000000001</v>
      </c>
      <c r="AJ778" s="33">
        <f>IF(ISBLANK(AI779),"",Short0[[#This Row],[Adj Close]]/AI779-1)</f>
        <v>0.13737674831048818</v>
      </c>
      <c r="AK778" s="37">
        <v>39650</v>
      </c>
      <c r="AL778" s="39">
        <v>25.234974000000001</v>
      </c>
      <c r="AM778" s="36">
        <f>IF(ISBLANK(AL779),"",Short1[[#This Row],[Adj Close]]/AL779-1)</f>
        <v>-1.8205030281412515E-2</v>
      </c>
      <c r="AN778" s="29">
        <v>39650</v>
      </c>
      <c r="AO778" s="44">
        <v>9.9542350000000006</v>
      </c>
      <c r="AP778" s="33">
        <f>IF(ISBLANK(AO779),"",Short2[[#This Row],[Adj Close]]/AO779-1)</f>
        <v>-5.4231340726066057E-2</v>
      </c>
    </row>
    <row r="779" spans="1:42" x14ac:dyDescent="0.25">
      <c r="A779" s="37">
        <v>39643</v>
      </c>
      <c r="B779" s="39">
        <v>1260.6800539999999</v>
      </c>
      <c r="C779" s="36">
        <f>IF(ISBLANK(B780), "", GSPC[[#This Row],[Adj Close]]/B780-1)</f>
        <v>1.7095792762311879E-2</v>
      </c>
      <c r="D77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7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79" s="11" t="e">
        <f>IF(ISBLANK(GSPC[[#This Row],[Long Exp.]]), "", (GSPC[[#This Row],[Long Exp.]]/D780-1)+(E780/GSPC[[#This Row],[Short Exp.]]-1))</f>
        <v>#VALUE!</v>
      </c>
      <c r="G779" s="37">
        <v>39643</v>
      </c>
      <c r="H779">
        <v>11.748198</v>
      </c>
      <c r="I779" s="36">
        <f>IF(ISBLANK(H780), "", Long0[[#This Row],[Adj Close]]/H780-1)</f>
        <v>7.0058406825742825E-2</v>
      </c>
      <c r="J779" s="29">
        <v>39643</v>
      </c>
      <c r="K779">
        <v>1.687767</v>
      </c>
      <c r="L779" s="33">
        <f>IF(ISBLANK(K780),"",Long1[[#This Row],[Adj Close]]/K780-1)</f>
        <v>-3.1746241188133295E-2</v>
      </c>
      <c r="M779" s="37">
        <v>39643</v>
      </c>
      <c r="N779">
        <v>100.772865</v>
      </c>
      <c r="O779" s="36">
        <f>IF(ISBLANK(N780),"",Long2[[#This Row],[Adj Close]]/N780-1)</f>
        <v>-0.10351857221941851</v>
      </c>
      <c r="P779" s="29">
        <v>39643</v>
      </c>
      <c r="Q779">
        <v>22.32929</v>
      </c>
      <c r="R779" s="33">
        <f>IF(ISBLANK(Q780),"",Long3[[#This Row],[Adj Close]]/Q780-1)</f>
        <v>-5.2529269311355153E-2</v>
      </c>
      <c r="S779" s="37">
        <v>39643</v>
      </c>
      <c r="T779" s="35">
        <v>11.356838</v>
      </c>
      <c r="U779" s="36">
        <f>IF(ISBLANK(T780),"",Long4[[#This Row],[Adj Close]]/T780-1)</f>
        <v>-0.29336880912684105</v>
      </c>
      <c r="Y779" s="37">
        <v>39643</v>
      </c>
      <c r="Z779" s="35">
        <v>11.577166999999999</v>
      </c>
      <c r="AA779" s="36">
        <f>IF(ISBLANK(Z780),"",Long6[[#This Row],[Adj Close]]/Z780-1)</f>
        <v>6.7795979322746724E-3</v>
      </c>
      <c r="AH779" s="29">
        <v>39643</v>
      </c>
      <c r="AI779" s="44">
        <v>25.729769000000001</v>
      </c>
      <c r="AJ779" s="33">
        <f>IF(ISBLANK(AI780),"",Short0[[#This Row],[Adj Close]]/AI780-1)</f>
        <v>0.13171041465309408</v>
      </c>
      <c r="AK779" s="37">
        <v>39643</v>
      </c>
      <c r="AL779" s="39">
        <v>25.702895999999999</v>
      </c>
      <c r="AM779" s="36">
        <f>IF(ISBLANK(AL780),"",Short1[[#This Row],[Adj Close]]/AL780-1)</f>
        <v>3.6958148041654759E-2</v>
      </c>
      <c r="AN779" s="29">
        <v>39643</v>
      </c>
      <c r="AO779" s="44">
        <v>10.525021000000001</v>
      </c>
      <c r="AP779" s="33">
        <f>IF(ISBLANK(AO780),"",Short2[[#This Row],[Adj Close]]/AO780-1)</f>
        <v>0.18040645827403279</v>
      </c>
    </row>
    <row r="780" spans="1:42" x14ac:dyDescent="0.25">
      <c r="A780" s="37">
        <v>39636</v>
      </c>
      <c r="B780" s="39">
        <v>1239.48999</v>
      </c>
      <c r="C780" s="36">
        <f>IF(ISBLANK(B781), "", GSPC[[#This Row],[Adj Close]]/B781-1)</f>
        <v>-1.8536727813064036E-2</v>
      </c>
      <c r="D78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8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80" s="11" t="e">
        <f>IF(ISBLANK(GSPC[[#This Row],[Long Exp.]]), "", (GSPC[[#This Row],[Long Exp.]]/D781-1)+(E781/GSPC[[#This Row],[Short Exp.]]-1))</f>
        <v>#VALUE!</v>
      </c>
      <c r="G780" s="37">
        <v>39636</v>
      </c>
      <c r="H780">
        <v>10.979025</v>
      </c>
      <c r="I780" s="36">
        <f>IF(ISBLANK(H781), "", Long0[[#This Row],[Adj Close]]/H781-1)</f>
        <v>1.1814303606267895E-2</v>
      </c>
      <c r="J780" s="29">
        <v>39636</v>
      </c>
      <c r="K780">
        <v>1.743104</v>
      </c>
      <c r="L780" s="33">
        <f>IF(ISBLANK(K781),"",Long1[[#This Row],[Adj Close]]/K781-1)</f>
        <v>-1.5624823523299414E-2</v>
      </c>
      <c r="M780" s="37">
        <v>39636</v>
      </c>
      <c r="N780">
        <v>112.409317</v>
      </c>
      <c r="O780" s="36">
        <f>IF(ISBLANK(N781),"",Long2[[#This Row],[Adj Close]]/N781-1)</f>
        <v>7.1963121040400813E-2</v>
      </c>
      <c r="P780" s="29">
        <v>39636</v>
      </c>
      <c r="Q780">
        <v>23.567260999999998</v>
      </c>
      <c r="R780" s="33">
        <f>IF(ISBLANK(Q781),"",Long3[[#This Row],[Adj Close]]/Q781-1)</f>
        <v>-7.3387964826984176E-3</v>
      </c>
      <c r="S780" s="37">
        <v>39636</v>
      </c>
      <c r="T780" s="35">
        <v>16.071804</v>
      </c>
      <c r="U780" s="36">
        <f>IF(ISBLANK(T781),"",Long4[[#This Row],[Adj Close]]/T781-1)</f>
        <v>-6.9594992748344797E-2</v>
      </c>
      <c r="Y780" s="37">
        <v>39636</v>
      </c>
      <c r="Z780" s="35">
        <v>11.499207</v>
      </c>
      <c r="AA780" s="36">
        <f>IF(ISBLANK(Z781),"",Long6[[#This Row],[Adj Close]]/Z781-1)</f>
        <v>-1.2552270715355696E-2</v>
      </c>
      <c r="AH780" s="29">
        <v>39636</v>
      </c>
      <c r="AI780" s="44">
        <v>22.735294</v>
      </c>
      <c r="AJ780" s="33">
        <f>IF(ISBLANK(AI781),"",Short0[[#This Row],[Adj Close]]/AI781-1)</f>
        <v>-0.13630624516778422</v>
      </c>
      <c r="AK780" s="37">
        <v>39636</v>
      </c>
      <c r="AL780" s="39">
        <v>24.786821</v>
      </c>
      <c r="AM780" s="36">
        <f>IF(ISBLANK(AL781),"",Short1[[#This Row],[Adj Close]]/AL781-1)</f>
        <v>-4.6887608176653606E-2</v>
      </c>
      <c r="AN780" s="29">
        <v>39636</v>
      </c>
      <c r="AO780" s="44">
        <v>8.9164379999999994</v>
      </c>
      <c r="AP780" s="33">
        <f>IF(ISBLANK(AO781),"",Short2[[#This Row],[Adj Close]]/AO781-1)</f>
        <v>-0.10113308524642328</v>
      </c>
    </row>
    <row r="781" spans="1:42" x14ac:dyDescent="0.25">
      <c r="A781" s="37">
        <v>39629</v>
      </c>
      <c r="B781" s="39">
        <v>1262.900024</v>
      </c>
      <c r="C781" s="36">
        <f>IF(ISBLANK(B782), "", GSPC[[#This Row],[Adj Close]]/B782-1)</f>
        <v>-1.2109060638820002E-2</v>
      </c>
      <c r="D78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8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81" s="11" t="e">
        <f>IF(ISBLANK(GSPC[[#This Row],[Long Exp.]]), "", (GSPC[[#This Row],[Long Exp.]]/D782-1)+(E782/GSPC[[#This Row],[Short Exp.]]-1))</f>
        <v>#VALUE!</v>
      </c>
      <c r="G781" s="37">
        <v>39629</v>
      </c>
      <c r="H781">
        <v>10.85083</v>
      </c>
      <c r="I781" s="36">
        <f>IF(ISBLANK(H782), "", Long0[[#This Row],[Adj Close]]/H782-1)</f>
        <v>-2.5493388186524468E-2</v>
      </c>
      <c r="J781" s="29">
        <v>39629</v>
      </c>
      <c r="K781">
        <v>1.770772</v>
      </c>
      <c r="L781" s="33">
        <f>IF(ISBLANK(K782),"",Long1[[#This Row],[Adj Close]]/K782-1)</f>
        <v>-7.7518511088721098E-3</v>
      </c>
      <c r="M781" s="37">
        <v>39629</v>
      </c>
      <c r="N781">
        <v>104.863045</v>
      </c>
      <c r="O781" s="36">
        <f>IF(ISBLANK(N782),"",Long2[[#This Row],[Adj Close]]/N782-1)</f>
        <v>-0.10723477090696953</v>
      </c>
      <c r="P781" s="29">
        <v>39629</v>
      </c>
      <c r="Q781">
        <v>23.741495</v>
      </c>
      <c r="R781" s="33">
        <f>IF(ISBLANK(Q782),"",Long3[[#This Row],[Adj Close]]/Q782-1)</f>
        <v>-5.1876157093192488E-3</v>
      </c>
      <c r="S781" s="37">
        <v>39629</v>
      </c>
      <c r="T781" s="35">
        <v>17.273987000000002</v>
      </c>
      <c r="U781" s="36">
        <f>IF(ISBLANK(T782),"",Long4[[#This Row],[Adj Close]]/T782-1)</f>
        <v>-2.1255996822960643E-2</v>
      </c>
      <c r="Y781" s="37">
        <v>39629</v>
      </c>
      <c r="Z781" s="35">
        <v>11.645383000000001</v>
      </c>
      <c r="AA781" s="36">
        <f>IF(ISBLANK(Z782),"",Long6[[#This Row],[Adj Close]]/Z782-1)</f>
        <v>-6.4945264362474164E-2</v>
      </c>
      <c r="AH781" s="29">
        <v>39629</v>
      </c>
      <c r="AI781" s="44">
        <v>26.323328</v>
      </c>
      <c r="AJ781" s="33">
        <f>IF(ISBLANK(AI782),"",Short0[[#This Row],[Adj Close]]/AI782-1)</f>
        <v>-0.16199560033275262</v>
      </c>
      <c r="AK781" s="37">
        <v>39629</v>
      </c>
      <c r="AL781" s="39">
        <v>26.006188999999999</v>
      </c>
      <c r="AM781" s="36">
        <f>IF(ISBLANK(AL782),"",Short1[[#This Row],[Adj Close]]/AL782-1)</f>
        <v>-1.1485364912660834E-2</v>
      </c>
      <c r="AN781" s="29">
        <v>39629</v>
      </c>
      <c r="AO781" s="44">
        <v>9.9196419999999996</v>
      </c>
      <c r="AP781" s="33">
        <f>IF(ISBLANK(AO782),"",Short2[[#This Row],[Adj Close]]/AO782-1)</f>
        <v>-9.1124973177140522E-2</v>
      </c>
    </row>
    <row r="782" spans="1:42" x14ac:dyDescent="0.25">
      <c r="A782" s="37">
        <v>39622</v>
      </c>
      <c r="B782" s="39">
        <v>1278.380005</v>
      </c>
      <c r="C782" s="36">
        <f>IF(ISBLANK(B783), "", GSPC[[#This Row],[Adj Close]]/B783-1)</f>
        <v>-3.0009217014183021E-2</v>
      </c>
      <c r="D78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8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82" s="11" t="e">
        <f>IF(ISBLANK(GSPC[[#This Row],[Long Exp.]]), "", (GSPC[[#This Row],[Long Exp.]]/D783-1)+(E783/GSPC[[#This Row],[Short Exp.]]-1))</f>
        <v>#VALUE!</v>
      </c>
      <c r="G782" s="37">
        <v>39622</v>
      </c>
      <c r="H782">
        <v>11.134691</v>
      </c>
      <c r="I782" s="36">
        <f>IF(ISBLANK(H783), "", Long0[[#This Row],[Adj Close]]/H783-1)</f>
        <v>1.4178490348642159E-2</v>
      </c>
      <c r="J782" s="29">
        <v>39622</v>
      </c>
      <c r="K782">
        <v>1.7846059999999999</v>
      </c>
      <c r="L782" s="33">
        <f>IF(ISBLANK(K783),"",Long1[[#This Row],[Adj Close]]/K783-1)</f>
        <v>-1.5267550454539314E-2</v>
      </c>
      <c r="M782" s="37">
        <v>39622</v>
      </c>
      <c r="N782">
        <v>117.458702</v>
      </c>
      <c r="O782" s="36">
        <f>IF(ISBLANK(N783),"",Long2[[#This Row],[Adj Close]]/N783-1)</f>
        <v>-2.9727235849201006E-2</v>
      </c>
      <c r="P782" s="29">
        <v>39622</v>
      </c>
      <c r="Q782">
        <v>23.865299</v>
      </c>
      <c r="R782" s="33">
        <f>IF(ISBLANK(Q783),"",Long3[[#This Row],[Adj Close]]/Q783-1)</f>
        <v>1.3632409973134418E-2</v>
      </c>
      <c r="S782" s="37">
        <v>39622</v>
      </c>
      <c r="T782" s="35">
        <v>17.649137</v>
      </c>
      <c r="U782" s="36">
        <f>IF(ISBLANK(T783),"",Long4[[#This Row],[Adj Close]]/T783-1)</f>
        <v>-1.8026575336261619E-2</v>
      </c>
      <c r="Y782" s="37">
        <v>39622</v>
      </c>
      <c r="Z782" s="35">
        <v>12.454226</v>
      </c>
      <c r="AA782" s="36">
        <f>IF(ISBLANK(Z783),"",Long6[[#This Row],[Adj Close]]/Z783-1)</f>
        <v>-9.8730495131286289E-2</v>
      </c>
      <c r="AH782" s="29">
        <v>39622</v>
      </c>
      <c r="AI782" s="44">
        <v>31.411921</v>
      </c>
      <c r="AJ782" s="33">
        <f>IF(ISBLANK(AI783),"",Short0[[#This Row],[Adj Close]]/AI783-1)</f>
        <v>-0.14301313867944021</v>
      </c>
      <c r="AK782" s="37">
        <v>39622</v>
      </c>
      <c r="AL782" s="39">
        <v>26.308350000000001</v>
      </c>
      <c r="AM782" s="36">
        <f>IF(ISBLANK(AL783),"",Short1[[#This Row],[Adj Close]]/AL783-1)</f>
        <v>-4.8015624957594927E-2</v>
      </c>
      <c r="AN782" s="29">
        <v>39622</v>
      </c>
      <c r="AO782" s="44">
        <v>10.914198000000001</v>
      </c>
      <c r="AP782" s="33">
        <f>IF(ISBLANK(AO783),"",Short2[[#This Row],[Adj Close]]/AO783-1)</f>
        <v>-0.17137246291514896</v>
      </c>
    </row>
    <row r="783" spans="1:42" x14ac:dyDescent="0.25">
      <c r="A783" s="37">
        <v>39615</v>
      </c>
      <c r="B783" s="39">
        <v>1317.9300539999999</v>
      </c>
      <c r="C783" s="36">
        <f>IF(ISBLANK(B784), "", GSPC[[#This Row],[Adj Close]]/B784-1)</f>
        <v>-3.0955180475651156E-2</v>
      </c>
      <c r="D78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8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83" s="11" t="e">
        <f>IF(ISBLANK(GSPC[[#This Row],[Long Exp.]]), "", (GSPC[[#This Row],[Long Exp.]]/D784-1)+(E784/GSPC[[#This Row],[Short Exp.]]-1))</f>
        <v>#VALUE!</v>
      </c>
      <c r="G783" s="37">
        <v>39615</v>
      </c>
      <c r="H783">
        <v>10.979025</v>
      </c>
      <c r="I783" s="36">
        <f>IF(ISBLANK(H784), "", Long0[[#This Row],[Adj Close]]/H784-1)</f>
        <v>-4.7657028238695998E-2</v>
      </c>
      <c r="J783" s="29">
        <v>39615</v>
      </c>
      <c r="K783">
        <v>1.8122750000000001</v>
      </c>
      <c r="L783" s="33">
        <f>IF(ISBLANK(K784),"",Long1[[#This Row],[Adj Close]]/K784-1)</f>
        <v>-3.6764295528171176E-2</v>
      </c>
      <c r="M783" s="37">
        <v>39615</v>
      </c>
      <c r="N783">
        <v>121.05740400000001</v>
      </c>
      <c r="O783" s="36">
        <f>IF(ISBLANK(N784),"",Long2[[#This Row],[Adj Close]]/N784-1)</f>
        <v>-3.8484973634209663E-3</v>
      </c>
      <c r="P783" s="29">
        <v>39615</v>
      </c>
      <c r="Q783">
        <v>23.544333000000002</v>
      </c>
      <c r="R783" s="33">
        <f>IF(ISBLANK(Q784),"",Long3[[#This Row],[Adj Close]]/Q784-1)</f>
        <v>1.482212437834729E-2</v>
      </c>
      <c r="S783" s="37">
        <v>39615</v>
      </c>
      <c r="T783" s="35">
        <v>17.973130999999999</v>
      </c>
      <c r="U783" s="36">
        <f>IF(ISBLANK(T784),"",Long4[[#This Row],[Adj Close]]/T784-1)</f>
        <v>-7.5844046515870622E-2</v>
      </c>
      <c r="Y783" s="37">
        <v>39615</v>
      </c>
      <c r="Z783" s="35">
        <v>13.818536999999999</v>
      </c>
      <c r="AA783" s="36">
        <f>IF(ISBLANK(Z784),"",Long6[[#This Row],[Adj Close]]/Z784-1)</f>
        <v>3.0523120429226225E-2</v>
      </c>
      <c r="AH783" s="29">
        <v>39615</v>
      </c>
      <c r="AI783" s="44">
        <v>36.653911999999998</v>
      </c>
      <c r="AJ783" s="33">
        <f>IF(ISBLANK(AI784),"",Short0[[#This Row],[Adj Close]]/AI784-1)</f>
        <v>-1.5759459777549889E-2</v>
      </c>
      <c r="AK783" s="37">
        <v>39615</v>
      </c>
      <c r="AL783" s="39">
        <v>27.635275</v>
      </c>
      <c r="AM783" s="36">
        <f>IF(ISBLANK(AL784),"",Short1[[#This Row],[Adj Close]]/AL784-1)</f>
        <v>-7.9431036413095346E-2</v>
      </c>
      <c r="AN783" s="29">
        <v>39615</v>
      </c>
      <c r="AO783" s="44">
        <v>13.171416000000001</v>
      </c>
      <c r="AP783" s="33">
        <f>IF(ISBLANK(AO784),"",Short2[[#This Row],[Adj Close]]/AO784-1)</f>
        <v>-7.8176617642661261E-3</v>
      </c>
    </row>
    <row r="784" spans="1:42" x14ac:dyDescent="0.25">
      <c r="A784" s="37">
        <v>39608</v>
      </c>
      <c r="B784" s="39">
        <v>1360.030029</v>
      </c>
      <c r="C784" s="36">
        <f>IF(ISBLANK(B785), "", GSPC[[#This Row],[Adj Close]]/B785-1)</f>
        <v>-4.7772067951534769E-4</v>
      </c>
      <c r="D78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8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84" s="11" t="e">
        <f>IF(ISBLANK(GSPC[[#This Row],[Long Exp.]]), "", (GSPC[[#This Row],[Long Exp.]]/D785-1)+(E785/GSPC[[#This Row],[Short Exp.]]-1))</f>
        <v>#VALUE!</v>
      </c>
      <c r="G784" s="37">
        <v>39608</v>
      </c>
      <c r="H784">
        <v>11.528435999999999</v>
      </c>
      <c r="I784" s="36">
        <f>IF(ISBLANK(H785), "", Long0[[#This Row],[Adj Close]]/H785-1)</f>
        <v>-1.1773745892475818E-2</v>
      </c>
      <c r="J784" s="29">
        <v>39608</v>
      </c>
      <c r="K784">
        <v>1.881445</v>
      </c>
      <c r="L784" s="33">
        <f>IF(ISBLANK(K785),"",Long1[[#This Row],[Adj Close]]/K785-1)</f>
        <v>6.249985881863962E-2</v>
      </c>
      <c r="M784" s="37">
        <v>39608</v>
      </c>
      <c r="N784">
        <v>121.525093</v>
      </c>
      <c r="O784" s="36">
        <f>IF(ISBLANK(N785),"",Long2[[#This Row],[Adj Close]]/N785-1)</f>
        <v>0.14959495267234013</v>
      </c>
      <c r="P784" s="29">
        <v>39608</v>
      </c>
      <c r="Q784">
        <v>23.200453</v>
      </c>
      <c r="R784" s="33">
        <f>IF(ISBLANK(Q785),"",Long3[[#This Row],[Adj Close]]/Q785-1)</f>
        <v>1.2712082104552769E-2</v>
      </c>
      <c r="S784" s="37">
        <v>39608</v>
      </c>
      <c r="T784" s="35">
        <v>19.448157999999999</v>
      </c>
      <c r="U784" s="36">
        <f>IF(ISBLANK(T785),"",Long4[[#This Row],[Adj Close]]/T785-1)</f>
        <v>-6.0930385994649616E-2</v>
      </c>
      <c r="Y784" s="37">
        <v>39608</v>
      </c>
      <c r="Z784" s="35">
        <v>13.409245</v>
      </c>
      <c r="AA784" s="36">
        <f>IF(ISBLANK(Z785),"",Long6[[#This Row],[Adj Close]]/Z785-1)</f>
        <v>-4.5107638664622085E-2</v>
      </c>
      <c r="AH784" s="29">
        <v>39608</v>
      </c>
      <c r="AI784" s="44">
        <v>37.240806999999997</v>
      </c>
      <c r="AJ784" s="33">
        <f>IF(ISBLANK(AI785),"",Short0[[#This Row],[Adj Close]]/AI785-1)</f>
        <v>-9.4241607712574837E-2</v>
      </c>
      <c r="AK784" s="37">
        <v>39608</v>
      </c>
      <c r="AL784" s="39">
        <v>30.019777000000001</v>
      </c>
      <c r="AM784" s="36">
        <f>IF(ISBLANK(AL785),"",Short1[[#This Row],[Adj Close]]/AL785-1)</f>
        <v>2.974291464208223E-2</v>
      </c>
      <c r="AN784" s="29">
        <v>39608</v>
      </c>
      <c r="AO784" s="44">
        <v>13.275197</v>
      </c>
      <c r="AP784" s="33">
        <f>IF(ISBLANK(AO785),"",Short2[[#This Row],[Adj Close]]/AO785-1)</f>
        <v>7.8792591472320872E-3</v>
      </c>
    </row>
    <row r="785" spans="1:42" x14ac:dyDescent="0.25">
      <c r="A785" s="37">
        <v>39601</v>
      </c>
      <c r="B785" s="39">
        <v>1360.6800539999999</v>
      </c>
      <c r="C785" s="36">
        <f>IF(ISBLANK(B786), "", GSPC[[#This Row],[Adj Close]]/B786-1)</f>
        <v>-2.8349412915246619E-2</v>
      </c>
      <c r="D78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8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85" s="11" t="e">
        <f>IF(ISBLANK(GSPC[[#This Row],[Long Exp.]]), "", (GSPC[[#This Row],[Long Exp.]]/D786-1)+(E786/GSPC[[#This Row],[Short Exp.]]-1))</f>
        <v>#VALUE!</v>
      </c>
      <c r="G785" s="37">
        <v>39601</v>
      </c>
      <c r="H785">
        <v>11.665786000000001</v>
      </c>
      <c r="I785" s="36">
        <f>IF(ISBLANK(H786), "", Long0[[#This Row],[Adj Close]]/H786-1)</f>
        <v>-4.5693048483379961E-2</v>
      </c>
      <c r="J785" s="29">
        <v>39601</v>
      </c>
      <c r="K785">
        <v>1.770772</v>
      </c>
      <c r="L785" s="33">
        <f>IF(ISBLANK(K786),"",Long1[[#This Row],[Adj Close]]/K786-1)</f>
        <v>2.3999722426226056E-2</v>
      </c>
      <c r="M785" s="37">
        <v>39601</v>
      </c>
      <c r="N785">
        <v>105.71122699999999</v>
      </c>
      <c r="O785" s="36">
        <f>IF(ISBLANK(N786),"",Long2[[#This Row],[Adj Close]]/N786-1)</f>
        <v>6.4155875171525212E-2</v>
      </c>
      <c r="P785" s="29">
        <v>39601</v>
      </c>
      <c r="Q785">
        <v>22.909229</v>
      </c>
      <c r="R785" s="33">
        <f>IF(ISBLANK(Q786),"",Long3[[#This Row],[Adj Close]]/Q786-1)</f>
        <v>-1.9878776615240401E-2</v>
      </c>
      <c r="S785" s="37">
        <v>39601</v>
      </c>
      <c r="T785" s="35">
        <v>20.710028000000001</v>
      </c>
      <c r="U785" s="36">
        <f>IF(ISBLANK(T786),"",Long4[[#This Row],[Adj Close]]/T786-1)</f>
        <v>-5.9984440516749116E-2</v>
      </c>
      <c r="Y785" s="37">
        <v>39601</v>
      </c>
      <c r="Z785" s="35">
        <v>14.042676999999999</v>
      </c>
      <c r="AA785" s="36">
        <f>IF(ISBLANK(Z786),"",Long6[[#This Row],[Adj Close]]/Z786-1)</f>
        <v>-5.2596954693352238E-2</v>
      </c>
      <c r="AH785" s="29">
        <v>39601</v>
      </c>
      <c r="AI785" s="44">
        <v>41.115608000000002</v>
      </c>
      <c r="AJ785" s="33">
        <f>IF(ISBLANK(AI786),"",Short0[[#This Row],[Adj Close]]/AI786-1)</f>
        <v>-0.112183246123155</v>
      </c>
      <c r="AK785" s="37">
        <v>39601</v>
      </c>
      <c r="AL785" s="39">
        <v>29.152691000000001</v>
      </c>
      <c r="AM785" s="36">
        <f>IF(ISBLANK(AL786),"",Short1[[#This Row],[Adj Close]]/AL786-1)</f>
        <v>-4.947487927162908E-2</v>
      </c>
      <c r="AN785" s="29">
        <v>39601</v>
      </c>
      <c r="AO785" s="44">
        <v>13.171416000000001</v>
      </c>
      <c r="AP785" s="33">
        <f>IF(ISBLANK(AO786),"",Short2[[#This Row],[Adj Close]]/AO786-1)</f>
        <v>-9.774866254077752E-2</v>
      </c>
    </row>
    <row r="786" spans="1:42" x14ac:dyDescent="0.25">
      <c r="A786" s="37">
        <v>39594</v>
      </c>
      <c r="B786" s="39">
        <v>1400.380005</v>
      </c>
      <c r="C786" s="36">
        <f>IF(ISBLANK(B787), "", GSPC[[#This Row],[Adj Close]]/B787-1)</f>
        <v>1.7769763026049823E-2</v>
      </c>
      <c r="D78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8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86" s="11" t="e">
        <f>IF(ISBLANK(GSPC[[#This Row],[Long Exp.]]), "", (GSPC[[#This Row],[Long Exp.]]/D787-1)+(E787/GSPC[[#This Row],[Short Exp.]]-1))</f>
        <v>#VALUE!</v>
      </c>
      <c r="G786" s="37">
        <v>39594</v>
      </c>
      <c r="H786">
        <v>12.224354</v>
      </c>
      <c r="I786" s="36">
        <f>IF(ISBLANK(H787), "", Long0[[#This Row],[Adj Close]]/H787-1)</f>
        <v>5.952385905135138E-2</v>
      </c>
      <c r="J786" s="29">
        <v>39594</v>
      </c>
      <c r="K786">
        <v>1.7292700000000001</v>
      </c>
      <c r="L786" s="33">
        <f>IF(ISBLANK(K787),"",Long1[[#This Row],[Adj Close]]/K787-1)</f>
        <v>2.4590479610040905E-2</v>
      </c>
      <c r="M786" s="37">
        <v>39594</v>
      </c>
      <c r="N786">
        <v>99.338104000000001</v>
      </c>
      <c r="O786" s="36">
        <f>IF(ISBLANK(N787),"",Long2[[#This Row],[Adj Close]]/N787-1)</f>
        <v>4.5553247894123627E-2</v>
      </c>
      <c r="P786" s="29">
        <v>39594</v>
      </c>
      <c r="Q786">
        <v>23.373873</v>
      </c>
      <c r="R786" s="33">
        <f>IF(ISBLANK(Q787),"",Long3[[#This Row],[Adj Close]]/Q787-1)</f>
        <v>2.9494331606180646E-2</v>
      </c>
      <c r="S786" s="37">
        <v>39594</v>
      </c>
      <c r="T786" s="35">
        <v>22.031580000000002</v>
      </c>
      <c r="U786" s="36">
        <f>IF(ISBLANK(T787),"",Long4[[#This Row],[Adj Close]]/T787-1)</f>
        <v>1.1350226490857818E-2</v>
      </c>
      <c r="Y786" s="37">
        <v>39594</v>
      </c>
      <c r="Z786" s="35">
        <v>14.822284</v>
      </c>
      <c r="AA786" s="36">
        <f>IF(ISBLANK(Z787),"",Long6[[#This Row],[Adj Close]]/Z787-1)</f>
        <v>2.3553148819235092E-2</v>
      </c>
      <c r="AH786" s="29">
        <v>39594</v>
      </c>
      <c r="AI786" s="44">
        <v>46.310917000000003</v>
      </c>
      <c r="AJ786" s="33">
        <f>IF(ISBLANK(AI787),"",Short0[[#This Row],[Adj Close]]/AI787-1)</f>
        <v>3.5645190823743622E-2</v>
      </c>
      <c r="AK786" s="37">
        <v>39594</v>
      </c>
      <c r="AL786" s="39">
        <v>30.670089999999998</v>
      </c>
      <c r="AM786" s="36">
        <f>IF(ISBLANK(AL787),"",Short1[[#This Row],[Adj Close]]/AL787-1)</f>
        <v>7.8290972537201187E-2</v>
      </c>
      <c r="AN786" s="29">
        <v>39594</v>
      </c>
      <c r="AO786" s="44">
        <v>14.598388999999999</v>
      </c>
      <c r="AP786" s="33">
        <f>IF(ISBLANK(AO787),"",Short2[[#This Row],[Adj Close]]/AO787-1)</f>
        <v>0</v>
      </c>
    </row>
    <row r="787" spans="1:42" x14ac:dyDescent="0.25">
      <c r="A787" s="37">
        <v>39587</v>
      </c>
      <c r="B787" s="39">
        <v>1375.9300539999999</v>
      </c>
      <c r="C787" s="36">
        <f>IF(ISBLANK(B788), "", GSPC[[#This Row],[Adj Close]]/B788-1)</f>
        <v>-3.4672131639338577E-2</v>
      </c>
      <c r="D78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8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87" s="11" t="e">
        <f>IF(ISBLANK(GSPC[[#This Row],[Long Exp.]]), "", (GSPC[[#This Row],[Long Exp.]]/D788-1)+(E788/GSPC[[#This Row],[Short Exp.]]-1))</f>
        <v>#VALUE!</v>
      </c>
      <c r="G787" s="37">
        <v>39587</v>
      </c>
      <c r="H787">
        <v>11.537592</v>
      </c>
      <c r="I787" s="36">
        <f>IF(ISBLANK(H788), "", Long0[[#This Row],[Adj Close]]/H788-1)</f>
        <v>3.1096735897725214E-2</v>
      </c>
      <c r="J787" s="29">
        <v>39587</v>
      </c>
      <c r="K787">
        <v>1.687767</v>
      </c>
      <c r="L787" s="33">
        <f>IF(ISBLANK(K788),"",Long1[[#This Row],[Adj Close]]/K788-1)</f>
        <v>3.3897910539557374E-2</v>
      </c>
      <c r="M787" s="37">
        <v>39587</v>
      </c>
      <c r="N787">
        <v>95.010086000000001</v>
      </c>
      <c r="O787" s="36">
        <f>IF(ISBLANK(N788),"",Long2[[#This Row],[Adj Close]]/N788-1)</f>
        <v>-7.5582283634664016E-2</v>
      </c>
      <c r="P787" s="29">
        <v>39587</v>
      </c>
      <c r="Q787">
        <v>22.704226999999999</v>
      </c>
      <c r="R787" s="33">
        <f>IF(ISBLANK(Q788),"",Long3[[#This Row],[Adj Close]]/Q788-1)</f>
        <v>1.5691752803212333E-2</v>
      </c>
      <c r="S787" s="37">
        <v>39587</v>
      </c>
      <c r="T787" s="35">
        <v>21.784323000000001</v>
      </c>
      <c r="U787" s="36">
        <f>IF(ISBLANK(T788),"",Long4[[#This Row],[Adj Close]]/T788-1)</f>
        <v>-1.5414473897706782E-2</v>
      </c>
      <c r="Y787" s="37">
        <v>39587</v>
      </c>
      <c r="Z787" s="35">
        <v>14.481206</v>
      </c>
      <c r="AA787" s="36">
        <f>IF(ISBLANK(Z788),"",Long6[[#This Row],[Adj Close]]/Z788-1)</f>
        <v>4.0616447786531618E-2</v>
      </c>
      <c r="AH787" s="29">
        <v>39587</v>
      </c>
      <c r="AI787" s="44">
        <v>44.716971999999998</v>
      </c>
      <c r="AJ787" s="33">
        <f>IF(ISBLANK(AI788),"",Short0[[#This Row],[Adj Close]]/AI788-1)</f>
        <v>-0.11880679937825167</v>
      </c>
      <c r="AK787" s="37">
        <v>39587</v>
      </c>
      <c r="AL787" s="39">
        <v>28.443241</v>
      </c>
      <c r="AM787" s="36">
        <f>IF(ISBLANK(AL788),"",Short1[[#This Row],[Adj Close]]/AL788-1)</f>
        <v>-3.8204852278471146E-2</v>
      </c>
      <c r="AN787" s="29">
        <v>39587</v>
      </c>
      <c r="AO787" s="44">
        <v>14.598388999999999</v>
      </c>
      <c r="AP787" s="33">
        <f>IF(ISBLANK(AO788),"",Short2[[#This Row],[Adj Close]]/AO788-1)</f>
        <v>-0.15642194675267795</v>
      </c>
    </row>
    <row r="788" spans="1:42" x14ac:dyDescent="0.25">
      <c r="A788" s="37">
        <v>39580</v>
      </c>
      <c r="B788" s="39">
        <v>1425.349976</v>
      </c>
      <c r="C788" s="36">
        <f>IF(ISBLANK(B789), "", GSPC[[#This Row],[Adj Close]]/B789-1)</f>
        <v>2.6702067468839186E-2</v>
      </c>
      <c r="D78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8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88" s="11" t="e">
        <f>IF(ISBLANK(GSPC[[#This Row],[Long Exp.]]), "", (GSPC[[#This Row],[Long Exp.]]/D789-1)+(E789/GSPC[[#This Row],[Short Exp.]]-1))</f>
        <v>#VALUE!</v>
      </c>
      <c r="G788" s="37">
        <v>39580</v>
      </c>
      <c r="H788">
        <v>11.189631</v>
      </c>
      <c r="I788" s="36">
        <f>IF(ISBLANK(H789), "", Long0[[#This Row],[Adj Close]]/H789-1)</f>
        <v>7.0052396044902432E-2</v>
      </c>
      <c r="J788" s="29">
        <v>39580</v>
      </c>
      <c r="K788">
        <v>1.632431</v>
      </c>
      <c r="L788" s="33">
        <f>IF(ISBLANK(K789),"",Long1[[#This Row],[Adj Close]]/K789-1)</f>
        <v>1.7241809065767999E-2</v>
      </c>
      <c r="M788" s="37">
        <v>39580</v>
      </c>
      <c r="N788">
        <v>102.778305</v>
      </c>
      <c r="O788" s="36">
        <f>IF(ISBLANK(N789),"",Long2[[#This Row],[Adj Close]]/N789-1)</f>
        <v>2.5628379132267565E-2</v>
      </c>
      <c r="P788" s="29">
        <v>39580</v>
      </c>
      <c r="Q788">
        <v>22.353462</v>
      </c>
      <c r="R788" s="33">
        <f>IF(ISBLANK(Q789),"",Long3[[#This Row],[Adj Close]]/Q789-1)</f>
        <v>2.2291840109232464E-2</v>
      </c>
      <c r="S788" s="37">
        <v>39580</v>
      </c>
      <c r="T788" s="35">
        <v>22.125374000000001</v>
      </c>
      <c r="U788" s="36">
        <f>IF(ISBLANK(T789),"",Long4[[#This Row],[Adj Close]]/T789-1)</f>
        <v>0.11564935872046123</v>
      </c>
      <c r="Y788" s="37">
        <v>39580</v>
      </c>
      <c r="Z788" s="35">
        <v>13.915988</v>
      </c>
      <c r="AA788" s="36">
        <f>IF(ISBLANK(Z789),"",Long6[[#This Row],[Adj Close]]/Z789-1)</f>
        <v>4.2190079713380069E-3</v>
      </c>
      <c r="AH788" s="29">
        <v>39580</v>
      </c>
      <c r="AI788" s="44">
        <v>50.745933999999998</v>
      </c>
      <c r="AJ788" s="33">
        <f>IF(ISBLANK(AI789),"",Short0[[#This Row],[Adj Close]]/AI789-1)</f>
        <v>6.078369997303823E-2</v>
      </c>
      <c r="AK788" s="37">
        <v>39580</v>
      </c>
      <c r="AL788" s="39">
        <v>29.573076</v>
      </c>
      <c r="AM788" s="36">
        <f>IF(ISBLANK(AL789),"",Short1[[#This Row],[Adj Close]]/AL789-1)</f>
        <v>7.3693378095796458E-2</v>
      </c>
      <c r="AN788" s="29">
        <v>39580</v>
      </c>
      <c r="AO788" s="44">
        <v>17.305320999999999</v>
      </c>
      <c r="AP788" s="33">
        <f>IF(ISBLANK(AO789),"",Short2[[#This Row],[Adj Close]]/AO789-1)</f>
        <v>8.6909301189636246E-2</v>
      </c>
    </row>
    <row r="789" spans="1:42" x14ac:dyDescent="0.25">
      <c r="A789" s="37">
        <v>39573</v>
      </c>
      <c r="B789" s="39">
        <v>1388.280029</v>
      </c>
      <c r="C789" s="36">
        <f>IF(ISBLANK(B790), "", GSPC[[#This Row],[Adj Close]]/B790-1)</f>
        <v>-1.8120089514900517E-2</v>
      </c>
      <c r="D78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8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89" s="11" t="e">
        <f>IF(ISBLANK(GSPC[[#This Row],[Long Exp.]]), "", (GSPC[[#This Row],[Long Exp.]]/D790-1)+(E790/GSPC[[#This Row],[Short Exp.]]-1))</f>
        <v>#VALUE!</v>
      </c>
      <c r="G789" s="37">
        <v>39573</v>
      </c>
      <c r="H789">
        <v>10.457087</v>
      </c>
      <c r="I789" s="36">
        <f>IF(ISBLANK(H790), "", Long0[[#This Row],[Adj Close]]/H790-1)</f>
        <v>-0.13615738210860273</v>
      </c>
      <c r="J789" s="29">
        <v>39573</v>
      </c>
      <c r="K789">
        <v>1.604762</v>
      </c>
      <c r="L789" s="33">
        <f>IF(ISBLANK(K790),"",Long1[[#This Row],[Adj Close]]/K790-1)</f>
        <v>-3.3333554203695104E-2</v>
      </c>
      <c r="M789" s="37">
        <v>39573</v>
      </c>
      <c r="N789">
        <v>100.210083</v>
      </c>
      <c r="O789" s="36">
        <f>IF(ISBLANK(N790),"",Long2[[#This Row],[Adj Close]]/N790-1)</f>
        <v>1.4362843655618018E-2</v>
      </c>
      <c r="P789" s="29">
        <v>39573</v>
      </c>
      <c r="Q789">
        <v>21.866028</v>
      </c>
      <c r="R789" s="33">
        <f>IF(ISBLANK(Q790),"",Long3[[#This Row],[Adj Close]]/Q790-1)</f>
        <v>-1.030913836626357E-2</v>
      </c>
      <c r="S789" s="37">
        <v>39573</v>
      </c>
      <c r="T789" s="35">
        <v>19.831835000000002</v>
      </c>
      <c r="U789" s="36">
        <f>IF(ISBLANK(T790),"",Long4[[#This Row],[Adj Close]]/T790-1)</f>
        <v>-2.4737988359802787E-2</v>
      </c>
      <c r="Y789" s="37">
        <v>39573</v>
      </c>
      <c r="Z789" s="35">
        <v>13.857523</v>
      </c>
      <c r="AA789" s="36">
        <f>IF(ISBLANK(Z790),"",Long6[[#This Row],[Adj Close]]/Z790-1)</f>
        <v>-0.10846365268799607</v>
      </c>
      <c r="AH789" s="29">
        <v>39573</v>
      </c>
      <c r="AI789" s="44">
        <v>47.838154000000003</v>
      </c>
      <c r="AJ789" s="33">
        <f>IF(ISBLANK(AI790),"",Short0[[#This Row],[Adj Close]]/AI790-1)</f>
        <v>-1.5914413505762726E-2</v>
      </c>
      <c r="AK789" s="37">
        <v>39573</v>
      </c>
      <c r="AL789" s="39">
        <v>27.543316000000001</v>
      </c>
      <c r="AM789" s="36">
        <f>IF(ISBLANK(AL790),"",Short1[[#This Row],[Adj Close]]/AL790-1)</f>
        <v>-6.6562073655517251E-2</v>
      </c>
      <c r="AN789" s="29">
        <v>39573</v>
      </c>
      <c r="AO789" s="44">
        <v>15.921587000000001</v>
      </c>
      <c r="AP789" s="33">
        <f>IF(ISBLANK(AO790),"",Short2[[#This Row],[Adj Close]]/AO790-1)</f>
        <v>-3.6257733230528277E-2</v>
      </c>
    </row>
    <row r="790" spans="1:42" x14ac:dyDescent="0.25">
      <c r="A790" s="37">
        <v>39566</v>
      </c>
      <c r="B790" s="39">
        <v>1413.900024</v>
      </c>
      <c r="C790" s="36">
        <f>IF(ISBLANK(B791), "", GSPC[[#This Row],[Adj Close]]/B791-1)</f>
        <v>1.1489196467859397E-2</v>
      </c>
      <c r="D79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9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90" s="11" t="e">
        <f>IF(ISBLANK(GSPC[[#This Row],[Long Exp.]]), "", (GSPC[[#This Row],[Long Exp.]]/D791-1)+(E791/GSPC[[#This Row],[Short Exp.]]-1))</f>
        <v>#VALUE!</v>
      </c>
      <c r="G790" s="37">
        <v>39566</v>
      </c>
      <c r="H790">
        <v>12.105314999999999</v>
      </c>
      <c r="I790" s="36">
        <f>IF(ISBLANK(H791), "", Long0[[#This Row],[Adj Close]]/H791-1)</f>
        <v>2.0061788603362274E-2</v>
      </c>
      <c r="J790" s="29">
        <v>39566</v>
      </c>
      <c r="K790">
        <v>1.660099</v>
      </c>
      <c r="L790" s="33">
        <f>IF(ISBLANK(K791),"",Long1[[#This Row],[Adj Close]]/K791-1)</f>
        <v>7.142838702848664E-2</v>
      </c>
      <c r="M790" s="37">
        <v>39566</v>
      </c>
      <c r="N790">
        <v>98.791161000000002</v>
      </c>
      <c r="O790" s="36">
        <f>IF(ISBLANK(N791),"",Long2[[#This Row],[Adj Close]]/N791-1)</f>
        <v>-5.0799701701530364E-2</v>
      </c>
      <c r="P790" s="29">
        <v>39566</v>
      </c>
      <c r="Q790">
        <v>22.093796000000001</v>
      </c>
      <c r="R790" s="33">
        <f>IF(ISBLANK(Q791),"",Long3[[#This Row],[Adj Close]]/Q791-1)</f>
        <v>8.3162902088316226E-3</v>
      </c>
      <c r="S790" s="37">
        <v>39566</v>
      </c>
      <c r="T790" s="35">
        <v>20.334879000000001</v>
      </c>
      <c r="U790" s="36">
        <f>IF(ISBLANK(T791),"",Long4[[#This Row],[Adj Close]]/T791-1)</f>
        <v>1.2595215620194722E-3</v>
      </c>
      <c r="Y790" s="37">
        <v>39566</v>
      </c>
      <c r="Z790" s="35">
        <v>15.543419</v>
      </c>
      <c r="AA790" s="36">
        <f>IF(ISBLANK(Z791),"",Long6[[#This Row],[Adj Close]]/Z791-1)</f>
        <v>7.8431337177874871E-2</v>
      </c>
      <c r="AH790" s="29">
        <v>39566</v>
      </c>
      <c r="AI790" s="44">
        <v>48.611781999999998</v>
      </c>
      <c r="AJ790" s="33">
        <f>IF(ISBLANK(AI791),"",Short0[[#This Row],[Adj Close]]/AI791-1)</f>
        <v>3.6989406499451816E-2</v>
      </c>
      <c r="AK790" s="37">
        <v>39566</v>
      </c>
      <c r="AL790" s="39">
        <v>29.507389</v>
      </c>
      <c r="AM790" s="36">
        <f>IF(ISBLANK(AL791),"",Short1[[#This Row],[Adj Close]]/AL791-1)</f>
        <v>-8.0728099734694858E-4</v>
      </c>
      <c r="AN790" s="29">
        <v>39566</v>
      </c>
      <c r="AO790" s="44">
        <v>16.520586000000002</v>
      </c>
      <c r="AP790" s="33">
        <f>IF(ISBLANK(AO791),"",Short2[[#This Row],[Adj Close]]/AO791-1)</f>
        <v>1.3676601633520136E-2</v>
      </c>
    </row>
    <row r="791" spans="1:42" x14ac:dyDescent="0.25">
      <c r="A791" s="37">
        <v>39559</v>
      </c>
      <c r="B791" s="39">
        <v>1397.839966</v>
      </c>
      <c r="C791" s="36">
        <f>IF(ISBLANK(B792), "", GSPC[[#This Row],[Adj Close]]/B792-1)</f>
        <v>5.4016026681942275E-3</v>
      </c>
      <c r="D79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9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91" s="11" t="e">
        <f>IF(ISBLANK(GSPC[[#This Row],[Long Exp.]]), "", (GSPC[[#This Row],[Long Exp.]]/D792-1)+(E792/GSPC[[#This Row],[Short Exp.]]-1))</f>
        <v>#VALUE!</v>
      </c>
      <c r="G791" s="37">
        <v>39559</v>
      </c>
      <c r="H791">
        <v>11.867236999999999</v>
      </c>
      <c r="I791" s="36">
        <f>IF(ISBLANK(H792), "", Long0[[#This Row],[Adj Close]]/H792-1)</f>
        <v>3.5971237466368766E-2</v>
      </c>
      <c r="J791" s="29">
        <v>39559</v>
      </c>
      <c r="K791">
        <v>1.549426</v>
      </c>
      <c r="L791" s="33">
        <f>IF(ISBLANK(K792),"",Long1[[#This Row],[Adj Close]]/K792-1)</f>
        <v>-8.8494556247842304E-3</v>
      </c>
      <c r="M791" s="37">
        <v>39559</v>
      </c>
      <c r="N791">
        <v>104.07830800000001</v>
      </c>
      <c r="O791" s="36">
        <f>IF(ISBLANK(N792),"",Long2[[#This Row],[Adj Close]]/N792-1)</f>
        <v>-2.9205142352618618E-2</v>
      </c>
      <c r="P791" s="29">
        <v>39559</v>
      </c>
      <c r="Q791">
        <v>21.911573000000001</v>
      </c>
      <c r="R791" s="33">
        <f>IF(ISBLANK(Q792),"",Long3[[#This Row],[Adj Close]]/Q792-1)</f>
        <v>-2.1164644682140521E-2</v>
      </c>
      <c r="S791" s="37">
        <v>39559</v>
      </c>
      <c r="T791" s="35">
        <v>20.309298999999999</v>
      </c>
      <c r="U791" s="36">
        <f>IF(ISBLANK(T792),"",Long4[[#This Row],[Adj Close]]/T792-1)</f>
        <v>7.1043202553969786E-2</v>
      </c>
      <c r="Y791" s="37">
        <v>39559</v>
      </c>
      <c r="Z791" s="35">
        <v>14.412989</v>
      </c>
      <c r="AA791" s="36">
        <f>IF(ISBLANK(Z792),"",Long6[[#This Row],[Adj Close]]/Z792-1)</f>
        <v>-1.6622255548092157E-2</v>
      </c>
      <c r="AH791" s="29">
        <v>39559</v>
      </c>
      <c r="AI791" s="44">
        <v>46.877800000000001</v>
      </c>
      <c r="AJ791" s="33">
        <f>IF(ISBLANK(AI792),"",Short0[[#This Row],[Adj Close]]/AI792-1)</f>
        <v>3.7184660212824516E-2</v>
      </c>
      <c r="AK791" s="37">
        <v>39559</v>
      </c>
      <c r="AL791" s="39">
        <v>29.531229</v>
      </c>
      <c r="AM791" s="36">
        <f>IF(ISBLANK(AL792),"",Short1[[#This Row],[Adj Close]]/AL792-1)</f>
        <v>2.8747506227181807E-2</v>
      </c>
      <c r="AN791" s="29">
        <v>39559</v>
      </c>
      <c r="AO791" s="44">
        <v>16.297688999999998</v>
      </c>
      <c r="AP791" s="33">
        <f>IF(ISBLANK(AO792),"",Short2[[#This Row],[Adj Close]]/AO792-1)</f>
        <v>1.7666447181710065E-2</v>
      </c>
    </row>
    <row r="792" spans="1:42" x14ac:dyDescent="0.25">
      <c r="A792" s="37">
        <v>39552</v>
      </c>
      <c r="B792" s="39">
        <v>1390.329956</v>
      </c>
      <c r="C792" s="36">
        <f>IF(ISBLANK(B793), "", GSPC[[#This Row],[Adj Close]]/B793-1)</f>
        <v>4.3141287259603089E-2</v>
      </c>
      <c r="D79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9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92" s="11" t="e">
        <f>IF(ISBLANK(GSPC[[#This Row],[Long Exp.]]), "", (GSPC[[#This Row],[Long Exp.]]/D793-1)+(E793/GSPC[[#This Row],[Short Exp.]]-1))</f>
        <v>#VALUE!</v>
      </c>
      <c r="G792" s="37">
        <v>39552</v>
      </c>
      <c r="H792">
        <v>11.45518</v>
      </c>
      <c r="I792" s="36">
        <f>IF(ISBLANK(H793), "", Long0[[#This Row],[Adj Close]]/H793-1)</f>
        <v>2.625100764529309E-2</v>
      </c>
      <c r="J792" s="29">
        <v>39552</v>
      </c>
      <c r="K792">
        <v>1.5632600000000001</v>
      </c>
      <c r="L792" s="33">
        <f>IF(ISBLANK(K793),"",Long1[[#This Row],[Adj Close]]/K793-1)</f>
        <v>-2.586177888060659E-2</v>
      </c>
      <c r="M792" s="37">
        <v>39552</v>
      </c>
      <c r="N792">
        <v>107.209373</v>
      </c>
      <c r="O792" s="36">
        <f>IF(ISBLANK(N793),"",Long2[[#This Row],[Adj Close]]/N793-1)</f>
        <v>0.11216182888483628</v>
      </c>
      <c r="P792" s="29">
        <v>39552</v>
      </c>
      <c r="Q792">
        <v>22.385351</v>
      </c>
      <c r="R792" s="33">
        <f>IF(ISBLANK(Q793),"",Long3[[#This Row],[Adj Close]]/Q793-1)</f>
        <v>3.9120353038215372E-2</v>
      </c>
      <c r="S792" s="37">
        <v>39552</v>
      </c>
      <c r="T792" s="35">
        <v>18.962166</v>
      </c>
      <c r="U792" s="36">
        <f>IF(ISBLANK(T793),"",Long4[[#This Row],[Adj Close]]/T793-1)</f>
        <v>4.5112738028102006E-2</v>
      </c>
      <c r="Y792" s="37">
        <v>39552</v>
      </c>
      <c r="Z792" s="35">
        <v>14.656615</v>
      </c>
      <c r="AA792" s="36">
        <f>IF(ISBLANK(Z793),"",Long6[[#This Row],[Adj Close]]/Z793-1)</f>
        <v>5.5438361558307836E-2</v>
      </c>
      <c r="AH792" s="29">
        <v>39552</v>
      </c>
      <c r="AI792" s="44">
        <v>45.197158999999999</v>
      </c>
      <c r="AJ792" s="33">
        <f>IF(ISBLANK(AI793),"",Short0[[#This Row],[Adj Close]]/AI793-1)</f>
        <v>-0.11469627031588825</v>
      </c>
      <c r="AK792" s="37">
        <v>39552</v>
      </c>
      <c r="AL792" s="39">
        <v>28.706002999999999</v>
      </c>
      <c r="AM792" s="36">
        <f>IF(ISBLANK(AL793),"",Short1[[#This Row],[Adj Close]]/AL793-1)</f>
        <v>6.4351865361171434E-2</v>
      </c>
      <c r="AN792" s="29">
        <v>39552</v>
      </c>
      <c r="AO792" s="44">
        <v>16.014765000000001</v>
      </c>
      <c r="AP792" s="33">
        <f>IF(ISBLANK(AO793),"",Short2[[#This Row],[Adj Close]]/AO793-1)</f>
        <v>2.9768295839957881E-2</v>
      </c>
    </row>
    <row r="793" spans="1:42" x14ac:dyDescent="0.25">
      <c r="A793" s="37">
        <v>39545</v>
      </c>
      <c r="B793" s="39">
        <v>1332.829956</v>
      </c>
      <c r="C793" s="36">
        <f>IF(ISBLANK(B794), "", GSPC[[#This Row],[Adj Close]]/B794-1)</f>
        <v>-2.7415402321971927E-2</v>
      </c>
      <c r="D79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9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93" s="11" t="e">
        <f>IF(ISBLANK(GSPC[[#This Row],[Long Exp.]]), "", (GSPC[[#This Row],[Long Exp.]]/D794-1)+(E794/GSPC[[#This Row],[Short Exp.]]-1))</f>
        <v>#VALUE!</v>
      </c>
      <c r="G793" s="37">
        <v>39545</v>
      </c>
      <c r="H793">
        <v>11.162162</v>
      </c>
      <c r="I793" s="36">
        <f>IF(ISBLANK(H794), "", Long0[[#This Row],[Adj Close]]/H794-1)</f>
        <v>-1.1354467236556975E-2</v>
      </c>
      <c r="J793" s="29">
        <v>39545</v>
      </c>
      <c r="K793">
        <v>1.604762</v>
      </c>
      <c r="L793" s="33">
        <f>IF(ISBLANK(K794),"",Long1[[#This Row],[Adj Close]]/K794-1)</f>
        <v>8.6955537899893187E-3</v>
      </c>
      <c r="M793" s="37">
        <v>39545</v>
      </c>
      <c r="N793">
        <v>96.397278</v>
      </c>
      <c r="O793" s="36">
        <f>IF(ISBLANK(N794),"",Long2[[#This Row],[Adj Close]]/N794-1)</f>
        <v>5.6834873483426529E-2</v>
      </c>
      <c r="P793" s="29">
        <v>39545</v>
      </c>
      <c r="Q793">
        <v>21.542597000000001</v>
      </c>
      <c r="R793" s="33">
        <f>IF(ISBLANK(Q794),"",Long3[[#This Row],[Adj Close]]/Q794-1)</f>
        <v>-4.4209196507408732E-3</v>
      </c>
      <c r="S793" s="37">
        <v>39545</v>
      </c>
      <c r="T793" s="35">
        <v>18.143656</v>
      </c>
      <c r="U793" s="36">
        <f>IF(ISBLANK(T794),"",Long4[[#This Row],[Adj Close]]/T794-1)</f>
        <v>-7.074235950998542E-2</v>
      </c>
      <c r="Y793" s="37">
        <v>39545</v>
      </c>
      <c r="Z793" s="35">
        <v>13.886756</v>
      </c>
      <c r="AA793" s="36">
        <f>IF(ISBLANK(Z794),"",Long6[[#This Row],[Adj Close]]/Z794-1)</f>
        <v>-5.940592315779647E-2</v>
      </c>
      <c r="AH793" s="29">
        <v>39545</v>
      </c>
      <c r="AI793" s="44">
        <v>51.052714999999999</v>
      </c>
      <c r="AJ793" s="33">
        <f>IF(ISBLANK(AI794),"",Short0[[#This Row],[Adj Close]]/AI794-1)</f>
        <v>-3.1502954821247209E-2</v>
      </c>
      <c r="AK793" s="37">
        <v>39545</v>
      </c>
      <c r="AL793" s="39">
        <v>26.970407000000002</v>
      </c>
      <c r="AM793" s="36">
        <f>IF(ISBLANK(AL794),"",Short1[[#This Row],[Adj Close]]/AL794-1)</f>
        <v>-3.986955381165147E-2</v>
      </c>
      <c r="AN793" s="29">
        <v>39545</v>
      </c>
      <c r="AO793" s="44">
        <v>15.551814</v>
      </c>
      <c r="AP793" s="33">
        <f>IF(ISBLANK(AO794),"",Short2[[#This Row],[Adj Close]]/AO794-1)</f>
        <v>-0.16096233462432941</v>
      </c>
    </row>
    <row r="794" spans="1:42" x14ac:dyDescent="0.25">
      <c r="A794" s="37">
        <v>39538</v>
      </c>
      <c r="B794" s="39">
        <v>1370.400024</v>
      </c>
      <c r="C794" s="36">
        <f>IF(ISBLANK(B795), "", GSPC[[#This Row],[Adj Close]]/B795-1)</f>
        <v>4.1954999328397635E-2</v>
      </c>
      <c r="D79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9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94" s="11" t="e">
        <f>IF(ISBLANK(GSPC[[#This Row],[Long Exp.]]), "", (GSPC[[#This Row],[Long Exp.]]/D795-1)+(E795/GSPC[[#This Row],[Short Exp.]]-1))</f>
        <v>#VALUE!</v>
      </c>
      <c r="G794" s="37">
        <v>39538</v>
      </c>
      <c r="H794">
        <v>11.290357999999999</v>
      </c>
      <c r="I794" s="36">
        <f>IF(ISBLANK(H795), "", Long0[[#This Row],[Adj Close]]/H795-1)</f>
        <v>7.310717120810728E-2</v>
      </c>
      <c r="J794" s="29">
        <v>39538</v>
      </c>
      <c r="K794">
        <v>1.5909279999999999</v>
      </c>
      <c r="L794" s="33">
        <f>IF(ISBLANK(K795),"",Long1[[#This Row],[Adj Close]]/K795-1)</f>
        <v>0</v>
      </c>
      <c r="M794" s="37">
        <v>39538</v>
      </c>
      <c r="N794">
        <v>91.213188000000002</v>
      </c>
      <c r="O794" s="36">
        <f>IF(ISBLANK(N795),"",Long2[[#This Row],[Adj Close]]/N795-1)</f>
        <v>9.1746062254113525E-2</v>
      </c>
      <c r="P794" s="29">
        <v>39538</v>
      </c>
      <c r="Q794">
        <v>21.638258</v>
      </c>
      <c r="R794" s="33">
        <f>IF(ISBLANK(Q795),"",Long3[[#This Row],[Adj Close]]/Q795-1)</f>
        <v>3.4407131826585058E-2</v>
      </c>
      <c r="S794" s="37">
        <v>39538</v>
      </c>
      <c r="T794" s="35">
        <v>19.524892999999999</v>
      </c>
      <c r="U794" s="36">
        <f>IF(ISBLANK(T795),"",Long4[[#This Row],[Adj Close]]/T795-1)</f>
        <v>1.6422457577729865E-2</v>
      </c>
      <c r="Y794" s="37">
        <v>39538</v>
      </c>
      <c r="Z794" s="35">
        <v>14.763814</v>
      </c>
      <c r="AA794" s="36">
        <f>IF(ISBLANK(Z795),"",Long6[[#This Row],[Adj Close]]/Z795-1)</f>
        <v>7.4468113752702791E-2</v>
      </c>
      <c r="AH794" s="29">
        <v>39538</v>
      </c>
      <c r="AI794" s="44">
        <v>52.713341</v>
      </c>
      <c r="AJ794" s="33">
        <f>IF(ISBLANK(AI795),"",Short0[[#This Row],[Adj Close]]/AI795-1)</f>
        <v>7.4058955477342314E-2</v>
      </c>
      <c r="AK794" s="37">
        <v>39538</v>
      </c>
      <c r="AL794" s="39">
        <v>28.090357000000001</v>
      </c>
      <c r="AM794" s="36">
        <f>IF(ISBLANK(AL795),"",Short1[[#This Row],[Adj Close]]/AL795-1)</f>
        <v>5.7445674371855437E-2</v>
      </c>
      <c r="AN794" s="29">
        <v>39538</v>
      </c>
      <c r="AO794" s="44">
        <v>18.535298999999998</v>
      </c>
      <c r="AP794" s="33">
        <f>IF(ISBLANK(AO795),"",Short2[[#This Row],[Adj Close]]/AO795-1)</f>
        <v>0.2051284785373233</v>
      </c>
    </row>
    <row r="795" spans="1:42" x14ac:dyDescent="0.25">
      <c r="A795" s="37">
        <v>39531</v>
      </c>
      <c r="B795" s="39">
        <v>1315.219971</v>
      </c>
      <c r="C795" s="36">
        <f>IF(ISBLANK(B796), "", GSPC[[#This Row],[Adj Close]]/B796-1)</f>
        <v>-1.0748350063193524E-2</v>
      </c>
      <c r="D79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9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95" s="11" t="e">
        <f>IF(ISBLANK(GSPC[[#This Row],[Long Exp.]]), "", (GSPC[[#This Row],[Long Exp.]]/D796-1)+(E796/GSPC[[#This Row],[Short Exp.]]-1))</f>
        <v>#VALUE!</v>
      </c>
      <c r="G795" s="37">
        <v>39531</v>
      </c>
      <c r="H795">
        <v>10.521184</v>
      </c>
      <c r="I795" s="36">
        <f>IF(ISBLANK(H796), "", Long0[[#This Row],[Adj Close]]/H796-1)</f>
        <v>3.5134941022641364E-2</v>
      </c>
      <c r="J795" s="29">
        <v>39531</v>
      </c>
      <c r="K795">
        <v>1.5909279999999999</v>
      </c>
      <c r="L795" s="33">
        <f>IF(ISBLANK(K796),"",Long1[[#This Row],[Adj Close]]/K796-1)</f>
        <v>7.4766172044681278E-2</v>
      </c>
      <c r="M795" s="37">
        <v>39531</v>
      </c>
      <c r="N795">
        <v>83.547989000000001</v>
      </c>
      <c r="O795" s="36">
        <f>IF(ISBLANK(N796),"",Long2[[#This Row],[Adj Close]]/N796-1)</f>
        <v>0.14552703430034541</v>
      </c>
      <c r="P795" s="29">
        <v>39531</v>
      </c>
      <c r="Q795">
        <v>20.918512</v>
      </c>
      <c r="R795" s="33">
        <f>IF(ISBLANK(Q796),"",Long3[[#This Row],[Adj Close]]/Q796-1)</f>
        <v>-2.8224230278600659E-3</v>
      </c>
      <c r="S795" s="37">
        <v>39531</v>
      </c>
      <c r="T795" s="35">
        <v>19.209427000000002</v>
      </c>
      <c r="U795" s="36">
        <f>IF(ISBLANK(T796),"",Long4[[#This Row],[Adj Close]]/T796-1)</f>
        <v>2.8767246758389486E-2</v>
      </c>
      <c r="Y795" s="37">
        <v>39531</v>
      </c>
      <c r="Z795" s="35">
        <v>13.740579</v>
      </c>
      <c r="AA795" s="36">
        <f>IF(ISBLANK(Z796),"",Long6[[#This Row],[Adj Close]]/Z796-1)</f>
        <v>3.7527541646594109E-2</v>
      </c>
      <c r="AH795" s="29">
        <v>39531</v>
      </c>
      <c r="AI795" s="44">
        <v>49.078628999999999</v>
      </c>
      <c r="AJ795" s="33">
        <f>IF(ISBLANK(AI796),"",Short0[[#This Row],[Adj Close]]/AI796-1)</f>
        <v>-4.3788911090049676E-2</v>
      </c>
      <c r="AK795" s="37">
        <v>39531</v>
      </c>
      <c r="AL795" s="39">
        <v>26.564350000000001</v>
      </c>
      <c r="AM795" s="36">
        <f>IF(ISBLANK(AL796),"",Short1[[#This Row],[Adj Close]]/AL796-1)</f>
        <v>-4.3621950797582576E-2</v>
      </c>
      <c r="AN795" s="29">
        <v>39531</v>
      </c>
      <c r="AO795" s="44">
        <v>15.380350999999999</v>
      </c>
      <c r="AP795" s="33">
        <f>IF(ISBLANK(AO796),"",Short2[[#This Row],[Adj Close]]/AO796-1)</f>
        <v>1.2415365191873917E-2</v>
      </c>
    </row>
    <row r="796" spans="1:42" x14ac:dyDescent="0.25">
      <c r="A796" s="37">
        <v>39524</v>
      </c>
      <c r="B796" s="39">
        <v>1329.51001</v>
      </c>
      <c r="C796" s="36">
        <f>IF(ISBLANK(B797), "", GSPC[[#This Row],[Adj Close]]/B797-1)</f>
        <v>3.2116070084198034E-2</v>
      </c>
      <c r="D79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9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96" s="11" t="e">
        <f>IF(ISBLANK(GSPC[[#This Row],[Long Exp.]]), "", (GSPC[[#This Row],[Long Exp.]]/D797-1)+(E797/GSPC[[#This Row],[Short Exp.]]-1))</f>
        <v>#VALUE!</v>
      </c>
      <c r="G796" s="37">
        <v>39524</v>
      </c>
      <c r="H796">
        <v>10.164070000000001</v>
      </c>
      <c r="I796" s="36">
        <f>IF(ISBLANK(H797), "", Long0[[#This Row],[Adj Close]]/H797-1)</f>
        <v>2.7102784100030419E-3</v>
      </c>
      <c r="J796" s="29">
        <v>39524</v>
      </c>
      <c r="K796">
        <v>1.4802550000000001</v>
      </c>
      <c r="L796" s="33">
        <f>IF(ISBLANK(K797),"",Long1[[#This Row],[Adj Close]]/K797-1)</f>
        <v>-5.3097373437559936E-2</v>
      </c>
      <c r="M796" s="37">
        <v>39524</v>
      </c>
      <c r="N796">
        <v>72.934105000000002</v>
      </c>
      <c r="O796" s="36">
        <f>IF(ISBLANK(N797),"",Long2[[#This Row],[Adj Close]]/N797-1)</f>
        <v>-0.1419376841346266</v>
      </c>
      <c r="P796" s="29">
        <v>39524</v>
      </c>
      <c r="Q796">
        <v>20.977720000000001</v>
      </c>
      <c r="R796" s="33">
        <f>IF(ISBLANK(Q797),"",Long3[[#This Row],[Adj Close]]/Q797-1)</f>
        <v>3.2680057398142281E-3</v>
      </c>
      <c r="S796" s="37">
        <v>39524</v>
      </c>
      <c r="T796" s="35">
        <v>18.672277000000001</v>
      </c>
      <c r="U796" s="36">
        <f>IF(ISBLANK(T797),"",Long4[[#This Row],[Adj Close]]/T797-1)</f>
        <v>0.1005023324916432</v>
      </c>
      <c r="Y796" s="37">
        <v>39524</v>
      </c>
      <c r="Z796" s="35">
        <v>13.24358</v>
      </c>
      <c r="AA796" s="36">
        <f>IF(ISBLANK(Z797),"",Long6[[#This Row],[Adj Close]]/Z797-1)</f>
        <v>-8.3614206229323695E-2</v>
      </c>
      <c r="AH796" s="29">
        <v>39524</v>
      </c>
      <c r="AI796" s="44">
        <v>51.326144999999997</v>
      </c>
      <c r="AJ796" s="33">
        <f>IF(ISBLANK(AI797),"",Short0[[#This Row],[Adj Close]]/AI797-1)</f>
        <v>2.860188956715537E-2</v>
      </c>
      <c r="AK796" s="37">
        <v>39524</v>
      </c>
      <c r="AL796" s="39">
        <v>27.775993</v>
      </c>
      <c r="AM796" s="36">
        <f>IF(ISBLANK(AL797),"",Short1[[#This Row],[Adj Close]]/AL797-1)</f>
        <v>5.9985153487613907E-2</v>
      </c>
      <c r="AN796" s="29">
        <v>39524</v>
      </c>
      <c r="AO796" s="44">
        <v>15.191739999999999</v>
      </c>
      <c r="AP796" s="33">
        <f>IF(ISBLANK(AO797),"",Short2[[#This Row],[Adj Close]]/AO797-1)</f>
        <v>0.14101760353210779</v>
      </c>
    </row>
    <row r="797" spans="1:42" x14ac:dyDescent="0.25">
      <c r="A797" s="37">
        <v>39517</v>
      </c>
      <c r="B797" s="39">
        <v>1288.1400149999999</v>
      </c>
      <c r="C797" s="36">
        <f>IF(ISBLANK(B798), "", GSPC[[#This Row],[Adj Close]]/B798-1)</f>
        <v>-4.0436843441694625E-3</v>
      </c>
      <c r="D79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9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97" s="11" t="e">
        <f>IF(ISBLANK(GSPC[[#This Row],[Long Exp.]]), "", (GSPC[[#This Row],[Long Exp.]]/D798-1)+(E798/GSPC[[#This Row],[Short Exp.]]-1))</f>
        <v>#VALUE!</v>
      </c>
      <c r="G797" s="37">
        <v>39517</v>
      </c>
      <c r="H797">
        <v>10.136597</v>
      </c>
      <c r="I797" s="36">
        <f>IF(ISBLANK(H798), "", Long0[[#This Row],[Adj Close]]/H798-1)</f>
        <v>4.4339469462287617E-2</v>
      </c>
      <c r="J797" s="29">
        <v>39517</v>
      </c>
      <c r="K797">
        <v>1.5632600000000001</v>
      </c>
      <c r="L797" s="33">
        <f>IF(ISBLANK(K798),"",Long1[[#This Row],[Adj Close]]/K798-1)</f>
        <v>-1.7391107579978304E-2</v>
      </c>
      <c r="M797" s="37">
        <v>39517</v>
      </c>
      <c r="N797">
        <v>84.998610999999997</v>
      </c>
      <c r="O797" s="36">
        <f>IF(ISBLANK(N798),"",Long2[[#This Row],[Adj Close]]/N798-1)</f>
        <v>3.0463158812533919E-2</v>
      </c>
      <c r="P797" s="29">
        <v>39517</v>
      </c>
      <c r="Q797">
        <v>20.909388</v>
      </c>
      <c r="R797" s="33">
        <f>IF(ISBLANK(Q798),"",Long3[[#This Row],[Adj Close]]/Q798-1)</f>
        <v>1.9846322073383327E-2</v>
      </c>
      <c r="S797" s="37">
        <v>39517</v>
      </c>
      <c r="T797" s="35">
        <v>16.967048999999999</v>
      </c>
      <c r="U797" s="36">
        <f>IF(ISBLANK(T798),"",Long4[[#This Row],[Adj Close]]/T798-1)</f>
        <v>-2.9741674256050676E-2</v>
      </c>
      <c r="Y797" s="37">
        <v>39517</v>
      </c>
      <c r="Z797" s="35">
        <v>14.451969999999999</v>
      </c>
      <c r="AA797" s="36">
        <f>IF(ISBLANK(Z798),"",Long6[[#This Row],[Adj Close]]/Z798-1)</f>
        <v>-8.850656233118781E-2</v>
      </c>
      <c r="AH797" s="29">
        <v>39517</v>
      </c>
      <c r="AI797" s="44">
        <v>49.898941000000001</v>
      </c>
      <c r="AJ797" s="33">
        <f>IF(ISBLANK(AI798),"",Short0[[#This Row],[Adj Close]]/AI798-1)</f>
        <v>-5.3390658732862306E-2</v>
      </c>
      <c r="AK797" s="37">
        <v>39517</v>
      </c>
      <c r="AL797" s="39">
        <v>26.204134</v>
      </c>
      <c r="AM797" s="36">
        <f>IF(ISBLANK(AL798),"",Short1[[#This Row],[Adj Close]]/AL798-1)</f>
        <v>3.5115063931214774E-3</v>
      </c>
      <c r="AN797" s="29">
        <v>39517</v>
      </c>
      <c r="AO797" s="44">
        <v>13.314202999999999</v>
      </c>
      <c r="AP797" s="33">
        <f>IF(ISBLANK(AO798),"",Short2[[#This Row],[Adj Close]]/AO798-1)</f>
        <v>-1.1457753122428804E-2</v>
      </c>
    </row>
    <row r="798" spans="1:42" x14ac:dyDescent="0.25">
      <c r="A798" s="37">
        <v>39510</v>
      </c>
      <c r="B798" s="39">
        <v>1293.369995</v>
      </c>
      <c r="C798" s="36">
        <f>IF(ISBLANK(B799), "", GSPC[[#This Row],[Adj Close]]/B799-1)</f>
        <v>-2.800178100598294E-2</v>
      </c>
      <c r="D79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9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98" s="11" t="e">
        <f>IF(ISBLANK(GSPC[[#This Row],[Long Exp.]]), "", (GSPC[[#This Row],[Long Exp.]]/D799-1)+(E799/GSPC[[#This Row],[Short Exp.]]-1))</f>
        <v>#VALUE!</v>
      </c>
      <c r="G798" s="37">
        <v>39510</v>
      </c>
      <c r="H798">
        <v>9.7062279999999994</v>
      </c>
      <c r="I798" s="36">
        <f>IF(ISBLANK(H799), "", Long0[[#This Row],[Adj Close]]/H799-1)</f>
        <v>-0.10472968516943837</v>
      </c>
      <c r="J798" s="29">
        <v>39510</v>
      </c>
      <c r="K798">
        <v>1.5909279999999999</v>
      </c>
      <c r="L798" s="33">
        <f>IF(ISBLANK(K799),"",Long1[[#This Row],[Adj Close]]/K799-1)</f>
        <v>0</v>
      </c>
      <c r="M798" s="37">
        <v>39510</v>
      </c>
      <c r="N798">
        <v>82.485832000000002</v>
      </c>
      <c r="O798" s="36">
        <f>IF(ISBLANK(N799),"",Long2[[#This Row],[Adj Close]]/N799-1)</f>
        <v>-6.5049458651131209E-2</v>
      </c>
      <c r="P798" s="29">
        <v>39510</v>
      </c>
      <c r="Q798">
        <v>20.502489000000001</v>
      </c>
      <c r="R798" s="33">
        <f>IF(ISBLANK(Q799),"",Long3[[#This Row],[Adj Close]]/Q799-1)</f>
        <v>-1.1018701244158713E-3</v>
      </c>
      <c r="S798" s="37">
        <v>39510</v>
      </c>
      <c r="T798" s="35">
        <v>17.487145999999999</v>
      </c>
      <c r="U798" s="36">
        <f>IF(ISBLANK(T799),"",Long4[[#This Row],[Adj Close]]/T799-1)</f>
        <v>-9.1271215056949573E-2</v>
      </c>
      <c r="Y798" s="37">
        <v>39510</v>
      </c>
      <c r="Z798" s="35">
        <v>15.855264999999999</v>
      </c>
      <c r="AA798" s="36">
        <f>IF(ISBLANK(Z799),"",Long6[[#This Row],[Adj Close]]/Z799-1)</f>
        <v>-4.5187902735932095E-2</v>
      </c>
      <c r="AH798" s="29">
        <v>39510</v>
      </c>
      <c r="AI798" s="44">
        <v>52.713341</v>
      </c>
      <c r="AJ798" s="33">
        <f>IF(ISBLANK(AI799),"",Short0[[#This Row],[Adj Close]]/AI799-1)</f>
        <v>-5.1140467311151849E-2</v>
      </c>
      <c r="AK798" s="37">
        <v>39510</v>
      </c>
      <c r="AL798" s="39">
        <v>26.112439999999999</v>
      </c>
      <c r="AM798" s="36">
        <f>IF(ISBLANK(AL799),"",Short1[[#This Row],[Adj Close]]/AL799-1)</f>
        <v>-7.3005876188871666E-2</v>
      </c>
      <c r="AN798" s="29">
        <v>39510</v>
      </c>
      <c r="AO798" s="44">
        <v>13.468522</v>
      </c>
      <c r="AP798" s="33">
        <f>IF(ISBLANK(AO799),"",Short2[[#This Row],[Adj Close]]/AO799-1)</f>
        <v>-0.15583006241651387</v>
      </c>
    </row>
    <row r="799" spans="1:42" x14ac:dyDescent="0.25">
      <c r="A799" s="37">
        <v>39503</v>
      </c>
      <c r="B799" s="39">
        <v>1330.630005</v>
      </c>
      <c r="C799" s="36">
        <f>IF(ISBLANK(B800), "", GSPC[[#This Row],[Adj Close]]/B800-1)</f>
        <v>-1.6613564491581245E-2</v>
      </c>
      <c r="D79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79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799" s="11" t="e">
        <f>IF(ISBLANK(GSPC[[#This Row],[Long Exp.]]), "", (GSPC[[#This Row],[Long Exp.]]/D800-1)+(E800/GSPC[[#This Row],[Short Exp.]]-1))</f>
        <v>#VALUE!</v>
      </c>
      <c r="G799" s="37">
        <v>39503</v>
      </c>
      <c r="H799">
        <v>10.841673</v>
      </c>
      <c r="I799" s="36">
        <f>IF(ISBLANK(H800), "", Long0[[#This Row],[Adj Close]]/H800-1)</f>
        <v>-8.5007726018643148E-2</v>
      </c>
      <c r="J799" s="29">
        <v>39503</v>
      </c>
      <c r="K799">
        <v>1.5909279999999999</v>
      </c>
      <c r="L799" s="33">
        <f>IF(ISBLANK(K800),"",Long1[[#This Row],[Adj Close]]/K800-1)</f>
        <v>-8.730173300044064E-2</v>
      </c>
      <c r="M799" s="37">
        <v>39503</v>
      </c>
      <c r="N799">
        <v>88.224807999999996</v>
      </c>
      <c r="O799" s="36">
        <f>IF(ISBLANK(N800),"",Long2[[#This Row],[Adj Close]]/N800-1)</f>
        <v>2.1475922396791303E-2</v>
      </c>
      <c r="P799" s="29">
        <v>39503</v>
      </c>
      <c r="Q799">
        <v>20.525105</v>
      </c>
      <c r="R799" s="33">
        <f>IF(ISBLANK(Q800),"",Long3[[#This Row],[Adj Close]]/Q800-1)</f>
        <v>-5.3992093764966387E-2</v>
      </c>
      <c r="S799" s="37">
        <v>39503</v>
      </c>
      <c r="T799" s="35">
        <v>19.243525999999999</v>
      </c>
      <c r="U799" s="36">
        <f>IF(ISBLANK(T800),"",Long4[[#This Row],[Adj Close]]/T800-1)</f>
        <v>0.15684266991004181</v>
      </c>
      <c r="Y799" s="37">
        <v>39503</v>
      </c>
      <c r="Z799" s="35">
        <v>16.605639</v>
      </c>
      <c r="AA799" s="36">
        <f>IF(ISBLANK(Z800),"",Long6[[#This Row],[Adj Close]]/Z800-1)</f>
        <v>-2.1251839392222194E-2</v>
      </c>
      <c r="AH799" s="29">
        <v>39503</v>
      </c>
      <c r="AI799" s="44">
        <v>55.55442</v>
      </c>
      <c r="AJ799" s="33">
        <f>IF(ISBLANK(AI800),"",Short0[[#This Row],[Adj Close]]/AI800-1)</f>
        <v>-5.3193993211148483E-2</v>
      </c>
      <c r="AK799" s="37">
        <v>39503</v>
      </c>
      <c r="AL799" s="39">
        <v>28.168938000000001</v>
      </c>
      <c r="AM799" s="36">
        <f>IF(ISBLANK(AL800),"",Short1[[#This Row],[Adj Close]]/AL800-1)</f>
        <v>-2.7363502568105824E-2</v>
      </c>
      <c r="AN799" s="29">
        <v>39503</v>
      </c>
      <c r="AO799" s="44">
        <v>15.954751999999999</v>
      </c>
      <c r="AP799" s="33">
        <f>IF(ISBLANK(AO800),"",Short2[[#This Row],[Adj Close]]/AO800-1)</f>
        <v>1.805270640645551E-2</v>
      </c>
    </row>
    <row r="800" spans="1:42" x14ac:dyDescent="0.25">
      <c r="A800" s="37">
        <v>39496</v>
      </c>
      <c r="B800" s="39">
        <v>1353.1099850000001</v>
      </c>
      <c r="C800" s="36">
        <f>IF(ISBLANK(B801), "", GSPC[[#This Row],[Adj Close]]/B801-1)</f>
        <v>2.3111245439679795E-3</v>
      </c>
      <c r="D80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0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00" s="11" t="e">
        <f>IF(ISBLANK(GSPC[[#This Row],[Long Exp.]]), "", (GSPC[[#This Row],[Long Exp.]]/D801-1)+(E801/GSPC[[#This Row],[Short Exp.]]-1))</f>
        <v>#VALUE!</v>
      </c>
      <c r="G800" s="37">
        <v>39496</v>
      </c>
      <c r="H800">
        <v>11.848922999999999</v>
      </c>
      <c r="I800" s="36">
        <f>IF(ISBLANK(H801), "", Long0[[#This Row],[Adj Close]]/H801-1)</f>
        <v>-1.5432404358318719E-3</v>
      </c>
      <c r="J800" s="29">
        <v>39496</v>
      </c>
      <c r="K800">
        <v>1.743104</v>
      </c>
      <c r="L800" s="33">
        <f>IF(ISBLANK(K801),"",Long1[[#This Row],[Adj Close]]/K801-1)</f>
        <v>5.000003011868559E-2</v>
      </c>
      <c r="M800" s="37">
        <v>39496</v>
      </c>
      <c r="N800">
        <v>86.369934000000001</v>
      </c>
      <c r="O800" s="36">
        <f>IF(ISBLANK(N801),"",Long2[[#This Row],[Adj Close]]/N801-1)</f>
        <v>5.407753859855613E-2</v>
      </c>
      <c r="P800" s="29">
        <v>39496</v>
      </c>
      <c r="Q800">
        <v>21.696546999999999</v>
      </c>
      <c r="R800" s="33">
        <f>IF(ISBLANK(Q801),"",Long3[[#This Row],[Adj Close]]/Q801-1)</f>
        <v>-7.6535806721257371E-3</v>
      </c>
      <c r="S800" s="37">
        <v>39496</v>
      </c>
      <c r="T800" s="35">
        <v>16.634523000000002</v>
      </c>
      <c r="U800" s="36">
        <f>IF(ISBLANK(T801),"",Long4[[#This Row],[Adj Close]]/T801-1)</f>
        <v>5.0619125151178945E-2</v>
      </c>
      <c r="Y800" s="37">
        <v>39496</v>
      </c>
      <c r="Z800" s="35">
        <v>16.966201999999999</v>
      </c>
      <c r="AA800" s="36">
        <f>IF(ISBLANK(Z801),"",Long6[[#This Row],[Adj Close]]/Z801-1)</f>
        <v>2.4720436931823242E-2</v>
      </c>
      <c r="AH800" s="29">
        <v>39496</v>
      </c>
      <c r="AI800" s="44">
        <v>58.675609999999999</v>
      </c>
      <c r="AJ800" s="33">
        <f>IF(ISBLANK(AI801),"",Short0[[#This Row],[Adj Close]]/AI801-1)</f>
        <v>-1.0571138605359076E-2</v>
      </c>
      <c r="AK800" s="37">
        <v>39496</v>
      </c>
      <c r="AL800" s="39">
        <v>28.961424000000001</v>
      </c>
      <c r="AM800" s="36">
        <f>IF(ISBLANK(AL801),"",Short1[[#This Row],[Adj Close]]/AL801-1)</f>
        <v>-8.9645290393676191E-3</v>
      </c>
      <c r="AN800" s="29">
        <v>39496</v>
      </c>
      <c r="AO800" s="44">
        <v>15.671832999999999</v>
      </c>
      <c r="AP800" s="33">
        <f>IF(ISBLANK(AO801),"",Short2[[#This Row],[Adj Close]]/AO801-1)</f>
        <v>-1.6675780332113921E-2</v>
      </c>
    </row>
    <row r="801" spans="1:42" x14ac:dyDescent="0.25">
      <c r="A801" s="37">
        <v>39489</v>
      </c>
      <c r="B801" s="39">
        <v>1349.98999</v>
      </c>
      <c r="C801" s="36">
        <f>IF(ISBLANK(B802), "", GSPC[[#This Row],[Adj Close]]/B802-1)</f>
        <v>1.4046489083660907E-2</v>
      </c>
      <c r="D80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0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01" s="11" t="e">
        <f>IF(ISBLANK(GSPC[[#This Row],[Long Exp.]]), "", (GSPC[[#This Row],[Long Exp.]]/D802-1)+(E802/GSPC[[#This Row],[Short Exp.]]-1))</f>
        <v>#VALUE!</v>
      </c>
      <c r="G801" s="37">
        <v>39489</v>
      </c>
      <c r="H801">
        <v>11.867236999999999</v>
      </c>
      <c r="I801" s="36">
        <f>IF(ISBLANK(H802), "", Long0[[#This Row],[Adj Close]]/H802-1)</f>
        <v>-1.540778508356877E-3</v>
      </c>
      <c r="J801" s="29">
        <v>39489</v>
      </c>
      <c r="K801">
        <v>1.660099</v>
      </c>
      <c r="L801" s="33">
        <f>IF(ISBLANK(K802),"",Long1[[#This Row],[Adj Close]]/K802-1)</f>
        <v>2.5641358313007068E-2</v>
      </c>
      <c r="M801" s="37">
        <v>39489</v>
      </c>
      <c r="N801">
        <v>81.938880999999995</v>
      </c>
      <c r="O801" s="36">
        <f>IF(ISBLANK(N802),"",Long2[[#This Row],[Adj Close]]/N802-1)</f>
        <v>7.4308694743916659E-2</v>
      </c>
      <c r="P801" s="29">
        <v>39489</v>
      </c>
      <c r="Q801">
        <v>21.863883999999999</v>
      </c>
      <c r="R801" s="33">
        <f>IF(ISBLANK(Q802),"",Long3[[#This Row],[Adj Close]]/Q802-1)</f>
        <v>4.1585860044399015E-2</v>
      </c>
      <c r="S801" s="37">
        <v>39489</v>
      </c>
      <c r="T801" s="35">
        <v>15.833067</v>
      </c>
      <c r="U801" s="36">
        <f>IF(ISBLANK(T802),"",Long4[[#This Row],[Adj Close]]/T802-1)</f>
        <v>1.6181571670337291E-3</v>
      </c>
      <c r="Y801" s="37">
        <v>39489</v>
      </c>
      <c r="Z801" s="35">
        <v>16.556908</v>
      </c>
      <c r="AA801" s="36">
        <f>IF(ISBLANK(Z802),"",Long6[[#This Row],[Adj Close]]/Z802-1)</f>
        <v>8.2165420005001266E-2</v>
      </c>
      <c r="AH801" s="29">
        <v>39489</v>
      </c>
      <c r="AI801" s="44">
        <v>59.302504999999996</v>
      </c>
      <c r="AJ801" s="33">
        <f>IF(ISBLANK(AI802),"",Short0[[#This Row],[Adj Close]]/AI802-1)</f>
        <v>7.8738220065632802E-4</v>
      </c>
      <c r="AK801" s="37">
        <v>39489</v>
      </c>
      <c r="AL801" s="39">
        <v>29.223398</v>
      </c>
      <c r="AM801" s="36">
        <f>IF(ISBLANK(AL802),"",Short1[[#This Row],[Adj Close]]/AL802-1)</f>
        <v>-4.4539456994676652E-2</v>
      </c>
      <c r="AN801" s="29">
        <v>39489</v>
      </c>
      <c r="AO801" s="44">
        <v>15.937605</v>
      </c>
      <c r="AP801" s="33">
        <f>IF(ISBLANK(AO802),"",Short2[[#This Row],[Adj Close]]/AO802-1)</f>
        <v>-3.0158096424195868E-2</v>
      </c>
    </row>
    <row r="802" spans="1:42" x14ac:dyDescent="0.25">
      <c r="A802" s="37">
        <v>39482</v>
      </c>
      <c r="B802" s="39">
        <v>1331.290039</v>
      </c>
      <c r="C802" s="36">
        <f>IF(ISBLANK(B803), "", GSPC[[#This Row],[Adj Close]]/B803-1)</f>
        <v>-4.5957491635400305E-2</v>
      </c>
      <c r="D80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0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02" s="11" t="e">
        <f>IF(ISBLANK(GSPC[[#This Row],[Long Exp.]]), "", (GSPC[[#This Row],[Long Exp.]]/D803-1)+(E803/GSPC[[#This Row],[Short Exp.]]-1))</f>
        <v>#VALUE!</v>
      </c>
      <c r="G802" s="37">
        <v>39482</v>
      </c>
      <c r="H802">
        <v>11.88555</v>
      </c>
      <c r="I802" s="36">
        <f>IF(ISBLANK(H803), "", Long0[[#This Row],[Adj Close]]/H803-1)</f>
        <v>-0.13002682701832302</v>
      </c>
      <c r="J802" s="29">
        <v>39482</v>
      </c>
      <c r="K802">
        <v>1.6185959999999999</v>
      </c>
      <c r="L802" s="33">
        <f>IF(ISBLANK(K803),"",Long1[[#This Row],[Adj Close]]/K803-1)</f>
        <v>1.7391107579978415E-2</v>
      </c>
      <c r="M802" s="37">
        <v>39482</v>
      </c>
      <c r="N802">
        <v>76.271263000000005</v>
      </c>
      <c r="O802" s="36">
        <f>IF(ISBLANK(N803),"",Long2[[#This Row],[Adj Close]]/N803-1)</f>
        <v>2.9421477274314656E-2</v>
      </c>
      <c r="P802" s="29">
        <v>39482</v>
      </c>
      <c r="Q802">
        <v>20.990957000000002</v>
      </c>
      <c r="R802" s="33">
        <f>IF(ISBLANK(Q803),"",Long3[[#This Row],[Adj Close]]/Q803-1)</f>
        <v>-6.0716558704708712E-2</v>
      </c>
      <c r="S802" s="37">
        <v>39482</v>
      </c>
      <c r="T802" s="35">
        <v>15.807487999999999</v>
      </c>
      <c r="U802" s="36">
        <f>IF(ISBLANK(T803),"",Long4[[#This Row],[Adj Close]]/T803-1)</f>
        <v>-8.3992145766325188E-2</v>
      </c>
      <c r="Y802" s="37">
        <v>39482</v>
      </c>
      <c r="Z802" s="35">
        <v>15.299794</v>
      </c>
      <c r="AA802" s="36">
        <f>IF(ISBLANK(Z803),"",Long6[[#This Row],[Adj Close]]/Z803-1)</f>
        <v>-4.1514147379019595E-2</v>
      </c>
      <c r="AH802" s="29">
        <v>39482</v>
      </c>
      <c r="AI802" s="44">
        <v>59.255848</v>
      </c>
      <c r="AJ802" s="33">
        <f>IF(ISBLANK(AI803),"",Short0[[#This Row],[Adj Close]]/AI803-1)</f>
        <v>1.1383486927268205E-2</v>
      </c>
      <c r="AK802" s="37">
        <v>39482</v>
      </c>
      <c r="AL802" s="39">
        <v>30.585667000000001</v>
      </c>
      <c r="AM802" s="36">
        <f>IF(ISBLANK(AL803),"",Short1[[#This Row],[Adj Close]]/AL803-1)</f>
        <v>-3.651771800079251E-2</v>
      </c>
      <c r="AN802" s="29">
        <v>39482</v>
      </c>
      <c r="AO802" s="44">
        <v>16.433198999999998</v>
      </c>
      <c r="AP802" s="33">
        <f>IF(ISBLANK(AO803),"",Short2[[#This Row],[Adj Close]]/AO803-1)</f>
        <v>-9.6729020173650593E-2</v>
      </c>
    </row>
    <row r="803" spans="1:42" x14ac:dyDescent="0.25">
      <c r="A803" s="37">
        <v>39475</v>
      </c>
      <c r="B803" s="39">
        <v>1395.420044</v>
      </c>
      <c r="C803" s="36">
        <f>IF(ISBLANK(B804), "", GSPC[[#This Row],[Adj Close]]/B804-1)</f>
        <v>4.8707028904491523E-2</v>
      </c>
      <c r="D80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0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03" s="11" t="e">
        <f>IF(ISBLANK(GSPC[[#This Row],[Long Exp.]]), "", (GSPC[[#This Row],[Long Exp.]]/D804-1)+(E804/GSPC[[#This Row],[Short Exp.]]-1))</f>
        <v>#VALUE!</v>
      </c>
      <c r="G803" s="37">
        <v>39475</v>
      </c>
      <c r="H803">
        <v>13.661973</v>
      </c>
      <c r="I803" s="36">
        <f>IF(ISBLANK(H804), "", Long0[[#This Row],[Adj Close]]/H804-1)</f>
        <v>2.4021990357294687E-2</v>
      </c>
      <c r="J803" s="29">
        <v>39475</v>
      </c>
      <c r="K803">
        <v>1.5909279999999999</v>
      </c>
      <c r="L803" s="33">
        <f>IF(ISBLANK(K804),"",Long1[[#This Row],[Adj Close]]/K804-1)</f>
        <v>0.12745095260097905</v>
      </c>
      <c r="M803" s="37">
        <v>39475</v>
      </c>
      <c r="N803">
        <v>74.091385000000002</v>
      </c>
      <c r="O803" s="36">
        <f>IF(ISBLANK(N804),"",Long2[[#This Row],[Adj Close]]/N804-1)</f>
        <v>2.2648134072640769E-2</v>
      </c>
      <c r="P803" s="29">
        <v>39475</v>
      </c>
      <c r="Q803">
        <v>22.347840999999999</v>
      </c>
      <c r="R803" s="33">
        <f>IF(ISBLANK(Q804),"",Long3[[#This Row],[Adj Close]]/Q804-1)</f>
        <v>6.0527921533662932E-2</v>
      </c>
      <c r="S803" s="37">
        <v>39475</v>
      </c>
      <c r="T803" s="35">
        <v>17.256934999999999</v>
      </c>
      <c r="U803" s="36">
        <f>IF(ISBLANK(T804),"",Long4[[#This Row],[Adj Close]]/T804-1)</f>
        <v>7.3739761883606647E-2</v>
      </c>
      <c r="Y803" s="37">
        <v>39475</v>
      </c>
      <c r="Z803" s="35">
        <v>15.962462</v>
      </c>
      <c r="AA803" s="36">
        <f>IF(ISBLANK(Z804),"",Long6[[#This Row],[Adj Close]]/Z804-1)</f>
        <v>-6.0974689712456343E-4</v>
      </c>
      <c r="AH803" s="29">
        <v>39475</v>
      </c>
      <c r="AI803" s="44">
        <v>58.588901999999997</v>
      </c>
      <c r="AJ803" s="33">
        <f>IF(ISBLANK(AI804),"",Short0[[#This Row],[Adj Close]]/AI804-1)</f>
        <v>8.0831355861288978E-2</v>
      </c>
      <c r="AK803" s="37">
        <v>39475</v>
      </c>
      <c r="AL803" s="39">
        <v>31.744918999999999</v>
      </c>
      <c r="AM803" s="36">
        <f>IF(ISBLANK(AL804),"",Short1[[#This Row],[Adj Close]]/AL804-1)</f>
        <v>7.0450454253865313E-2</v>
      </c>
      <c r="AN803" s="29">
        <v>39475</v>
      </c>
      <c r="AO803" s="44">
        <v>18.192989000000001</v>
      </c>
      <c r="AP803" s="33">
        <f>IF(ISBLANK(AO804),"",Short2[[#This Row],[Adj Close]]/AO804-1)</f>
        <v>0.2603059497934761</v>
      </c>
    </row>
    <row r="804" spans="1:42" x14ac:dyDescent="0.25">
      <c r="A804" s="37">
        <v>39468</v>
      </c>
      <c r="B804" s="39">
        <v>1330.6099850000001</v>
      </c>
      <c r="C804" s="36">
        <f>IF(ISBLANK(B805), "", GSPC[[#This Row],[Adj Close]]/B805-1)</f>
        <v>4.0900129349834558E-3</v>
      </c>
      <c r="D80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0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04" s="11" t="e">
        <f>IF(ISBLANK(GSPC[[#This Row],[Long Exp.]]), "", (GSPC[[#This Row],[Long Exp.]]/D805-1)+(E805/GSPC[[#This Row],[Short Exp.]]-1))</f>
        <v>#VALUE!</v>
      </c>
      <c r="G804" s="37">
        <v>39468</v>
      </c>
      <c r="H804">
        <v>13.341483999999999</v>
      </c>
      <c r="I804" s="36">
        <f>IF(ISBLANK(H805), "", Long0[[#This Row],[Adj Close]]/H805-1)</f>
        <v>-3.5099382387647871E-2</v>
      </c>
      <c r="J804" s="29">
        <v>39468</v>
      </c>
      <c r="K804">
        <v>1.411084</v>
      </c>
      <c r="L804" s="33">
        <f>IF(ISBLANK(K805),"",Long1[[#This Row],[Adj Close]]/K805-1)</f>
        <v>-2.8571782619560837E-2</v>
      </c>
      <c r="M804" s="37">
        <v>39468</v>
      </c>
      <c r="N804">
        <v>72.450515999999993</v>
      </c>
      <c r="O804" s="36">
        <f>IF(ISBLANK(N805),"",Long2[[#This Row],[Adj Close]]/N805-1)</f>
        <v>0.14221392210591643</v>
      </c>
      <c r="P804" s="29">
        <v>39468</v>
      </c>
      <c r="Q804">
        <v>21.072374</v>
      </c>
      <c r="R804" s="33">
        <f>IF(ISBLANK(Q805),"",Long3[[#This Row],[Adj Close]]/Q805-1)</f>
        <v>-6.5771042865549245E-2</v>
      </c>
      <c r="S804" s="37">
        <v>39468</v>
      </c>
      <c r="T804" s="35">
        <v>16.071804</v>
      </c>
      <c r="U804" s="36">
        <f>IF(ISBLANK(T805),"",Long4[[#This Row],[Adj Close]]/T805-1)</f>
        <v>0.12604572297438033</v>
      </c>
      <c r="Y804" s="37">
        <v>39468</v>
      </c>
      <c r="Z804" s="35">
        <v>15.972201</v>
      </c>
      <c r="AA804" s="36">
        <f>IF(ISBLANK(Z805),"",Long6[[#This Row],[Adj Close]]/Z805-1)</f>
        <v>5.8101859902637498E-2</v>
      </c>
      <c r="AH804" s="29">
        <v>39468</v>
      </c>
      <c r="AI804" s="44">
        <v>54.207256000000001</v>
      </c>
      <c r="AJ804" s="33">
        <f>IF(ISBLANK(AI805),"",Short0[[#This Row],[Adj Close]]/AI805-1)</f>
        <v>7.5132584580584583E-2</v>
      </c>
      <c r="AK804" s="37">
        <v>39468</v>
      </c>
      <c r="AL804" s="39">
        <v>29.655664000000002</v>
      </c>
      <c r="AM804" s="36">
        <f>IF(ISBLANK(AL805),"",Short1[[#This Row],[Adj Close]]/AL805-1)</f>
        <v>2.3276526741493608E-2</v>
      </c>
      <c r="AN804" s="29">
        <v>39468</v>
      </c>
      <c r="AO804" s="44">
        <v>14.435375000000001</v>
      </c>
      <c r="AP804" s="33">
        <f>IF(ISBLANK(AO805),"",Short2[[#This Row],[Adj Close]]/AO805-1)</f>
        <v>0.3071598169860803</v>
      </c>
    </row>
    <row r="805" spans="1:42" x14ac:dyDescent="0.25">
      <c r="A805" s="37">
        <v>39461</v>
      </c>
      <c r="B805" s="39">
        <v>1325.1899410000001</v>
      </c>
      <c r="C805" s="36">
        <f>IF(ISBLANK(B806), "", GSPC[[#This Row],[Adj Close]]/B806-1)</f>
        <v>-5.412490750845933E-2</v>
      </c>
      <c r="D80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0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05" s="11" t="e">
        <f>IF(ISBLANK(GSPC[[#This Row],[Long Exp.]]), "", (GSPC[[#This Row],[Long Exp.]]/D806-1)+(E806/GSPC[[#This Row],[Short Exp.]]-1))</f>
        <v>#VALUE!</v>
      </c>
      <c r="G805" s="37">
        <v>39461</v>
      </c>
      <c r="H805">
        <v>13.826796</v>
      </c>
      <c r="I805" s="36">
        <f>IF(ISBLANK(H806), "", Long0[[#This Row],[Adj Close]]/H806-1)</f>
        <v>-1.9480550332904301E-2</v>
      </c>
      <c r="J805" s="29">
        <v>39461</v>
      </c>
      <c r="K805">
        <v>1.4525870000000001</v>
      </c>
      <c r="L805" s="33">
        <f>IF(ISBLANK(K806),"",Long1[[#This Row],[Adj Close]]/K806-1)</f>
        <v>9.6159727319231614E-3</v>
      </c>
      <c r="M805" s="37">
        <v>39461</v>
      </c>
      <c r="N805">
        <v>63.429901000000001</v>
      </c>
      <c r="O805" s="36">
        <f>IF(ISBLANK(N806),"",Long2[[#This Row],[Adj Close]]/N806-1)</f>
        <v>-0.19342797270671963</v>
      </c>
      <c r="P805" s="29">
        <v>39461</v>
      </c>
      <c r="Q805">
        <v>22.555899</v>
      </c>
      <c r="R805" s="33">
        <f>IF(ISBLANK(Q806),"",Long3[[#This Row],[Adj Close]]/Q806-1)</f>
        <v>-7.7677327918336703E-2</v>
      </c>
      <c r="S805" s="37">
        <v>39461</v>
      </c>
      <c r="T805" s="35">
        <v>14.272781</v>
      </c>
      <c r="U805" s="36">
        <f>IF(ISBLANK(T806),"",Long4[[#This Row],[Adj Close]]/T806-1)</f>
        <v>-0.16341808478357045</v>
      </c>
      <c r="Y805" s="37">
        <v>39461</v>
      </c>
      <c r="Z805" s="35">
        <v>15.095145</v>
      </c>
      <c r="AA805" s="36">
        <f>IF(ISBLANK(Z806),"",Long6[[#This Row],[Adj Close]]/Z806-1)</f>
        <v>-0.10565817001704403</v>
      </c>
      <c r="AH805" s="29">
        <v>39461</v>
      </c>
      <c r="AI805" s="44">
        <v>50.419136000000002</v>
      </c>
      <c r="AJ805" s="33">
        <f>IF(ISBLANK(AI806),"",Short0[[#This Row],[Adj Close]]/AI806-1)</f>
        <v>-0.10267055656095025</v>
      </c>
      <c r="AK805" s="37">
        <v>39461</v>
      </c>
      <c r="AL805" s="39">
        <v>28.981085</v>
      </c>
      <c r="AM805" s="36">
        <f>IF(ISBLANK(AL806),"",Short1[[#This Row],[Adj Close]]/AL806-1)</f>
        <v>3.8725931773997413E-3</v>
      </c>
      <c r="AN805" s="29">
        <v>39461</v>
      </c>
      <c r="AO805" s="44">
        <v>11.043312999999999</v>
      </c>
      <c r="AP805" s="33">
        <f>IF(ISBLANK(AO806),"",Short2[[#This Row],[Adj Close]]/AO806-1)</f>
        <v>-9.4142525575208968E-2</v>
      </c>
    </row>
    <row r="806" spans="1:42" x14ac:dyDescent="0.25">
      <c r="A806" s="37">
        <v>39454</v>
      </c>
      <c r="B806" s="39">
        <v>1401.0200199999999</v>
      </c>
      <c r="C806" s="36">
        <f>IF(ISBLANK(B807), "", GSPC[[#This Row],[Adj Close]]/B807-1)</f>
        <v>-7.5161231784670601E-3</v>
      </c>
      <c r="D80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0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06" s="11" t="e">
        <f>IF(ISBLANK(GSPC[[#This Row],[Long Exp.]]), "", (GSPC[[#This Row],[Long Exp.]]/D807-1)+(E807/GSPC[[#This Row],[Short Exp.]]-1))</f>
        <v>#VALUE!</v>
      </c>
      <c r="G806" s="37">
        <v>39454</v>
      </c>
      <c r="H806">
        <v>14.101501000000001</v>
      </c>
      <c r="I806" s="36">
        <f>IF(ISBLANK(H807), "", Long0[[#This Row],[Adj Close]]/H807-1)</f>
        <v>0.12490878040639841</v>
      </c>
      <c r="J806" s="29">
        <v>39454</v>
      </c>
      <c r="K806">
        <v>1.438752</v>
      </c>
      <c r="L806" s="33">
        <f>IF(ISBLANK(K807),"",Long1[[#This Row],[Adj Close]]/K807-1)</f>
        <v>-9.5652348817796828E-2</v>
      </c>
      <c r="M806" s="37">
        <v>39454</v>
      </c>
      <c r="N806">
        <v>78.641334999999998</v>
      </c>
      <c r="O806" s="36">
        <f>IF(ISBLANK(N807),"",Long2[[#This Row],[Adj Close]]/N807-1)</f>
        <v>3.9827727376607447E-2</v>
      </c>
      <c r="P806" s="29">
        <v>39454</v>
      </c>
      <c r="Q806">
        <v>24.455539999999999</v>
      </c>
      <c r="R806" s="33">
        <f>IF(ISBLANK(Q807),"",Long3[[#This Row],[Adj Close]]/Q807-1)</f>
        <v>4.9699456928269159E-2</v>
      </c>
      <c r="S806" s="37">
        <v>39454</v>
      </c>
      <c r="T806" s="35">
        <v>17.060828999999998</v>
      </c>
      <c r="U806" s="36">
        <f>IF(ISBLANK(T807),"",Long4[[#This Row],[Adj Close]]/T807-1)</f>
        <v>2.0918049157508056E-2</v>
      </c>
      <c r="Y806" s="37">
        <v>39454</v>
      </c>
      <c r="Z806" s="35">
        <v>16.878495999999998</v>
      </c>
      <c r="AA806" s="36">
        <f>IF(ISBLANK(Z807),"",Long6[[#This Row],[Adj Close]]/Z807-1)</f>
        <v>-0.1256940745421542</v>
      </c>
      <c r="AH806" s="29">
        <v>39454</v>
      </c>
      <c r="AI806" s="44">
        <v>56.187987999999997</v>
      </c>
      <c r="AJ806" s="33">
        <f>IF(ISBLANK(AI807),"",Short0[[#This Row],[Adj Close]]/AI807-1)</f>
        <v>-4.984792287525952E-2</v>
      </c>
      <c r="AK806" s="37">
        <v>39454</v>
      </c>
      <c r="AL806" s="39">
        <v>28.869285999999999</v>
      </c>
      <c r="AM806" s="36">
        <f>IF(ISBLANK(AL807),"",Short1[[#This Row],[Adj Close]]/AL807-1)</f>
        <v>-7.1623643703302986E-2</v>
      </c>
      <c r="AN806" s="29">
        <v>39454</v>
      </c>
      <c r="AO806" s="44">
        <v>12.191005000000001</v>
      </c>
      <c r="AP806" s="33">
        <f>IF(ISBLANK(AO807),"",Short2[[#This Row],[Adj Close]]/AO807-1)</f>
        <v>-9.2979023651207693E-2</v>
      </c>
    </row>
    <row r="807" spans="1:42" x14ac:dyDescent="0.25">
      <c r="A807" s="37">
        <v>39447</v>
      </c>
      <c r="B807" s="39">
        <v>1411.630005</v>
      </c>
      <c r="C807" s="36">
        <f>IF(ISBLANK(B808), "", GSPC[[#This Row],[Adj Close]]/B808-1)</f>
        <v>-4.5221804308597346E-2</v>
      </c>
      <c r="D80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0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07" s="11" t="e">
        <f>IF(ISBLANK(GSPC[[#This Row],[Long Exp.]]), "", (GSPC[[#This Row],[Long Exp.]]/D808-1)+(E808/GSPC[[#This Row],[Short Exp.]]-1))</f>
        <v>#VALUE!</v>
      </c>
      <c r="G807" s="37">
        <v>39447</v>
      </c>
      <c r="H807">
        <v>12.535684</v>
      </c>
      <c r="I807" s="36">
        <f>IF(ISBLANK(H808), "", Long0[[#This Row],[Adj Close]]/H808-1)</f>
        <v>-2.5622817292677347E-2</v>
      </c>
      <c r="J807" s="29">
        <v>39447</v>
      </c>
      <c r="K807">
        <v>1.5909279999999999</v>
      </c>
      <c r="L807" s="33">
        <f>IF(ISBLANK(K808),"",Long1[[#This Row],[Adj Close]]/K808-1)</f>
        <v>0</v>
      </c>
      <c r="M807" s="37">
        <v>39447</v>
      </c>
      <c r="N807">
        <v>75.629195999999993</v>
      </c>
      <c r="O807" s="36">
        <f>IF(ISBLANK(N808),"",Long2[[#This Row],[Adj Close]]/N808-1)</f>
        <v>-4.4863484576496138E-3</v>
      </c>
      <c r="P807" s="29">
        <v>39447</v>
      </c>
      <c r="Q807">
        <v>23.297658999999999</v>
      </c>
      <c r="R807" s="33">
        <f>IF(ISBLANK(Q808),"",Long3[[#This Row],[Adj Close]]/Q808-1)</f>
        <v>-1.6421542448208148E-2</v>
      </c>
      <c r="S807" s="37">
        <v>39447</v>
      </c>
      <c r="T807" s="35">
        <v>16.711262000000001</v>
      </c>
      <c r="U807" s="36">
        <f>IF(ISBLANK(T808),"",Long4[[#This Row],[Adj Close]]/T808-1)</f>
        <v>-6.6221884351568949E-2</v>
      </c>
      <c r="Y807" s="37">
        <v>39447</v>
      </c>
      <c r="Z807" s="35">
        <v>19.305022999999998</v>
      </c>
      <c r="AA807" s="36">
        <f>IF(ISBLANK(Z808),"",Long6[[#This Row],[Adj Close]]/Z808-1)</f>
        <v>-4.8511090438999371E-2</v>
      </c>
      <c r="AH807" s="29">
        <v>39447</v>
      </c>
      <c r="AI807" s="44">
        <v>59.135784000000001</v>
      </c>
      <c r="AJ807" s="33">
        <f>IF(ISBLANK(AI808),"",Short0[[#This Row],[Adj Close]]/AI808-1)</f>
        <v>-0.16467278462463442</v>
      </c>
      <c r="AK807" s="37">
        <v>39447</v>
      </c>
      <c r="AL807" s="39">
        <v>31.096533000000001</v>
      </c>
      <c r="AM807" s="36">
        <f>IF(ISBLANK(AL808),"",Short1[[#This Row],[Adj Close]]/AL808-1)</f>
        <v>-8.9500886034905691E-2</v>
      </c>
      <c r="AN807" s="29">
        <v>39447</v>
      </c>
      <c r="AO807" s="44">
        <v>13.440709</v>
      </c>
      <c r="AP807" s="33">
        <f>IF(ISBLANK(AO808),"",Short2[[#This Row],[Adj Close]]/AO808-1)</f>
        <v>-9.6571663596359825E-2</v>
      </c>
    </row>
    <row r="808" spans="1:42" x14ac:dyDescent="0.25">
      <c r="A808" s="37">
        <v>39440</v>
      </c>
      <c r="B808" s="39">
        <v>1478.48999</v>
      </c>
      <c r="C808" s="36">
        <f>IF(ISBLANK(B809), "", GSPC[[#This Row],[Adj Close]]/B809-1)</f>
        <v>-4.0216450135700521E-3</v>
      </c>
      <c r="D80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0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08" s="11" t="e">
        <f>IF(ISBLANK(GSPC[[#This Row],[Long Exp.]]), "", (GSPC[[#This Row],[Long Exp.]]/D809-1)+(E809/GSPC[[#This Row],[Short Exp.]]-1))</f>
        <v>#VALUE!</v>
      </c>
      <c r="G808" s="37">
        <v>39440</v>
      </c>
      <c r="H808">
        <v>12.86533</v>
      </c>
      <c r="I808" s="36">
        <f>IF(ISBLANK(H809), "", Long0[[#This Row],[Adj Close]]/H809-1)</f>
        <v>4.0740823433403683E-2</v>
      </c>
      <c r="J808" s="29">
        <v>39440</v>
      </c>
      <c r="K808">
        <v>1.5909279999999999</v>
      </c>
      <c r="L808" s="33">
        <f>IF(ISBLANK(K809),"",Long1[[#This Row],[Adj Close]]/K809-1)</f>
        <v>2.6785403110571204E-2</v>
      </c>
      <c r="M808" s="37">
        <v>39440</v>
      </c>
      <c r="N808">
        <v>75.970023999999995</v>
      </c>
      <c r="O808" s="36">
        <f>IF(ISBLANK(N809),"",Long2[[#This Row],[Adj Close]]/N809-1)</f>
        <v>7.733820996647145E-2</v>
      </c>
      <c r="P808" s="29">
        <v>39440</v>
      </c>
      <c r="Q808">
        <v>23.686630000000001</v>
      </c>
      <c r="R808" s="33">
        <f>IF(ISBLANK(Q809),"",Long3[[#This Row],[Adj Close]]/Q809-1)</f>
        <v>-3.8179959998607682E-4</v>
      </c>
      <c r="S808" s="37">
        <v>39440</v>
      </c>
      <c r="T808" s="35">
        <v>17.896394999999998</v>
      </c>
      <c r="U808" s="36">
        <f>IF(ISBLANK(T809),"",Long4[[#This Row],[Adj Close]]/T809-1)</f>
        <v>-1.2235349934507367E-2</v>
      </c>
      <c r="Y808" s="37">
        <v>39440</v>
      </c>
      <c r="Z808" s="35">
        <v>20.289277999999999</v>
      </c>
      <c r="AA808" s="36">
        <f>IF(ISBLANK(Z809),"",Long6[[#This Row],[Adj Close]]/Z809-1)</f>
        <v>6.7692424597393552E-2</v>
      </c>
      <c r="AH808" s="29">
        <v>39440</v>
      </c>
      <c r="AI808" s="44">
        <v>70.793555999999995</v>
      </c>
      <c r="AJ808" s="33">
        <f>IF(ISBLANK(AI809),"",Short0[[#This Row],[Adj Close]]/AI809-1)</f>
        <v>-1.7129220731331385E-2</v>
      </c>
      <c r="AK808" s="37">
        <v>39440</v>
      </c>
      <c r="AL808" s="39">
        <v>34.153281999999997</v>
      </c>
      <c r="AM808" s="36">
        <f>IF(ISBLANK(AL809),"",Short1[[#This Row],[Adj Close]]/AL809-1)</f>
        <v>-3.6204631964018574E-3</v>
      </c>
      <c r="AN808" s="29">
        <v>39440</v>
      </c>
      <c r="AO808" s="44">
        <v>14.877449</v>
      </c>
      <c r="AP808" s="33">
        <f>IF(ISBLANK(AO809),"",Short2[[#This Row],[Adj Close]]/AO809-1)</f>
        <v>1.7442139982053462E-2</v>
      </c>
    </row>
    <row r="809" spans="1:42" x14ac:dyDescent="0.25">
      <c r="A809" s="37">
        <v>39433</v>
      </c>
      <c r="B809" s="39">
        <v>1484.459961</v>
      </c>
      <c r="C809" s="36">
        <f>IF(ISBLANK(B810), "", GSPC[[#This Row],[Adj Close]]/B810-1)</f>
        <v>1.1246984264519977E-2</v>
      </c>
      <c r="D80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0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09" s="11" t="e">
        <f>IF(ISBLANK(GSPC[[#This Row],[Long Exp.]]), "", (GSPC[[#This Row],[Long Exp.]]/D810-1)+(E810/GSPC[[#This Row],[Short Exp.]]-1))</f>
        <v>#VALUE!</v>
      </c>
      <c r="G809" s="37">
        <v>39433</v>
      </c>
      <c r="H809">
        <v>12.361704</v>
      </c>
      <c r="I809" s="36">
        <f>IF(ISBLANK(H810), "", Long0[[#This Row],[Adj Close]]/H810-1)</f>
        <v>-1.4598669317636648E-2</v>
      </c>
      <c r="J809" s="29">
        <v>39433</v>
      </c>
      <c r="K809">
        <v>1.549426</v>
      </c>
      <c r="L809" s="33">
        <f>IF(ISBLANK(K810),"",Long1[[#This Row],[Adj Close]]/K810-1)</f>
        <v>0</v>
      </c>
      <c r="M809" s="37">
        <v>39433</v>
      </c>
      <c r="N809">
        <v>70.516411000000005</v>
      </c>
      <c r="O809" s="36">
        <f>IF(ISBLANK(N810),"",Long2[[#This Row],[Adj Close]]/N810-1)</f>
        <v>7.4266143818347174E-2</v>
      </c>
      <c r="P809" s="29">
        <v>39433</v>
      </c>
      <c r="Q809">
        <v>23.695677</v>
      </c>
      <c r="R809" s="33">
        <f>IF(ISBLANK(Q810),"",Long3[[#This Row],[Adj Close]]/Q810-1)</f>
        <v>-2.0747654645025926E-2</v>
      </c>
      <c r="S809" s="37">
        <v>39433</v>
      </c>
      <c r="T809" s="35">
        <v>18.118075999999999</v>
      </c>
      <c r="U809" s="36">
        <f>IF(ISBLANK(T810),"",Long4[[#This Row],[Adj Close]]/T810-1)</f>
        <v>3.8612156744364023E-2</v>
      </c>
      <c r="Y809" s="37">
        <v>39433</v>
      </c>
      <c r="Z809" s="35">
        <v>19.002924</v>
      </c>
      <c r="AA809" s="36">
        <f>IF(ISBLANK(Z810),"",Long6[[#This Row],[Adj Close]]/Z810-1)</f>
        <v>0.10045128353970667</v>
      </c>
      <c r="AH809" s="29">
        <v>39433</v>
      </c>
      <c r="AI809" s="44">
        <v>72.027327999999997</v>
      </c>
      <c r="AJ809" s="33">
        <f>IF(ISBLANK(AI810),"",Short0[[#This Row],[Adj Close]]/AI810-1)</f>
        <v>-8.2413041301480416E-2</v>
      </c>
      <c r="AK809" s="37">
        <v>39433</v>
      </c>
      <c r="AL809" s="39">
        <v>34.277382000000003</v>
      </c>
      <c r="AM809" s="36">
        <f>IF(ISBLANK(AL810),"",Short1[[#This Row],[Adj Close]]/AL810-1)</f>
        <v>4.2511152269318231E-2</v>
      </c>
      <c r="AN809" s="29">
        <v>39433</v>
      </c>
      <c r="AO809" s="44">
        <v>14.622403</v>
      </c>
      <c r="AP809" s="33">
        <f>IF(ISBLANK(AO810),"",Short2[[#This Row],[Adj Close]]/AO810-1)</f>
        <v>3.5001438777233496E-3</v>
      </c>
    </row>
    <row r="810" spans="1:42" x14ac:dyDescent="0.25">
      <c r="A810" s="37">
        <v>39426</v>
      </c>
      <c r="B810" s="39">
        <v>1467.9499510000001</v>
      </c>
      <c r="C810" s="36">
        <f>IF(ISBLANK(B811), "", GSPC[[#This Row],[Adj Close]]/B811-1)</f>
        <v>-2.439759292496757E-2</v>
      </c>
      <c r="D81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1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10" s="11" t="e">
        <f>IF(ISBLANK(GSPC[[#This Row],[Long Exp.]]), "", (GSPC[[#This Row],[Long Exp.]]/D811-1)+(E811/GSPC[[#This Row],[Short Exp.]]-1))</f>
        <v>#VALUE!</v>
      </c>
      <c r="G810" s="37">
        <v>39426</v>
      </c>
      <c r="H810">
        <v>12.544841999999999</v>
      </c>
      <c r="I810" s="36">
        <f>IF(ISBLANK(H811), "", Long0[[#This Row],[Adj Close]]/H811-1)</f>
        <v>-3.1117394832241851E-2</v>
      </c>
      <c r="J810" s="29">
        <v>39426</v>
      </c>
      <c r="K810">
        <v>1.549426</v>
      </c>
      <c r="L810" s="33">
        <f>IF(ISBLANK(K811),"",Long1[[#This Row],[Adj Close]]/K811-1)</f>
        <v>-3.4482371840808823E-2</v>
      </c>
      <c r="M810" s="37">
        <v>39426</v>
      </c>
      <c r="N810">
        <v>65.641471999999993</v>
      </c>
      <c r="O810" s="36">
        <f>IF(ISBLANK(N811),"",Long2[[#This Row],[Adj Close]]/N811-1)</f>
        <v>3.9934918390545082E-2</v>
      </c>
      <c r="P810" s="29">
        <v>39426</v>
      </c>
      <c r="Q810">
        <v>24.197723</v>
      </c>
      <c r="R810" s="33">
        <f>IF(ISBLANK(Q811),"",Long3[[#This Row],[Adj Close]]/Q811-1)</f>
        <v>1.2949175828147474E-4</v>
      </c>
      <c r="S810" s="37">
        <v>39426</v>
      </c>
      <c r="T810" s="35">
        <v>17.444506000000001</v>
      </c>
      <c r="U810" s="36">
        <f>IF(ISBLANK(T811),"",Long4[[#This Row],[Adj Close]]/T811-1)</f>
        <v>-3.1250430382446126E-2</v>
      </c>
      <c r="Y810" s="37">
        <v>39426</v>
      </c>
      <c r="Z810" s="35">
        <v>17.268301000000001</v>
      </c>
      <c r="AA810" s="36">
        <f>IF(ISBLANK(Z811),"",Long6[[#This Row],[Adj Close]]/Z811-1)</f>
        <v>4.5350464813322944E-3</v>
      </c>
      <c r="AH810" s="29">
        <v>39426</v>
      </c>
      <c r="AI810" s="44">
        <v>78.496459999999999</v>
      </c>
      <c r="AJ810" s="33">
        <f>IF(ISBLANK(AI811),"",Short0[[#This Row],[Adj Close]]/AI811-1)</f>
        <v>-9.9260587003853207E-3</v>
      </c>
      <c r="AK810" s="37">
        <v>39426</v>
      </c>
      <c r="AL810" s="39">
        <v>32.879631000000003</v>
      </c>
      <c r="AM810" s="36">
        <f>IF(ISBLANK(AL811),"",Short1[[#This Row],[Adj Close]]/AL811-1)</f>
        <v>-4.4963051593400305E-2</v>
      </c>
      <c r="AN810" s="29">
        <v>39426</v>
      </c>
      <c r="AO810" s="44">
        <v>14.571401</v>
      </c>
      <c r="AP810" s="33">
        <f>IF(ISBLANK(AO811),"",Short2[[#This Row],[Adj Close]]/AO811-1)</f>
        <v>-6.4410282330232937E-2</v>
      </c>
    </row>
    <row r="811" spans="1:42" x14ac:dyDescent="0.25">
      <c r="A811" s="37">
        <v>39419</v>
      </c>
      <c r="B811" s="39">
        <v>1504.660034</v>
      </c>
      <c r="C811" s="36">
        <f>IF(ISBLANK(B812), "", GSPC[[#This Row],[Adj Close]]/B812-1)</f>
        <v>1.5879672928828414E-2</v>
      </c>
      <c r="D81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1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11" s="11" t="e">
        <f>IF(ISBLANK(GSPC[[#This Row],[Long Exp.]]), "", (GSPC[[#This Row],[Long Exp.]]/D812-1)+(E812/GSPC[[#This Row],[Short Exp.]]-1))</f>
        <v>#VALUE!</v>
      </c>
      <c r="G811" s="37">
        <v>39419</v>
      </c>
      <c r="H811">
        <v>12.947742</v>
      </c>
      <c r="I811" s="36">
        <f>IF(ISBLANK(H812), "", Long0[[#This Row],[Adj Close]]/H812-1)</f>
        <v>-1.6689798105259945E-2</v>
      </c>
      <c r="J811" s="29">
        <v>39419</v>
      </c>
      <c r="K811">
        <v>1.604762</v>
      </c>
      <c r="L811" s="33">
        <f>IF(ISBLANK(K812),"",Long1[[#This Row],[Adj Close]]/K812-1)</f>
        <v>-3.3333554203695104E-2</v>
      </c>
      <c r="M811" s="37">
        <v>39419</v>
      </c>
      <c r="N811">
        <v>63.120750000000001</v>
      </c>
      <c r="O811" s="36">
        <f>IF(ISBLANK(N812),"",Long2[[#This Row],[Adj Close]]/N812-1)</f>
        <v>0.1515545025711269</v>
      </c>
      <c r="P811" s="29">
        <v>39419</v>
      </c>
      <c r="Q811">
        <v>24.194590000000002</v>
      </c>
      <c r="R811" s="33">
        <f>IF(ISBLANK(Q812),"",Long3[[#This Row],[Adj Close]]/Q812-1)</f>
        <v>5.5730143908122143E-2</v>
      </c>
      <c r="S811" s="37">
        <v>39419</v>
      </c>
      <c r="T811" s="35">
        <v>18.007239999999999</v>
      </c>
      <c r="U811" s="36">
        <f>IF(ISBLANK(T812),"",Long4[[#This Row],[Adj Close]]/T812-1)</f>
        <v>1.9797120446645611E-2</v>
      </c>
      <c r="Y811" s="37">
        <v>39419</v>
      </c>
      <c r="Z811" s="35">
        <v>17.190342000000001</v>
      </c>
      <c r="AA811" s="36">
        <f>IF(ISBLANK(Z812),"",Long6[[#This Row],[Adj Close]]/Z812-1)</f>
        <v>6.5217198670828758E-2</v>
      </c>
      <c r="AH811" s="29">
        <v>39419</v>
      </c>
      <c r="AI811" s="44">
        <v>79.283432000000005</v>
      </c>
      <c r="AJ811" s="33">
        <f>IF(ISBLANK(AI812),"",Short0[[#This Row],[Adj Close]]/AI812-1)</f>
        <v>4.8324448612878879E-2</v>
      </c>
      <c r="AK811" s="37">
        <v>39419</v>
      </c>
      <c r="AL811" s="39">
        <v>34.427601000000003</v>
      </c>
      <c r="AM811" s="36">
        <f>IF(ISBLANK(AL812),"",Short1[[#This Row],[Adj Close]]/AL812-1)</f>
        <v>3.2517541650050497E-2</v>
      </c>
      <c r="AN811" s="29">
        <v>39419</v>
      </c>
      <c r="AO811" s="44">
        <v>15.574562999999999</v>
      </c>
      <c r="AP811" s="33">
        <f>IF(ISBLANK(AO812),"",Short2[[#This Row],[Adj Close]]/AO812-1)</f>
        <v>0.15656608974863095</v>
      </c>
    </row>
    <row r="812" spans="1:42" x14ac:dyDescent="0.25">
      <c r="A812" s="37">
        <v>39412</v>
      </c>
      <c r="B812" s="39">
        <v>1481.1400149999999</v>
      </c>
      <c r="C812" s="36">
        <f>IF(ISBLANK(B813), "", GSPC[[#This Row],[Adj Close]]/B813-1)</f>
        <v>2.8069733723479429E-2</v>
      </c>
      <c r="D81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1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12" s="11" t="e">
        <f>IF(ISBLANK(GSPC[[#This Row],[Long Exp.]]), "", (GSPC[[#This Row],[Long Exp.]]/D813-1)+(E813/GSPC[[#This Row],[Short Exp.]]-1))</f>
        <v>#VALUE!</v>
      </c>
      <c r="G812" s="37">
        <v>39412</v>
      </c>
      <c r="H812">
        <v>13.167505</v>
      </c>
      <c r="I812" s="36">
        <f>IF(ISBLANK(H813), "", Long0[[#This Row],[Adj Close]]/H813-1)</f>
        <v>5.6576044960733984E-2</v>
      </c>
      <c r="J812" s="29">
        <v>39412</v>
      </c>
      <c r="K812">
        <v>1.660099</v>
      </c>
      <c r="L812" s="33">
        <f>IF(ISBLANK(K813),"",Long1[[#This Row],[Adj Close]]/K813-1)</f>
        <v>8.403264359018614E-3</v>
      </c>
      <c r="M812" s="37">
        <v>39412</v>
      </c>
      <c r="N812">
        <v>54.813515000000002</v>
      </c>
      <c r="O812" s="36">
        <f>IF(ISBLANK(N813),"",Long2[[#This Row],[Adj Close]]/N813-1)</f>
        <v>0.13360644444441694</v>
      </c>
      <c r="P812" s="29">
        <v>39412</v>
      </c>
      <c r="Q812">
        <v>22.917400000000001</v>
      </c>
      <c r="R812" s="33">
        <f>IF(ISBLANK(Q813),"",Long3[[#This Row],[Adj Close]]/Q813-1)</f>
        <v>3.7459009042716485E-2</v>
      </c>
      <c r="S812" s="37">
        <v>39412</v>
      </c>
      <c r="T812" s="35">
        <v>17.657668999999999</v>
      </c>
      <c r="U812" s="36">
        <f>IF(ISBLANK(T813),"",Long4[[#This Row],[Adj Close]]/T813-1)</f>
        <v>-1.098345363008868E-2</v>
      </c>
      <c r="Y812" s="37">
        <v>39412</v>
      </c>
      <c r="Z812" s="35">
        <v>16.137875000000001</v>
      </c>
      <c r="AA812" s="36">
        <f>IF(ISBLANK(Z813),"",Long6[[#This Row],[Adj Close]]/Z813-1)</f>
        <v>2.2222457295372866E-2</v>
      </c>
      <c r="AH812" s="29">
        <v>39412</v>
      </c>
      <c r="AI812" s="44">
        <v>75.628715999999997</v>
      </c>
      <c r="AJ812" s="33">
        <f>IF(ISBLANK(AI813),"",Short0[[#This Row],[Adj Close]]/AI813-1)</f>
        <v>1.8867982483202539E-2</v>
      </c>
      <c r="AK812" s="37">
        <v>39412</v>
      </c>
      <c r="AL812" s="39">
        <v>33.343356999999997</v>
      </c>
      <c r="AM812" s="36">
        <f>IF(ISBLANK(AL813),"",Short1[[#This Row],[Adj Close]]/AL813-1)</f>
        <v>6.309815170267008E-2</v>
      </c>
      <c r="AN812" s="29">
        <v>39412</v>
      </c>
      <c r="AO812" s="44">
        <v>13.466210999999999</v>
      </c>
      <c r="AP812" s="33">
        <f>IF(ISBLANK(AO813),"",Short2[[#This Row],[Adj Close]]/AO813-1)</f>
        <v>1.6035621804661115E-2</v>
      </c>
    </row>
    <row r="813" spans="1:42" x14ac:dyDescent="0.25">
      <c r="A813" s="37">
        <v>39405</v>
      </c>
      <c r="B813" s="39">
        <v>1440.6999510000001</v>
      </c>
      <c r="C813" s="36">
        <f>IF(ISBLANK(B814), "", GSPC[[#This Row],[Adj Close]]/B814-1)</f>
        <v>-1.2366863953595986E-2</v>
      </c>
      <c r="D81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1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13" s="11" t="e">
        <f>IF(ISBLANK(GSPC[[#This Row],[Long Exp.]]), "", (GSPC[[#This Row],[Long Exp.]]/D814-1)+(E814/GSPC[[#This Row],[Short Exp.]]-1))</f>
        <v>#VALUE!</v>
      </c>
      <c r="G813" s="37">
        <v>39405</v>
      </c>
      <c r="H813">
        <v>12.462429999999999</v>
      </c>
      <c r="I813" s="36">
        <f>IF(ISBLANK(H814), "", Long0[[#This Row],[Adj Close]]/H814-1)</f>
        <v>-2.9303810679478515E-3</v>
      </c>
      <c r="J813" s="29">
        <v>39405</v>
      </c>
      <c r="K813">
        <v>1.6462650000000001</v>
      </c>
      <c r="L813" s="33">
        <f>IF(ISBLANK(K814),"",Long1[[#This Row],[Adj Close]]/K814-1)</f>
        <v>-8.3332379574952986E-3</v>
      </c>
      <c r="M813" s="37">
        <v>39405</v>
      </c>
      <c r="N813">
        <v>48.353214000000001</v>
      </c>
      <c r="O813" s="36">
        <f>IF(ISBLANK(N814),"",Long2[[#This Row],[Adj Close]]/N814-1)</f>
        <v>-4.1483330738803503E-2</v>
      </c>
      <c r="P813" s="29">
        <v>39405</v>
      </c>
      <c r="Q813">
        <v>22.089932999999998</v>
      </c>
      <c r="R813" s="33">
        <f>IF(ISBLANK(Q814),"",Long3[[#This Row],[Adj Close]]/Q814-1)</f>
        <v>-6.10538781586345E-4</v>
      </c>
      <c r="S813" s="37">
        <v>39405</v>
      </c>
      <c r="T813" s="35">
        <v>17.853764999999999</v>
      </c>
      <c r="U813" s="36">
        <f>IF(ISBLANK(T814),"",Long4[[#This Row],[Adj Close]]/T814-1)</f>
        <v>-2.6951890765164799E-2</v>
      </c>
      <c r="Y813" s="37">
        <v>39405</v>
      </c>
      <c r="Z813" s="35">
        <v>15.787048</v>
      </c>
      <c r="AA813" s="36">
        <f>IF(ISBLANK(Z814),"",Long6[[#This Row],[Adj Close]]/Z814-1)</f>
        <v>-6.7357695386255467E-2</v>
      </c>
      <c r="AH813" s="29">
        <v>39405</v>
      </c>
      <c r="AI813" s="44">
        <v>74.228179999999995</v>
      </c>
      <c r="AJ813" s="33">
        <f>IF(ISBLANK(AI814),"",Short0[[#This Row],[Adj Close]]/AI814-1)</f>
        <v>-6.2815820536609057E-2</v>
      </c>
      <c r="AK813" s="37">
        <v>39405</v>
      </c>
      <c r="AL813" s="39">
        <v>31.364325999999998</v>
      </c>
      <c r="AM813" s="36">
        <f>IF(ISBLANK(AL814),"",Short1[[#This Row],[Adj Close]]/AL814-1)</f>
        <v>2.5192225630160214E-2</v>
      </c>
      <c r="AN813" s="29">
        <v>39405</v>
      </c>
      <c r="AO813" s="44">
        <v>13.253679999999999</v>
      </c>
      <c r="AP813" s="33">
        <f>IF(ISBLANK(AO814),"",Short2[[#This Row],[Adj Close]]/AO814-1)</f>
        <v>-0.1897088212479201</v>
      </c>
    </row>
    <row r="814" spans="1:42" x14ac:dyDescent="0.25">
      <c r="A814" s="37">
        <v>39398</v>
      </c>
      <c r="B814" s="39">
        <v>1458.73999</v>
      </c>
      <c r="C814" s="36">
        <f>IF(ISBLANK(B815), "", GSPC[[#This Row],[Adj Close]]/B815-1)</f>
        <v>3.4670421475442303E-3</v>
      </c>
      <c r="D81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1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14" s="11" t="e">
        <f>IF(ISBLANK(GSPC[[#This Row],[Long Exp.]]), "", (GSPC[[#This Row],[Long Exp.]]/D815-1)+(E815/GSPC[[#This Row],[Short Exp.]]-1))</f>
        <v>#VALUE!</v>
      </c>
      <c r="G814" s="37">
        <v>39398</v>
      </c>
      <c r="H814">
        <v>12.499057000000001</v>
      </c>
      <c r="I814" s="36">
        <f>IF(ISBLANK(H815), "", Long0[[#This Row],[Adj Close]]/H815-1)</f>
        <v>-0.10256412465649845</v>
      </c>
      <c r="J814" s="29">
        <v>39398</v>
      </c>
      <c r="K814">
        <v>1.660099</v>
      </c>
      <c r="L814" s="33">
        <f>IF(ISBLANK(K815),"",Long1[[#This Row],[Adj Close]]/K815-1)</f>
        <v>-2.4389971562075896E-2</v>
      </c>
      <c r="M814" s="37">
        <v>39398</v>
      </c>
      <c r="N814">
        <v>50.445877000000003</v>
      </c>
      <c r="O814" s="36">
        <f>IF(ISBLANK(N815),"",Long2[[#This Row],[Adj Close]]/N815-1)</f>
        <v>-0.10416648131430661</v>
      </c>
      <c r="P814" s="29">
        <v>39398</v>
      </c>
      <c r="Q814">
        <v>22.103428000000001</v>
      </c>
      <c r="R814" s="33">
        <f>IF(ISBLANK(Q815),"",Long3[[#This Row],[Adj Close]]/Q815-1)</f>
        <v>-1.6999447470371409E-2</v>
      </c>
      <c r="S814" s="37">
        <v>39398</v>
      </c>
      <c r="T814" s="35">
        <v>18.348286000000002</v>
      </c>
      <c r="U814" s="36">
        <f>IF(ISBLANK(T815),"",Long4[[#This Row],[Adj Close]]/T815-1)</f>
        <v>5.3353098800775989E-2</v>
      </c>
      <c r="Y814" s="37">
        <v>39398</v>
      </c>
      <c r="Z814" s="35">
        <v>16.927226999999998</v>
      </c>
      <c r="AA814" s="36">
        <f>IF(ISBLANK(Z815),"",Long6[[#This Row],[Adj Close]]/Z815-1)</f>
        <v>8.1256445869644089E-3</v>
      </c>
      <c r="AH814" s="29">
        <v>39398</v>
      </c>
      <c r="AI814" s="44">
        <v>79.203406999999999</v>
      </c>
      <c r="AJ814" s="33">
        <f>IF(ISBLANK(AI815),"",Short0[[#This Row],[Adj Close]]/AI815-1)</f>
        <v>2.4587993310297263E-2</v>
      </c>
      <c r="AK814" s="37">
        <v>39398</v>
      </c>
      <c r="AL814" s="39">
        <v>30.593605</v>
      </c>
      <c r="AM814" s="36">
        <f>IF(ISBLANK(AL815),"",Short1[[#This Row],[Adj Close]]/AL815-1)</f>
        <v>4.0426219092839721E-2</v>
      </c>
      <c r="AN814" s="29">
        <v>39398</v>
      </c>
      <c r="AO814" s="44">
        <v>16.356687999999998</v>
      </c>
      <c r="AP814" s="33">
        <f>IF(ISBLANK(AO815),"",Short2[[#This Row],[Adj Close]]/AO815-1)</f>
        <v>-3.4135918688483091E-2</v>
      </c>
    </row>
    <row r="815" spans="1:42" x14ac:dyDescent="0.25">
      <c r="A815" s="37">
        <v>39391</v>
      </c>
      <c r="B815" s="39">
        <v>1453.6999510000001</v>
      </c>
      <c r="C815" s="36">
        <f>IF(ISBLANK(B816), "", GSPC[[#This Row],[Adj Close]]/B816-1)</f>
        <v>-3.7061618329096935E-2</v>
      </c>
      <c r="D81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1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15" s="11" t="e">
        <f>IF(ISBLANK(GSPC[[#This Row],[Long Exp.]]), "", (GSPC[[#This Row],[Long Exp.]]/D816-1)+(E816/GSPC[[#This Row],[Short Exp.]]-1))</f>
        <v>#VALUE!</v>
      </c>
      <c r="G815" s="37">
        <v>39391</v>
      </c>
      <c r="H815">
        <v>13.927521</v>
      </c>
      <c r="I815" s="36">
        <f>IF(ISBLANK(H816), "", Long0[[#This Row],[Adj Close]]/H816-1)</f>
        <v>9.960138994670853E-3</v>
      </c>
      <c r="J815" s="29">
        <v>39391</v>
      </c>
      <c r="K815">
        <v>1.7016009999999999</v>
      </c>
      <c r="L815" s="33">
        <f>IF(ISBLANK(K816),"",Long1[[#This Row],[Adj Close]]/K816-1)</f>
        <v>-3.1496273630600591E-2</v>
      </c>
      <c r="M815" s="37">
        <v>39391</v>
      </c>
      <c r="N815">
        <v>56.311664999999998</v>
      </c>
      <c r="O815" s="36">
        <f>IF(ISBLANK(N816),"",Long2[[#This Row],[Adj Close]]/N816-1)</f>
        <v>2.2599377295162482E-2</v>
      </c>
      <c r="P815" s="29">
        <v>39391</v>
      </c>
      <c r="Q815">
        <v>22.485672000000001</v>
      </c>
      <c r="R815" s="33">
        <f>IF(ISBLANK(Q816),"",Long3[[#This Row],[Adj Close]]/Q816-1)</f>
        <v>-2.1718420211002343E-2</v>
      </c>
      <c r="S815" s="37">
        <v>39391</v>
      </c>
      <c r="T815" s="35">
        <v>17.418932000000002</v>
      </c>
      <c r="U815" s="36">
        <f>IF(ISBLANK(T816),"",Long4[[#This Row],[Adj Close]]/T816-1)</f>
        <v>-0.16064103779269556</v>
      </c>
      <c r="Y815" s="37">
        <v>39391</v>
      </c>
      <c r="Z815" s="35">
        <v>16.790790999999999</v>
      </c>
      <c r="AA815" s="36">
        <f>IF(ISBLANK(Z816),"",Long6[[#This Row],[Adj Close]]/Z816-1)</f>
        <v>-1.0907252800903322E-2</v>
      </c>
      <c r="AH815" s="29">
        <v>39391</v>
      </c>
      <c r="AI815" s="44">
        <v>77.302689000000001</v>
      </c>
      <c r="AJ815" s="33">
        <f>IF(ISBLANK(AI816),"",Short0[[#This Row],[Adj Close]]/AI816-1)</f>
        <v>-7.3648526104934664E-3</v>
      </c>
      <c r="AK815" s="37">
        <v>39391</v>
      </c>
      <c r="AL815" s="39">
        <v>29.404876999999999</v>
      </c>
      <c r="AM815" s="36">
        <f>IF(ISBLANK(AL816),"",Short1[[#This Row],[Adj Close]]/AL816-1)</f>
        <v>-4.6993512042108221E-2</v>
      </c>
      <c r="AN815" s="29">
        <v>39391</v>
      </c>
      <c r="AO815" s="44">
        <v>16.934771999999999</v>
      </c>
      <c r="AP815" s="33">
        <f>IF(ISBLANK(AO816),"",Short2[[#This Row],[Adj Close]]/AO816-1)</f>
        <v>-5.2411392277924573E-2</v>
      </c>
    </row>
    <row r="816" spans="1:42" x14ac:dyDescent="0.25">
      <c r="A816" s="37">
        <v>39384</v>
      </c>
      <c r="B816" s="39">
        <v>1509.650024</v>
      </c>
      <c r="C816" s="36">
        <f>IF(ISBLANK(B817), "", GSPC[[#This Row],[Adj Close]]/B817-1)</f>
        <v>-1.6694026181460875E-2</v>
      </c>
      <c r="D81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1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16" s="11" t="e">
        <f>IF(ISBLANK(GSPC[[#This Row],[Long Exp.]]), "", (GSPC[[#This Row],[Long Exp.]]/D817-1)+(E817/GSPC[[#This Row],[Short Exp.]]-1))</f>
        <v>#VALUE!</v>
      </c>
      <c r="G816" s="37">
        <v>39384</v>
      </c>
      <c r="H816">
        <v>13.790169000000001</v>
      </c>
      <c r="I816" s="36">
        <f>IF(ISBLANK(H817), "", Long0[[#This Row],[Adj Close]]/H817-1)</f>
        <v>4.0000064068832497E-3</v>
      </c>
      <c r="J816" s="29">
        <v>39384</v>
      </c>
      <c r="K816">
        <v>1.7569380000000001</v>
      </c>
      <c r="L816" s="33">
        <f>IF(ISBLANK(K817),"",Long1[[#This Row],[Adj Close]]/K817-1)</f>
        <v>-5.9259128373092551E-2</v>
      </c>
      <c r="M816" s="37">
        <v>39384</v>
      </c>
      <c r="N816">
        <v>55.067180999999998</v>
      </c>
      <c r="O816" s="36">
        <f>IF(ISBLANK(N817),"",Long2[[#This Row],[Adj Close]]/N817-1)</f>
        <v>9.2980778054876367E-3</v>
      </c>
      <c r="P816" s="29">
        <v>39384</v>
      </c>
      <c r="Q816">
        <v>22.984867000000001</v>
      </c>
      <c r="R816" s="33">
        <f>IF(ISBLANK(Q817),"",Long3[[#This Row],[Adj Close]]/Q817-1)</f>
        <v>1.3283681484367538E-2</v>
      </c>
      <c r="S816" s="37">
        <v>39384</v>
      </c>
      <c r="T816" s="35">
        <v>20.752661</v>
      </c>
      <c r="U816" s="36">
        <f>IF(ISBLANK(T817),"",Long4[[#This Row],[Adj Close]]/T817-1)</f>
        <v>-6.0231483081105486E-2</v>
      </c>
      <c r="Y816" s="37">
        <v>39384</v>
      </c>
      <c r="Z816" s="35">
        <v>16.975951999999999</v>
      </c>
      <c r="AA816" s="36">
        <f>IF(ISBLANK(Z817),"",Long6[[#This Row],[Adj Close]]/Z817-1)</f>
        <v>-7.3896412380429655E-2</v>
      </c>
      <c r="AH816" s="29">
        <v>39384</v>
      </c>
      <c r="AI816" s="44">
        <v>77.876236000000006</v>
      </c>
      <c r="AJ816" s="33">
        <f>IF(ISBLANK(AI817),"",Short0[[#This Row],[Adj Close]]/AI817-1)</f>
        <v>-0.15950479704416309</v>
      </c>
      <c r="AK816" s="37">
        <v>39384</v>
      </c>
      <c r="AL816" s="39">
        <v>30.854855000000001</v>
      </c>
      <c r="AM816" s="36">
        <f>IF(ISBLANK(AL817),"",Short1[[#This Row],[Adj Close]]/AL817-1)</f>
        <v>-2.1744079185615495E-2</v>
      </c>
      <c r="AN816" s="29">
        <v>39384</v>
      </c>
      <c r="AO816" s="44">
        <v>17.871438999999999</v>
      </c>
      <c r="AP816" s="33">
        <f>IF(ISBLANK(AO817),"",Short2[[#This Row],[Adj Close]]/AO817-1)</f>
        <v>-0.12844798594549001</v>
      </c>
    </row>
    <row r="817" spans="1:42" x14ac:dyDescent="0.25">
      <c r="A817" s="37">
        <v>39377</v>
      </c>
      <c r="B817" s="39">
        <v>1535.280029</v>
      </c>
      <c r="C817" s="36">
        <f>IF(ISBLANK(B818), "", GSPC[[#This Row],[Adj Close]]/B818-1)</f>
        <v>2.3090317989476805E-2</v>
      </c>
      <c r="D81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1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17" s="11" t="e">
        <f>IF(ISBLANK(GSPC[[#This Row],[Long Exp.]]), "", (GSPC[[#This Row],[Long Exp.]]/D818-1)+(E818/GSPC[[#This Row],[Short Exp.]]-1))</f>
        <v>#VALUE!</v>
      </c>
      <c r="G817" s="37">
        <v>39377</v>
      </c>
      <c r="H817">
        <v>13.735227999999999</v>
      </c>
      <c r="I817" s="36">
        <f>IF(ISBLANK(H818), "", Long0[[#This Row],[Adj Close]]/H818-1)</f>
        <v>-6.6623570279789046E-4</v>
      </c>
      <c r="J817" s="29">
        <v>39377</v>
      </c>
      <c r="K817">
        <v>1.8676109999999999</v>
      </c>
      <c r="L817" s="33">
        <f>IF(ISBLANK(K818),"",Long1[[#This Row],[Adj Close]]/K818-1)</f>
        <v>0</v>
      </c>
      <c r="M817" s="37">
        <v>39377</v>
      </c>
      <c r="N817">
        <v>54.559879000000002</v>
      </c>
      <c r="O817" s="36">
        <f>IF(ISBLANK(N818),"",Long2[[#This Row],[Adj Close]]/N818-1)</f>
        <v>0.10128053009819893</v>
      </c>
      <c r="P817" s="29">
        <v>39377</v>
      </c>
      <c r="Q817">
        <v>22.683546</v>
      </c>
      <c r="R817" s="33">
        <f>IF(ISBLANK(Q818),"",Long3[[#This Row],[Adj Close]]/Q818-1)</f>
        <v>5.9218622448431457E-2</v>
      </c>
      <c r="S817" s="37">
        <v>39377</v>
      </c>
      <c r="T817" s="35">
        <v>22.082737000000002</v>
      </c>
      <c r="U817" s="36">
        <f>IF(ISBLANK(T818),"",Long4[[#This Row],[Adj Close]]/T818-1)</f>
        <v>-3.249883995303815E-2</v>
      </c>
      <c r="Y817" s="37">
        <v>39377</v>
      </c>
      <c r="Z817" s="35">
        <v>18.330511000000001</v>
      </c>
      <c r="AA817" s="36">
        <f>IF(ISBLANK(Z818),"",Long6[[#This Row],[Adj Close]]/Z818-1)</f>
        <v>4.6162144448192999E-2</v>
      </c>
      <c r="AH817" s="29">
        <v>39377</v>
      </c>
      <c r="AI817" s="44">
        <v>92.655181999999996</v>
      </c>
      <c r="AJ817" s="33">
        <f>IF(ISBLANK(AI818),"",Short0[[#This Row],[Adj Close]]/AI818-1)</f>
        <v>0.10157022222630152</v>
      </c>
      <c r="AK817" s="37">
        <v>39377</v>
      </c>
      <c r="AL817" s="39">
        <v>31.540678</v>
      </c>
      <c r="AM817" s="36">
        <f>IF(ISBLANK(AL818),"",Short1[[#This Row],[Adj Close]]/AL818-1)</f>
        <v>2.8322268619259017E-2</v>
      </c>
      <c r="AN817" s="29">
        <v>39377</v>
      </c>
      <c r="AO817" s="44">
        <v>20.505303999999999</v>
      </c>
      <c r="AP817" s="33">
        <f>IF(ISBLANK(AO818),"",Short2[[#This Row],[Adj Close]]/AO818-1)</f>
        <v>0.15227791373637634</v>
      </c>
    </row>
    <row r="818" spans="1:42" x14ac:dyDescent="0.25">
      <c r="A818" s="37">
        <v>39370</v>
      </c>
      <c r="B818" s="39">
        <v>1500.630005</v>
      </c>
      <c r="C818" s="36">
        <f>IF(ISBLANK(B819), "", GSPC[[#This Row],[Adj Close]]/B819-1)</f>
        <v>-3.916637346705576E-2</v>
      </c>
      <c r="D81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1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18" s="11" t="e">
        <f>IF(ISBLANK(GSPC[[#This Row],[Long Exp.]]), "", (GSPC[[#This Row],[Long Exp.]]/D819-1)+(E819/GSPC[[#This Row],[Short Exp.]]-1))</f>
        <v>#VALUE!</v>
      </c>
      <c r="G818" s="37">
        <v>39370</v>
      </c>
      <c r="H818">
        <v>13.744384999999999</v>
      </c>
      <c r="I818" s="36">
        <f>IF(ISBLANK(H819), "", Long0[[#This Row],[Adj Close]]/H819-1)</f>
        <v>-4.333952852938594E-2</v>
      </c>
      <c r="J818" s="29">
        <v>39370</v>
      </c>
      <c r="K818">
        <v>1.8676109999999999</v>
      </c>
      <c r="L818" s="33">
        <f>IF(ISBLANK(K819),"",Long1[[#This Row],[Adj Close]]/K819-1)</f>
        <v>0</v>
      </c>
      <c r="M818" s="37">
        <v>39370</v>
      </c>
      <c r="N818">
        <v>49.542217000000001</v>
      </c>
      <c r="O818" s="36">
        <f>IF(ISBLANK(N819),"",Long2[[#This Row],[Adj Close]]/N819-1)</f>
        <v>1.329434226835291E-2</v>
      </c>
      <c r="P818" s="29">
        <v>39370</v>
      </c>
      <c r="Q818">
        <v>21.415358000000001</v>
      </c>
      <c r="R818" s="33">
        <f>IF(ISBLANK(Q819),"",Long3[[#This Row],[Adj Close]]/Q819-1)</f>
        <v>-4.6455773430102432E-2</v>
      </c>
      <c r="S818" s="37">
        <v>39370</v>
      </c>
      <c r="T818" s="35">
        <v>22.824507000000001</v>
      </c>
      <c r="U818" s="36">
        <f>IF(ISBLANK(T819),"",Long4[[#This Row],[Adj Close]]/T819-1)</f>
        <v>2.7244554203589066E-2</v>
      </c>
      <c r="Y818" s="37">
        <v>39370</v>
      </c>
      <c r="Z818" s="35">
        <v>17.521673</v>
      </c>
      <c r="AA818" s="36">
        <f>IF(ISBLANK(Z819),"",Long6[[#This Row],[Adj Close]]/Z819-1)</f>
        <v>-2.3887188622864652E-2</v>
      </c>
      <c r="AH818" s="29">
        <v>39370</v>
      </c>
      <c r="AI818" s="44">
        <v>84.111915999999994</v>
      </c>
      <c r="AJ818" s="33">
        <f>IF(ISBLANK(AI819),"",Short0[[#This Row],[Adj Close]]/AI819-1)</f>
        <v>-8.7739826852386349E-2</v>
      </c>
      <c r="AK818" s="37">
        <v>39370</v>
      </c>
      <c r="AL818" s="39">
        <v>30.671977999999999</v>
      </c>
      <c r="AM818" s="36">
        <f>IF(ISBLANK(AL819),"",Short1[[#This Row],[Adj Close]]/AL819-1)</f>
        <v>-5.5320754438042963E-2</v>
      </c>
      <c r="AN818" s="29">
        <v>39370</v>
      </c>
      <c r="AO818" s="44">
        <v>17.795449999999999</v>
      </c>
      <c r="AP818" s="33">
        <f>IF(ISBLANK(AO819),"",Short2[[#This Row],[Adj Close]]/AO819-1)</f>
        <v>-0.12892627348908758</v>
      </c>
    </row>
    <row r="819" spans="1:42" x14ac:dyDescent="0.25">
      <c r="A819" s="37">
        <v>39363</v>
      </c>
      <c r="B819" s="39">
        <v>1561.8000489999999</v>
      </c>
      <c r="C819" s="36">
        <f>IF(ISBLANK(B820), "", GSPC[[#This Row],[Adj Close]]/B820-1)</f>
        <v>2.7029469192150213E-3</v>
      </c>
      <c r="D81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1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19" s="11" t="e">
        <f>IF(ISBLANK(GSPC[[#This Row],[Long Exp.]]), "", (GSPC[[#This Row],[Long Exp.]]/D820-1)+(E820/GSPC[[#This Row],[Short Exp.]]-1))</f>
        <v>#VALUE!</v>
      </c>
      <c r="G819" s="37">
        <v>39363</v>
      </c>
      <c r="H819">
        <v>14.367046</v>
      </c>
      <c r="I819" s="36">
        <f>IF(ISBLANK(H820), "", Long0[[#This Row],[Adj Close]]/H820-1)</f>
        <v>-4.793698472330421E-2</v>
      </c>
      <c r="J819" s="29">
        <v>39363</v>
      </c>
      <c r="K819">
        <v>1.8676109999999999</v>
      </c>
      <c r="L819" s="33">
        <f>IF(ISBLANK(K820),"",Long1[[#This Row],[Adj Close]]/K820-1)</f>
        <v>7.1428325561756489E-2</v>
      </c>
      <c r="M819" s="37">
        <v>39363</v>
      </c>
      <c r="N819">
        <v>48.892226999999998</v>
      </c>
      <c r="O819" s="36">
        <f>IF(ISBLANK(N820),"",Long2[[#This Row],[Adj Close]]/N820-1)</f>
        <v>0.17709915261629239</v>
      </c>
      <c r="P819" s="29">
        <v>39363</v>
      </c>
      <c r="Q819">
        <v>22.458694000000001</v>
      </c>
      <c r="R819" s="33">
        <f>IF(ISBLANK(Q820),"",Long3[[#This Row],[Adj Close]]/Q820-1)</f>
        <v>2.4200071926192779E-2</v>
      </c>
      <c r="S819" s="37">
        <v>39363</v>
      </c>
      <c r="T819" s="35">
        <v>22.219156000000002</v>
      </c>
      <c r="U819" s="36">
        <f>IF(ISBLANK(T820),"",Long4[[#This Row],[Adj Close]]/T820-1)</f>
        <v>4.6586256396806913E-2</v>
      </c>
      <c r="Y819" s="37">
        <v>39363</v>
      </c>
      <c r="Z819" s="35">
        <v>17.950458999999999</v>
      </c>
      <c r="AA819" s="36">
        <f>IF(ISBLANK(Z820),"",Long6[[#This Row],[Adj Close]]/Z820-1)</f>
        <v>9.3150934798673646E-3</v>
      </c>
      <c r="AH819" s="29">
        <v>39363</v>
      </c>
      <c r="AI819" s="44">
        <v>92.201674999999994</v>
      </c>
      <c r="AJ819" s="33">
        <f>IF(ISBLANK(AI820),"",Short0[[#This Row],[Adj Close]]/AI820-1)</f>
        <v>7.1290222469938991E-2</v>
      </c>
      <c r="AK819" s="37">
        <v>39363</v>
      </c>
      <c r="AL819" s="39">
        <v>32.468139999999998</v>
      </c>
      <c r="AM819" s="36">
        <f>IF(ISBLANK(AL820),"",Short1[[#This Row],[Adj Close]]/AL820-1)</f>
        <v>1.4110023904008173E-2</v>
      </c>
      <c r="AN819" s="29">
        <v>39363</v>
      </c>
      <c r="AO819" s="44">
        <v>20.429327000000001</v>
      </c>
      <c r="AP819" s="33">
        <f>IF(ISBLANK(AO820),"",Short2[[#This Row],[Adj Close]]/AO820-1)</f>
        <v>-3.0059876191111945E-2</v>
      </c>
    </row>
    <row r="820" spans="1:42" x14ac:dyDescent="0.25">
      <c r="A820" s="37">
        <v>39356</v>
      </c>
      <c r="B820" s="39">
        <v>1557.589966</v>
      </c>
      <c r="C820" s="36">
        <f>IF(ISBLANK(B821), "", GSPC[[#This Row],[Adj Close]]/B821-1)</f>
        <v>2.0199748485344671E-2</v>
      </c>
      <c r="D82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2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20" s="11" t="e">
        <f>IF(ISBLANK(GSPC[[#This Row],[Long Exp.]]), "", (GSPC[[#This Row],[Long Exp.]]/D821-1)+(E821/GSPC[[#This Row],[Short Exp.]]-1))</f>
        <v>#VALUE!</v>
      </c>
      <c r="G820" s="37">
        <v>39356</v>
      </c>
      <c r="H820">
        <v>15.090436</v>
      </c>
      <c r="I820" s="36">
        <f>IF(ISBLANK(H821), "", Long0[[#This Row],[Adj Close]]/H821-1)</f>
        <v>3.2581274594088994E-2</v>
      </c>
      <c r="J820" s="29">
        <v>39356</v>
      </c>
      <c r="K820">
        <v>1.743104</v>
      </c>
      <c r="L820" s="33">
        <f>IF(ISBLANK(K821),"",Long1[[#This Row],[Adj Close]]/K821-1)</f>
        <v>1.6128844212200288E-2</v>
      </c>
      <c r="M820" s="37">
        <v>39356</v>
      </c>
      <c r="N820">
        <v>41.536200999999998</v>
      </c>
      <c r="O820" s="36">
        <f>IF(ISBLANK(N821),"",Long2[[#This Row],[Adj Close]]/N821-1)</f>
        <v>-2.0926625669738907E-2</v>
      </c>
      <c r="P820" s="29">
        <v>39356</v>
      </c>
      <c r="Q820">
        <v>21.928034</v>
      </c>
      <c r="R820" s="33">
        <f>IF(ISBLANK(Q821),"",Long3[[#This Row],[Adj Close]]/Q821-1)</f>
        <v>5.3131931608965344E-2</v>
      </c>
      <c r="S820" s="37">
        <v>39356</v>
      </c>
      <c r="T820" s="35">
        <v>21.230124</v>
      </c>
      <c r="U820" s="36">
        <f>IF(ISBLANK(T821),"",Long4[[#This Row],[Adj Close]]/T821-1)</f>
        <v>4.1405409350873112E-2</v>
      </c>
      <c r="Y820" s="37">
        <v>39356</v>
      </c>
      <c r="Z820" s="35">
        <v>17.784791999999999</v>
      </c>
      <c r="AA820" s="36">
        <f>IF(ISBLANK(Z821),"",Long6[[#This Row],[Adj Close]]/Z821-1)</f>
        <v>2.9909775142325623E-2</v>
      </c>
      <c r="AH820" s="29">
        <v>39356</v>
      </c>
      <c r="AI820" s="44">
        <v>86.066010000000006</v>
      </c>
      <c r="AJ820" s="33">
        <f>IF(ISBLANK(AI821),"",Short0[[#This Row],[Adj Close]]/AI821-1)</f>
        <v>-3.2753668148617687E-2</v>
      </c>
      <c r="AK820" s="37">
        <v>39356</v>
      </c>
      <c r="AL820" s="39">
        <v>32.016387999999999</v>
      </c>
      <c r="AM820" s="36">
        <f>IF(ISBLANK(AL821),"",Short1[[#This Row],[Adj Close]]/AL821-1)</f>
        <v>6.8014050672742909E-2</v>
      </c>
      <c r="AN820" s="29">
        <v>39356</v>
      </c>
      <c r="AO820" s="44">
        <v>21.062462</v>
      </c>
      <c r="AP820" s="33">
        <f>IF(ISBLANK(AO821),"",Short2[[#This Row],[Adj Close]]/AO821-1)</f>
        <v>0.10154532509596481</v>
      </c>
    </row>
    <row r="821" spans="1:42" x14ac:dyDescent="0.25">
      <c r="A821" s="37">
        <v>39349</v>
      </c>
      <c r="B821" s="39">
        <v>1526.75</v>
      </c>
      <c r="C821" s="36">
        <f>IF(ISBLANK(B822), "", GSPC[[#This Row],[Adj Close]]/B822-1)</f>
        <v>6.5541536949043078E-4</v>
      </c>
      <c r="D82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2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21" s="11" t="e">
        <f>IF(ISBLANK(GSPC[[#This Row],[Long Exp.]]), "", (GSPC[[#This Row],[Long Exp.]]/D822-1)+(E822/GSPC[[#This Row],[Short Exp.]]-1))</f>
        <v>#VALUE!</v>
      </c>
      <c r="G821" s="37">
        <v>39349</v>
      </c>
      <c r="H821">
        <v>14.614284</v>
      </c>
      <c r="I821" s="36">
        <f>IF(ISBLANK(H822), "", Long0[[#This Row],[Adj Close]]/H822-1)</f>
        <v>3.973948820967288E-2</v>
      </c>
      <c r="J821" s="29">
        <v>39349</v>
      </c>
      <c r="K821">
        <v>1.715436</v>
      </c>
      <c r="L821" s="33">
        <f>IF(ISBLANK(K822),"",Long1[[#This Row],[Adj Close]]/K822-1)</f>
        <v>2.4793704407524153E-2</v>
      </c>
      <c r="M821" s="37">
        <v>39349</v>
      </c>
      <c r="N821">
        <v>42.423991999999998</v>
      </c>
      <c r="O821" s="36">
        <f>IF(ISBLANK(N822),"",Long2[[#This Row],[Adj Close]]/N822-1)</f>
        <v>6.5074203355150129E-2</v>
      </c>
      <c r="P821" s="29">
        <v>39349</v>
      </c>
      <c r="Q821">
        <v>20.821735</v>
      </c>
      <c r="R821" s="33">
        <f>IF(ISBLANK(Q822),"",Long3[[#This Row],[Adj Close]]/Q822-1)</f>
        <v>-5.7794043428636144E-2</v>
      </c>
      <c r="S821" s="37">
        <v>39349</v>
      </c>
      <c r="T821" s="35">
        <v>20.386032</v>
      </c>
      <c r="U821" s="36">
        <f>IF(ISBLANK(T822),"",Long4[[#This Row],[Adj Close]]/T822-1)</f>
        <v>-1.0757329924383607E-2</v>
      </c>
      <c r="Y821" s="37">
        <v>39349</v>
      </c>
      <c r="Z821" s="35">
        <v>17.268301000000001</v>
      </c>
      <c r="AA821" s="36">
        <f>IF(ISBLANK(Z822),"",Long6[[#This Row],[Adj Close]]/Z822-1)</f>
        <v>0.10267586441180154</v>
      </c>
      <c r="AH821" s="29">
        <v>39349</v>
      </c>
      <c r="AI821" s="44">
        <v>88.980446000000001</v>
      </c>
      <c r="AJ821" s="33">
        <f>IF(ISBLANK(AI822),"",Short0[[#This Row],[Adj Close]]/AI822-1)</f>
        <v>2.9078408812660328E-2</v>
      </c>
      <c r="AK821" s="37">
        <v>39349</v>
      </c>
      <c r="AL821" s="39">
        <v>29.977497</v>
      </c>
      <c r="AM821" s="36">
        <f>IF(ISBLANK(AL822),"",Short1[[#This Row],[Adj Close]]/AL822-1)</f>
        <v>-1.5825552956551969E-2</v>
      </c>
      <c r="AN821" s="29">
        <v>39349</v>
      </c>
      <c r="AO821" s="44">
        <v>19.120830999999999</v>
      </c>
      <c r="AP821" s="33">
        <f>IF(ISBLANK(AO822),"",Short2[[#This Row],[Adj Close]]/AO822-1)</f>
        <v>-0.10545087503640393</v>
      </c>
    </row>
    <row r="822" spans="1:42" x14ac:dyDescent="0.25">
      <c r="A822" s="37">
        <v>39342</v>
      </c>
      <c r="B822" s="39">
        <v>1525.75</v>
      </c>
      <c r="C822" s="36">
        <f>IF(ISBLANK(B823), "", GSPC[[#This Row],[Adj Close]]/B823-1)</f>
        <v>2.7960249284150196E-2</v>
      </c>
      <c r="D82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2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22" s="11" t="e">
        <f>IF(ISBLANK(GSPC[[#This Row],[Long Exp.]]), "", (GSPC[[#This Row],[Long Exp.]]/D823-1)+(E823/GSPC[[#This Row],[Short Exp.]]-1))</f>
        <v>#VALUE!</v>
      </c>
      <c r="G822" s="37">
        <v>39342</v>
      </c>
      <c r="H822">
        <v>14.055717</v>
      </c>
      <c r="I822" s="36">
        <f>IF(ISBLANK(H823), "", Long0[[#This Row],[Adj Close]]/H823-1)</f>
        <v>3.9241396334031009E-3</v>
      </c>
      <c r="J822" s="29">
        <v>39342</v>
      </c>
      <c r="K822">
        <v>1.6739329999999999</v>
      </c>
      <c r="L822" s="33">
        <f>IF(ISBLANK(K823),"",Long1[[#This Row],[Adj Close]]/K823-1)</f>
        <v>-3.2000208180330558E-2</v>
      </c>
      <c r="M822" s="37">
        <v>39342</v>
      </c>
      <c r="N822">
        <v>39.831958999999998</v>
      </c>
      <c r="O822" s="36">
        <f>IF(ISBLANK(N823),"",Long2[[#This Row],[Adj Close]]/N823-1)</f>
        <v>0.12240379397219048</v>
      </c>
      <c r="P822" s="29">
        <v>39342</v>
      </c>
      <c r="Q822">
        <v>22.098921000000001</v>
      </c>
      <c r="R822" s="33">
        <f>IF(ISBLANK(Q823),"",Long3[[#This Row],[Adj Close]]/Q823-1)</f>
        <v>6.1427788133865402E-3</v>
      </c>
      <c r="S822" s="37">
        <v>39342</v>
      </c>
      <c r="T822" s="35">
        <v>20.607716</v>
      </c>
      <c r="U822" s="36">
        <f>IF(ISBLANK(T823),"",Long4[[#This Row],[Adj Close]]/T823-1)</f>
        <v>-1.6520347990682804E-3</v>
      </c>
      <c r="Y822" s="37">
        <v>39342</v>
      </c>
      <c r="Z822" s="35">
        <v>15.660360000000001</v>
      </c>
      <c r="AA822" s="36">
        <f>IF(ISBLANK(Z823),"",Long6[[#This Row],[Adj Close]]/Z823-1)</f>
        <v>5.7236852809211536E-2</v>
      </c>
      <c r="AH822" s="29">
        <v>39342</v>
      </c>
      <c r="AI822" s="44">
        <v>86.466148000000004</v>
      </c>
      <c r="AJ822" s="33">
        <f>IF(ISBLANK(AI823),"",Short0[[#This Row],[Adj Close]]/AI823-1)</f>
        <v>7.4239879618151594E-2</v>
      </c>
      <c r="AK822" s="37">
        <v>39342</v>
      </c>
      <c r="AL822" s="39">
        <v>30.459536</v>
      </c>
      <c r="AM822" s="36">
        <f>IF(ISBLANK(AL823),"",Short1[[#This Row],[Adj Close]]/AL823-1)</f>
        <v>6.0798063146864756E-2</v>
      </c>
      <c r="AN822" s="29">
        <v>39342</v>
      </c>
      <c r="AO822" s="44">
        <v>21.374825000000001</v>
      </c>
      <c r="AP822" s="33">
        <f>IF(ISBLANK(AO823),"",Short2[[#This Row],[Adj Close]]/AO823-1)</f>
        <v>-1.5169009439434555E-2</v>
      </c>
    </row>
    <row r="823" spans="1:42" x14ac:dyDescent="0.25">
      <c r="A823" s="37">
        <v>39335</v>
      </c>
      <c r="B823" s="39">
        <v>1484.25</v>
      </c>
      <c r="C823" s="36">
        <f>IF(ISBLANK(B824), "", GSPC[[#This Row],[Adj Close]]/B824-1)</f>
        <v>2.1120670059569413E-2</v>
      </c>
      <c r="D82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2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23" s="11" t="e">
        <f>IF(ISBLANK(GSPC[[#This Row],[Long Exp.]]), "", (GSPC[[#This Row],[Long Exp.]]/D824-1)+(E824/GSPC[[#This Row],[Short Exp.]]-1))</f>
        <v>#VALUE!</v>
      </c>
      <c r="G823" s="37">
        <v>39335</v>
      </c>
      <c r="H823">
        <v>14.000776</v>
      </c>
      <c r="I823" s="36">
        <f>IF(ISBLANK(H824), "", Long0[[#This Row],[Adj Close]]/H824-1)</f>
        <v>1.3925715083981327E-2</v>
      </c>
      <c r="J823" s="29">
        <v>39335</v>
      </c>
      <c r="K823">
        <v>1.7292700000000001</v>
      </c>
      <c r="L823" s="33">
        <f>IF(ISBLANK(K824),"",Long1[[#This Row],[Adj Close]]/K824-1)</f>
        <v>1.6260568723220237E-2</v>
      </c>
      <c r="M823" s="37">
        <v>39335</v>
      </c>
      <c r="N823">
        <v>35.488083000000003</v>
      </c>
      <c r="O823" s="36">
        <f>IF(ISBLANK(N824),"",Long2[[#This Row],[Adj Close]]/N824-1)</f>
        <v>4.3103089224521662E-2</v>
      </c>
      <c r="P823" s="29">
        <v>39335</v>
      </c>
      <c r="Q823">
        <v>21.964001</v>
      </c>
      <c r="R823" s="33">
        <f>IF(ISBLANK(Q824),"",Long3[[#This Row],[Adj Close]]/Q824-1)</f>
        <v>2.3688287583128576E-2</v>
      </c>
      <c r="S823" s="37">
        <v>39335</v>
      </c>
      <c r="T823" s="35">
        <v>20.641817</v>
      </c>
      <c r="U823" s="36">
        <f>IF(ISBLANK(T824),"",Long4[[#This Row],[Adj Close]]/T824-1)</f>
        <v>-6.4889844977004563E-2</v>
      </c>
      <c r="Y823" s="37">
        <v>39335</v>
      </c>
      <c r="Z823" s="35">
        <v>14.812537000000001</v>
      </c>
      <c r="AA823" s="36">
        <f>IF(ISBLANK(Z824),"",Long6[[#This Row],[Adj Close]]/Z824-1)</f>
        <v>2.7026770300255798E-2</v>
      </c>
      <c r="AH823" s="29">
        <v>39335</v>
      </c>
      <c r="AI823" s="44">
        <v>80.490539999999996</v>
      </c>
      <c r="AJ823" s="33">
        <f>IF(ISBLANK(AI824),"",Short0[[#This Row],[Adj Close]]/AI824-1)</f>
        <v>0.20581453079006273</v>
      </c>
      <c r="AK823" s="37">
        <v>39335</v>
      </c>
      <c r="AL823" s="39">
        <v>28.713792999999999</v>
      </c>
      <c r="AM823" s="36">
        <f>IF(ISBLANK(AL824),"",Short1[[#This Row],[Adj Close]]/AL824-1)</f>
        <v>2.8704921958981444E-2</v>
      </c>
      <c r="AN823" s="29">
        <v>39335</v>
      </c>
      <c r="AO823" s="44">
        <v>21.704053999999999</v>
      </c>
      <c r="AP823" s="33">
        <f>IF(ISBLANK(AO824),"",Short2[[#This Row],[Adj Close]]/AO824-1)</f>
        <v>-3.054282766512284E-2</v>
      </c>
    </row>
    <row r="824" spans="1:42" x14ac:dyDescent="0.25">
      <c r="A824" s="37">
        <v>39328</v>
      </c>
      <c r="B824" s="39">
        <v>1453.5500489999999</v>
      </c>
      <c r="C824" s="36">
        <f>IF(ISBLANK(B825), "", GSPC[[#This Row],[Adj Close]]/B825-1)</f>
        <v>-1.3867082638736261E-2</v>
      </c>
      <c r="D82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2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24" s="11" t="e">
        <f>IF(ISBLANK(GSPC[[#This Row],[Long Exp.]]), "", (GSPC[[#This Row],[Long Exp.]]/D825-1)+(E825/GSPC[[#This Row],[Short Exp.]]-1))</f>
        <v>#VALUE!</v>
      </c>
      <c r="G824" s="37">
        <v>39328</v>
      </c>
      <c r="H824">
        <v>13.808483000000001</v>
      </c>
      <c r="I824" s="36">
        <f>IF(ISBLANK(H825), "", Long0[[#This Row],[Adj Close]]/H825-1)</f>
        <v>-1.3244572350672446E-3</v>
      </c>
      <c r="J824" s="29">
        <v>39328</v>
      </c>
      <c r="K824">
        <v>1.7016009999999999</v>
      </c>
      <c r="L824" s="33">
        <f>IF(ISBLANK(K825),"",Long1[[#This Row],[Adj Close]]/K825-1)</f>
        <v>-1.6000393229513077E-2</v>
      </c>
      <c r="M824" s="37">
        <v>39328</v>
      </c>
      <c r="N824">
        <v>34.021644999999999</v>
      </c>
      <c r="O824" s="36">
        <f>IF(ISBLANK(N825),"",Long2[[#This Row],[Adj Close]]/N825-1)</f>
        <v>2.1418886989457819E-2</v>
      </c>
      <c r="P824" s="29">
        <v>39328</v>
      </c>
      <c r="Q824">
        <v>21.455750999999999</v>
      </c>
      <c r="R824" s="33">
        <f>IF(ISBLANK(Q825),"",Long3[[#This Row],[Adj Close]]/Q825-1)</f>
        <v>-5.180023193261829E-3</v>
      </c>
      <c r="S824" s="37">
        <v>39328</v>
      </c>
      <c r="T824" s="35">
        <v>22.074209</v>
      </c>
      <c r="U824" s="36">
        <f>IF(ISBLANK(T825),"",Long4[[#This Row],[Adj Close]]/T825-1)</f>
        <v>-0.11487196299482894</v>
      </c>
      <c r="Y824" s="37">
        <v>39328</v>
      </c>
      <c r="Z824" s="35">
        <v>14.422737</v>
      </c>
      <c r="AA824" s="36">
        <f>IF(ISBLANK(Z825),"",Long6[[#This Row],[Adj Close]]/Z825-1)</f>
        <v>2.7100012882588231E-3</v>
      </c>
      <c r="AH824" s="29">
        <v>39328</v>
      </c>
      <c r="AI824" s="44">
        <v>66.752007000000006</v>
      </c>
      <c r="AJ824" s="33">
        <f>IF(ISBLANK(AI825),"",Short0[[#This Row],[Adj Close]]/AI825-1)</f>
        <v>3.9116636635196933E-3</v>
      </c>
      <c r="AK824" s="37">
        <v>39328</v>
      </c>
      <c r="AL824" s="39">
        <v>27.912565000000001</v>
      </c>
      <c r="AM824" s="36">
        <f>IF(ISBLANK(AL825),"",Short1[[#This Row],[Adj Close]]/AL825-1)</f>
        <v>-2.5028171511789488E-2</v>
      </c>
      <c r="AN824" s="29">
        <v>39328</v>
      </c>
      <c r="AO824" s="44">
        <v>22.387841999999999</v>
      </c>
      <c r="AP824" s="33">
        <f>IF(ISBLANK(AO825),"",Short2[[#This Row],[Adj Close]]/AO825-1)</f>
        <v>-6.1902863940092812E-2</v>
      </c>
    </row>
    <row r="825" spans="1:42" x14ac:dyDescent="0.25">
      <c r="A825" s="37">
        <v>39321</v>
      </c>
      <c r="B825" s="39">
        <v>1473.98999</v>
      </c>
      <c r="C825" s="36">
        <f>IF(ISBLANK(B826), "", GSPC[[#This Row],[Adj Close]]/B826-1)</f>
        <v>-3.6366865748145294E-3</v>
      </c>
      <c r="D82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2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25" s="11" t="e">
        <f>IF(ISBLANK(GSPC[[#This Row],[Long Exp.]]), "", (GSPC[[#This Row],[Long Exp.]]/D826-1)+(E826/GSPC[[#This Row],[Short Exp.]]-1))</f>
        <v>#VALUE!</v>
      </c>
      <c r="G825" s="37">
        <v>39321</v>
      </c>
      <c r="H825">
        <v>13.826796</v>
      </c>
      <c r="I825" s="36">
        <f>IF(ISBLANK(H826), "", Long0[[#This Row],[Adj Close]]/H826-1)</f>
        <v>-8.5357390601379368E-3</v>
      </c>
      <c r="J825" s="29">
        <v>39321</v>
      </c>
      <c r="K825">
        <v>1.7292700000000001</v>
      </c>
      <c r="L825" s="33">
        <f>IF(ISBLANK(K826),"",Long1[[#This Row],[Adj Close]]/K826-1)</f>
        <v>-7.9364168747245722E-3</v>
      </c>
      <c r="M825" s="37">
        <v>39321</v>
      </c>
      <c r="N825">
        <v>33.308219999999999</v>
      </c>
      <c r="O825" s="36">
        <f>IF(ISBLANK(N826),"",Long2[[#This Row],[Adj Close]]/N826-1)</f>
        <v>2.4128319835855283E-2</v>
      </c>
      <c r="P825" s="29">
        <v>39321</v>
      </c>
      <c r="Q825">
        <v>21.567471000000001</v>
      </c>
      <c r="R825" s="33">
        <f>IF(ISBLANK(Q826),"",Long3[[#This Row],[Adj Close]]/Q826-1)</f>
        <v>-2.3076754087467233E-2</v>
      </c>
      <c r="S825" s="37">
        <v>39321</v>
      </c>
      <c r="T825" s="35">
        <v>24.939001000000001</v>
      </c>
      <c r="U825" s="36">
        <f>IF(ISBLANK(T826),"",Long4[[#This Row],[Adj Close]]/T826-1)</f>
        <v>-9.8335186749349268E-2</v>
      </c>
      <c r="Y825" s="37">
        <v>39321</v>
      </c>
      <c r="Z825" s="35">
        <v>14.383756999999999</v>
      </c>
      <c r="AA825" s="36">
        <f>IF(ISBLANK(Z826),"",Long6[[#This Row],[Adj Close]]/Z826-1)</f>
        <v>-3.2130916463829484E-2</v>
      </c>
      <c r="AH825" s="29">
        <v>39321</v>
      </c>
      <c r="AI825" s="44">
        <v>66.491912999999997</v>
      </c>
      <c r="AJ825" s="33">
        <f>IF(ISBLANK(AI826),"",Short0[[#This Row],[Adj Close]]/AI826-1)</f>
        <v>-2.0339647857522958E-2</v>
      </c>
      <c r="AK825" s="37">
        <v>39321</v>
      </c>
      <c r="AL825" s="39">
        <v>28.629099</v>
      </c>
      <c r="AM825" s="36">
        <f>IF(ISBLANK(AL826),"",Short1[[#This Row],[Adj Close]]/AL826-1)</f>
        <v>-2.0434526674321107E-3</v>
      </c>
      <c r="AN825" s="29">
        <v>39321</v>
      </c>
      <c r="AO825" s="44">
        <v>23.865164</v>
      </c>
      <c r="AP825" s="33">
        <f>IF(ISBLANK(AO826),"",Short2[[#This Row],[Adj Close]]/AO826-1)</f>
        <v>-5.4515100120081539E-2</v>
      </c>
    </row>
    <row r="826" spans="1:42" x14ac:dyDescent="0.25">
      <c r="A826" s="37">
        <v>39314</v>
      </c>
      <c r="B826" s="39">
        <v>1479.369995</v>
      </c>
      <c r="C826" s="36">
        <f>IF(ISBLANK(B827), "", GSPC[[#This Row],[Adj Close]]/B827-1)</f>
        <v>2.3119946445963713E-2</v>
      </c>
      <c r="D82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2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26" s="11" t="e">
        <f>IF(ISBLANK(GSPC[[#This Row],[Long Exp.]]), "", (GSPC[[#This Row],[Long Exp.]]/D827-1)+(E827/GSPC[[#This Row],[Short Exp.]]-1))</f>
        <v>#VALUE!</v>
      </c>
      <c r="G826" s="37">
        <v>39314</v>
      </c>
      <c r="H826">
        <v>13.945834</v>
      </c>
      <c r="I826" s="36">
        <f>IF(ISBLANK(H827), "", Long0[[#This Row],[Adj Close]]/H827-1)</f>
        <v>1.5333272953313992E-2</v>
      </c>
      <c r="J826" s="29">
        <v>39314</v>
      </c>
      <c r="K826">
        <v>1.743104</v>
      </c>
      <c r="L826" s="33">
        <f>IF(ISBLANK(K827),"",Long1[[#This Row],[Adj Close]]/K827-1)</f>
        <v>7.9999074754086852E-3</v>
      </c>
      <c r="M826" s="37">
        <v>39314</v>
      </c>
      <c r="N826">
        <v>32.523482999999999</v>
      </c>
      <c r="O826" s="36">
        <f>IF(ISBLANK(N827),"",Long2[[#This Row],[Adj Close]]/N827-1)</f>
        <v>0.14067290600301119</v>
      </c>
      <c r="P826" s="29">
        <v>39314</v>
      </c>
      <c r="Q826">
        <v>22.076934999999999</v>
      </c>
      <c r="R826" s="33">
        <f>IF(ISBLANK(Q827),"",Long3[[#This Row],[Adj Close]]/Q827-1)</f>
        <v>3.3472685826795745E-2</v>
      </c>
      <c r="S826" s="37">
        <v>39314</v>
      </c>
      <c r="T826" s="35">
        <v>27.658837999999999</v>
      </c>
      <c r="U826" s="36">
        <f>IF(ISBLANK(T827),"",Long4[[#This Row],[Adj Close]]/T827-1)</f>
        <v>3.2792078010070336E-2</v>
      </c>
      <c r="Y826" s="37">
        <v>39314</v>
      </c>
      <c r="Z826" s="35">
        <v>14.861262999999999</v>
      </c>
      <c r="AA826" s="36">
        <f>IF(ISBLANK(Z827),"",Long6[[#This Row],[Adj Close]]/Z827-1)</f>
        <v>-6.1538517886054578E-2</v>
      </c>
      <c r="AH826" s="29">
        <v>39314</v>
      </c>
      <c r="AI826" s="44">
        <v>67.872414000000006</v>
      </c>
      <c r="AJ826" s="33">
        <f>IF(ISBLANK(AI827),"",Short0[[#This Row],[Adj Close]]/AI827-1)</f>
        <v>7.9215118116426231E-2</v>
      </c>
      <c r="AK826" s="37">
        <v>39314</v>
      </c>
      <c r="AL826" s="39">
        <v>28.687721</v>
      </c>
      <c r="AM826" s="36">
        <f>IF(ISBLANK(AL827),"",Short1[[#This Row],[Adj Close]]/AL827-1)</f>
        <v>8.472616316906656E-3</v>
      </c>
      <c r="AN826" s="29">
        <v>39314</v>
      </c>
      <c r="AO826" s="44">
        <v>25.24119</v>
      </c>
      <c r="AP826" s="33">
        <f>IF(ISBLANK(AO827),"",Short2[[#This Row],[Adj Close]]/AO827-1)</f>
        <v>-1.7417057598678953E-2</v>
      </c>
    </row>
    <row r="827" spans="1:42" x14ac:dyDescent="0.25">
      <c r="A827" s="37">
        <v>39307</v>
      </c>
      <c r="B827" s="39">
        <v>1445.9399410000001</v>
      </c>
      <c r="C827" s="36">
        <f>IF(ISBLANK(B828), "", GSPC[[#This Row],[Adj Close]]/B828-1)</f>
        <v>-5.2970982640428987E-3</v>
      </c>
      <c r="D82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2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27" s="11" t="e">
        <f>IF(ISBLANK(GSPC[[#This Row],[Long Exp.]]), "", (GSPC[[#This Row],[Long Exp.]]/D828-1)+(E828/GSPC[[#This Row],[Short Exp.]]-1))</f>
        <v>#VALUE!</v>
      </c>
      <c r="G827" s="37">
        <v>39307</v>
      </c>
      <c r="H827">
        <v>13.735227999999999</v>
      </c>
      <c r="I827" s="36">
        <f>IF(ISBLANK(H828), "", Long0[[#This Row],[Adj Close]]/H828-1)</f>
        <v>2.3192448987421344E-2</v>
      </c>
      <c r="J827" s="29">
        <v>39307</v>
      </c>
      <c r="K827">
        <v>1.7292700000000001</v>
      </c>
      <c r="L827" s="33">
        <f>IF(ISBLANK(K828),"",Long1[[#This Row],[Adj Close]]/K828-1)</f>
        <v>-8.7591279388797405E-2</v>
      </c>
      <c r="M827" s="37">
        <v>39307</v>
      </c>
      <c r="N827">
        <v>28.512540999999999</v>
      </c>
      <c r="O827" s="36">
        <f>IF(ISBLANK(N828),"",Long2[[#This Row],[Adj Close]]/N828-1)</f>
        <v>-8.7981618981675003E-2</v>
      </c>
      <c r="P827" s="29">
        <v>39307</v>
      </c>
      <c r="Q827">
        <v>21.361895000000001</v>
      </c>
      <c r="R827" s="33">
        <f>IF(ISBLANK(Q828),"",Long3[[#This Row],[Adj Close]]/Q828-1)</f>
        <v>-4.7998670525079223E-2</v>
      </c>
      <c r="S827" s="37">
        <v>39307</v>
      </c>
      <c r="T827" s="35">
        <v>26.780645</v>
      </c>
      <c r="U827" s="36">
        <f>IF(ISBLANK(T828),"",Long4[[#This Row],[Adj Close]]/T828-1)</f>
        <v>-6.0705743032256509E-2</v>
      </c>
      <c r="Y827" s="37">
        <v>39307</v>
      </c>
      <c r="Z827" s="35">
        <v>15.835773</v>
      </c>
      <c r="AA827" s="36">
        <f>IF(ISBLANK(Z828),"",Long6[[#This Row],[Adj Close]]/Z828-1)</f>
        <v>-3.5035548688504559E-2</v>
      </c>
      <c r="AH827" s="29">
        <v>39307</v>
      </c>
      <c r="AI827" s="44">
        <v>62.890532999999998</v>
      </c>
      <c r="AJ827" s="33">
        <f>IF(ISBLANK(AI828),"",Short0[[#This Row],[Adj Close]]/AI828-1)</f>
        <v>-6.141142407678235E-2</v>
      </c>
      <c r="AK827" s="37">
        <v>39307</v>
      </c>
      <c r="AL827" s="39">
        <v>28.446702999999999</v>
      </c>
      <c r="AM827" s="36">
        <f>IF(ISBLANK(AL828),"",Short1[[#This Row],[Adj Close]]/AL828-1)</f>
        <v>-3.1492500721187588E-2</v>
      </c>
      <c r="AN827" s="29">
        <v>39307</v>
      </c>
      <c r="AO827" s="44">
        <v>25.688610000000001</v>
      </c>
      <c r="AP827" s="33">
        <f>IF(ISBLANK(AO828),"",Short2[[#This Row],[Adj Close]]/AO828-1)</f>
        <v>-0.14160782179602738</v>
      </c>
    </row>
    <row r="828" spans="1:42" x14ac:dyDescent="0.25">
      <c r="A828" s="37">
        <v>39300</v>
      </c>
      <c r="B828" s="39">
        <v>1453.6400149999999</v>
      </c>
      <c r="C828" s="36">
        <f>IF(ISBLANK(B829), "", GSPC[[#This Row],[Adj Close]]/B829-1)</f>
        <v>1.4360846826169338E-2</v>
      </c>
      <c r="D82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2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28" s="11" t="e">
        <f>IF(ISBLANK(GSPC[[#This Row],[Long Exp.]]), "", (GSPC[[#This Row],[Long Exp.]]/D829-1)+(E829/GSPC[[#This Row],[Short Exp.]]-1))</f>
        <v>#VALUE!</v>
      </c>
      <c r="G828" s="37">
        <v>39300</v>
      </c>
      <c r="H828">
        <v>13.423895</v>
      </c>
      <c r="I828" s="36">
        <f>IF(ISBLANK(H829), "", Long0[[#This Row],[Adj Close]]/H829-1)</f>
        <v>-6.8615036933754592E-2</v>
      </c>
      <c r="J828" s="29">
        <v>39300</v>
      </c>
      <c r="K828">
        <v>1.8952800000000001</v>
      </c>
      <c r="L828" s="33">
        <f>IF(ISBLANK(K829),"",Long1[[#This Row],[Adj Close]]/K829-1)</f>
        <v>3.7878899890422701E-2</v>
      </c>
      <c r="M828" s="37">
        <v>39300</v>
      </c>
      <c r="N828">
        <v>31.263121000000002</v>
      </c>
      <c r="O828" s="36">
        <f>IF(ISBLANK(N829),"",Long2[[#This Row],[Adj Close]]/N829-1)</f>
        <v>-1.0136175156275629E-3</v>
      </c>
      <c r="P828" s="29">
        <v>39300</v>
      </c>
      <c r="Q828">
        <v>22.438934</v>
      </c>
      <c r="R828" s="33">
        <f>IF(ISBLANK(Q829),"",Long3[[#This Row],[Adj Close]]/Q829-1)</f>
        <v>4.9320745313127023E-2</v>
      </c>
      <c r="S828" s="37">
        <v>39300</v>
      </c>
      <c r="T828" s="35">
        <v>28.511454000000001</v>
      </c>
      <c r="U828" s="36">
        <f>IF(ISBLANK(T829),"",Long4[[#This Row],[Adj Close]]/T829-1)</f>
        <v>0.13049344811149011</v>
      </c>
      <c r="Y828" s="37">
        <v>39300</v>
      </c>
      <c r="Z828" s="35">
        <v>16.410731999999999</v>
      </c>
      <c r="AA828" s="36">
        <f>IF(ISBLANK(Z829),"",Long6[[#This Row],[Adj Close]]/Z829-1)</f>
        <v>0.13706944336662863</v>
      </c>
      <c r="AH828" s="29">
        <v>39300</v>
      </c>
      <c r="AI828" s="44">
        <v>67.005431999999999</v>
      </c>
      <c r="AJ828" s="33">
        <f>IF(ISBLANK(AI829),"",Short0[[#This Row],[Adj Close]]/AI829-1)</f>
        <v>7.1565839536077203E-2</v>
      </c>
      <c r="AK828" s="37">
        <v>39300</v>
      </c>
      <c r="AL828" s="39">
        <v>29.371690999999998</v>
      </c>
      <c r="AM828" s="36">
        <f>IF(ISBLANK(AL829),"",Short1[[#This Row],[Adj Close]]/AL829-1)</f>
        <v>3.370006045934959E-2</v>
      </c>
      <c r="AN828" s="29">
        <v>39300</v>
      </c>
      <c r="AO828" s="44">
        <v>29.926425999999999</v>
      </c>
      <c r="AP828" s="33">
        <f>IF(ISBLANK(AO829),"",Short2[[#This Row],[Adj Close]]/AO829-1)</f>
        <v>0.13490324657119102</v>
      </c>
    </row>
    <row r="829" spans="1:42" x14ac:dyDescent="0.25">
      <c r="A829" s="37">
        <v>39293</v>
      </c>
      <c r="B829" s="39">
        <v>1433.0600589999999</v>
      </c>
      <c r="C829" s="36">
        <f>IF(ISBLANK(B830), "", GSPC[[#This Row],[Adj Close]]/B830-1)</f>
        <v>-1.7745565557101273E-2</v>
      </c>
      <c r="D82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2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29" s="11" t="e">
        <f>IF(ISBLANK(GSPC[[#This Row],[Long Exp.]]), "", (GSPC[[#This Row],[Long Exp.]]/D830-1)+(E830/GSPC[[#This Row],[Short Exp.]]-1))</f>
        <v>#VALUE!</v>
      </c>
      <c r="G829" s="37">
        <v>39293</v>
      </c>
      <c r="H829">
        <v>14.412832</v>
      </c>
      <c r="I829" s="36">
        <f>IF(ISBLANK(H830), "", Long0[[#This Row],[Adj Close]]/H830-1)</f>
        <v>-3.7975434230587135E-3</v>
      </c>
      <c r="J829" s="29">
        <v>39293</v>
      </c>
      <c r="K829">
        <v>1.826109</v>
      </c>
      <c r="L829" s="33">
        <f>IF(ISBLANK(K830),"",Long1[[#This Row],[Adj Close]]/K830-1)</f>
        <v>0</v>
      </c>
      <c r="M829" s="37">
        <v>39293</v>
      </c>
      <c r="N829">
        <v>31.294841999999999</v>
      </c>
      <c r="O829" s="36">
        <f>IF(ISBLANK(N830),"",Long2[[#This Row],[Adj Close]]/N830-1)</f>
        <v>0.14071138759028057</v>
      </c>
      <c r="P829" s="29">
        <v>39293</v>
      </c>
      <c r="Q829">
        <v>21.384246999999998</v>
      </c>
      <c r="R829" s="33">
        <f>IF(ISBLANK(Q830),"",Long3[[#This Row],[Adj Close]]/Q830-1)</f>
        <v>4.3848144889369278E-2</v>
      </c>
      <c r="S829" s="37">
        <v>39293</v>
      </c>
      <c r="T829" s="35">
        <v>25.220362000000002</v>
      </c>
      <c r="U829" s="36">
        <f>IF(ISBLANK(T830),"",Long4[[#This Row],[Adj Close]]/T830-1)</f>
        <v>1.9296888428725456E-2</v>
      </c>
      <c r="Y829" s="37">
        <v>39293</v>
      </c>
      <c r="Z829" s="35">
        <v>14.43248</v>
      </c>
      <c r="AA829" s="36">
        <f>IF(ISBLANK(Z830),"",Long6[[#This Row],[Adj Close]]/Z830-1)</f>
        <v>7.3188389308745938E-2</v>
      </c>
      <c r="AH829" s="29">
        <v>39293</v>
      </c>
      <c r="AI829" s="44">
        <v>62.530391999999999</v>
      </c>
      <c r="AJ829" s="33">
        <f>IF(ISBLANK(AI830),"",Short0[[#This Row],[Adj Close]]/AI830-1)</f>
        <v>0.11872079399802615</v>
      </c>
      <c r="AK829" s="37">
        <v>39293</v>
      </c>
      <c r="AL829" s="39">
        <v>28.414133</v>
      </c>
      <c r="AM829" s="36">
        <f>IF(ISBLANK(AL830),"",Short1[[#This Row],[Adj Close]]/AL830-1)</f>
        <v>-1.3345195544177457E-2</v>
      </c>
      <c r="AN829" s="29">
        <v>39293</v>
      </c>
      <c r="AO829" s="44">
        <v>26.369143000000001</v>
      </c>
      <c r="AP829" s="33">
        <f>IF(ISBLANK(AO830),"",Short2[[#This Row],[Adj Close]]/AO830-1)</f>
        <v>1.0621219197567644E-2</v>
      </c>
    </row>
    <row r="830" spans="1:42" x14ac:dyDescent="0.25">
      <c r="A830" s="37">
        <v>39286</v>
      </c>
      <c r="B830" s="39">
        <v>1458.9499510000001</v>
      </c>
      <c r="C830" s="36">
        <f>IF(ISBLANK(B831), "", GSPC[[#This Row],[Adj Close]]/B831-1)</f>
        <v>-4.8986393439588882E-2</v>
      </c>
      <c r="D83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3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30" s="11" t="e">
        <f>IF(ISBLANK(GSPC[[#This Row],[Long Exp.]]), "", (GSPC[[#This Row],[Long Exp.]]/D831-1)+(E831/GSPC[[#This Row],[Short Exp.]]-1))</f>
        <v>#VALUE!</v>
      </c>
      <c r="G830" s="37">
        <v>39286</v>
      </c>
      <c r="H830">
        <v>14.467774</v>
      </c>
      <c r="I830" s="36">
        <f>IF(ISBLANK(H831), "", Long0[[#This Row],[Adj Close]]/H831-1)</f>
        <v>-9.4036679438519455E-2</v>
      </c>
      <c r="J830" s="29">
        <v>39286</v>
      </c>
      <c r="K830">
        <v>1.826109</v>
      </c>
      <c r="L830" s="33">
        <f>IF(ISBLANK(K831),"",Long1[[#This Row],[Adj Close]]/K831-1)</f>
        <v>-4.3478283643616833E-2</v>
      </c>
      <c r="M830" s="37">
        <v>39286</v>
      </c>
      <c r="N830">
        <v>27.434495999999999</v>
      </c>
      <c r="O830" s="36">
        <f>IF(ISBLANK(N831),"",Long2[[#This Row],[Adj Close]]/N831-1)</f>
        <v>-0.10776001565505855</v>
      </c>
      <c r="P830" s="29">
        <v>39286</v>
      </c>
      <c r="Q830">
        <v>20.485975</v>
      </c>
      <c r="R830" s="33">
        <f>IF(ISBLANK(Q831),"",Long3[[#This Row],[Adj Close]]/Q831-1)</f>
        <v>-5.6790177456355395E-2</v>
      </c>
      <c r="S830" s="37">
        <v>39286</v>
      </c>
      <c r="T830" s="35">
        <v>24.742901</v>
      </c>
      <c r="U830" s="36">
        <f>IF(ISBLANK(T831),"",Long4[[#This Row],[Adj Close]]/T831-1)</f>
        <v>-5.9623913430477349E-2</v>
      </c>
      <c r="Y830" s="37">
        <v>39286</v>
      </c>
      <c r="Z830" s="35">
        <v>13.448226</v>
      </c>
      <c r="AA830" s="36">
        <f>IF(ISBLANK(Z831),"",Long6[[#This Row],[Adj Close]]/Z831-1)</f>
        <v>-0.13479614748852875</v>
      </c>
      <c r="AH830" s="29">
        <v>39286</v>
      </c>
      <c r="AI830" s="44">
        <v>55.894547000000003</v>
      </c>
      <c r="AJ830" s="33">
        <f>IF(ISBLANK(AI831),"",Short0[[#This Row],[Adj Close]]/AI831-1)</f>
        <v>5.9705131621345942E-4</v>
      </c>
      <c r="AK830" s="37">
        <v>39286</v>
      </c>
      <c r="AL830" s="39">
        <v>28.798454</v>
      </c>
      <c r="AM830" s="36">
        <f>IF(ISBLANK(AL831),"",Short1[[#This Row],[Adj Close]]/AL831-1)</f>
        <v>-4.6787820260076773E-2</v>
      </c>
      <c r="AN830" s="29">
        <v>39286</v>
      </c>
      <c r="AO830" s="44">
        <v>26.092013999999999</v>
      </c>
      <c r="AP830" s="33">
        <f>IF(ISBLANK(AO831),"",Short2[[#This Row],[Adj Close]]/AO831-1)</f>
        <v>-6.4438234221699364E-2</v>
      </c>
    </row>
    <row r="831" spans="1:42" x14ac:dyDescent="0.25">
      <c r="A831" s="37">
        <v>39279</v>
      </c>
      <c r="B831" s="39">
        <v>1534.099976</v>
      </c>
      <c r="C831" s="36">
        <f>IF(ISBLANK(B832), "", GSPC[[#This Row],[Adj Close]]/B832-1)</f>
        <v>-1.1851867310789022E-2</v>
      </c>
      <c r="D83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3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31" s="11" t="e">
        <f>IF(ISBLANK(GSPC[[#This Row],[Long Exp.]]), "", (GSPC[[#This Row],[Long Exp.]]/D832-1)+(E832/GSPC[[#This Row],[Short Exp.]]-1))</f>
        <v>#VALUE!</v>
      </c>
      <c r="G831" s="37">
        <v>39279</v>
      </c>
      <c r="H831">
        <v>15.969492000000001</v>
      </c>
      <c r="I831" s="36">
        <f>IF(ISBLANK(H832), "", Long0[[#This Row],[Adj Close]]/H832-1)</f>
        <v>-2.569816560034055E-2</v>
      </c>
      <c r="J831" s="29">
        <v>39279</v>
      </c>
      <c r="K831">
        <v>1.909114</v>
      </c>
      <c r="L831" s="33">
        <f>IF(ISBLANK(K832),"",Long1[[#This Row],[Adj Close]]/K832-1)</f>
        <v>1.4706249717637121E-2</v>
      </c>
      <c r="M831" s="37">
        <v>39279</v>
      </c>
      <c r="N831">
        <v>30.747889000000001</v>
      </c>
      <c r="O831" s="36">
        <f>IF(ISBLANK(N832),"",Long2[[#This Row],[Adj Close]]/N832-1)</f>
        <v>-4.9031409880972876E-2</v>
      </c>
      <c r="P831" s="29">
        <v>39279</v>
      </c>
      <c r="Q831">
        <v>21.719425000000001</v>
      </c>
      <c r="R831" s="33">
        <f>IF(ISBLANK(Q832),"",Long3[[#This Row],[Adj Close]]/Q832-1)</f>
        <v>-2.3115401641083499E-2</v>
      </c>
      <c r="S831" s="37">
        <v>39279</v>
      </c>
      <c r="T831" s="35">
        <v>26.311707999999999</v>
      </c>
      <c r="U831" s="36">
        <f>IF(ISBLANK(T832),"",Long4[[#This Row],[Adj Close]]/T832-1)</f>
        <v>-6.2006239481676495E-2</v>
      </c>
      <c r="Y831" s="37">
        <v>39279</v>
      </c>
      <c r="Z831" s="35">
        <v>15.543419</v>
      </c>
      <c r="AA831" s="36">
        <f>IF(ISBLANK(Z832),"",Long6[[#This Row],[Adj Close]]/Z832-1)</f>
        <v>3.8411296926250449E-2</v>
      </c>
      <c r="AH831" s="29">
        <v>39279</v>
      </c>
      <c r="AI831" s="44">
        <v>55.861195000000002</v>
      </c>
      <c r="AJ831" s="33">
        <f>IF(ISBLANK(AI832),"",Short0[[#This Row],[Adj Close]]/AI832-1)</f>
        <v>3.1399859392150731E-2</v>
      </c>
      <c r="AK831" s="37">
        <v>39279</v>
      </c>
      <c r="AL831" s="39">
        <v>30.212008000000001</v>
      </c>
      <c r="AM831" s="36">
        <f>IF(ISBLANK(AL832),"",Short1[[#This Row],[Adj Close]]/AL832-1)</f>
        <v>-2.0485217620847651E-2</v>
      </c>
      <c r="AN831" s="29">
        <v>39279</v>
      </c>
      <c r="AO831" s="44">
        <v>27.889140999999999</v>
      </c>
      <c r="AP831" s="33">
        <f>IF(ISBLANK(AO832),"",Short2[[#This Row],[Adj Close]]/AO832-1)</f>
        <v>-8.7637460122984012E-2</v>
      </c>
    </row>
    <row r="832" spans="1:42" x14ac:dyDescent="0.25">
      <c r="A832" s="37">
        <v>39272</v>
      </c>
      <c r="B832" s="39">
        <v>1552.5</v>
      </c>
      <c r="C832" s="36">
        <f>IF(ISBLANK(B833), "", GSPC[[#This Row],[Adj Close]]/B833-1)</f>
        <v>1.4414194512974987E-2</v>
      </c>
      <c r="D83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3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32" s="11" t="e">
        <f>IF(ISBLANK(GSPC[[#This Row],[Long Exp.]]), "", (GSPC[[#This Row],[Long Exp.]]/D833-1)+(E833/GSPC[[#This Row],[Short Exp.]]-1))</f>
        <v>#VALUE!</v>
      </c>
      <c r="G832" s="37">
        <v>39272</v>
      </c>
      <c r="H832">
        <v>16.390702999999998</v>
      </c>
      <c r="I832" s="36">
        <f>IF(ISBLANK(H833), "", Long0[[#This Row],[Adj Close]]/H833-1)</f>
        <v>-8.3103537215537537E-3</v>
      </c>
      <c r="J832" s="29">
        <v>39272</v>
      </c>
      <c r="K832">
        <v>1.881445</v>
      </c>
      <c r="L832" s="33">
        <f>IF(ISBLANK(K833),"",Long1[[#This Row],[Adj Close]]/K833-1)</f>
        <v>-2.158300692478432E-2</v>
      </c>
      <c r="M832" s="37">
        <v>39272</v>
      </c>
      <c r="N832">
        <v>32.333233</v>
      </c>
      <c r="O832" s="36">
        <f>IF(ISBLANK(N833),"",Long2[[#This Row],[Adj Close]]/N833-1)</f>
        <v>4.3222554584638528E-2</v>
      </c>
      <c r="P832" s="29">
        <v>39272</v>
      </c>
      <c r="Q832">
        <v>22.233357999999999</v>
      </c>
      <c r="R832" s="33">
        <f>IF(ISBLANK(Q833),"",Long3[[#This Row],[Adj Close]]/Q833-1)</f>
        <v>4.9799687581848273E-2</v>
      </c>
      <c r="S832" s="37">
        <v>39272</v>
      </c>
      <c r="T832" s="35">
        <v>28.051048000000002</v>
      </c>
      <c r="U832" s="36">
        <f>IF(ISBLANK(T833),"",Long4[[#This Row],[Adj Close]]/T833-1)</f>
        <v>-9.0360174218030442E-3</v>
      </c>
      <c r="Y832" s="37">
        <v>39272</v>
      </c>
      <c r="Z832" s="35">
        <v>14.968461</v>
      </c>
      <c r="AA832" s="36">
        <f>IF(ISBLANK(Z833),"",Long6[[#This Row],[Adj Close]]/Z833-1)</f>
        <v>-1.1582969005548893E-2</v>
      </c>
      <c r="AH832" s="29">
        <v>39272</v>
      </c>
      <c r="AI832" s="44">
        <v>54.160561000000001</v>
      </c>
      <c r="AJ832" s="33">
        <f>IF(ISBLANK(AI833),"",Short0[[#This Row],[Adj Close]]/AI833-1)</f>
        <v>8.8199116040021952E-3</v>
      </c>
      <c r="AK832" s="37">
        <v>39272</v>
      </c>
      <c r="AL832" s="39">
        <v>30.843851000000001</v>
      </c>
      <c r="AM832" s="36">
        <f>IF(ISBLANK(AL833),"",Short1[[#This Row],[Adj Close]]/AL833-1)</f>
        <v>-1.7614044861850364E-2</v>
      </c>
      <c r="AN832" s="29">
        <v>39272</v>
      </c>
      <c r="AO832" s="44">
        <v>30.568047</v>
      </c>
      <c r="AP832" s="33">
        <f>IF(ISBLANK(AO833),"",Short2[[#This Row],[Adj Close]]/AO833-1)</f>
        <v>-1.7543986517412513E-2</v>
      </c>
    </row>
    <row r="833" spans="1:42" x14ac:dyDescent="0.25">
      <c r="A833" s="37">
        <v>39265</v>
      </c>
      <c r="B833" s="39">
        <v>1530.4399410000001</v>
      </c>
      <c r="C833" s="36">
        <f>IF(ISBLANK(B834), "", GSPC[[#This Row],[Adj Close]]/B834-1)</f>
        <v>1.8019732884873019E-2</v>
      </c>
      <c r="D83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3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33" s="11" t="e">
        <f>IF(ISBLANK(GSPC[[#This Row],[Long Exp.]]), "", (GSPC[[#This Row],[Long Exp.]]/D834-1)+(E834/GSPC[[#This Row],[Short Exp.]]-1))</f>
        <v>#VALUE!</v>
      </c>
      <c r="G833" s="37">
        <v>39265</v>
      </c>
      <c r="H833">
        <v>16.528057</v>
      </c>
      <c r="I833" s="36">
        <f>IF(ISBLANK(H834), "", Long0[[#This Row],[Adj Close]]/H834-1)</f>
        <v>-4.4661537428312137E-3</v>
      </c>
      <c r="J833" s="29">
        <v>39265</v>
      </c>
      <c r="K833">
        <v>1.9229480000000001</v>
      </c>
      <c r="L833" s="33">
        <f>IF(ISBLANK(K834),"",Long1[[#This Row],[Adj Close]]/K834-1)</f>
        <v>2.9629831908250859E-2</v>
      </c>
      <c r="M833" s="37">
        <v>39265</v>
      </c>
      <c r="N833">
        <v>30.99361</v>
      </c>
      <c r="O833" s="36">
        <f>IF(ISBLANK(N834),"",Long2[[#This Row],[Adj Close]]/N834-1)</f>
        <v>2.0498407252871331E-3</v>
      </c>
      <c r="P833" s="29">
        <v>39265</v>
      </c>
      <c r="Q833">
        <v>21.178667000000001</v>
      </c>
      <c r="R833" s="33">
        <f>IF(ISBLANK(Q834),"",Long3[[#This Row],[Adj Close]]/Q834-1)</f>
        <v>1.2822867173071906E-2</v>
      </c>
      <c r="S833" s="37">
        <v>39265</v>
      </c>
      <c r="T833" s="35">
        <v>28.306829</v>
      </c>
      <c r="U833" s="36">
        <f>IF(ISBLANK(T834),"",Long4[[#This Row],[Adj Close]]/T834-1)</f>
        <v>2.2482173459060339E-2</v>
      </c>
      <c r="Y833" s="37">
        <v>39265</v>
      </c>
      <c r="Z833" s="35">
        <v>15.143872</v>
      </c>
      <c r="AA833" s="36">
        <f>IF(ISBLANK(Z834),"",Long6[[#This Row],[Adj Close]]/Z834-1)</f>
        <v>-1.0820968055465507E-2</v>
      </c>
      <c r="AH833" s="29">
        <v>39265</v>
      </c>
      <c r="AI833" s="44">
        <v>53.687046000000002</v>
      </c>
      <c r="AJ833" s="33">
        <f>IF(ISBLANK(AI834),"",Short0[[#This Row],[Adj Close]]/AI834-1)</f>
        <v>5.3802678262523163E-2</v>
      </c>
      <c r="AK833" s="37">
        <v>39265</v>
      </c>
      <c r="AL833" s="39">
        <v>31.396877</v>
      </c>
      <c r="AM833" s="36">
        <f>IF(ISBLANK(AL834),"",Short1[[#This Row],[Adj Close]]/AL834-1)</f>
        <v>3.4925962635390606E-2</v>
      </c>
      <c r="AN833" s="29">
        <v>39265</v>
      </c>
      <c r="AO833" s="44">
        <v>31.113909</v>
      </c>
      <c r="AP833" s="33">
        <f>IF(ISBLANK(AO834),"",Short2[[#This Row],[Adj Close]]/AO834-1)</f>
        <v>1.3402956107088082E-2</v>
      </c>
    </row>
    <row r="834" spans="1:42" x14ac:dyDescent="0.25">
      <c r="A834" s="37">
        <v>39258</v>
      </c>
      <c r="B834" s="39">
        <v>1503.349976</v>
      </c>
      <c r="C834" s="36">
        <f>IF(ISBLANK(B835), "", GSPC[[#This Row],[Adj Close]]/B835-1)</f>
        <v>5.2571409393498136E-4</v>
      </c>
      <c r="D83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3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34" s="11" t="e">
        <f>IF(ISBLANK(GSPC[[#This Row],[Long Exp.]]), "", (GSPC[[#This Row],[Long Exp.]]/D835-1)+(E835/GSPC[[#This Row],[Short Exp.]]-1))</f>
        <v>#VALUE!</v>
      </c>
      <c r="G834" s="37">
        <v>39258</v>
      </c>
      <c r="H834">
        <v>16.602205000000001</v>
      </c>
      <c r="I834" s="36">
        <f>IF(ISBLANK(H835), "", Long0[[#This Row],[Adj Close]]/H835-1)</f>
        <v>-3.7565998406861367E-2</v>
      </c>
      <c r="J834" s="29">
        <v>39258</v>
      </c>
      <c r="K834">
        <v>1.8676109999999999</v>
      </c>
      <c r="L834" s="33">
        <f>IF(ISBLANK(K835),"",Long1[[#This Row],[Adj Close]]/K835-1)</f>
        <v>-2.8777169221424703E-2</v>
      </c>
      <c r="M834" s="37">
        <v>39258</v>
      </c>
      <c r="N834">
        <v>30.930208</v>
      </c>
      <c r="O834" s="36">
        <f>IF(ISBLANK(N835),"",Long2[[#This Row],[Adj Close]]/N835-1)</f>
        <v>-1.8117467979114843E-2</v>
      </c>
      <c r="P834" s="29">
        <v>39258</v>
      </c>
      <c r="Q834">
        <v>20.910533999999998</v>
      </c>
      <c r="R834" s="33">
        <f>IF(ISBLANK(Q835),"",Long3[[#This Row],[Adj Close]]/Q835-1)</f>
        <v>2.4972918073864703E-2</v>
      </c>
      <c r="S834" s="37">
        <v>39258</v>
      </c>
      <c r="T834" s="35">
        <v>27.684422999999999</v>
      </c>
      <c r="U834" s="36">
        <f>IF(ISBLANK(T835),"",Long4[[#This Row],[Adj Close]]/T835-1)</f>
        <v>3.8707782317729533E-2</v>
      </c>
      <c r="Y834" s="37">
        <v>39258</v>
      </c>
      <c r="Z834" s="35">
        <v>15.309536</v>
      </c>
      <c r="AA834" s="36">
        <f>IF(ISBLANK(Z835),"",Long6[[#This Row],[Adj Close]]/Z835-1)</f>
        <v>-3.6196604476275374E-2</v>
      </c>
      <c r="AH834" s="29">
        <v>39258</v>
      </c>
      <c r="AI834" s="44">
        <v>50.946013999999998</v>
      </c>
      <c r="AJ834" s="33">
        <f>IF(ISBLANK(AI835),"",Short0[[#This Row],[Adj Close]]/AI835-1)</f>
        <v>2.0574733700802428E-2</v>
      </c>
      <c r="AK834" s="37">
        <v>39258</v>
      </c>
      <c r="AL834" s="39">
        <v>30.337316999999999</v>
      </c>
      <c r="AM834" s="36">
        <f>IF(ISBLANK(AL835),"",Short1[[#This Row],[Adj Close]]/AL835-1)</f>
        <v>4.1973791045514242E-2</v>
      </c>
      <c r="AN834" s="29">
        <v>39258</v>
      </c>
      <c r="AO834" s="44">
        <v>30.702406</v>
      </c>
      <c r="AP834" s="33">
        <f>IF(ISBLANK(AO835),"",Short2[[#This Row],[Adj Close]]/AO835-1)</f>
        <v>-7.9788576563368463E-2</v>
      </c>
    </row>
    <row r="835" spans="1:42" x14ac:dyDescent="0.25">
      <c r="A835" s="37">
        <v>39251</v>
      </c>
      <c r="B835" s="39">
        <v>1502.5600589999999</v>
      </c>
      <c r="C835" s="36">
        <f>IF(ISBLANK(B836), "", GSPC[[#This Row],[Adj Close]]/B836-1)</f>
        <v>-1.979892774320513E-2</v>
      </c>
      <c r="D83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3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35" s="11" t="e">
        <f>IF(ISBLANK(GSPC[[#This Row],[Long Exp.]]), "", (GSPC[[#This Row],[Long Exp.]]/D836-1)+(E836/GSPC[[#This Row],[Short Exp.]]-1))</f>
        <v>#VALUE!</v>
      </c>
      <c r="G835" s="37">
        <v>39251</v>
      </c>
      <c r="H835">
        <v>17.250226999999999</v>
      </c>
      <c r="I835" s="36">
        <f>IF(ISBLANK(H836), "", Long0[[#This Row],[Adj Close]]/H836-1)</f>
        <v>1.8868005880651628E-2</v>
      </c>
      <c r="J835" s="29">
        <v>39251</v>
      </c>
      <c r="K835">
        <v>1.9229480000000001</v>
      </c>
      <c r="L835" s="33">
        <f>IF(ISBLANK(K836),"",Long1[[#This Row],[Adj Close]]/K836-1)</f>
        <v>-5.4421644937773572E-2</v>
      </c>
      <c r="M835" s="37">
        <v>39251</v>
      </c>
      <c r="N835">
        <v>31.500924999999999</v>
      </c>
      <c r="O835" s="36">
        <f>IF(ISBLANK(N836),"",Long2[[#This Row],[Adj Close]]/N836-1)</f>
        <v>2.2645046659001355E-2</v>
      </c>
      <c r="P835" s="29">
        <v>39251</v>
      </c>
      <c r="Q835">
        <v>20.401060000000001</v>
      </c>
      <c r="R835" s="33">
        <f>IF(ISBLANK(Q836),"",Long3[[#This Row],[Adj Close]]/Q836-1)</f>
        <v>-2.2483999756975348E-2</v>
      </c>
      <c r="S835" s="37">
        <v>39251</v>
      </c>
      <c r="T835" s="35">
        <v>26.652754000000002</v>
      </c>
      <c r="U835" s="36">
        <f>IF(ISBLANK(T836),"",Long4[[#This Row],[Adj Close]]/T836-1)</f>
        <v>-5.9283742414383833E-2</v>
      </c>
      <c r="Y835" s="37">
        <v>39251</v>
      </c>
      <c r="Z835" s="35">
        <v>15.884501</v>
      </c>
      <c r="AA835" s="36">
        <f>IF(ISBLANK(Z836),"",Long6[[#This Row],[Adj Close]]/Z836-1)</f>
        <v>4.7557988789029837E-2</v>
      </c>
      <c r="AH835" s="29">
        <v>39251</v>
      </c>
      <c r="AI835" s="44">
        <v>49.918945000000001</v>
      </c>
      <c r="AJ835" s="33">
        <f>IF(ISBLANK(AI836),"",Short0[[#This Row],[Adj Close]]/AI836-1)</f>
        <v>-2.5136979741793297E-2</v>
      </c>
      <c r="AK835" s="37">
        <v>39251</v>
      </c>
      <c r="AL835" s="39">
        <v>29.11524</v>
      </c>
      <c r="AM835" s="36">
        <f>IF(ISBLANK(AL836),"",Short1[[#This Row],[Adj Close]]/AL836-1)</f>
        <v>-6.2382436479389236E-2</v>
      </c>
      <c r="AN835" s="29">
        <v>39251</v>
      </c>
      <c r="AO835" s="44">
        <v>33.364513000000002</v>
      </c>
      <c r="AP835" s="33">
        <f>IF(ISBLANK(AO836),"",Short2[[#This Row],[Adj Close]]/AO836-1)</f>
        <v>-4.8611270121780237E-2</v>
      </c>
    </row>
    <row r="836" spans="1:42" x14ac:dyDescent="0.25">
      <c r="A836" s="37">
        <v>39244</v>
      </c>
      <c r="B836" s="39">
        <v>1532.910034</v>
      </c>
      <c r="C836" s="36">
        <f>IF(ISBLANK(B837), "", GSPC[[#This Row],[Adj Close]]/B837-1)</f>
        <v>1.6741056904623353E-2</v>
      </c>
      <c r="D83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3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36" s="11" t="e">
        <f>IF(ISBLANK(GSPC[[#This Row],[Long Exp.]]), "", (GSPC[[#This Row],[Long Exp.]]/D837-1)+(E837/GSPC[[#This Row],[Short Exp.]]-1))</f>
        <v>#VALUE!</v>
      </c>
      <c r="G836" s="37">
        <v>39244</v>
      </c>
      <c r="H836">
        <v>16.930776999999999</v>
      </c>
      <c r="I836" s="36">
        <f>IF(ISBLANK(H837), "", Long0[[#This Row],[Adj Close]]/H837-1)</f>
        <v>-1.3298011062094384E-2</v>
      </c>
      <c r="J836" s="29">
        <v>39244</v>
      </c>
      <c r="K836">
        <v>2.0336210000000001</v>
      </c>
      <c r="L836" s="33">
        <f>IF(ISBLANK(K837),"",Long1[[#This Row],[Adj Close]]/K837-1)</f>
        <v>4.2553224212249052E-2</v>
      </c>
      <c r="M836" s="37">
        <v>39244</v>
      </c>
      <c r="N836">
        <v>30.803381000000002</v>
      </c>
      <c r="O836" s="36">
        <f>IF(ISBLANK(N837),"",Long2[[#This Row],[Adj Close]]/N837-1)</f>
        <v>9.9604132415645363E-2</v>
      </c>
      <c r="P836" s="29">
        <v>39244</v>
      </c>
      <c r="Q836">
        <v>20.870308000000001</v>
      </c>
      <c r="R836" s="33">
        <f>IF(ISBLANK(Q837),"",Long3[[#This Row],[Adj Close]]/Q837-1)</f>
        <v>7.3956813267755939E-2</v>
      </c>
      <c r="S836" s="37">
        <v>39244</v>
      </c>
      <c r="T836" s="35">
        <v>28.332405000000001</v>
      </c>
      <c r="U836" s="36">
        <f>IF(ISBLANK(T837),"",Long4[[#This Row],[Adj Close]]/T837-1)</f>
        <v>-7.7636863930875544E-3</v>
      </c>
      <c r="Y836" s="37">
        <v>39244</v>
      </c>
      <c r="Z836" s="35">
        <v>15.163361999999999</v>
      </c>
      <c r="AA836" s="36">
        <f>IF(ISBLANK(Z837),"",Long6[[#This Row],[Adj Close]]/Z837-1)</f>
        <v>4.5698909900600659E-2</v>
      </c>
      <c r="AH836" s="29">
        <v>39244</v>
      </c>
      <c r="AI836" s="44">
        <v>51.206111999999997</v>
      </c>
      <c r="AJ836" s="33">
        <f>IF(ISBLANK(AI837),"",Short0[[#This Row],[Adj Close]]/AI837-1)</f>
        <v>-3.8567323872663262E-2</v>
      </c>
      <c r="AK836" s="37">
        <v>39244</v>
      </c>
      <c r="AL836" s="39">
        <v>31.052361999999999</v>
      </c>
      <c r="AM836" s="36">
        <f>IF(ISBLANK(AL837),"",Short1[[#This Row],[Adj Close]]/AL837-1)</f>
        <v>-7.8919784215506494E-3</v>
      </c>
      <c r="AN836" s="29">
        <v>39244</v>
      </c>
      <c r="AO836" s="44">
        <v>35.069274999999998</v>
      </c>
      <c r="AP836" s="33">
        <f>IF(ISBLANK(AO837),"",Short2[[#This Row],[Adj Close]]/AO837-1)</f>
        <v>-3.2437626665830943E-2</v>
      </c>
    </row>
    <row r="837" spans="1:42" x14ac:dyDescent="0.25">
      <c r="A837" s="37">
        <v>39237</v>
      </c>
      <c r="B837" s="39">
        <v>1507.670044</v>
      </c>
      <c r="C837" s="36">
        <f>IF(ISBLANK(B838), "", GSPC[[#This Row],[Adj Close]]/B838-1)</f>
        <v>-1.8661183484437238E-2</v>
      </c>
      <c r="D83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3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37" s="11" t="e">
        <f>IF(ISBLANK(GSPC[[#This Row],[Long Exp.]]), "", (GSPC[[#This Row],[Long Exp.]]/D838-1)+(E838/GSPC[[#This Row],[Short Exp.]]-1))</f>
        <v>#VALUE!</v>
      </c>
      <c r="G837" s="37">
        <v>39237</v>
      </c>
      <c r="H837">
        <v>17.158957000000001</v>
      </c>
      <c r="I837" s="36">
        <f>IF(ISBLANK(H838), "", Long0[[#This Row],[Adj Close]]/H838-1)</f>
        <v>-4.5685150169679223E-2</v>
      </c>
      <c r="J837" s="29">
        <v>39237</v>
      </c>
      <c r="K837">
        <v>1.9506159999999999</v>
      </c>
      <c r="L837" s="33">
        <f>IF(ISBLANK(K838),"",Long1[[#This Row],[Adj Close]]/K838-1)</f>
        <v>-2.0833594780231501E-2</v>
      </c>
      <c r="M837" s="37">
        <v>39237</v>
      </c>
      <c r="N837">
        <v>28.013155000000001</v>
      </c>
      <c r="O837" s="36">
        <f>IF(ISBLANK(N838),"",Long2[[#This Row],[Adj Close]]/N838-1)</f>
        <v>-6.7457802707466819E-3</v>
      </c>
      <c r="P837" s="29">
        <v>39237</v>
      </c>
      <c r="Q837">
        <v>19.433098000000001</v>
      </c>
      <c r="R837" s="33">
        <f>IF(ISBLANK(Q838),"",Long3[[#This Row],[Adj Close]]/Q838-1)</f>
        <v>-4.9500742180980994E-2</v>
      </c>
      <c r="S837" s="37">
        <v>39237</v>
      </c>
      <c r="T837" s="35">
        <v>28.554089999999999</v>
      </c>
      <c r="U837" s="36">
        <f>IF(ISBLANK(T838),"",Long4[[#This Row],[Adj Close]]/T838-1)</f>
        <v>-6.4786257792358803E-2</v>
      </c>
      <c r="Y837" s="37">
        <v>39237</v>
      </c>
      <c r="Z837" s="35">
        <v>14.500696</v>
      </c>
      <c r="AA837" s="36">
        <f>IF(ISBLANK(Z838),"",Long6[[#This Row],[Adj Close]]/Z838-1)</f>
        <v>-2.9987078710161486E-2</v>
      </c>
      <c r="AH837" s="29">
        <v>39237</v>
      </c>
      <c r="AI837" s="44">
        <v>53.260216</v>
      </c>
      <c r="AJ837" s="33">
        <f>IF(ISBLANK(AI838),"",Short0[[#This Row],[Adj Close]]/AI838-1)</f>
        <v>-5.4798844464182261E-3</v>
      </c>
      <c r="AK837" s="37">
        <v>39237</v>
      </c>
      <c r="AL837" s="39">
        <v>31.299375999999999</v>
      </c>
      <c r="AM837" s="36">
        <f>IF(ISBLANK(AL838),"",Short1[[#This Row],[Adj Close]]/AL838-1)</f>
        <v>-1.8948678803129893E-2</v>
      </c>
      <c r="AN837" s="29">
        <v>39237</v>
      </c>
      <c r="AO837" s="44">
        <v>36.244976000000001</v>
      </c>
      <c r="AP837" s="33">
        <f>IF(ISBLANK(AO838),"",Short2[[#This Row],[Adj Close]]/AO838-1)</f>
        <v>-4.1740560913548386E-2</v>
      </c>
    </row>
    <row r="838" spans="1:42" x14ac:dyDescent="0.25">
      <c r="A838" s="37">
        <v>39230</v>
      </c>
      <c r="B838" s="39">
        <v>1536.339966</v>
      </c>
      <c r="C838" s="36">
        <f>IF(ISBLANK(B839), "", GSPC[[#This Row],[Adj Close]]/B839-1)</f>
        <v>1.3597399452374814E-2</v>
      </c>
      <c r="D83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3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38" s="11" t="e">
        <f>IF(ISBLANK(GSPC[[#This Row],[Long Exp.]]), "", (GSPC[[#This Row],[Long Exp.]]/D839-1)+(E839/GSPC[[#This Row],[Short Exp.]]-1))</f>
        <v>#VALUE!</v>
      </c>
      <c r="G838" s="37">
        <v>39230</v>
      </c>
      <c r="H838">
        <v>17.980394</v>
      </c>
      <c r="I838" s="36">
        <f>IF(ISBLANK(H839), "", Long0[[#This Row],[Adj Close]]/H839-1)</f>
        <v>1.0161928914822482E-3</v>
      </c>
      <c r="J838" s="29">
        <v>39230</v>
      </c>
      <c r="K838">
        <v>1.992119</v>
      </c>
      <c r="L838" s="33">
        <f>IF(ISBLANK(K839),"",Long1[[#This Row],[Adj Close]]/K839-1)</f>
        <v>0.10769277818553857</v>
      </c>
      <c r="M838" s="37">
        <v>39230</v>
      </c>
      <c r="N838">
        <v>28.203409000000001</v>
      </c>
      <c r="O838" s="36">
        <f>IF(ISBLANK(N839),"",Long2[[#This Row],[Adj Close]]/N839-1)</f>
        <v>7.916307626847563E-2</v>
      </c>
      <c r="P838" s="29">
        <v>39230</v>
      </c>
      <c r="Q838">
        <v>20.445148</v>
      </c>
      <c r="R838" s="33">
        <f>IF(ISBLANK(Q839),"",Long3[[#This Row],[Adj Close]]/Q839-1)</f>
        <v>3.5521708217064907E-2</v>
      </c>
      <c r="S838" s="37">
        <v>39230</v>
      </c>
      <c r="T838" s="35">
        <v>30.532153999999998</v>
      </c>
      <c r="U838" s="36">
        <f>IF(ISBLANK(T839),"",Long4[[#This Row],[Adj Close]]/T839-1)</f>
        <v>9.1102917517009274E-2</v>
      </c>
      <c r="Y838" s="37">
        <v>39230</v>
      </c>
      <c r="Z838" s="35">
        <v>14.948971999999999</v>
      </c>
      <c r="AA838" s="36">
        <f>IF(ISBLANK(Z839),"",Long6[[#This Row],[Adj Close]]/Z839-1)</f>
        <v>-5.1878860153071749E-3</v>
      </c>
      <c r="AH838" s="29">
        <v>39230</v>
      </c>
      <c r="AI838" s="44">
        <v>53.553683999999997</v>
      </c>
      <c r="AJ838" s="33">
        <f>IF(ISBLANK(AI839),"",Short0[[#This Row],[Adj Close]]/AI839-1)</f>
        <v>4.8576779763214173E-2</v>
      </c>
      <c r="AK838" s="37">
        <v>39230</v>
      </c>
      <c r="AL838" s="39">
        <v>31.903912999999999</v>
      </c>
      <c r="AM838" s="36">
        <f>IF(ISBLANK(AL839),"",Short1[[#This Row],[Adj Close]]/AL839-1)</f>
        <v>5.2315882974396821E-2</v>
      </c>
      <c r="AN838" s="29">
        <v>39230</v>
      </c>
      <c r="AO838" s="44">
        <v>37.823760999999998</v>
      </c>
      <c r="AP838" s="33">
        <f>IF(ISBLANK(AO839),"",Short2[[#This Row],[Adj Close]]/AO839-1)</f>
        <v>-9.8920326824601945E-3</v>
      </c>
    </row>
    <row r="839" spans="1:42" x14ac:dyDescent="0.25">
      <c r="A839" s="37">
        <v>39223</v>
      </c>
      <c r="B839" s="39">
        <v>1515.7299800000001</v>
      </c>
      <c r="C839" s="36">
        <f>IF(ISBLANK(B840), "", GSPC[[#This Row],[Adj Close]]/B840-1)</f>
        <v>-4.6100935806927534E-3</v>
      </c>
      <c r="D83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3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39" s="11" t="e">
        <f>IF(ISBLANK(GSPC[[#This Row],[Long Exp.]]), "", (GSPC[[#This Row],[Long Exp.]]/D840-1)+(E840/GSPC[[#This Row],[Short Exp.]]-1))</f>
        <v>#VALUE!</v>
      </c>
      <c r="G839" s="37">
        <v>39223</v>
      </c>
      <c r="H839">
        <v>17.962140999999999</v>
      </c>
      <c r="I839" s="36">
        <f>IF(ISBLANK(H840), "", Long0[[#This Row],[Adj Close]]/H840-1)</f>
        <v>-3.5443187687850264E-3</v>
      </c>
      <c r="J839" s="29">
        <v>39223</v>
      </c>
      <c r="K839">
        <v>1.79844</v>
      </c>
      <c r="L839" s="33">
        <f>IF(ISBLANK(K840),"",Long1[[#This Row],[Adj Close]]/K840-1)</f>
        <v>2.3621778343914102E-2</v>
      </c>
      <c r="M839" s="37">
        <v>39223</v>
      </c>
      <c r="N839">
        <v>26.134519999999998</v>
      </c>
      <c r="O839" s="36">
        <f>IF(ISBLANK(N840),"",Long2[[#This Row],[Adj Close]]/N840-1)</f>
        <v>4.3024524157965205E-2</v>
      </c>
      <c r="P839" s="29">
        <v>39223</v>
      </c>
      <c r="Q839">
        <v>19.743814</v>
      </c>
      <c r="R839" s="33">
        <f>IF(ISBLANK(Q840),"",Long3[[#This Row],[Adj Close]]/Q840-1)</f>
        <v>-3.3463934094386527E-2</v>
      </c>
      <c r="S839" s="37">
        <v>39223</v>
      </c>
      <c r="T839" s="35">
        <v>27.982835999999999</v>
      </c>
      <c r="U839" s="36">
        <f>IF(ISBLANK(T840),"",Long4[[#This Row],[Adj Close]]/T840-1)</f>
        <v>-4.7315013062683819E-2</v>
      </c>
      <c r="Y839" s="37">
        <v>39223</v>
      </c>
      <c r="Z839" s="35">
        <v>15.02693</v>
      </c>
      <c r="AA839" s="36">
        <f>IF(ISBLANK(Z840),"",Long6[[#This Row],[Adj Close]]/Z840-1)</f>
        <v>-3.8653327895465051E-2</v>
      </c>
      <c r="AH839" s="29">
        <v>39223</v>
      </c>
      <c r="AI839" s="44">
        <v>51.072735000000002</v>
      </c>
      <c r="AJ839" s="33">
        <f>IF(ISBLANK(AI840),"",Short0[[#This Row],[Adj Close]]/AI840-1)</f>
        <v>-1.5642755642941708E-3</v>
      </c>
      <c r="AK839" s="37">
        <v>39223</v>
      </c>
      <c r="AL839" s="39">
        <v>30.317810000000001</v>
      </c>
      <c r="AM839" s="36">
        <f>IF(ISBLANK(AL840),"",Short1[[#This Row],[Adj Close]]/AL840-1)</f>
        <v>-2.5694629161812865E-2</v>
      </c>
      <c r="AN839" s="29">
        <v>39223</v>
      </c>
      <c r="AO839" s="44">
        <v>38.201653</v>
      </c>
      <c r="AP839" s="33">
        <f>IF(ISBLANK(AO840),"",Short2[[#This Row],[Adj Close]]/AO840-1)</f>
        <v>2.1787717327116818E-2</v>
      </c>
    </row>
    <row r="840" spans="1:42" x14ac:dyDescent="0.25">
      <c r="A840" s="37">
        <v>39216</v>
      </c>
      <c r="B840" s="39">
        <v>1522.75</v>
      </c>
      <c r="C840" s="36">
        <f>IF(ISBLANK(B841), "", GSPC[[#This Row],[Adj Close]]/B841-1)</f>
        <v>1.1222913483647012E-2</v>
      </c>
      <c r="D84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4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40" s="11" t="e">
        <f>IF(ISBLANK(GSPC[[#This Row],[Long Exp.]]), "", (GSPC[[#This Row],[Long Exp.]]/D841-1)+(E841/GSPC[[#This Row],[Short Exp.]]-1))</f>
        <v>#VALUE!</v>
      </c>
      <c r="G840" s="37">
        <v>39216</v>
      </c>
      <c r="H840">
        <v>18.026031</v>
      </c>
      <c r="I840" s="36">
        <f>IF(ISBLANK(H841), "", Long0[[#This Row],[Adj Close]]/H841-1)</f>
        <v>-0.11830363005793909</v>
      </c>
      <c r="J840" s="29">
        <v>39216</v>
      </c>
      <c r="K840">
        <v>1.7569380000000001</v>
      </c>
      <c r="L840" s="33">
        <f>IF(ISBLANK(K841),"",Long1[[#This Row],[Adj Close]]/K841-1)</f>
        <v>-3.0534549116442045E-2</v>
      </c>
      <c r="M840" s="37">
        <v>39216</v>
      </c>
      <c r="N840">
        <v>25.056477000000001</v>
      </c>
      <c r="O840" s="36">
        <f>IF(ISBLANK(N841),"",Long2[[#This Row],[Adj Close]]/N841-1)</f>
        <v>7.2616133978232078E-2</v>
      </c>
      <c r="P840" s="29">
        <v>39216</v>
      </c>
      <c r="Q840">
        <v>20.427395000000001</v>
      </c>
      <c r="R840" s="33">
        <f>IF(ISBLANK(Q841),"",Long3[[#This Row],[Adj Close]]/Q841-1)</f>
        <v>8.1053518072580211E-3</v>
      </c>
      <c r="S840" s="37">
        <v>39216</v>
      </c>
      <c r="T840" s="35">
        <v>29.372601</v>
      </c>
      <c r="U840" s="36">
        <f>IF(ISBLANK(T841),"",Long4[[#This Row],[Adj Close]]/T841-1)</f>
        <v>-8.4993265156155462E-2</v>
      </c>
      <c r="Y840" s="37">
        <v>39216</v>
      </c>
      <c r="Z840" s="35">
        <v>15.631125000000001</v>
      </c>
      <c r="AA840" s="36">
        <f>IF(ISBLANK(Z841),"",Long6[[#This Row],[Adj Close]]/Z841-1)</f>
        <v>-3.7268641299795791E-3</v>
      </c>
      <c r="AH840" s="29">
        <v>39216</v>
      </c>
      <c r="AI840" s="44">
        <v>51.152752</v>
      </c>
      <c r="AJ840" s="33">
        <f>IF(ISBLANK(AI841),"",Short0[[#This Row],[Adj Close]]/AI841-1)</f>
        <v>-3.5341707336345451E-2</v>
      </c>
      <c r="AK840" s="37">
        <v>39216</v>
      </c>
      <c r="AL840" s="39">
        <v>31.117359</v>
      </c>
      <c r="AM840" s="36">
        <f>IF(ISBLANK(AL841),"",Short1[[#This Row],[Adj Close]]/AL841-1)</f>
        <v>2.0682347322547923E-2</v>
      </c>
      <c r="AN840" s="29">
        <v>39216</v>
      </c>
      <c r="AO840" s="44">
        <v>37.387073999999998</v>
      </c>
      <c r="AP840" s="33">
        <f>IF(ISBLANK(AO841),"",Short2[[#This Row],[Adj Close]]/AO841-1)</f>
        <v>5.8990500545157865E-2</v>
      </c>
    </row>
    <row r="841" spans="1:42" x14ac:dyDescent="0.25">
      <c r="A841" s="37">
        <v>39209</v>
      </c>
      <c r="B841" s="39">
        <v>1505.849976</v>
      </c>
      <c r="C841" s="36">
        <f>IF(ISBLANK(B842), "", GSPC[[#This Row],[Adj Close]]/B842-1)</f>
        <v>1.5274836994971785E-4</v>
      </c>
      <c r="D84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4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41" s="11" t="e">
        <f>IF(ISBLANK(GSPC[[#This Row],[Long Exp.]]), "", (GSPC[[#This Row],[Long Exp.]]/D842-1)+(E842/GSPC[[#This Row],[Short Exp.]]-1))</f>
        <v>#VALUE!</v>
      </c>
      <c r="G841" s="37">
        <v>39209</v>
      </c>
      <c r="H841">
        <v>20.444714999999999</v>
      </c>
      <c r="I841" s="36">
        <f>IF(ISBLANK(H842), "", Long0[[#This Row],[Adj Close]]/H842-1)</f>
        <v>4.9348914030933333E-3</v>
      </c>
      <c r="J841" s="29">
        <v>39209</v>
      </c>
      <c r="K841">
        <v>1.8122750000000001</v>
      </c>
      <c r="L841" s="33">
        <f>IF(ISBLANK(K842),"",Long1[[#This Row],[Adj Close]]/K842-1)</f>
        <v>-1.5037422354931662E-2</v>
      </c>
      <c r="M841" s="37">
        <v>39209</v>
      </c>
      <c r="N841">
        <v>23.360153</v>
      </c>
      <c r="O841" s="36">
        <f>IF(ISBLANK(N842),"",Long2[[#This Row],[Adj Close]]/N842-1)</f>
        <v>6.8327550547975235E-3</v>
      </c>
      <c r="P841" s="29">
        <v>39209</v>
      </c>
      <c r="Q841">
        <v>20.263155000000001</v>
      </c>
      <c r="R841" s="33">
        <f>IF(ISBLANK(Q842),"",Long3[[#This Row],[Adj Close]]/Q842-1)</f>
        <v>2.469142045579531E-2</v>
      </c>
      <c r="S841" s="37">
        <v>39209</v>
      </c>
      <c r="T841" s="35">
        <v>32.100966999999997</v>
      </c>
      <c r="U841" s="36">
        <f>IF(ISBLANK(T842),"",Long4[[#This Row],[Adj Close]]/T842-1)</f>
        <v>-2.988929829080722E-2</v>
      </c>
      <c r="Y841" s="37">
        <v>39209</v>
      </c>
      <c r="Z841" s="35">
        <v>15.689598</v>
      </c>
      <c r="AA841" s="36">
        <f>IF(ISBLANK(Z842),"",Long6[[#This Row],[Adj Close]]/Z842-1)</f>
        <v>-4.9586677735116047E-2</v>
      </c>
      <c r="AH841" s="29">
        <v>39209</v>
      </c>
      <c r="AI841" s="44">
        <v>53.026809999999998</v>
      </c>
      <c r="AJ841" s="33">
        <f>IF(ISBLANK(AI842),"",Short0[[#This Row],[Adj Close]]/AI842-1)</f>
        <v>-2.8113583645461238E-2</v>
      </c>
      <c r="AK841" s="37">
        <v>39209</v>
      </c>
      <c r="AL841" s="39">
        <v>30.486820000000002</v>
      </c>
      <c r="AM841" s="36">
        <f>IF(ISBLANK(AL842),"",Short1[[#This Row],[Adj Close]]/AL842-1)</f>
        <v>1.4931739137266753E-2</v>
      </c>
      <c r="AN841" s="29">
        <v>39209</v>
      </c>
      <c r="AO841" s="44">
        <v>35.304447000000003</v>
      </c>
      <c r="AP841" s="33">
        <f>IF(ISBLANK(AO842),"",Short2[[#This Row],[Adj Close]]/AO842-1)</f>
        <v>-2.6633360583247168E-2</v>
      </c>
    </row>
    <row r="842" spans="1:42" x14ac:dyDescent="0.25">
      <c r="A842" s="37">
        <v>39202</v>
      </c>
      <c r="B842" s="39">
        <v>1505.619995</v>
      </c>
      <c r="C842" s="36">
        <f>IF(ISBLANK(B843), "", GSPC[[#This Row],[Adj Close]]/B843-1)</f>
        <v>7.7305945621370942E-3</v>
      </c>
      <c r="D84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4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42" s="11" t="e">
        <f>IF(ISBLANK(GSPC[[#This Row],[Long Exp.]]), "", (GSPC[[#This Row],[Long Exp.]]/D843-1)+(E843/GSPC[[#This Row],[Short Exp.]]-1))</f>
        <v>#VALUE!</v>
      </c>
      <c r="G842" s="37">
        <v>39202</v>
      </c>
      <c r="H842">
        <v>20.344318000000001</v>
      </c>
      <c r="I842" s="36">
        <f>IF(ISBLANK(H843), "", Long0[[#This Row],[Adj Close]]/H843-1)</f>
        <v>1.0884477794453895E-2</v>
      </c>
      <c r="J842" s="29">
        <v>39202</v>
      </c>
      <c r="K842">
        <v>1.8399430000000001</v>
      </c>
      <c r="L842" s="33">
        <f>IF(ISBLANK(K843),"",Long1[[#This Row],[Adj Close]]/K843-1)</f>
        <v>-3.6231990336878739E-2</v>
      </c>
      <c r="M842" s="37">
        <v>39202</v>
      </c>
      <c r="N842">
        <v>23.201622</v>
      </c>
      <c r="O842" s="36">
        <f>IF(ISBLANK(N843),"",Long2[[#This Row],[Adj Close]]/N843-1)</f>
        <v>-4.8129954326970537E-2</v>
      </c>
      <c r="P842" s="29">
        <v>39202</v>
      </c>
      <c r="Q842">
        <v>19.774885000000001</v>
      </c>
      <c r="R842" s="33">
        <f>IF(ISBLANK(Q843),"",Long3[[#This Row],[Adj Close]]/Q843-1)</f>
        <v>4.5097288412447867E-3</v>
      </c>
      <c r="S842" s="37">
        <v>39202</v>
      </c>
      <c r="T842" s="35">
        <v>33.090004</v>
      </c>
      <c r="U842" s="36">
        <f>IF(ISBLANK(T843),"",Long4[[#This Row],[Adj Close]]/T843-1)</f>
        <v>-6.4001753587874521E-3</v>
      </c>
      <c r="Y842" s="37">
        <v>39202</v>
      </c>
      <c r="Z842" s="35">
        <v>16.508184</v>
      </c>
      <c r="AA842" s="36">
        <f>IF(ISBLANK(Z843),"",Long6[[#This Row],[Adj Close]]/Z843-1)</f>
        <v>4.9566143260621365E-2</v>
      </c>
      <c r="AH842" s="29">
        <v>39202</v>
      </c>
      <c r="AI842" s="44">
        <v>54.560707000000001</v>
      </c>
      <c r="AJ842" s="33">
        <f>IF(ISBLANK(AI843),"",Short0[[#This Row],[Adj Close]]/AI843-1)</f>
        <v>-7.9856322505910016E-2</v>
      </c>
      <c r="AK842" s="37">
        <v>39202</v>
      </c>
      <c r="AL842" s="39">
        <v>30.038295999999999</v>
      </c>
      <c r="AM842" s="36">
        <f>IF(ISBLANK(AL843),"",Short1[[#This Row],[Adj Close]]/AL843-1)</f>
        <v>-2.3512576402122343E-2</v>
      </c>
      <c r="AN842" s="29">
        <v>39202</v>
      </c>
      <c r="AO842" s="44">
        <v>36.270451000000001</v>
      </c>
      <c r="AP842" s="33">
        <f>IF(ISBLANK(AO843),"",Short2[[#This Row],[Adj Close]]/AO843-1)</f>
        <v>4.8679943466558573E-3</v>
      </c>
    </row>
    <row r="843" spans="1:42" x14ac:dyDescent="0.25">
      <c r="A843" s="37">
        <v>39195</v>
      </c>
      <c r="B843" s="39">
        <v>1494.0699460000001</v>
      </c>
      <c r="C843" s="36">
        <f>IF(ISBLANK(B844), "", GSPC[[#This Row],[Adj Close]]/B844-1)</f>
        <v>6.5483007088351641E-3</v>
      </c>
      <c r="D84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4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43" s="11" t="e">
        <f>IF(ISBLANK(GSPC[[#This Row],[Long Exp.]]), "", (GSPC[[#This Row],[Long Exp.]]/D844-1)+(E844/GSPC[[#This Row],[Short Exp.]]-1))</f>
        <v>#VALUE!</v>
      </c>
      <c r="G843" s="37">
        <v>39195</v>
      </c>
      <c r="H843">
        <v>20.125264999999999</v>
      </c>
      <c r="I843" s="36">
        <f>IF(ISBLANK(H844), "", Long0[[#This Row],[Adj Close]]/H844-1)</f>
        <v>5.9305384743995049E-3</v>
      </c>
      <c r="J843" s="29">
        <v>39195</v>
      </c>
      <c r="K843">
        <v>1.909114</v>
      </c>
      <c r="L843" s="33">
        <f>IF(ISBLANK(K844),"",Long1[[#This Row],[Adj Close]]/K844-1)</f>
        <v>-4.8275807060285003E-2</v>
      </c>
      <c r="M843" s="37">
        <v>39195</v>
      </c>
      <c r="N843">
        <v>24.374779</v>
      </c>
      <c r="O843" s="36">
        <f>IF(ISBLANK(N844),"",Long2[[#This Row],[Adj Close]]/N844-1)</f>
        <v>5.1641887817635457E-2</v>
      </c>
      <c r="P843" s="29">
        <v>39195</v>
      </c>
      <c r="Q843">
        <v>19.686105999999999</v>
      </c>
      <c r="R843" s="33">
        <f>IF(ISBLANK(Q844),"",Long3[[#This Row],[Adj Close]]/Q844-1)</f>
        <v>-3.3711349261454915E-3</v>
      </c>
      <c r="S843" s="37">
        <v>39195</v>
      </c>
      <c r="T843" s="35">
        <v>33.303150000000002</v>
      </c>
      <c r="U843" s="36">
        <f>IF(ISBLANK(T844),"",Long4[[#This Row],[Adj Close]]/T844-1)</f>
        <v>-2.5594629342562403E-4</v>
      </c>
      <c r="Y843" s="37">
        <v>39195</v>
      </c>
      <c r="Z843" s="35">
        <v>15.728579</v>
      </c>
      <c r="AA843" s="36">
        <f>IF(ISBLANK(Z844),"",Long6[[#This Row],[Adj Close]]/Z844-1)</f>
        <v>-4.49704132670391E-2</v>
      </c>
      <c r="AH843" s="29">
        <v>39195</v>
      </c>
      <c r="AI843" s="44">
        <v>59.295856000000001</v>
      </c>
      <c r="AJ843" s="33">
        <f>IF(ISBLANK(AI844),"",Short0[[#This Row],[Adj Close]]/AI844-1)</f>
        <v>-1.1011942423395871E-2</v>
      </c>
      <c r="AK843" s="37">
        <v>39195</v>
      </c>
      <c r="AL843" s="39">
        <v>30.761579999999999</v>
      </c>
      <c r="AM843" s="36">
        <f>IF(ISBLANK(AL844),"",Short1[[#This Row],[Adj Close]]/AL844-1)</f>
        <v>-2.6882785447343016E-2</v>
      </c>
      <c r="AN843" s="29">
        <v>39195</v>
      </c>
      <c r="AO843" s="44">
        <v>36.094741999999997</v>
      </c>
      <c r="AP843" s="33">
        <f>IF(ISBLANK(AO844),"",Short2[[#This Row],[Adj Close]]/AO844-1)</f>
        <v>-2.7063358103164736E-2</v>
      </c>
    </row>
    <row r="844" spans="1:42" x14ac:dyDescent="0.25">
      <c r="A844" s="37">
        <v>39188</v>
      </c>
      <c r="B844" s="39">
        <v>1484.349976</v>
      </c>
      <c r="C844" s="36">
        <f>IF(ISBLANK(B845), "", GSPC[[#This Row],[Adj Close]]/B845-1)</f>
        <v>2.168152288285552E-2</v>
      </c>
      <c r="D84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4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44" s="11" t="e">
        <f>IF(ISBLANK(GSPC[[#This Row],[Long Exp.]]), "", (GSPC[[#This Row],[Long Exp.]]/D845-1)+(E845/GSPC[[#This Row],[Short Exp.]]-1))</f>
        <v>#VALUE!</v>
      </c>
      <c r="G844" s="37">
        <v>39188</v>
      </c>
      <c r="H844">
        <v>20.006615</v>
      </c>
      <c r="I844" s="36">
        <f>IF(ISBLANK(H845), "", Long0[[#This Row],[Adj Close]]/H845-1)</f>
        <v>7.8161025383833849E-3</v>
      </c>
      <c r="J844" s="29">
        <v>39188</v>
      </c>
      <c r="K844">
        <v>2.0059529999999999</v>
      </c>
      <c r="L844" s="33">
        <f>IF(ISBLANK(K845),"",Long1[[#This Row],[Adj Close]]/K845-1)</f>
        <v>3.571439635436513E-2</v>
      </c>
      <c r="M844" s="37">
        <v>39188</v>
      </c>
      <c r="N844">
        <v>23.177831999999999</v>
      </c>
      <c r="O844" s="36">
        <f>IF(ISBLANK(N845),"",Long2[[#This Row],[Adj Close]]/N845-1)</f>
        <v>-3.3388499566860852E-2</v>
      </c>
      <c r="P844" s="29">
        <v>39188</v>
      </c>
      <c r="Q844">
        <v>19.752694999999999</v>
      </c>
      <c r="R844" s="33">
        <f>IF(ISBLANK(Q845),"",Long3[[#This Row],[Adj Close]]/Q845-1)</f>
        <v>4.5337041065715233E-2</v>
      </c>
      <c r="S844" s="37">
        <v>39188</v>
      </c>
      <c r="T844" s="35">
        <v>33.311675999999999</v>
      </c>
      <c r="U844" s="36">
        <f>IF(ISBLANK(T845),"",Long4[[#This Row],[Adj Close]]/T845-1)</f>
        <v>-2.1782897296864889E-2</v>
      </c>
      <c r="Y844" s="37">
        <v>39188</v>
      </c>
      <c r="Z844" s="35">
        <v>16.469206</v>
      </c>
      <c r="AA844" s="36">
        <f>IF(ISBLANK(Z845),"",Long6[[#This Row],[Adj Close]]/Z845-1)</f>
        <v>3.4905000629330551E-2</v>
      </c>
      <c r="AH844" s="29">
        <v>39188</v>
      </c>
      <c r="AI844" s="44">
        <v>59.956088999999999</v>
      </c>
      <c r="AJ844" s="33">
        <f>IF(ISBLANK(AI845),"",Short0[[#This Row],[Adj Close]]/AI845-1)</f>
        <v>1.8005076366567341E-2</v>
      </c>
      <c r="AK844" s="37">
        <v>39188</v>
      </c>
      <c r="AL844" s="39">
        <v>31.611381999999999</v>
      </c>
      <c r="AM844" s="36">
        <f>IF(ISBLANK(AL845),"",Short1[[#This Row],[Adj Close]]/AL845-1)</f>
        <v>4.7506189327819914E-2</v>
      </c>
      <c r="AN844" s="29">
        <v>39188</v>
      </c>
      <c r="AO844" s="44">
        <v>37.098759000000001</v>
      </c>
      <c r="AP844" s="33">
        <f>IF(ISBLANK(AO845),"",Short2[[#This Row],[Adj Close]]/AO845-1)</f>
        <v>7.8569935883704645E-2</v>
      </c>
    </row>
    <row r="845" spans="1:42" x14ac:dyDescent="0.25">
      <c r="A845" s="37">
        <v>39181</v>
      </c>
      <c r="B845" s="39">
        <v>1452.849976</v>
      </c>
      <c r="C845" s="36">
        <f>IF(ISBLANK(B846), "", GSPC[[#This Row],[Adj Close]]/B846-1)</f>
        <v>6.2960366937991896E-3</v>
      </c>
      <c r="D84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4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45" s="11" t="e">
        <f>IF(ISBLANK(GSPC[[#This Row],[Long Exp.]]), "", (GSPC[[#This Row],[Long Exp.]]/D846-1)+(E846/GSPC[[#This Row],[Short Exp.]]-1))</f>
        <v>#VALUE!</v>
      </c>
      <c r="G845" s="37">
        <v>39181</v>
      </c>
      <c r="H845">
        <v>19.851454</v>
      </c>
      <c r="I845" s="36">
        <f>IF(ISBLANK(H846), "", Long0[[#This Row],[Adj Close]]/H846-1)</f>
        <v>3.522155038859931E-2</v>
      </c>
      <c r="J845" s="29">
        <v>39181</v>
      </c>
      <c r="K845">
        <v>1.936782</v>
      </c>
      <c r="L845" s="33">
        <f>IF(ISBLANK(K846),"",Long1[[#This Row],[Adj Close]]/K846-1)</f>
        <v>5.2631521737358078E-2</v>
      </c>
      <c r="M845" s="37">
        <v>39181</v>
      </c>
      <c r="N845">
        <v>23.978435999999999</v>
      </c>
      <c r="O845" s="36">
        <f>IF(ISBLANK(N846),"",Long2[[#This Row],[Adj Close]]/N846-1)</f>
        <v>4.9618317603352446E-2</v>
      </c>
      <c r="P845" s="29">
        <v>39181</v>
      </c>
      <c r="Q845">
        <v>18.896006</v>
      </c>
      <c r="R845" s="33">
        <f>IF(ISBLANK(Q846),"",Long3[[#This Row],[Adj Close]]/Q846-1)</f>
        <v>-6.0704585150793688E-3</v>
      </c>
      <c r="S845" s="37">
        <v>39181</v>
      </c>
      <c r="T845" s="35">
        <v>34.053458999999997</v>
      </c>
      <c r="U845" s="36">
        <f>IF(ISBLANK(T846),"",Long4[[#This Row],[Adj Close]]/T846-1)</f>
        <v>9.6056667367834248E-3</v>
      </c>
      <c r="Y845" s="37">
        <v>39181</v>
      </c>
      <c r="Z845" s="35">
        <v>15.913736999999999</v>
      </c>
      <c r="AA845" s="36">
        <f>IF(ISBLANK(Z846),"",Long6[[#This Row],[Adj Close]]/Z846-1)</f>
        <v>2.4467038512588912E-2</v>
      </c>
      <c r="AH845" s="29">
        <v>39181</v>
      </c>
      <c r="AI845" s="44">
        <v>58.895668000000001</v>
      </c>
      <c r="AJ845" s="33">
        <f>IF(ISBLANK(AI846),"",Short0[[#This Row],[Adj Close]]/AI846-1)</f>
        <v>-6.6370465312444171E-3</v>
      </c>
      <c r="AK845" s="37">
        <v>39181</v>
      </c>
      <c r="AL845" s="39">
        <v>30.177752000000002</v>
      </c>
      <c r="AM845" s="36">
        <f>IF(ISBLANK(AL846),"",Short1[[#This Row],[Adj Close]]/AL846-1)</f>
        <v>-3.9835050591226273E-2</v>
      </c>
      <c r="AN845" s="29">
        <v>39181</v>
      </c>
      <c r="AO845" s="44">
        <v>34.396248</v>
      </c>
      <c r="AP845" s="33">
        <f>IF(ISBLANK(AO846),"",Short2[[#This Row],[Adj Close]]/AO846-1)</f>
        <v>-3.7237124468925242E-2</v>
      </c>
    </row>
    <row r="846" spans="1:42" x14ac:dyDescent="0.25">
      <c r="A846" s="37">
        <v>39174</v>
      </c>
      <c r="B846" s="39">
        <v>1443.76001</v>
      </c>
      <c r="C846" s="36">
        <f>IF(ISBLANK(B847), "", GSPC[[#This Row],[Adj Close]]/B847-1)</f>
        <v>1.6117017328769245E-2</v>
      </c>
      <c r="D84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4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46" s="11" t="e">
        <f>IF(ISBLANK(GSPC[[#This Row],[Long Exp.]]), "", (GSPC[[#This Row],[Long Exp.]]/D847-1)+(E847/GSPC[[#This Row],[Short Exp.]]-1))</f>
        <v>#VALUE!</v>
      </c>
      <c r="G846" s="37">
        <v>39174</v>
      </c>
      <c r="H846">
        <v>19.176044000000001</v>
      </c>
      <c r="I846" s="36">
        <f>IF(ISBLANK(H847), "", Long0[[#This Row],[Adj Close]]/H847-1)</f>
        <v>-3.3396050653889953E-3</v>
      </c>
      <c r="J846" s="29">
        <v>39174</v>
      </c>
      <c r="K846">
        <v>1.8399430000000001</v>
      </c>
      <c r="L846" s="33">
        <f>IF(ISBLANK(K847),"",Long1[[#This Row],[Adj Close]]/K847-1)</f>
        <v>7.5756704555971499E-3</v>
      </c>
      <c r="M846" s="37">
        <v>39174</v>
      </c>
      <c r="N846">
        <v>22.844909999999999</v>
      </c>
      <c r="O846" s="36">
        <f>IF(ISBLANK(N847),"",Long2[[#This Row],[Adj Close]]/N847-1)</f>
        <v>8.1020549881759107E-2</v>
      </c>
      <c r="P846" s="29">
        <v>39174</v>
      </c>
      <c r="Q846">
        <v>19.011413999999998</v>
      </c>
      <c r="R846" s="33">
        <f>IF(ISBLANK(Q847),"",Long3[[#This Row],[Adj Close]]/Q847-1)</f>
        <v>4.7188499740012269E-2</v>
      </c>
      <c r="S846" s="37">
        <v>39174</v>
      </c>
      <c r="T846" s="35">
        <v>33.729464999999998</v>
      </c>
      <c r="U846" s="36">
        <f>IF(ISBLANK(T847),"",Long4[[#This Row],[Adj Close]]/T847-1)</f>
        <v>7.8222942768022108E-2</v>
      </c>
      <c r="Y846" s="37">
        <v>39174</v>
      </c>
      <c r="Z846" s="35">
        <v>15.533674</v>
      </c>
      <c r="AA846" s="36">
        <f>IF(ISBLANK(Z847),"",Long6[[#This Row],[Adj Close]]/Z847-1)</f>
        <v>5.6328717572751152E-2</v>
      </c>
      <c r="AH846" s="29">
        <v>39174</v>
      </c>
      <c r="AI846" s="44">
        <v>59.289172999999998</v>
      </c>
      <c r="AJ846" s="33">
        <f>IF(ISBLANK(AI847),"",Short0[[#This Row],[Adj Close]]/AI847-1)</f>
        <v>2.6440393044379951E-2</v>
      </c>
      <c r="AK846" s="37">
        <v>39174</v>
      </c>
      <c r="AL846" s="39">
        <v>31.429758</v>
      </c>
      <c r="AM846" s="36">
        <f>IF(ISBLANK(AL847),"",Short1[[#This Row],[Adj Close]]/AL847-1)</f>
        <v>-5.5416719849344931E-3</v>
      </c>
      <c r="AN846" s="29">
        <v>39174</v>
      </c>
      <c r="AO846" s="44">
        <v>35.726604000000002</v>
      </c>
      <c r="AP846" s="33">
        <f>IF(ISBLANK(AO847),"",Short2[[#This Row],[Adj Close]]/AO847-1)</f>
        <v>1.1609241601790332E-2</v>
      </c>
    </row>
    <row r="847" spans="1:42" x14ac:dyDescent="0.25">
      <c r="A847" s="37">
        <v>39167</v>
      </c>
      <c r="B847" s="39">
        <v>1420.8599850000001</v>
      </c>
      <c r="C847" s="36">
        <f>IF(ISBLANK(B848), "", GSPC[[#This Row],[Adj Close]]/B848-1)</f>
        <v>-1.061896383931904E-2</v>
      </c>
      <c r="D84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4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47" s="11" t="e">
        <f>IF(ISBLANK(GSPC[[#This Row],[Long Exp.]]), "", (GSPC[[#This Row],[Long Exp.]]/D848-1)+(E848/GSPC[[#This Row],[Short Exp.]]-1))</f>
        <v>#VALUE!</v>
      </c>
      <c r="G847" s="37">
        <v>39167</v>
      </c>
      <c r="H847">
        <v>19.240299</v>
      </c>
      <c r="I847" s="36">
        <f>IF(ISBLANK(H848), "", Long0[[#This Row],[Adj Close]]/H848-1)</f>
        <v>4.0354361682765516E-2</v>
      </c>
      <c r="J847" s="29">
        <v>39167</v>
      </c>
      <c r="K847">
        <v>1.826109</v>
      </c>
      <c r="L847" s="33">
        <f>IF(ISBLANK(K848),"",Long1[[#This Row],[Adj Close]]/K848-1)</f>
        <v>1.5385000333622445E-2</v>
      </c>
      <c r="M847" s="37">
        <v>39167</v>
      </c>
      <c r="N847">
        <v>21.132725000000001</v>
      </c>
      <c r="O847" s="36">
        <f>IF(ISBLANK(N848),"",Long2[[#This Row],[Adj Close]]/N848-1)</f>
        <v>-3.5805159022814892E-2</v>
      </c>
      <c r="P847" s="29">
        <v>39167</v>
      </c>
      <c r="Q847">
        <v>18.154720000000001</v>
      </c>
      <c r="R847" s="33">
        <f>IF(ISBLANK(Q848),"",Long3[[#This Row],[Adj Close]]/Q848-1)</f>
        <v>3.1785977178622415E-2</v>
      </c>
      <c r="S847" s="37">
        <v>39167</v>
      </c>
      <c r="T847" s="35">
        <v>31.282458999999999</v>
      </c>
      <c r="U847" s="36">
        <f>IF(ISBLANK(T848),"",Long4[[#This Row],[Adj Close]]/T848-1)</f>
        <v>3.3812530125020945E-2</v>
      </c>
      <c r="Y847" s="37">
        <v>39167</v>
      </c>
      <c r="Z847" s="35">
        <v>14.705341000000001</v>
      </c>
      <c r="AA847" s="36">
        <f>IF(ISBLANK(Z848),"",Long6[[#This Row],[Adj Close]]/Z848-1)</f>
        <v>1.8906036938904469E-2</v>
      </c>
      <c r="AH847" s="29">
        <v>39167</v>
      </c>
      <c r="AI847" s="44">
        <v>57.761924999999998</v>
      </c>
      <c r="AJ847" s="33">
        <f>IF(ISBLANK(AI848),"",Short0[[#This Row],[Adj Close]]/AI848-1)</f>
        <v>-5.0329104419000514E-2</v>
      </c>
      <c r="AK847" s="37">
        <v>39167</v>
      </c>
      <c r="AL847" s="39">
        <v>31.604901999999999</v>
      </c>
      <c r="AM847" s="36">
        <f>IF(ISBLANK(AL848),"",Short1[[#This Row],[Adj Close]]/AL848-1)</f>
        <v>-2.5989293461136653E-2</v>
      </c>
      <c r="AN847" s="29">
        <v>39167</v>
      </c>
      <c r="AO847" s="44">
        <v>35.316605000000003</v>
      </c>
      <c r="AP847" s="33">
        <f>IF(ISBLANK(AO848),"",Short2[[#This Row],[Adj Close]]/AO848-1)</f>
        <v>-7.3936545811547405E-2</v>
      </c>
    </row>
    <row r="848" spans="1:42" x14ac:dyDescent="0.25">
      <c r="A848" s="37">
        <v>39160</v>
      </c>
      <c r="B848" s="39">
        <v>1436.1099850000001</v>
      </c>
      <c r="C848" s="36">
        <f>IF(ISBLANK(B849), "", GSPC[[#This Row],[Adj Close]]/B849-1)</f>
        <v>3.5444706540820325E-2</v>
      </c>
      <c r="D84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4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48" s="11" t="e">
        <f>IF(ISBLANK(GSPC[[#This Row],[Long Exp.]]), "", (GSPC[[#This Row],[Long Exp.]]/D849-1)+(E849/GSPC[[#This Row],[Short Exp.]]-1))</f>
        <v>#VALUE!</v>
      </c>
      <c r="G848" s="37">
        <v>39160</v>
      </c>
      <c r="H848">
        <v>18.493986</v>
      </c>
      <c r="I848" s="36">
        <f>IF(ISBLANK(H849), "", Long0[[#This Row],[Adj Close]]/H849-1)</f>
        <v>4.634401105932251E-2</v>
      </c>
      <c r="J848" s="29">
        <v>39160</v>
      </c>
      <c r="K848">
        <v>1.79844</v>
      </c>
      <c r="L848" s="33">
        <f>IF(ISBLANK(K849),"",Long1[[#This Row],[Adj Close]]/K849-1)</f>
        <v>1.5624823523299414E-2</v>
      </c>
      <c r="M848" s="37">
        <v>39160</v>
      </c>
      <c r="N848">
        <v>21.917484000000002</v>
      </c>
      <c r="O848" s="36">
        <f>IF(ISBLANK(N849),"",Long2[[#This Row],[Adj Close]]/N849-1)</f>
        <v>4.2216912899656789E-2</v>
      </c>
      <c r="P848" s="29">
        <v>39160</v>
      </c>
      <c r="Q848">
        <v>17.595431999999999</v>
      </c>
      <c r="R848" s="33">
        <f>IF(ISBLANK(Q849),"",Long3[[#This Row],[Adj Close]]/Q849-1)</f>
        <v>5.0344250158577575E-2</v>
      </c>
      <c r="S848" s="37">
        <v>39160</v>
      </c>
      <c r="T848" s="35">
        <v>30.259315000000001</v>
      </c>
      <c r="U848" s="36">
        <f>IF(ISBLANK(T849),"",Long4[[#This Row],[Adj Close]]/T849-1)</f>
        <v>1.128097736135425E-3</v>
      </c>
      <c r="Y848" s="37">
        <v>39160</v>
      </c>
      <c r="Z848" s="35">
        <v>14.43248</v>
      </c>
      <c r="AA848" s="36">
        <f>IF(ISBLANK(Z849),"",Long6[[#This Row],[Adj Close]]/Z849-1)</f>
        <v>0.20700864665144025</v>
      </c>
      <c r="AH848" s="29">
        <v>39160</v>
      </c>
      <c r="AI848" s="44">
        <v>60.823096999999997</v>
      </c>
      <c r="AJ848" s="33">
        <f>IF(ISBLANK(AI849),"",Short0[[#This Row],[Adj Close]]/AI849-1)</f>
        <v>5.2631472376112987E-2</v>
      </c>
      <c r="AK848" s="37">
        <v>39160</v>
      </c>
      <c r="AL848" s="39">
        <v>32.448208000000001</v>
      </c>
      <c r="AM848" s="36">
        <f>IF(ISBLANK(AL849),"",Short1[[#This Row],[Adj Close]]/AL849-1)</f>
        <v>4.5349946112375417E-2</v>
      </c>
      <c r="AN848" s="29">
        <v>39160</v>
      </c>
      <c r="AO848" s="44">
        <v>38.136268999999999</v>
      </c>
      <c r="AP848" s="33">
        <f>IF(ISBLANK(AO849),"",Short2[[#This Row],[Adj Close]]/AO849-1)</f>
        <v>8.8540764615310241E-3</v>
      </c>
    </row>
    <row r="849" spans="1:42" x14ac:dyDescent="0.25">
      <c r="A849" s="37">
        <v>39153</v>
      </c>
      <c r="B849" s="39">
        <v>1386.9499510000001</v>
      </c>
      <c r="C849" s="36">
        <f>IF(ISBLANK(B850), "", GSPC[[#This Row],[Adj Close]]/B850-1)</f>
        <v>-1.1327033293261568E-2</v>
      </c>
      <c r="D84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4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49" s="11" t="e">
        <f>IF(ISBLANK(GSPC[[#This Row],[Long Exp.]]), "", (GSPC[[#This Row],[Long Exp.]]/D850-1)+(E850/GSPC[[#This Row],[Short Exp.]]-1))</f>
        <v>#VALUE!</v>
      </c>
      <c r="G849" s="37">
        <v>39153</v>
      </c>
      <c r="H849">
        <v>17.674862000000001</v>
      </c>
      <c r="I849" s="36">
        <f>IF(ISBLANK(H850), "", Long0[[#This Row],[Adj Close]]/H850-1)</f>
        <v>-2.2647169887587748E-2</v>
      </c>
      <c r="J849" s="29">
        <v>39153</v>
      </c>
      <c r="K849">
        <v>1.770772</v>
      </c>
      <c r="L849" s="33">
        <f>IF(ISBLANK(K850),"",Long1[[#This Row],[Adj Close]]/K850-1)</f>
        <v>-1.538444429616781E-2</v>
      </c>
      <c r="M849" s="37">
        <v>39153</v>
      </c>
      <c r="N849">
        <v>21.029675999999998</v>
      </c>
      <c r="O849" s="36">
        <f>IF(ISBLANK(N850),"",Long2[[#This Row],[Adj Close]]/N850-1)</f>
        <v>-5.9953630363638322E-3</v>
      </c>
      <c r="P849" s="29">
        <v>39153</v>
      </c>
      <c r="Q849">
        <v>16.752061999999999</v>
      </c>
      <c r="R849" s="33">
        <f>IF(ISBLANK(Q850),"",Long3[[#This Row],[Adj Close]]/Q850-1)</f>
        <v>1.2144847348676047E-2</v>
      </c>
      <c r="S849" s="37">
        <v>39153</v>
      </c>
      <c r="T849" s="35">
        <v>30.225218000000002</v>
      </c>
      <c r="U849" s="36">
        <f>IF(ISBLANK(T850),"",Long4[[#This Row],[Adj Close]]/T850-1)</f>
        <v>-2.7968169041306945E-2</v>
      </c>
      <c r="Y849" s="37">
        <v>39153</v>
      </c>
      <c r="Z849" s="35">
        <v>11.957229999999999</v>
      </c>
      <c r="AA849" s="36">
        <f>IF(ISBLANK(Z850),"",Long6[[#This Row],[Adj Close]]/Z850-1)</f>
        <v>-8.8848855655816461E-3</v>
      </c>
      <c r="AH849" s="29">
        <v>39153</v>
      </c>
      <c r="AI849" s="44">
        <v>57.781948</v>
      </c>
      <c r="AJ849" s="33">
        <f>IF(ISBLANK(AI850),"",Short0[[#This Row],[Adj Close]]/AI850-1)</f>
        <v>-5.766122228749726E-4</v>
      </c>
      <c r="AK849" s="37">
        <v>39153</v>
      </c>
      <c r="AL849" s="39">
        <v>31.040521999999999</v>
      </c>
      <c r="AM849" s="36">
        <f>IF(ISBLANK(AL850),"",Short1[[#This Row],[Adj Close]]/AL850-1)</f>
        <v>-1.0136712043885665E-2</v>
      </c>
      <c r="AN849" s="29">
        <v>39153</v>
      </c>
      <c r="AO849" s="44">
        <v>37.801571000000003</v>
      </c>
      <c r="AP849" s="33">
        <f>IF(ISBLANK(AO850),"",Short2[[#This Row],[Adj Close]]/AO850-1)</f>
        <v>-6.3627507875357869E-2</v>
      </c>
    </row>
    <row r="850" spans="1:42" x14ac:dyDescent="0.25">
      <c r="A850" s="37">
        <v>39146</v>
      </c>
      <c r="B850" s="39">
        <v>1402.839966</v>
      </c>
      <c r="C850" s="36">
        <f>IF(ISBLANK(B851), "", GSPC[[#This Row],[Adj Close]]/B851-1)</f>
        <v>1.12963238124828E-2</v>
      </c>
      <c r="D85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5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50" s="11" t="e">
        <f>IF(ISBLANK(GSPC[[#This Row],[Long Exp.]]), "", (GSPC[[#This Row],[Long Exp.]]/D851-1)+(E851/GSPC[[#This Row],[Short Exp.]]-1))</f>
        <v>#VALUE!</v>
      </c>
      <c r="G850" s="37">
        <v>39146</v>
      </c>
      <c r="H850">
        <v>18.084423000000001</v>
      </c>
      <c r="I850" s="36">
        <f>IF(ISBLANK(H851), "", Long0[[#This Row],[Adj Close]]/H851-1)</f>
        <v>0</v>
      </c>
      <c r="J850" s="29">
        <v>39146</v>
      </c>
      <c r="K850">
        <v>1.79844</v>
      </c>
      <c r="L850" s="33">
        <f>IF(ISBLANK(K851),"",Long1[[#This Row],[Adj Close]]/K851-1)</f>
        <v>4.8386532636600865E-2</v>
      </c>
      <c r="M850" s="37">
        <v>39146</v>
      </c>
      <c r="N850">
        <v>21.156517000000001</v>
      </c>
      <c r="O850" s="36">
        <f>IF(ISBLANK(N851),"",Long2[[#This Row],[Adj Close]]/N851-1)</f>
        <v>8.2320217657891881E-2</v>
      </c>
      <c r="P850" s="29">
        <v>39146</v>
      </c>
      <c r="Q850">
        <v>16.551051999999999</v>
      </c>
      <c r="R850" s="33">
        <f>IF(ISBLANK(Q851),"",Long3[[#This Row],[Adj Close]]/Q851-1)</f>
        <v>-6.869565619157747E-3</v>
      </c>
      <c r="S850" s="37">
        <v>39146</v>
      </c>
      <c r="T850" s="35">
        <v>31.094885000000001</v>
      </c>
      <c r="U850" s="36">
        <f>IF(ISBLANK(T851),"",Long4[[#This Row],[Adj Close]]/T851-1)</f>
        <v>7.264716501013746E-2</v>
      </c>
      <c r="Y850" s="37">
        <v>39146</v>
      </c>
      <c r="Z850" s="35">
        <v>12.064420999999999</v>
      </c>
      <c r="AA850" s="36">
        <f>IF(ISBLANK(Z851),"",Long6[[#This Row],[Adj Close]]/Z851-1)</f>
        <v>9.7879218044305549E-3</v>
      </c>
      <c r="AH850" s="29">
        <v>39146</v>
      </c>
      <c r="AI850" s="44">
        <v>57.815285000000003</v>
      </c>
      <c r="AJ850" s="33">
        <f>IF(ISBLANK(AI851),"",Short0[[#This Row],[Adj Close]]/AI851-1)</f>
        <v>2.7011084381934003E-2</v>
      </c>
      <c r="AK850" s="37">
        <v>39146</v>
      </c>
      <c r="AL850" s="39">
        <v>31.358393</v>
      </c>
      <c r="AM850" s="36">
        <f>IF(ISBLANK(AL851),"",Short1[[#This Row],[Adj Close]]/AL851-1)</f>
        <v>4.2934242320163296E-2</v>
      </c>
      <c r="AN850" s="29">
        <v>39146</v>
      </c>
      <c r="AO850" s="44">
        <v>40.370227999999997</v>
      </c>
      <c r="AP850" s="33">
        <f>IF(ISBLANK(AO851),"",Short2[[#This Row],[Adj Close]]/AO851-1)</f>
        <v>-9.2400786703600302E-3</v>
      </c>
    </row>
    <row r="851" spans="1:42" x14ac:dyDescent="0.25">
      <c r="A851" s="37">
        <v>39139</v>
      </c>
      <c r="B851" s="39">
        <v>1387.170044</v>
      </c>
      <c r="C851" s="36">
        <f>IF(ISBLANK(B852), "", GSPC[[#This Row],[Adj Close]]/B852-1)</f>
        <v>-4.4115449805202434E-2</v>
      </c>
      <c r="D85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5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51" s="11" t="e">
        <f>IF(ISBLANK(GSPC[[#This Row],[Long Exp.]]), "", (GSPC[[#This Row],[Long Exp.]]/D852-1)+(E852/GSPC[[#This Row],[Short Exp.]]-1))</f>
        <v>#VALUE!</v>
      </c>
      <c r="G851" s="37">
        <v>39139</v>
      </c>
      <c r="H851">
        <v>18.084423000000001</v>
      </c>
      <c r="I851" s="36">
        <f>IF(ISBLANK(H852), "", Long0[[#This Row],[Adj Close]]/H852-1)</f>
        <v>-8.9367633889636533E-2</v>
      </c>
      <c r="J851" s="29">
        <v>39139</v>
      </c>
      <c r="K851">
        <v>1.715436</v>
      </c>
      <c r="L851" s="33">
        <f>IF(ISBLANK(K852),"",Long1[[#This Row],[Adj Close]]/K852-1)</f>
        <v>-8.1481100721724098E-2</v>
      </c>
      <c r="M851" s="37">
        <v>39139</v>
      </c>
      <c r="N851">
        <v>19.547373</v>
      </c>
      <c r="O851" s="36">
        <f>IF(ISBLANK(N852),"",Long2[[#This Row],[Adj Close]]/N852-1)</f>
        <v>-6.8379772383408643E-2</v>
      </c>
      <c r="P851" s="29">
        <v>39139</v>
      </c>
      <c r="Q851">
        <v>16.665537</v>
      </c>
      <c r="R851" s="33">
        <f>IF(ISBLANK(Q852),"",Long3[[#This Row],[Adj Close]]/Q852-1)</f>
        <v>7.7207119932678481E-3</v>
      </c>
      <c r="S851" s="37">
        <v>39139</v>
      </c>
      <c r="T851" s="35">
        <v>28.988921999999999</v>
      </c>
      <c r="U851" s="36">
        <f>IF(ISBLANK(T852),"",Long4[[#This Row],[Adj Close]]/T852-1)</f>
        <v>2.1020994155696471E-2</v>
      </c>
      <c r="Y851" s="37">
        <v>39139</v>
      </c>
      <c r="Z851" s="35">
        <v>11.947480000000001</v>
      </c>
      <c r="AA851" s="36">
        <f>IF(ISBLANK(Z852),"",Long6[[#This Row],[Adj Close]]/Z852-1)</f>
        <v>-0.11544028862126698</v>
      </c>
      <c r="AH851" s="29">
        <v>39139</v>
      </c>
      <c r="AI851" s="44">
        <v>56.294704000000003</v>
      </c>
      <c r="AJ851" s="33">
        <f>IF(ISBLANK(AI852),"",Short0[[#This Row],[Adj Close]]/AI852-1)</f>
        <v>-8.080140235549893E-2</v>
      </c>
      <c r="AK851" s="37">
        <v>39139</v>
      </c>
      <c r="AL851" s="39">
        <v>30.067468999999999</v>
      </c>
      <c r="AM851" s="36">
        <f>IF(ISBLANK(AL852),"",Short1[[#This Row],[Adj Close]]/AL852-1)</f>
        <v>-5.9837603057601774E-2</v>
      </c>
      <c r="AN851" s="29">
        <v>39139</v>
      </c>
      <c r="AO851" s="44">
        <v>40.746730999999997</v>
      </c>
      <c r="AP851" s="33">
        <f>IF(ISBLANK(AO852),"",Short2[[#This Row],[Adj Close]]/AO852-1)</f>
        <v>-4.4536025230024423E-2</v>
      </c>
    </row>
    <row r="852" spans="1:42" x14ac:dyDescent="0.25">
      <c r="A852" s="37">
        <v>39132</v>
      </c>
      <c r="B852" s="39">
        <v>1451.1899410000001</v>
      </c>
      <c r="C852" s="36">
        <f>IF(ISBLANK(B853), "", GSPC[[#This Row],[Adj Close]]/B853-1)</f>
        <v>-2.9886488062454974E-3</v>
      </c>
      <c r="D85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5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52" s="11" t="e">
        <f>IF(ISBLANK(GSPC[[#This Row],[Long Exp.]]), "", (GSPC[[#This Row],[Long Exp.]]/D853-1)+(E853/GSPC[[#This Row],[Short Exp.]]-1))</f>
        <v>#VALUE!</v>
      </c>
      <c r="G852" s="37">
        <v>39132</v>
      </c>
      <c r="H852">
        <v>19.859192</v>
      </c>
      <c r="I852" s="36">
        <f>IF(ISBLANK(H853), "", Long0[[#This Row],[Adj Close]]/H853-1)</f>
        <v>-1.043056592420033E-2</v>
      </c>
      <c r="J852" s="29">
        <v>39132</v>
      </c>
      <c r="K852">
        <v>1.8676109999999999</v>
      </c>
      <c r="L852" s="33">
        <f>IF(ISBLANK(K853),"",Long1[[#This Row],[Adj Close]]/K853-1)</f>
        <v>-0.12337664166424145</v>
      </c>
      <c r="M852" s="37">
        <v>39132</v>
      </c>
      <c r="N852">
        <v>20.982126000000001</v>
      </c>
      <c r="O852" s="36">
        <f>IF(ISBLANK(N853),"",Long2[[#This Row],[Adj Close]]/N853-1)</f>
        <v>4.9147846254711691E-2</v>
      </c>
      <c r="P852" s="29">
        <v>39132</v>
      </c>
      <c r="Q852">
        <v>16.537852999999998</v>
      </c>
      <c r="R852" s="33">
        <f>IF(ISBLANK(Q853),"",Long3[[#This Row],[Adj Close]]/Q853-1)</f>
        <v>1.3765336800444006E-2</v>
      </c>
      <c r="S852" s="37">
        <v>39132</v>
      </c>
      <c r="T852" s="35">
        <v>28.392092000000002</v>
      </c>
      <c r="U852" s="36">
        <f>IF(ISBLANK(T853),"",Long4[[#This Row],[Adj Close]]/T853-1)</f>
        <v>3.3198828448320006E-2</v>
      </c>
      <c r="Y852" s="37">
        <v>39132</v>
      </c>
      <c r="Z852" s="35">
        <v>13.506697000000001</v>
      </c>
      <c r="AA852" s="36">
        <f>IF(ISBLANK(Z853),"",Long6[[#This Row],[Adj Close]]/Z853-1)</f>
        <v>2.9717708301806089E-2</v>
      </c>
      <c r="AH852" s="29">
        <v>39132</v>
      </c>
      <c r="AI852" s="44">
        <v>61.243243999999997</v>
      </c>
      <c r="AJ852" s="33">
        <f>IF(ISBLANK(AI853),"",Short0[[#This Row],[Adj Close]]/AI853-1)</f>
        <v>-1.3049695703600817E-3</v>
      </c>
      <c r="AK852" s="37">
        <v>39132</v>
      </c>
      <c r="AL852" s="39">
        <v>31.981144</v>
      </c>
      <c r="AM852" s="36">
        <f>IF(ISBLANK(AL853),"",Short1[[#This Row],[Adj Close]]/AL853-1)</f>
        <v>-1.4000354984171626E-2</v>
      </c>
      <c r="AN852" s="29">
        <v>39132</v>
      </c>
      <c r="AO852" s="44">
        <v>42.646014999999998</v>
      </c>
      <c r="AP852" s="33">
        <f>IF(ISBLANK(AO853),"",Short2[[#This Row],[Adj Close]]/AO853-1)</f>
        <v>-3.757541577693313E-2</v>
      </c>
    </row>
    <row r="853" spans="1:42" x14ac:dyDescent="0.25">
      <c r="A853" s="37">
        <v>39125</v>
      </c>
      <c r="B853" s="39">
        <v>1455.540039</v>
      </c>
      <c r="C853" s="36">
        <f>IF(ISBLANK(B854), "", GSPC[[#This Row],[Adj Close]]/B854-1)</f>
        <v>1.2155250325327493E-2</v>
      </c>
      <c r="D85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5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53" s="11" t="e">
        <f>IF(ISBLANK(GSPC[[#This Row],[Long Exp.]]), "", (GSPC[[#This Row],[Long Exp.]]/D854-1)+(E854/GSPC[[#This Row],[Short Exp.]]-1))</f>
        <v>#VALUE!</v>
      </c>
      <c r="G853" s="37">
        <v>39125</v>
      </c>
      <c r="H853">
        <v>20.068518000000001</v>
      </c>
      <c r="I853" s="36">
        <f>IF(ISBLANK(H854), "", Long0[[#This Row],[Adj Close]]/H854-1)</f>
        <v>-1.3422961324208948E-2</v>
      </c>
      <c r="J853" s="29">
        <v>39125</v>
      </c>
      <c r="K853">
        <v>2.1304599999999998</v>
      </c>
      <c r="L853" s="33">
        <f>IF(ISBLANK(K854),"",Long1[[#This Row],[Adj Close]]/K854-1)</f>
        <v>3.3557157681431304E-2</v>
      </c>
      <c r="M853" s="37">
        <v>39125</v>
      </c>
      <c r="N853">
        <v>19.999207999999999</v>
      </c>
      <c r="O853" s="36">
        <f>IF(ISBLANK(N854),"",Long2[[#This Row],[Adj Close]]/N854-1)</f>
        <v>0.18841306048745032</v>
      </c>
      <c r="P853" s="29">
        <v>39125</v>
      </c>
      <c r="Q853">
        <v>16.313295</v>
      </c>
      <c r="R853" s="33">
        <f>IF(ISBLANK(Q854),"",Long3[[#This Row],[Adj Close]]/Q854-1)</f>
        <v>3.7929062481887321E-3</v>
      </c>
      <c r="S853" s="37">
        <v>39125</v>
      </c>
      <c r="T853" s="35">
        <v>27.479794999999999</v>
      </c>
      <c r="U853" s="36">
        <f>IF(ISBLANK(T854),"",Long4[[#This Row],[Adj Close]]/T854-1)</f>
        <v>-1.407150747294883E-2</v>
      </c>
      <c r="Y853" s="37">
        <v>39125</v>
      </c>
      <c r="Z853" s="35">
        <v>13.116892999999999</v>
      </c>
      <c r="AA853" s="36">
        <f>IF(ISBLANK(Z854),"",Long6[[#This Row],[Adj Close]]/Z854-1)</f>
        <v>2.3574157838654353E-2</v>
      </c>
      <c r="AH853" s="29">
        <v>39125</v>
      </c>
      <c r="AI853" s="44">
        <v>61.323269000000003</v>
      </c>
      <c r="AJ853" s="33">
        <f>IF(ISBLANK(AI854),"",Short0[[#This Row],[Adj Close]]/AI854-1)</f>
        <v>-2.0975472176941956E-2</v>
      </c>
      <c r="AK853" s="37">
        <v>39125</v>
      </c>
      <c r="AL853" s="39">
        <v>32.435248999999999</v>
      </c>
      <c r="AM853" s="36">
        <f>IF(ISBLANK(AL854),"",Short1[[#This Row],[Adj Close]]/AL854-1)</f>
        <v>-1.960728069378681E-2</v>
      </c>
      <c r="AN853" s="29">
        <v>39125</v>
      </c>
      <c r="AO853" s="44">
        <v>44.311019999999999</v>
      </c>
      <c r="AP853" s="33">
        <f>IF(ISBLANK(AO854),"",Short2[[#This Row],[Adj Close]]/AO854-1)</f>
        <v>4.7426571124209449E-3</v>
      </c>
    </row>
    <row r="854" spans="1:42" x14ac:dyDescent="0.25">
      <c r="A854" s="37">
        <v>39118</v>
      </c>
      <c r="B854" s="39">
        <v>1438.0600589999999</v>
      </c>
      <c r="C854" s="36">
        <f>IF(ISBLANK(B855), "", GSPC[[#This Row],[Adj Close]]/B855-1)</f>
        <v>-7.1320265211853862E-3</v>
      </c>
      <c r="D85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5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54" s="11" t="e">
        <f>IF(ISBLANK(GSPC[[#This Row],[Long Exp.]]), "", (GSPC[[#This Row],[Long Exp.]]/D855-1)+(E855/GSPC[[#This Row],[Short Exp.]]-1))</f>
        <v>#VALUE!</v>
      </c>
      <c r="G854" s="37">
        <v>39118</v>
      </c>
      <c r="H854">
        <v>20.341562</v>
      </c>
      <c r="I854" s="36">
        <f>IF(ISBLANK(H855), "", Long0[[#This Row],[Adj Close]]/H855-1)</f>
        <v>-1.1499402838897721E-2</v>
      </c>
      <c r="J854" s="29">
        <v>39118</v>
      </c>
      <c r="K854">
        <v>2.0612889999999999</v>
      </c>
      <c r="L854" s="33">
        <f>IF(ISBLANK(K855),"",Long1[[#This Row],[Adj Close]]/K855-1)</f>
        <v>3.4721821336978431E-2</v>
      </c>
      <c r="M854" s="37">
        <v>39118</v>
      </c>
      <c r="N854">
        <v>16.828499000000001</v>
      </c>
      <c r="O854" s="36">
        <f>IF(ISBLANK(N855),"",Long2[[#This Row],[Adj Close]]/N855-1)</f>
        <v>1.82252559933469E-2</v>
      </c>
      <c r="P854" s="29">
        <v>39118</v>
      </c>
      <c r="Q854">
        <v>16.251653999999998</v>
      </c>
      <c r="R854" s="33">
        <f>IF(ISBLANK(Q855),"",Long3[[#This Row],[Adj Close]]/Q855-1)</f>
        <v>3.4183574801757599E-2</v>
      </c>
      <c r="S854" s="37">
        <v>39118</v>
      </c>
      <c r="T854" s="35">
        <v>27.871995999999999</v>
      </c>
      <c r="U854" s="36">
        <f>IF(ISBLANK(T855),"",Long4[[#This Row],[Adj Close]]/T855-1)</f>
        <v>0.19350151350161626</v>
      </c>
      <c r="Y854" s="37">
        <v>39118</v>
      </c>
      <c r="Z854" s="35">
        <v>12.814795</v>
      </c>
      <c r="AA854" s="36">
        <f>IF(ISBLANK(Z855),"",Long6[[#This Row],[Adj Close]]/Z855-1)</f>
        <v>-4.5718663531996606E-2</v>
      </c>
      <c r="AH854" s="29">
        <v>39118</v>
      </c>
      <c r="AI854" s="44">
        <v>62.637112000000002</v>
      </c>
      <c r="AJ854" s="33">
        <f>IF(ISBLANK(AI855),"",Short0[[#This Row],[Adj Close]]/AI855-1)</f>
        <v>-9.0363392037370427E-2</v>
      </c>
      <c r="AK854" s="37">
        <v>39118</v>
      </c>
      <c r="AL854" s="39">
        <v>33.083934999999997</v>
      </c>
      <c r="AM854" s="36">
        <f>IF(ISBLANK(AL855),"",Short1[[#This Row],[Adj Close]]/AL855-1)</f>
        <v>-3.7120862000934451E-3</v>
      </c>
      <c r="AN854" s="29">
        <v>39118</v>
      </c>
      <c r="AO854" s="44">
        <v>44.101860000000002</v>
      </c>
      <c r="AP854" s="33">
        <f>IF(ISBLANK(AO855),"",Short2[[#This Row],[Adj Close]]/AO855-1)</f>
        <v>-5.7822498296834945E-2</v>
      </c>
    </row>
    <row r="855" spans="1:42" x14ac:dyDescent="0.25">
      <c r="A855" s="37">
        <v>39111</v>
      </c>
      <c r="B855" s="39">
        <v>1448.3900149999999</v>
      </c>
      <c r="C855" s="36">
        <f>IF(ISBLANK(B856), "", GSPC[[#This Row],[Adj Close]]/B856-1)</f>
        <v>1.842942525194502E-2</v>
      </c>
      <c r="D85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5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55" s="11" t="e">
        <f>IF(ISBLANK(GSPC[[#This Row],[Long Exp.]]), "", (GSPC[[#This Row],[Long Exp.]]/D856-1)+(E856/GSPC[[#This Row],[Short Exp.]]-1))</f>
        <v>#VALUE!</v>
      </c>
      <c r="G855" s="37">
        <v>39111</v>
      </c>
      <c r="H855">
        <v>20.578199000000001</v>
      </c>
      <c r="I855" s="36">
        <f>IF(ISBLANK(H856), "", Long0[[#This Row],[Adj Close]]/H856-1)</f>
        <v>4.8214817471898375E-2</v>
      </c>
      <c r="J855" s="29">
        <v>39111</v>
      </c>
      <c r="K855">
        <v>1.992119</v>
      </c>
      <c r="L855" s="33">
        <f>IF(ISBLANK(K856),"",Long1[[#This Row],[Adj Close]]/K856-1)</f>
        <v>4.3478283643616944E-2</v>
      </c>
      <c r="M855" s="37">
        <v>39111</v>
      </c>
      <c r="N855">
        <v>16.527284999999999</v>
      </c>
      <c r="O855" s="36">
        <f>IF(ISBLANK(N856),"",Long2[[#This Row],[Adj Close]]/N856-1)</f>
        <v>4.5112188111132046E-2</v>
      </c>
      <c r="P855" s="29">
        <v>39111</v>
      </c>
      <c r="Q855">
        <v>15.714477</v>
      </c>
      <c r="R855" s="33">
        <f>IF(ISBLANK(Q856),"",Long3[[#This Row],[Adj Close]]/Q856-1)</f>
        <v>1.420829517689981E-2</v>
      </c>
      <c r="S855" s="37">
        <v>39111</v>
      </c>
      <c r="T855" s="35">
        <v>23.35313</v>
      </c>
      <c r="U855" s="36">
        <f>IF(ISBLANK(T856),"",Long4[[#This Row],[Adj Close]]/T856-1)</f>
        <v>3.8286380402128062E-2</v>
      </c>
      <c r="Y855" s="37">
        <v>39111</v>
      </c>
      <c r="Z855" s="35">
        <v>13.428739</v>
      </c>
      <c r="AA855" s="36">
        <f>IF(ISBLANK(Z856),"",Long6[[#This Row],[Adj Close]]/Z856-1)</f>
        <v>2.6825761356130684E-2</v>
      </c>
      <c r="AH855" s="29">
        <v>39111</v>
      </c>
      <c r="AI855" s="44">
        <v>68.859488999999996</v>
      </c>
      <c r="AJ855" s="33">
        <f>IF(ISBLANK(AI856),"",Short0[[#This Row],[Adj Close]]/AI856-1)</f>
        <v>-1.4695920828011966E-2</v>
      </c>
      <c r="AK855" s="37">
        <v>39111</v>
      </c>
      <c r="AL855" s="39">
        <v>33.207203</v>
      </c>
      <c r="AM855" s="36">
        <f>IF(ISBLANK(AL856),"",Short1[[#This Row],[Adj Close]]/AL856-1)</f>
        <v>3.3723710784881566E-2</v>
      </c>
      <c r="AN855" s="29">
        <v>39111</v>
      </c>
      <c r="AO855" s="44">
        <v>46.808441000000002</v>
      </c>
      <c r="AP855" s="33">
        <f>IF(ISBLANK(AO856),"",Short2[[#This Row],[Adj Close]]/AO856-1)</f>
        <v>8.5089371711401629E-2</v>
      </c>
    </row>
    <row r="856" spans="1:42" x14ac:dyDescent="0.25">
      <c r="A856" s="37">
        <v>39104</v>
      </c>
      <c r="B856" s="39">
        <v>1422.1800539999999</v>
      </c>
      <c r="C856" s="36">
        <f>IF(ISBLANK(B857), "", GSPC[[#This Row],[Adj Close]]/B857-1)</f>
        <v>-5.8161104508913652E-3</v>
      </c>
      <c r="D85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5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56" s="11" t="e">
        <f>IF(ISBLANK(GSPC[[#This Row],[Long Exp.]]), "", (GSPC[[#This Row],[Long Exp.]]/D857-1)+(E857/GSPC[[#This Row],[Short Exp.]]-1))</f>
        <v>#VALUE!</v>
      </c>
      <c r="G856" s="37">
        <v>39104</v>
      </c>
      <c r="H856">
        <v>19.631661999999999</v>
      </c>
      <c r="I856" s="36">
        <f>IF(ISBLANK(H857), "", Long0[[#This Row],[Adj Close]]/H857-1)</f>
        <v>2.9594480582091576E-2</v>
      </c>
      <c r="J856" s="29">
        <v>39104</v>
      </c>
      <c r="K856">
        <v>1.909114</v>
      </c>
      <c r="L856" s="33">
        <f>IF(ISBLANK(K857),"",Long1[[#This Row],[Adj Close]]/K857-1)</f>
        <v>-2.8168698617933807E-2</v>
      </c>
      <c r="M856" s="37">
        <v>39104</v>
      </c>
      <c r="N856">
        <v>15.813886</v>
      </c>
      <c r="O856" s="36">
        <f>IF(ISBLANK(N857),"",Long2[[#This Row],[Adj Close]]/N857-1)</f>
        <v>-8.0644520857061197E-2</v>
      </c>
      <c r="P856" s="29">
        <v>39104</v>
      </c>
      <c r="Q856">
        <v>15.494329</v>
      </c>
      <c r="R856" s="33">
        <f>IF(ISBLANK(Q857),"",Long3[[#This Row],[Adj Close]]/Q857-1)</f>
        <v>1.3245215437882818E-2</v>
      </c>
      <c r="S856" s="37">
        <v>39104</v>
      </c>
      <c r="T856" s="35">
        <v>22.491993000000001</v>
      </c>
      <c r="U856" s="36">
        <f>IF(ISBLANK(T857),"",Long4[[#This Row],[Adj Close]]/T857-1)</f>
        <v>-3.7763673020804189E-3</v>
      </c>
      <c r="Y856" s="37">
        <v>39104</v>
      </c>
      <c r="Z856" s="35">
        <v>13.077914</v>
      </c>
      <c r="AA856" s="36">
        <f>IF(ISBLANK(Z857),"",Long6[[#This Row],[Adj Close]]/Z857-1)</f>
        <v>-1.396026711764331E-2</v>
      </c>
      <c r="AH856" s="29">
        <v>39104</v>
      </c>
      <c r="AI856" s="44">
        <v>69.886536000000007</v>
      </c>
      <c r="AJ856" s="33">
        <f>IF(ISBLANK(AI857),"",Short0[[#This Row],[Adj Close]]/AI857-1)</f>
        <v>2.8714915408498687E-3</v>
      </c>
      <c r="AK856" s="37">
        <v>39104</v>
      </c>
      <c r="AL856" s="39">
        <v>32.123866999999997</v>
      </c>
      <c r="AM856" s="36">
        <f>IF(ISBLANK(AL857),"",Short1[[#This Row],[Adj Close]]/AL857-1)</f>
        <v>2.4291939395530981E-3</v>
      </c>
      <c r="AN856" s="29">
        <v>39104</v>
      </c>
      <c r="AO856" s="44">
        <v>43.137867</v>
      </c>
      <c r="AP856" s="33">
        <f>IF(ISBLANK(AO857),"",Short2[[#This Row],[Adj Close]]/AO857-1)</f>
        <v>-3.3096237435429332E-2</v>
      </c>
    </row>
    <row r="857" spans="1:42" x14ac:dyDescent="0.25">
      <c r="A857" s="37">
        <v>39097</v>
      </c>
      <c r="B857" s="39">
        <v>1430.5</v>
      </c>
      <c r="C857" s="36">
        <f>IF(ISBLANK(B858), "", GSPC[[#This Row],[Adj Close]]/B858-1)</f>
        <v>-1.6074311939706654E-4</v>
      </c>
      <c r="D85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5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57" s="11" t="e">
        <f>IF(ISBLANK(GSPC[[#This Row],[Long Exp.]]), "", (GSPC[[#This Row],[Long Exp.]]/D858-1)+(E858/GSPC[[#This Row],[Short Exp.]]-1))</f>
        <v>#VALUE!</v>
      </c>
      <c r="G857" s="37">
        <v>39097</v>
      </c>
      <c r="H857">
        <v>19.067373</v>
      </c>
      <c r="I857" s="36">
        <f>IF(ISBLANK(H858), "", Long0[[#This Row],[Adj Close]]/H858-1)</f>
        <v>7.2115081132371195E-3</v>
      </c>
      <c r="J857" s="29">
        <v>39097</v>
      </c>
      <c r="K857">
        <v>1.96445</v>
      </c>
      <c r="L857" s="33">
        <f>IF(ISBLANK(K858),"",Long1[[#This Row],[Adj Close]]/K858-1)</f>
        <v>9.2307777851916128E-2</v>
      </c>
      <c r="M857" s="37">
        <v>39097</v>
      </c>
      <c r="N857">
        <v>17.201056999999999</v>
      </c>
      <c r="O857" s="36">
        <f>IF(ISBLANK(N858),"",Long2[[#This Row],[Adj Close]]/N858-1)</f>
        <v>-1.8099761898115796E-2</v>
      </c>
      <c r="P857" s="29">
        <v>39097</v>
      </c>
      <c r="Q857">
        <v>15.291786</v>
      </c>
      <c r="R857" s="33">
        <f>IF(ISBLANK(Q858),"",Long3[[#This Row],[Adj Close]]/Q858-1)</f>
        <v>-7.1473793213018277E-3</v>
      </c>
      <c r="S857" s="37">
        <v>39097</v>
      </c>
      <c r="T857" s="35">
        <v>22.577252999999999</v>
      </c>
      <c r="U857" s="36">
        <f>IF(ISBLANK(T858),"",Long4[[#This Row],[Adj Close]]/T858-1)</f>
        <v>1.5128765512253395E-3</v>
      </c>
      <c r="Y857" s="37">
        <v>39097</v>
      </c>
      <c r="Z857" s="35">
        <v>13.263070000000001</v>
      </c>
      <c r="AA857" s="36">
        <f>IF(ISBLANK(Z858),"",Long6[[#This Row],[Adj Close]]/Z858-1)</f>
        <v>-3.8841665019210048E-2</v>
      </c>
      <c r="AH857" s="29">
        <v>39097</v>
      </c>
      <c r="AI857" s="44">
        <v>69.686431999999996</v>
      </c>
      <c r="AJ857" s="33">
        <f>IF(ISBLANK(AI858),"",Short0[[#This Row],[Adj Close]]/AI858-1)</f>
        <v>7.2291798002932506E-3</v>
      </c>
      <c r="AK857" s="37">
        <v>39097</v>
      </c>
      <c r="AL857" s="39">
        <v>32.046021000000003</v>
      </c>
      <c r="AM857" s="36">
        <f>IF(ISBLANK(AL858),"",Short1[[#This Row],[Adj Close]]/AL858-1)</f>
        <v>-5.235223254795085E-3</v>
      </c>
      <c r="AN857" s="29">
        <v>39097</v>
      </c>
      <c r="AO857" s="44">
        <v>44.614437000000002</v>
      </c>
      <c r="AP857" s="33">
        <f>IF(ISBLANK(AO858),"",Short2[[#This Row],[Adj Close]]/AO858-1)</f>
        <v>6.6400377526990351E-2</v>
      </c>
    </row>
    <row r="858" spans="1:42" x14ac:dyDescent="0.25">
      <c r="A858" s="37">
        <v>39090</v>
      </c>
      <c r="B858" s="39">
        <v>1430.7299800000001</v>
      </c>
      <c r="C858" s="36">
        <f>IF(ISBLANK(B859), "", GSPC[[#This Row],[Adj Close]]/B859-1)</f>
        <v>1.4910882083211785E-2</v>
      </c>
      <c r="D85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5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58" s="11" t="e">
        <f>IF(ISBLANK(GSPC[[#This Row],[Long Exp.]]), "", (GSPC[[#This Row],[Long Exp.]]/D859-1)+(E859/GSPC[[#This Row],[Short Exp.]]-1))</f>
        <v>#VALUE!</v>
      </c>
      <c r="G858" s="37">
        <v>39090</v>
      </c>
      <c r="H858">
        <v>18.930852999999999</v>
      </c>
      <c r="I858" s="36">
        <f>IF(ISBLANK(H859), "", Long0[[#This Row],[Adj Close]]/H859-1)</f>
        <v>2.5641174284016355E-2</v>
      </c>
      <c r="J858" s="29">
        <v>39090</v>
      </c>
      <c r="K858">
        <v>1.79844</v>
      </c>
      <c r="L858" s="33">
        <f>IF(ISBLANK(K859),"",Long1[[#This Row],[Adj Close]]/K859-1)</f>
        <v>1.5624823523299414E-2</v>
      </c>
      <c r="M858" s="37">
        <v>39090</v>
      </c>
      <c r="N858">
        <v>17.518131</v>
      </c>
      <c r="O858" s="36">
        <f>IF(ISBLANK(N859),"",Long2[[#This Row],[Adj Close]]/N859-1)</f>
        <v>8.4396396597157697E-2</v>
      </c>
      <c r="P858" s="29">
        <v>39090</v>
      </c>
      <c r="Q858">
        <v>15.401869</v>
      </c>
      <c r="R858" s="33">
        <f>IF(ISBLANK(Q859),"",Long3[[#This Row],[Adj Close]]/Q859-1)</f>
        <v>-1.6033010258655556E-2</v>
      </c>
      <c r="S858" s="37">
        <v>39090</v>
      </c>
      <c r="T858" s="35">
        <v>22.543147999999999</v>
      </c>
      <c r="U858" s="36">
        <f>IF(ISBLANK(T859),"",Long4[[#This Row],[Adj Close]]/T859-1)</f>
        <v>6.3983687735793549E-2</v>
      </c>
      <c r="Y858" s="37">
        <v>39090</v>
      </c>
      <c r="Z858" s="35">
        <v>13.799048000000001</v>
      </c>
      <c r="AA858" s="36">
        <f>IF(ISBLANK(Z859),"",Long6[[#This Row],[Adj Close]]/Z859-1)</f>
        <v>-2.6134908111253852E-2</v>
      </c>
      <c r="AH858" s="29">
        <v>39090</v>
      </c>
      <c r="AI858" s="44">
        <v>69.186272000000002</v>
      </c>
      <c r="AJ858" s="33">
        <f>IF(ISBLANK(AI859),"",Short0[[#This Row],[Adj Close]]/AI859-1)</f>
        <v>0.14075237159104792</v>
      </c>
      <c r="AK858" s="37">
        <v>39090</v>
      </c>
      <c r="AL858" s="39">
        <v>32.214672</v>
      </c>
      <c r="AM858" s="36">
        <f>IF(ISBLANK(AL859),"",Short1[[#This Row],[Adj Close]]/AL859-1)</f>
        <v>-6.800533579994994E-3</v>
      </c>
      <c r="AN858" s="29">
        <v>39090</v>
      </c>
      <c r="AO858" s="44">
        <v>41.836478999999997</v>
      </c>
      <c r="AP858" s="33">
        <f>IF(ISBLANK(AO859),"",Short2[[#This Row],[Adj Close]]/AO859-1)</f>
        <v>9.8676525130476644E-3</v>
      </c>
    </row>
    <row r="859" spans="1:42" x14ac:dyDescent="0.25">
      <c r="A859" s="37">
        <v>39083</v>
      </c>
      <c r="B859" s="39">
        <v>1409.709961</v>
      </c>
      <c r="C859" s="36">
        <f>IF(ISBLANK(B860), "", GSPC[[#This Row],[Adj Close]]/B860-1)</f>
        <v>-6.0566084067025239E-3</v>
      </c>
      <c r="D85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5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59" s="11" t="e">
        <f>IF(ISBLANK(GSPC[[#This Row],[Long Exp.]]), "", (GSPC[[#This Row],[Long Exp.]]/D860-1)+(E860/GSPC[[#This Row],[Short Exp.]]-1))</f>
        <v>#VALUE!</v>
      </c>
      <c r="G859" s="37">
        <v>39083</v>
      </c>
      <c r="H859">
        <v>18.457578999999999</v>
      </c>
      <c r="I859" s="36">
        <f>IF(ISBLANK(H860), "", Long0[[#This Row],[Adj Close]]/H860-1)</f>
        <v>1.9083150976708874E-2</v>
      </c>
      <c r="J859" s="29">
        <v>39083</v>
      </c>
      <c r="K859">
        <v>1.770772</v>
      </c>
      <c r="L859" s="33">
        <f>IF(ISBLANK(K860),"",Long1[[#This Row],[Adj Close]]/K860-1)</f>
        <v>7.8739261146381079E-3</v>
      </c>
      <c r="M859" s="37">
        <v>39083</v>
      </c>
      <c r="N859">
        <v>16.154730000000001</v>
      </c>
      <c r="O859" s="36">
        <f>IF(ISBLANK(N860),"",Long2[[#This Row],[Adj Close]]/N860-1)</f>
        <v>-4.5880085055409192E-2</v>
      </c>
      <c r="P859" s="29">
        <v>39083</v>
      </c>
      <c r="Q859">
        <v>15.652831000000001</v>
      </c>
      <c r="R859" s="33">
        <f>IF(ISBLANK(Q860),"",Long3[[#This Row],[Adj Close]]/Q860-1)</f>
        <v>-8.0916841660877425E-3</v>
      </c>
      <c r="S859" s="37">
        <v>39083</v>
      </c>
      <c r="T859" s="35">
        <v>21.187494000000001</v>
      </c>
      <c r="U859" s="36">
        <f>IF(ISBLANK(T860),"",Long4[[#This Row],[Adj Close]]/T860-1)</f>
        <v>4.0619868269152093E-2</v>
      </c>
      <c r="Y859" s="37">
        <v>39083</v>
      </c>
      <c r="Z859" s="35">
        <v>14.169363000000001</v>
      </c>
      <c r="AA859" s="36">
        <f>IF(ISBLANK(Z860),"",Long6[[#This Row],[Adj Close]]/Z860-1)</f>
        <v>-3.1312306099930409E-2</v>
      </c>
      <c r="AH859" s="29">
        <v>39083</v>
      </c>
      <c r="AI859" s="44">
        <v>60.649684999999998</v>
      </c>
      <c r="AJ859" s="33">
        <f>IF(ISBLANK(AI860),"",Short0[[#This Row],[Adj Close]]/AI860-1)</f>
        <v>1.6316139671753715E-2</v>
      </c>
      <c r="AK859" s="37">
        <v>39083</v>
      </c>
      <c r="AL859" s="39">
        <v>32.435248999999999</v>
      </c>
      <c r="AM859" s="36">
        <f>IF(ISBLANK(AL860),"",Short1[[#This Row],[Adj Close]]/AL860-1)</f>
        <v>1.8519164577648128E-2</v>
      </c>
      <c r="AN859" s="29">
        <v>39083</v>
      </c>
      <c r="AO859" s="44">
        <v>41.427684999999997</v>
      </c>
      <c r="AP859" s="33">
        <f>IF(ISBLANK(AO860),"",Short2[[#This Row],[Adj Close]]/AO860-1)</f>
        <v>-5.3374171601845655E-2</v>
      </c>
    </row>
    <row r="860" spans="1:42" x14ac:dyDescent="0.25">
      <c r="A860" s="37">
        <v>39076</v>
      </c>
      <c r="B860" s="39">
        <v>1418.3000489999999</v>
      </c>
      <c r="C860" s="36">
        <f>IF(ISBLANK(B861), "", GSPC[[#This Row],[Adj Close]]/B861-1)</f>
        <v>5.3446645400729853E-3</v>
      </c>
      <c r="D86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6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60" s="11" t="e">
        <f>IF(ISBLANK(GSPC[[#This Row],[Long Exp.]]), "", (GSPC[[#This Row],[Long Exp.]]/D861-1)+(E861/GSPC[[#This Row],[Short Exp.]]-1))</f>
        <v>#VALUE!</v>
      </c>
      <c r="G860" s="37">
        <v>39076</v>
      </c>
      <c r="H860">
        <v>18.111946</v>
      </c>
      <c r="I860" s="36">
        <f>IF(ISBLANK(H861), "", Long0[[#This Row],[Adj Close]]/H861-1)</f>
        <v>-6.4710131348960642E-3</v>
      </c>
      <c r="J860" s="29">
        <v>39076</v>
      </c>
      <c r="K860">
        <v>1.7569380000000001</v>
      </c>
      <c r="L860" s="33">
        <f>IF(ISBLANK(K861),"",Long1[[#This Row],[Adj Close]]/K861-1)</f>
        <v>-7.8124117616497069E-3</v>
      </c>
      <c r="M860" s="37">
        <v>39076</v>
      </c>
      <c r="N860">
        <v>16.931550999999999</v>
      </c>
      <c r="O860" s="36">
        <f>IF(ISBLANK(N861),"",Long2[[#This Row],[Adj Close]]/N861-1)</f>
        <v>-1.4760251097324484E-2</v>
      </c>
      <c r="P860" s="29">
        <v>39076</v>
      </c>
      <c r="Q860">
        <v>15.780521999999999</v>
      </c>
      <c r="R860" s="33">
        <f>IF(ISBLANK(Q861),"",Long3[[#This Row],[Adj Close]]/Q861-1)</f>
        <v>5.5827783366879657E-4</v>
      </c>
      <c r="S860" s="37">
        <v>39076</v>
      </c>
      <c r="T860" s="35">
        <v>20.360455000000002</v>
      </c>
      <c r="U860" s="36">
        <f>IF(ISBLANK(T861),"",Long4[[#This Row],[Adj Close]]/T861-1)</f>
        <v>1.4874710136627334E-2</v>
      </c>
      <c r="Y860" s="37">
        <v>39076</v>
      </c>
      <c r="Z860" s="35">
        <v>14.62738</v>
      </c>
      <c r="AA860" s="36">
        <f>IF(ISBLANK(Z861),"",Long6[[#This Row],[Adj Close]]/Z861-1)</f>
        <v>0.1599688473149683</v>
      </c>
      <c r="AH860" s="29">
        <v>39076</v>
      </c>
      <c r="AI860" s="44">
        <v>59.676003000000001</v>
      </c>
      <c r="AJ860" s="33">
        <f>IF(ISBLANK(AI861),"",Short0[[#This Row],[Adj Close]]/AI861-1)</f>
        <v>9.3628565583077084E-3</v>
      </c>
      <c r="AK860" s="37">
        <v>39076</v>
      </c>
      <c r="AL860" s="39">
        <v>31.845497000000002</v>
      </c>
      <c r="AM860" s="36">
        <f>IF(ISBLANK(AL861),"",Short1[[#This Row],[Adj Close]]/AL861-1)</f>
        <v>-1.4821042846618782E-2</v>
      </c>
      <c r="AN860" s="29">
        <v>39076</v>
      </c>
      <c r="AO860" s="44">
        <v>43.763527000000003</v>
      </c>
      <c r="AP860" s="33">
        <f>IF(ISBLANK(AO861),"",Short2[[#This Row],[Adj Close]]/AO861-1)</f>
        <v>3.491815263552378E-2</v>
      </c>
    </row>
    <row r="861" spans="1:42" x14ac:dyDescent="0.25">
      <c r="A861" s="37">
        <v>39069</v>
      </c>
      <c r="B861" s="39">
        <v>1410.76001</v>
      </c>
      <c r="C861" s="36">
        <f>IF(ISBLANK(B862), "", GSPC[[#This Row],[Adj Close]]/B862-1)</f>
        <v>-1.1442835692953124E-2</v>
      </c>
      <c r="D86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6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61" s="11" t="e">
        <f>IF(ISBLANK(GSPC[[#This Row],[Long Exp.]]), "", (GSPC[[#This Row],[Long Exp.]]/D862-1)+(E862/GSPC[[#This Row],[Short Exp.]]-1))</f>
        <v>#VALUE!</v>
      </c>
      <c r="G861" s="37">
        <v>39069</v>
      </c>
      <c r="H861">
        <v>18.229911999999999</v>
      </c>
      <c r="I861" s="36">
        <f>IF(ISBLANK(H862), "", Long0[[#This Row],[Adj Close]]/H862-1)</f>
        <v>-2.2859777878821652E-2</v>
      </c>
      <c r="J861" s="29">
        <v>39069</v>
      </c>
      <c r="K861">
        <v>1.770772</v>
      </c>
      <c r="L861" s="33">
        <f>IF(ISBLANK(K862),"",Long1[[#This Row],[Adj Close]]/K862-1)</f>
        <v>3.2257688424400577E-2</v>
      </c>
      <c r="M861" s="37">
        <v>39069</v>
      </c>
      <c r="N861">
        <v>17.185209</v>
      </c>
      <c r="O861" s="36">
        <f>IF(ISBLANK(N862),"",Long2[[#This Row],[Adj Close]]/N862-1)</f>
        <v>-1.454504647035948E-2</v>
      </c>
      <c r="P861" s="29">
        <v>39069</v>
      </c>
      <c r="Q861">
        <v>15.771717000000001</v>
      </c>
      <c r="R861" s="33">
        <f>IF(ISBLANK(Q862),"",Long3[[#This Row],[Adj Close]]/Q862-1)</f>
        <v>-9.4029894055971397E-3</v>
      </c>
      <c r="S861" s="37">
        <v>39069</v>
      </c>
      <c r="T861" s="35">
        <v>20.062038000000001</v>
      </c>
      <c r="U861" s="36">
        <f>IF(ISBLANK(T862),"",Long4[[#This Row],[Adj Close]]/T862-1)</f>
        <v>2.0381655177773572E-2</v>
      </c>
      <c r="Y861" s="37">
        <v>39069</v>
      </c>
      <c r="Z861" s="35">
        <v>12.610149</v>
      </c>
      <c r="AA861" s="36">
        <f>IF(ISBLANK(Z862),"",Long6[[#This Row],[Adj Close]]/Z862-1)</f>
        <v>7.7881684669445228E-3</v>
      </c>
      <c r="AH861" s="29">
        <v>39069</v>
      </c>
      <c r="AI861" s="44">
        <v>59.122447999999999</v>
      </c>
      <c r="AJ861" s="33">
        <f>IF(ISBLANK(AI862),"",Short0[[#This Row],[Adj Close]]/AI862-1)</f>
        <v>-1.7510815159393123E-2</v>
      </c>
      <c r="AK861" s="37">
        <v>39069</v>
      </c>
      <c r="AL861" s="39">
        <v>32.324581000000002</v>
      </c>
      <c r="AM861" s="36">
        <f>IF(ISBLANK(AL862),"",Short1[[#This Row],[Adj Close]]/AL862-1)</f>
        <v>-9.1290059027248072E-3</v>
      </c>
      <c r="AN861" s="29">
        <v>39069</v>
      </c>
      <c r="AO861" s="44">
        <v>42.286945000000003</v>
      </c>
      <c r="AP861" s="33">
        <f>IF(ISBLANK(AO862),"",Short2[[#This Row],[Adj Close]]/AO862-1)</f>
        <v>-4.3945942078020162E-2</v>
      </c>
    </row>
    <row r="862" spans="1:42" x14ac:dyDescent="0.25">
      <c r="A862" s="37">
        <v>39062</v>
      </c>
      <c r="B862" s="39">
        <v>1427.089966</v>
      </c>
      <c r="C862" s="36">
        <f>IF(ISBLANK(B863), "", GSPC[[#This Row],[Adj Close]]/B863-1)</f>
        <v>1.2235431265962493E-2</v>
      </c>
      <c r="D86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6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62" s="11" t="e">
        <f>IF(ISBLANK(GSPC[[#This Row],[Long Exp.]]), "", (GSPC[[#This Row],[Long Exp.]]/D863-1)+(E863/GSPC[[#This Row],[Short Exp.]]-1))</f>
        <v>#VALUE!</v>
      </c>
      <c r="G862" s="37">
        <v>39062</v>
      </c>
      <c r="H862">
        <v>18.656393000000001</v>
      </c>
      <c r="I862" s="36">
        <f>IF(ISBLANK(H863), "", Long0[[#This Row],[Adj Close]]/H863-1)</f>
        <v>4.8666516010520411E-4</v>
      </c>
      <c r="J862" s="29">
        <v>39062</v>
      </c>
      <c r="K862">
        <v>1.715436</v>
      </c>
      <c r="L862" s="33">
        <f>IF(ISBLANK(K863),"",Long1[[#This Row],[Adj Close]]/K863-1)</f>
        <v>-7.9999074754087962E-3</v>
      </c>
      <c r="M862" s="37">
        <v>39062</v>
      </c>
      <c r="N862">
        <v>17.438858</v>
      </c>
      <c r="O862" s="36">
        <f>IF(ISBLANK(N863),"",Long2[[#This Row],[Adj Close]]/N863-1)</f>
        <v>-1.2567431084272607E-2</v>
      </c>
      <c r="P862" s="29">
        <v>39062</v>
      </c>
      <c r="Q862">
        <v>15.921426</v>
      </c>
      <c r="R862" s="33">
        <f>IF(ISBLANK(Q863),"",Long3[[#This Row],[Adj Close]]/Q863-1)</f>
        <v>5.0692744447473626E-3</v>
      </c>
      <c r="S862" s="37">
        <v>39062</v>
      </c>
      <c r="T862" s="35">
        <v>19.661307999999998</v>
      </c>
      <c r="U862" s="36">
        <f>IF(ISBLANK(T863),"",Long4[[#This Row],[Adj Close]]/T863-1)</f>
        <v>8.6783620253449989E-4</v>
      </c>
      <c r="Y862" s="37">
        <v>39062</v>
      </c>
      <c r="Z862" s="35">
        <v>12.512698</v>
      </c>
      <c r="AA862" s="36">
        <f>IF(ISBLANK(Z863),"",Long6[[#This Row],[Adj Close]]/Z863-1)</f>
        <v>-3.3132377440601823E-2</v>
      </c>
      <c r="AH862" s="29">
        <v>39062</v>
      </c>
      <c r="AI862" s="44">
        <v>60.176181999999997</v>
      </c>
      <c r="AJ862" s="33">
        <f>IF(ISBLANK(AI863),"",Short0[[#This Row],[Adj Close]]/AI863-1)</f>
        <v>-4.4983147834641191E-2</v>
      </c>
      <c r="AK862" s="37">
        <v>39062</v>
      </c>
      <c r="AL862" s="39">
        <v>32.622391</v>
      </c>
      <c r="AM862" s="36">
        <f>IF(ISBLANK(AL863),"",Short1[[#This Row],[Adj Close]]/AL863-1)</f>
        <v>-5.1571345622191567E-2</v>
      </c>
      <c r="AN862" s="29">
        <v>39062</v>
      </c>
      <c r="AO862" s="44">
        <v>44.230705</v>
      </c>
      <c r="AP862" s="33">
        <f>IF(ISBLANK(AO863),"",Short2[[#This Row],[Adj Close]]/AO863-1)</f>
        <v>1.3960870124571922E-2</v>
      </c>
    </row>
    <row r="863" spans="1:42" x14ac:dyDescent="0.25">
      <c r="A863" s="37">
        <v>39055</v>
      </c>
      <c r="B863" s="39">
        <v>1409.839966</v>
      </c>
      <c r="C863" s="36">
        <f>IF(ISBLANK(B864), "", GSPC[[#This Row],[Adj Close]]/B864-1)</f>
        <v>9.4006668289237094E-3</v>
      </c>
      <c r="D86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6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63" s="11" t="e">
        <f>IF(ISBLANK(GSPC[[#This Row],[Long Exp.]]), "", (GSPC[[#This Row],[Long Exp.]]/D864-1)+(E864/GSPC[[#This Row],[Short Exp.]]-1))</f>
        <v>#VALUE!</v>
      </c>
      <c r="G863" s="37">
        <v>39055</v>
      </c>
      <c r="H863">
        <v>18.647317999999999</v>
      </c>
      <c r="I863" s="36">
        <f>IF(ISBLANK(H864), "", Long0[[#This Row],[Adj Close]]/H864-1)</f>
        <v>1.0324454527830929E-2</v>
      </c>
      <c r="J863" s="29">
        <v>39055</v>
      </c>
      <c r="K863">
        <v>1.7292700000000001</v>
      </c>
      <c r="L863" s="33">
        <f>IF(ISBLANK(K864),"",Long1[[#This Row],[Adj Close]]/K864-1)</f>
        <v>5.9321956027544198E-2</v>
      </c>
      <c r="M863" s="37">
        <v>39055</v>
      </c>
      <c r="N863">
        <v>17.660809</v>
      </c>
      <c r="O863" s="36">
        <f>IF(ISBLANK(N864),"",Long2[[#This Row],[Adj Close]]/N864-1)</f>
        <v>4.8964002463705247E-2</v>
      </c>
      <c r="P863" s="29">
        <v>39055</v>
      </c>
      <c r="Q863">
        <v>15.841123</v>
      </c>
      <c r="R863" s="33">
        <f>IF(ISBLANK(Q864),"",Long3[[#This Row],[Adj Close]]/Q864-1)</f>
        <v>-1.7881595544077644E-2</v>
      </c>
      <c r="S863" s="37">
        <v>39055</v>
      </c>
      <c r="T863" s="35">
        <v>19.644259999999999</v>
      </c>
      <c r="U863" s="36">
        <f>IF(ISBLANK(T864),"",Long4[[#This Row],[Adj Close]]/T864-1)</f>
        <v>3.0411529713897156E-2</v>
      </c>
      <c r="Y863" s="37">
        <v>39055</v>
      </c>
      <c r="Z863" s="35">
        <v>12.94148</v>
      </c>
      <c r="AA863" s="36">
        <f>IF(ISBLANK(Z864),"",Long6[[#This Row],[Adj Close]]/Z864-1)</f>
        <v>7.7047888029124545E-2</v>
      </c>
      <c r="AH863" s="29">
        <v>39055</v>
      </c>
      <c r="AI863" s="44">
        <v>63.010596999999997</v>
      </c>
      <c r="AJ863" s="33">
        <f>IF(ISBLANK(AI864),"",Short0[[#This Row],[Adj Close]]/AI864-1)</f>
        <v>4.1675985067986421E-2</v>
      </c>
      <c r="AK863" s="37">
        <v>39055</v>
      </c>
      <c r="AL863" s="39">
        <v>34.396251999999997</v>
      </c>
      <c r="AM863" s="36">
        <f>IF(ISBLANK(AL864),"",Short1[[#This Row],[Adj Close]]/AL864-1)</f>
        <v>-1.0614900232939317E-2</v>
      </c>
      <c r="AN863" s="29">
        <v>39055</v>
      </c>
      <c r="AO863" s="44">
        <v>43.621707999999998</v>
      </c>
      <c r="AP863" s="33">
        <f>IF(ISBLANK(AO864),"",Short2[[#This Row],[Adj Close]]/AO864-1)</f>
        <v>-4.3794405602992637E-3</v>
      </c>
    </row>
    <row r="864" spans="1:42" x14ac:dyDescent="0.25">
      <c r="A864" s="37">
        <v>39048</v>
      </c>
      <c r="B864" s="39">
        <v>1396.709961</v>
      </c>
      <c r="C864" s="36">
        <f>IF(ISBLANK(B865), "", GSPC[[#This Row],[Adj Close]]/B865-1)</f>
        <v>-3.0265106879611148E-3</v>
      </c>
      <c r="D86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6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64" s="11" t="e">
        <f>IF(ISBLANK(GSPC[[#This Row],[Long Exp.]]), "", (GSPC[[#This Row],[Long Exp.]]/D865-1)+(E865/GSPC[[#This Row],[Short Exp.]]-1))</f>
        <v>#VALUE!</v>
      </c>
      <c r="G864" s="37">
        <v>39048</v>
      </c>
      <c r="H864">
        <v>18.456762000000001</v>
      </c>
      <c r="I864" s="36">
        <f>IF(ISBLANK(H865), "", Long0[[#This Row],[Adj Close]]/H865-1)</f>
        <v>0</v>
      </c>
      <c r="J864" s="29">
        <v>39048</v>
      </c>
      <c r="K864">
        <v>1.632431</v>
      </c>
      <c r="L864" s="33">
        <f>IF(ISBLANK(K865),"",Long1[[#This Row],[Adj Close]]/K865-1)</f>
        <v>-3.2786516148259781E-2</v>
      </c>
      <c r="M864" s="37">
        <v>39048</v>
      </c>
      <c r="N864">
        <v>16.83643</v>
      </c>
      <c r="O864" s="36">
        <f>IF(ISBLANK(N865),"",Long2[[#This Row],[Adj Close]]/N865-1)</f>
        <v>-8.4032089080764427E-3</v>
      </c>
      <c r="P864" s="29">
        <v>39048</v>
      </c>
      <c r="Q864">
        <v>16.129545</v>
      </c>
      <c r="R864" s="33">
        <f>IF(ISBLANK(Q865),"",Long3[[#This Row],[Adj Close]]/Q865-1)</f>
        <v>5.1567303249010932E-2</v>
      </c>
      <c r="S864" s="37">
        <v>39048</v>
      </c>
      <c r="T864" s="35">
        <v>19.06448</v>
      </c>
      <c r="U864" s="36">
        <f>IF(ISBLANK(T865),"",Long4[[#This Row],[Adj Close]]/T865-1)</f>
        <v>8.5703573589475113E-3</v>
      </c>
      <c r="Y864" s="37">
        <v>39048</v>
      </c>
      <c r="Z864" s="35">
        <v>12.015696</v>
      </c>
      <c r="AA864" s="36">
        <f>IF(ISBLANK(Z865),"",Long6[[#This Row],[Adj Close]]/Z865-1)</f>
        <v>-4.9344885055720766E-2</v>
      </c>
      <c r="AH864" s="29">
        <v>39048</v>
      </c>
      <c r="AI864" s="44">
        <v>60.489632</v>
      </c>
      <c r="AJ864" s="33">
        <f>IF(ISBLANK(AI865),"",Short0[[#This Row],[Adj Close]]/AI865-1)</f>
        <v>-1.7654220334337056E-2</v>
      </c>
      <c r="AK864" s="37">
        <v>39048</v>
      </c>
      <c r="AL864" s="39">
        <v>34.765281999999999</v>
      </c>
      <c r="AM864" s="36">
        <f>IF(ISBLANK(AL865),"",Short1[[#This Row],[Adj Close]]/AL865-1)</f>
        <v>-2.5054042948762345E-2</v>
      </c>
      <c r="AN864" s="29">
        <v>39048</v>
      </c>
      <c r="AO864" s="44">
        <v>43.813586999999998</v>
      </c>
      <c r="AP864" s="33">
        <f>IF(ISBLANK(AO865),"",Short2[[#This Row],[Adj Close]]/AO865-1)</f>
        <v>3.2435764294677316E-2</v>
      </c>
    </row>
    <row r="865" spans="1:42" x14ac:dyDescent="0.25">
      <c r="A865" s="37">
        <v>39041</v>
      </c>
      <c r="B865" s="39">
        <v>1400.9499510000001</v>
      </c>
      <c r="C865" s="36">
        <f>IF(ISBLANK(B866), "", GSPC[[#This Row],[Adj Close]]/B866-1)</f>
        <v>-1.7841850466926434E-4</v>
      </c>
      <c r="D86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6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65" s="11" t="e">
        <f>IF(ISBLANK(GSPC[[#This Row],[Long Exp.]]), "", (GSPC[[#This Row],[Long Exp.]]/D866-1)+(E866/GSPC[[#This Row],[Short Exp.]]-1))</f>
        <v>#VALUE!</v>
      </c>
      <c r="G865" s="37">
        <v>39041</v>
      </c>
      <c r="H865">
        <v>18.456762000000001</v>
      </c>
      <c r="I865" s="36">
        <f>IF(ISBLANK(H866), "", Long0[[#This Row],[Adj Close]]/H866-1)</f>
        <v>-2.5395437554088462E-2</v>
      </c>
      <c r="J865" s="29">
        <v>39041</v>
      </c>
      <c r="K865">
        <v>1.687767</v>
      </c>
      <c r="L865" s="33">
        <f>IF(ISBLANK(K866),"",Long1[[#This Row],[Adj Close]]/K866-1)</f>
        <v>3.3897910539557374E-2</v>
      </c>
      <c r="M865" s="37">
        <v>39041</v>
      </c>
      <c r="N865">
        <v>16.979109000000001</v>
      </c>
      <c r="O865" s="36">
        <f>IF(ISBLANK(N866),"",Long2[[#This Row],[Adj Close]]/N866-1)</f>
        <v>2.2922375094955205E-2</v>
      </c>
      <c r="P865" s="29">
        <v>39041</v>
      </c>
      <c r="Q865">
        <v>15.338576</v>
      </c>
      <c r="R865" s="33">
        <f>IF(ISBLANK(Q866),"",Long3[[#This Row],[Adj Close]]/Q866-1)</f>
        <v>2.7818334805179701E-2</v>
      </c>
      <c r="S865" s="37">
        <v>39041</v>
      </c>
      <c r="T865" s="35">
        <v>18.902479</v>
      </c>
      <c r="U865" s="36">
        <f>IF(ISBLANK(T866),"",Long4[[#This Row],[Adj Close]]/T866-1)</f>
        <v>-2.03269999474468E-2</v>
      </c>
      <c r="Y865" s="37">
        <v>39041</v>
      </c>
      <c r="Z865" s="35">
        <v>12.639385000000001</v>
      </c>
      <c r="AA865" s="36">
        <f>IF(ISBLANK(Z866),"",Long6[[#This Row],[Adj Close]]/Z866-1)</f>
        <v>-3.8399739220358331E-3</v>
      </c>
      <c r="AH865" s="29">
        <v>39041</v>
      </c>
      <c r="AI865" s="44">
        <v>61.576720999999999</v>
      </c>
      <c r="AJ865" s="33">
        <f>IF(ISBLANK(AI866),"",Short0[[#This Row],[Adj Close]]/AI866-1)</f>
        <v>1.8533011390511556E-2</v>
      </c>
      <c r="AK865" s="37">
        <v>39041</v>
      </c>
      <c r="AL865" s="39">
        <v>35.658676</v>
      </c>
      <c r="AM865" s="36">
        <f>IF(ISBLANK(AL866),"",Short1[[#This Row],[Adj Close]]/AL866-1)</f>
        <v>1.4546626944007546E-3</v>
      </c>
      <c r="AN865" s="29">
        <v>39041</v>
      </c>
      <c r="AO865" s="44">
        <v>42.437106999999997</v>
      </c>
      <c r="AP865" s="33">
        <f>IF(ISBLANK(AO866),"",Short2[[#This Row],[Adj Close]]/AO866-1)</f>
        <v>3.1009230542577093E-2</v>
      </c>
    </row>
    <row r="866" spans="1:42" x14ac:dyDescent="0.25">
      <c r="A866" s="37">
        <v>39034</v>
      </c>
      <c r="B866" s="39">
        <v>1401.1999510000001</v>
      </c>
      <c r="C866" s="36">
        <f>IF(ISBLANK(B867), "", GSPC[[#This Row],[Adj Close]]/B867-1)</f>
        <v>1.4700504487789035E-2</v>
      </c>
      <c r="D86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6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66" s="11" t="e">
        <f>IF(ISBLANK(GSPC[[#This Row],[Long Exp.]]), "", (GSPC[[#This Row],[Long Exp.]]/D867-1)+(E867/GSPC[[#This Row],[Short Exp.]]-1))</f>
        <v>#VALUE!</v>
      </c>
      <c r="G866" s="37">
        <v>39034</v>
      </c>
      <c r="H866">
        <v>18.937692999999999</v>
      </c>
      <c r="I866" s="36">
        <f>IF(ISBLANK(H867), "", Long0[[#This Row],[Adj Close]]/H867-1)</f>
        <v>1.1143583061228313E-2</v>
      </c>
      <c r="J866" s="29">
        <v>39034</v>
      </c>
      <c r="K866">
        <v>1.632431</v>
      </c>
      <c r="L866" s="33">
        <f>IF(ISBLANK(K867),"",Long1[[#This Row],[Adj Close]]/K867-1)</f>
        <v>-1.6666475914990597E-2</v>
      </c>
      <c r="M866" s="37">
        <v>39034</v>
      </c>
      <c r="N866">
        <v>16.598628999999999</v>
      </c>
      <c r="O866" s="36">
        <f>IF(ISBLANK(N867),"",Long2[[#This Row],[Adj Close]]/N867-1)</f>
        <v>2.1463584061611751E-2</v>
      </c>
      <c r="P866" s="29">
        <v>39034</v>
      </c>
      <c r="Q866">
        <v>14.923431000000001</v>
      </c>
      <c r="R866" s="33">
        <f>IF(ISBLANK(Q867),"",Long3[[#This Row],[Adj Close]]/Q867-1)</f>
        <v>1.1726859963514524E-3</v>
      </c>
      <c r="S866" s="37">
        <v>39034</v>
      </c>
      <c r="T866" s="35">
        <v>19.294682000000002</v>
      </c>
      <c r="U866" s="36">
        <f>IF(ISBLANK(T867),"",Long4[[#This Row],[Adj Close]]/T867-1)</f>
        <v>8.9027412222774549E-2</v>
      </c>
      <c r="Y866" s="37">
        <v>39034</v>
      </c>
      <c r="Z866" s="35">
        <v>12.688107</v>
      </c>
      <c r="AA866" s="36">
        <f>IF(ISBLANK(Z867),"",Long6[[#This Row],[Adj Close]]/Z867-1)</f>
        <v>8.7719071143068428E-2</v>
      </c>
      <c r="AH866" s="29">
        <v>39034</v>
      </c>
      <c r="AI866" s="44">
        <v>60.456283999999997</v>
      </c>
      <c r="AJ866" s="33">
        <f>IF(ISBLANK(AI867),"",Short0[[#This Row],[Adj Close]]/AI867-1)</f>
        <v>3.9087651777609977E-2</v>
      </c>
      <c r="AK866" s="37">
        <v>39034</v>
      </c>
      <c r="AL866" s="39">
        <v>35.606879999999997</v>
      </c>
      <c r="AM866" s="36">
        <f>IF(ISBLANK(AL867),"",Short1[[#This Row],[Adj Close]]/AL867-1)</f>
        <v>5.1423638960333529E-2</v>
      </c>
      <c r="AN866" s="29">
        <v>39034</v>
      </c>
      <c r="AO866" s="44">
        <v>41.160744000000001</v>
      </c>
      <c r="AP866" s="33">
        <f>IF(ISBLANK(AO867),"",Short2[[#This Row],[Adj Close]]/AO867-1)</f>
        <v>6.7503460829827944E-2</v>
      </c>
    </row>
    <row r="867" spans="1:42" x14ac:dyDescent="0.25">
      <c r="A867" s="37">
        <v>39027</v>
      </c>
      <c r="B867" s="39">
        <v>1380.900024</v>
      </c>
      <c r="C867" s="36">
        <f>IF(ISBLANK(B868), "", GSPC[[#This Row],[Adj Close]]/B868-1)</f>
        <v>1.2167393098144075E-2</v>
      </c>
      <c r="D86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6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67" s="11" t="e">
        <f>IF(ISBLANK(GSPC[[#This Row],[Long Exp.]]), "", (GSPC[[#This Row],[Long Exp.]]/D868-1)+(E868/GSPC[[#This Row],[Short Exp.]]-1))</f>
        <v>#VALUE!</v>
      </c>
      <c r="G867" s="37">
        <v>39027</v>
      </c>
      <c r="H867">
        <v>18.728985000000002</v>
      </c>
      <c r="I867" s="36">
        <f>IF(ISBLANK(H868), "", Long0[[#This Row],[Adj Close]]/H868-1)</f>
        <v>1.1764602288516279E-2</v>
      </c>
      <c r="J867" s="29">
        <v>39027</v>
      </c>
      <c r="K867">
        <v>1.660099</v>
      </c>
      <c r="L867" s="33">
        <f>IF(ISBLANK(K868),"",Long1[[#This Row],[Adj Close]]/K868-1)</f>
        <v>2.5641358313007068E-2</v>
      </c>
      <c r="M867" s="37">
        <v>39027</v>
      </c>
      <c r="N867">
        <v>16.249849000000001</v>
      </c>
      <c r="O867" s="36">
        <f>IF(ISBLANK(N868),"",Long2[[#This Row],[Adj Close]]/N868-1)</f>
        <v>8.1223386686603005E-2</v>
      </c>
      <c r="P867" s="29">
        <v>39027</v>
      </c>
      <c r="Q867">
        <v>14.905951</v>
      </c>
      <c r="R867" s="33">
        <f>IF(ISBLANK(Q868),"",Long3[[#This Row],[Adj Close]]/Q868-1)</f>
        <v>1.3067912201942367E-2</v>
      </c>
      <c r="S867" s="37">
        <v>39027</v>
      </c>
      <c r="T867" s="35">
        <v>17.717352000000002</v>
      </c>
      <c r="U867" s="36">
        <f>IF(ISBLANK(T868),"",Long4[[#This Row],[Adj Close]]/T868-1)</f>
        <v>7.2793109749695661E-2</v>
      </c>
      <c r="Y867" s="37">
        <v>39027</v>
      </c>
      <c r="Z867" s="35">
        <v>11.664875</v>
      </c>
      <c r="AA867" s="36">
        <f>IF(ISBLANK(Z868),"",Long6[[#This Row],[Adj Close]]/Z868-1)</f>
        <v>2.3076879898696445E-2</v>
      </c>
      <c r="AH867" s="29">
        <v>39027</v>
      </c>
      <c r="AI867" s="44">
        <v>58.182082999999999</v>
      </c>
      <c r="AJ867" s="33">
        <f>IF(ISBLANK(AI868),"",Short0[[#This Row],[Adj Close]]/AI868-1)</f>
        <v>0.1999999051254393</v>
      </c>
      <c r="AK867" s="37">
        <v>39027</v>
      </c>
      <c r="AL867" s="39">
        <v>33.865397999999999</v>
      </c>
      <c r="AM867" s="36">
        <f>IF(ISBLANK(AL868),"",Short1[[#This Row],[Adj Close]]/AL868-1)</f>
        <v>-2.2885079039829392E-3</v>
      </c>
      <c r="AN867" s="29">
        <v>39027</v>
      </c>
      <c r="AO867" s="44">
        <v>38.557949000000001</v>
      </c>
      <c r="AP867" s="33">
        <f>IF(ISBLANK(AO868),"",Short2[[#This Row],[Adj Close]]/AO868-1)</f>
        <v>2.296879231020732E-3</v>
      </c>
    </row>
    <row r="868" spans="1:42" x14ac:dyDescent="0.25">
      <c r="A868" s="37">
        <v>39020</v>
      </c>
      <c r="B868" s="39">
        <v>1364.3000489999999</v>
      </c>
      <c r="C868" s="36">
        <f>IF(ISBLANK(B869), "", GSPC[[#This Row],[Adj Close]]/B869-1)</f>
        <v>-9.4674643311700724E-3</v>
      </c>
      <c r="D86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6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68" s="11" t="e">
        <f>IF(ISBLANK(GSPC[[#This Row],[Long Exp.]]), "", (GSPC[[#This Row],[Long Exp.]]/D869-1)+(E869/GSPC[[#This Row],[Short Exp.]]-1))</f>
        <v>#VALUE!</v>
      </c>
      <c r="G868" s="37">
        <v>39020</v>
      </c>
      <c r="H868">
        <v>18.511208</v>
      </c>
      <c r="I868" s="36">
        <f>IF(ISBLANK(H869), "", Long0[[#This Row],[Adj Close]]/H869-1)</f>
        <v>-3.3175380203387617E-2</v>
      </c>
      <c r="J868" s="29">
        <v>39020</v>
      </c>
      <c r="K868">
        <v>1.6185959999999999</v>
      </c>
      <c r="L868" s="33">
        <f>IF(ISBLANK(K869),"",Long1[[#This Row],[Adj Close]]/K869-1)</f>
        <v>-0.10687064601122909</v>
      </c>
      <c r="M868" s="37">
        <v>39020</v>
      </c>
      <c r="N868">
        <v>15.029132000000001</v>
      </c>
      <c r="O868" s="36">
        <f>IF(ISBLANK(N869),"",Long2[[#This Row],[Adj Close]]/N869-1)</f>
        <v>7.6050136665544166E-2</v>
      </c>
      <c r="P868" s="29">
        <v>39020</v>
      </c>
      <c r="Q868">
        <v>14.713673999999999</v>
      </c>
      <c r="R868" s="33">
        <f>IF(ISBLANK(Q869),"",Long3[[#This Row],[Adj Close]]/Q869-1)</f>
        <v>-3.6899152388329082E-2</v>
      </c>
      <c r="S868" s="37">
        <v>39020</v>
      </c>
      <c r="T868" s="35">
        <v>16.515162</v>
      </c>
      <c r="U868" s="36">
        <f>IF(ISBLANK(T869),"",Long4[[#This Row],[Adj Close]]/T869-1)</f>
        <v>-4.112916025260982E-3</v>
      </c>
      <c r="Y868" s="37">
        <v>39020</v>
      </c>
      <c r="Z868" s="35">
        <v>11.401757999999999</v>
      </c>
      <c r="AA868" s="36">
        <f>IF(ISBLANK(Z869),"",Long6[[#This Row],[Adj Close]]/Z869-1)</f>
        <v>2.2727419507616364E-2</v>
      </c>
      <c r="AH868" s="29">
        <v>39020</v>
      </c>
      <c r="AI868" s="44">
        <v>48.485073</v>
      </c>
      <c r="AJ868" s="33">
        <f>IF(ISBLANK(AI869),"",Short0[[#This Row],[Adj Close]]/AI869-1)</f>
        <v>-3.1183379595747573E-2</v>
      </c>
      <c r="AK868" s="37">
        <v>39020</v>
      </c>
      <c r="AL868" s="39">
        <v>33.943077000000002</v>
      </c>
      <c r="AM868" s="36">
        <f>IF(ISBLANK(AL869),"",Short1[[#This Row],[Adj Close]]/AL869-1)</f>
        <v>-3.1584598523925034E-2</v>
      </c>
      <c r="AN868" s="29">
        <v>39020</v>
      </c>
      <c r="AO868" s="44">
        <v>38.469588999999999</v>
      </c>
      <c r="AP868" s="33">
        <f>IF(ISBLANK(AO869),"",Short2[[#This Row],[Adj Close]]/AO869-1)</f>
        <v>-2.8961488837291993E-2</v>
      </c>
    </row>
    <row r="869" spans="1:42" x14ac:dyDescent="0.25">
      <c r="A869" s="37">
        <v>39013</v>
      </c>
      <c r="B869" s="39">
        <v>1377.339966</v>
      </c>
      <c r="C869" s="36">
        <f>IF(ISBLANK(B870), "", GSPC[[#This Row],[Adj Close]]/B870-1)</f>
        <v>6.3860807783617801E-3</v>
      </c>
      <c r="D86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6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69" s="11" t="e">
        <f>IF(ISBLANK(GSPC[[#This Row],[Long Exp.]]), "", (GSPC[[#This Row],[Long Exp.]]/D870-1)+(E870/GSPC[[#This Row],[Short Exp.]]-1))</f>
        <v>#VALUE!</v>
      </c>
      <c r="G869" s="37">
        <v>39013</v>
      </c>
      <c r="H869">
        <v>19.146397</v>
      </c>
      <c r="I869" s="36">
        <f>IF(ISBLANK(H870), "", Long0[[#This Row],[Adj Close]]/H870-1)</f>
        <v>-4.3950978162277776E-2</v>
      </c>
      <c r="J869" s="29">
        <v>39013</v>
      </c>
      <c r="K869">
        <v>1.8122750000000001</v>
      </c>
      <c r="L869" s="33">
        <f>IF(ISBLANK(K870),"",Long1[[#This Row],[Adj Close]]/K870-1)</f>
        <v>4.8000023131147929E-2</v>
      </c>
      <c r="M869" s="37">
        <v>39013</v>
      </c>
      <c r="N869">
        <v>13.966944</v>
      </c>
      <c r="O869" s="36">
        <f>IF(ISBLANK(N870),"",Long2[[#This Row],[Adj Close]]/N870-1)</f>
        <v>3.3430925257716737E-2</v>
      </c>
      <c r="P869" s="29">
        <v>39013</v>
      </c>
      <c r="Q869">
        <v>15.277397000000001</v>
      </c>
      <c r="R869" s="33">
        <f>IF(ISBLANK(Q870),"",Long3[[#This Row],[Adj Close]]/Q870-1)</f>
        <v>1.5393340543322642E-2</v>
      </c>
      <c r="S869" s="37">
        <v>39013</v>
      </c>
      <c r="T869" s="35">
        <v>16.583368</v>
      </c>
      <c r="U869" s="36">
        <f>IF(ISBLANK(T870),"",Long4[[#This Row],[Adj Close]]/T870-1)</f>
        <v>0.2156249234890939</v>
      </c>
      <c r="Y869" s="37">
        <v>39013</v>
      </c>
      <c r="Z869" s="35">
        <v>11.148384</v>
      </c>
      <c r="AA869" s="36">
        <f>IF(ISBLANK(Z870),"",Long6[[#This Row],[Adj Close]]/Z870-1)</f>
        <v>-4.3516585976203226E-3</v>
      </c>
      <c r="AH869" s="29">
        <v>39013</v>
      </c>
      <c r="AI869" s="44">
        <v>50.045665999999997</v>
      </c>
      <c r="AJ869" s="33">
        <f>IF(ISBLANK(AI870),"",Short0[[#This Row],[Adj Close]]/AI870-1)</f>
        <v>-1.9084929062330502E-2</v>
      </c>
      <c r="AK869" s="37">
        <v>39013</v>
      </c>
      <c r="AL869" s="39">
        <v>35.050120999999997</v>
      </c>
      <c r="AM869" s="36">
        <f>IF(ISBLANK(AL870),"",Short1[[#This Row],[Adj Close]]/AL870-1)</f>
        <v>-1.8847414223976178E-2</v>
      </c>
      <c r="AN869" s="29">
        <v>39013</v>
      </c>
      <c r="AO869" s="44">
        <v>39.616954999999997</v>
      </c>
      <c r="AP869" s="33">
        <f>IF(ISBLANK(AO870),"",Short2[[#This Row],[Adj Close]]/AO870-1)</f>
        <v>3.3173979685747979E-2</v>
      </c>
    </row>
    <row r="870" spans="1:42" x14ac:dyDescent="0.25">
      <c r="A870" s="37">
        <v>39006</v>
      </c>
      <c r="B870" s="39">
        <v>1368.599976</v>
      </c>
      <c r="C870" s="36">
        <f>IF(ISBLANK(B871), "", GSPC[[#This Row],[Adj Close]]/B871-1)</f>
        <v>2.1821451142416404E-3</v>
      </c>
      <c r="D87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7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70" s="11" t="e">
        <f>IF(ISBLANK(GSPC[[#This Row],[Long Exp.]]), "", (GSPC[[#This Row],[Long Exp.]]/D871-1)+(E871/GSPC[[#This Row],[Short Exp.]]-1))</f>
        <v>#VALUE!</v>
      </c>
      <c r="G870" s="37">
        <v>39006</v>
      </c>
      <c r="H870">
        <v>20.026585000000001</v>
      </c>
      <c r="I870" s="36">
        <f>IF(ISBLANK(H871), "", Long0[[#This Row],[Adj Close]]/H871-1)</f>
        <v>4.3005670585245293E-2</v>
      </c>
      <c r="J870" s="29">
        <v>39006</v>
      </c>
      <c r="K870">
        <v>1.7292700000000001</v>
      </c>
      <c r="L870" s="33">
        <f>IF(ISBLANK(K871),"",Long1[[#This Row],[Adj Close]]/K871-1)</f>
        <v>1.6260568723220237E-2</v>
      </c>
      <c r="M870" s="37">
        <v>39006</v>
      </c>
      <c r="N870">
        <v>13.515121000000001</v>
      </c>
      <c r="O870" s="36">
        <f>IF(ISBLANK(N871),"",Long2[[#This Row],[Adj Close]]/N871-1)</f>
        <v>-2.6270503883031315E-2</v>
      </c>
      <c r="P870" s="29">
        <v>39006</v>
      </c>
      <c r="Q870">
        <v>15.045792</v>
      </c>
      <c r="R870" s="33">
        <f>IF(ISBLANK(Q871),"",Long3[[#This Row],[Adj Close]]/Q871-1)</f>
        <v>3.5489010010370192E-2</v>
      </c>
      <c r="S870" s="37">
        <v>39006</v>
      </c>
      <c r="T870" s="35">
        <v>13.641845999999999</v>
      </c>
      <c r="U870" s="36">
        <f>IF(ISBLANK(T871),"",Long4[[#This Row],[Adj Close]]/T871-1)</f>
        <v>2.3017861769544012E-2</v>
      </c>
      <c r="Y870" s="37">
        <v>39006</v>
      </c>
      <c r="Z870" s="35">
        <v>11.19711</v>
      </c>
      <c r="AA870" s="36">
        <f>IF(ISBLANK(Z871),"",Long6[[#This Row],[Adj Close]]/Z871-1)</f>
        <v>-1.1187678479223973E-2</v>
      </c>
      <c r="AH870" s="29">
        <v>39006</v>
      </c>
      <c r="AI870" s="44">
        <v>51.019367000000003</v>
      </c>
      <c r="AJ870" s="33">
        <f>IF(ISBLANK(AI871),"",Short0[[#This Row],[Adj Close]]/AI871-1)</f>
        <v>1.1236058168002883E-2</v>
      </c>
      <c r="AK870" s="37">
        <v>39006</v>
      </c>
      <c r="AL870" s="39">
        <v>35.723415000000003</v>
      </c>
      <c r="AM870" s="36">
        <f>IF(ISBLANK(AL871),"",Short1[[#This Row],[Adj Close]]/AL871-1)</f>
        <v>-4.3176932804738111E-2</v>
      </c>
      <c r="AN870" s="29">
        <v>39006</v>
      </c>
      <c r="AO870" s="44">
        <v>38.344901999999998</v>
      </c>
      <c r="AP870" s="33">
        <f>IF(ISBLANK(AO871),"",Short2[[#This Row],[Adj Close]]/AO871-1)</f>
        <v>-4.1020348575827592E-3</v>
      </c>
    </row>
    <row r="871" spans="1:42" x14ac:dyDescent="0.25">
      <c r="A871" s="37">
        <v>38999</v>
      </c>
      <c r="B871" s="39">
        <v>1365.619995</v>
      </c>
      <c r="C871" s="36">
        <f>IF(ISBLANK(B872), "", GSPC[[#This Row],[Adj Close]]/B872-1)</f>
        <v>1.1877703157137987E-2</v>
      </c>
      <c r="D87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7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71" s="11" t="e">
        <f>IF(ISBLANK(GSPC[[#This Row],[Long Exp.]]), "", (GSPC[[#This Row],[Long Exp.]]/D872-1)+(E872/GSPC[[#This Row],[Short Exp.]]-1))</f>
        <v>#VALUE!</v>
      </c>
      <c r="G871" s="37">
        <v>38999</v>
      </c>
      <c r="H871">
        <v>19.200839999999999</v>
      </c>
      <c r="I871" s="36">
        <f>IF(ISBLANK(H872), "", Long0[[#This Row],[Adj Close]]/H872-1)</f>
        <v>1.5354932196030457E-2</v>
      </c>
      <c r="J871" s="29">
        <v>38999</v>
      </c>
      <c r="K871">
        <v>1.7016009999999999</v>
      </c>
      <c r="L871" s="33">
        <f>IF(ISBLANK(K872),"",Long1[[#This Row],[Adj Close]]/K872-1)</f>
        <v>-3.1496273630600591E-2</v>
      </c>
      <c r="M871" s="37">
        <v>38999</v>
      </c>
      <c r="N871">
        <v>13.879749</v>
      </c>
      <c r="O871" s="36">
        <f>IF(ISBLANK(N872),"",Long2[[#This Row],[Adj Close]]/N872-1)</f>
        <v>4.7248670298351447E-2</v>
      </c>
      <c r="P871" s="29">
        <v>38999</v>
      </c>
      <c r="Q871">
        <v>14.530132</v>
      </c>
      <c r="R871" s="33">
        <f>IF(ISBLANK(Q872),"",Long3[[#This Row],[Adj Close]]/Q872-1)</f>
        <v>1.9938457486606831E-2</v>
      </c>
      <c r="S871" s="37">
        <v>38999</v>
      </c>
      <c r="T871" s="35">
        <v>13.334904999999999</v>
      </c>
      <c r="U871" s="36">
        <f>IF(ISBLANK(T872),"",Long4[[#This Row],[Adj Close]]/T872-1)</f>
        <v>1.5584516273686733E-2</v>
      </c>
      <c r="Y871" s="37">
        <v>38999</v>
      </c>
      <c r="Z871" s="35">
        <v>11.323797000000001</v>
      </c>
      <c r="AA871" s="36">
        <f>IF(ISBLANK(Z872),"",Long6[[#This Row],[Adj Close]]/Z872-1)</f>
        <v>5.3490438081813085E-2</v>
      </c>
      <c r="AH871" s="29">
        <v>38999</v>
      </c>
      <c r="AI871" s="44">
        <v>50.452480000000001</v>
      </c>
      <c r="AJ871" s="33">
        <f>IF(ISBLANK(AI872),"",Short0[[#This Row],[Adj Close]]/AI872-1)</f>
        <v>5.6416594544564491E-2</v>
      </c>
      <c r="AK871" s="37">
        <v>38999</v>
      </c>
      <c r="AL871" s="39">
        <v>37.335445</v>
      </c>
      <c r="AM871" s="36">
        <f>IF(ISBLANK(AL872),"",Short1[[#This Row],[Adj Close]]/AL872-1)</f>
        <v>3.984869386144263E-2</v>
      </c>
      <c r="AN871" s="29">
        <v>38999</v>
      </c>
      <c r="AO871" s="44">
        <v>38.502842000000001</v>
      </c>
      <c r="AP871" s="33">
        <f>IF(ISBLANK(AO872),"",Short2[[#This Row],[Adj Close]]/AO872-1)</f>
        <v>2.6373670431056206E-2</v>
      </c>
    </row>
    <row r="872" spans="1:42" x14ac:dyDescent="0.25">
      <c r="A872" s="37">
        <v>38992</v>
      </c>
      <c r="B872" s="39">
        <v>1349.589966</v>
      </c>
      <c r="C872" s="36">
        <f>IF(ISBLANK(B873), "", GSPC[[#This Row],[Adj Close]]/B873-1)</f>
        <v>1.028557865542834E-2</v>
      </c>
      <c r="D87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7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72" s="11" t="e">
        <f>IF(ISBLANK(GSPC[[#This Row],[Long Exp.]]), "", (GSPC[[#This Row],[Long Exp.]]/D873-1)+(E873/GSPC[[#This Row],[Short Exp.]]-1))</f>
        <v>#VALUE!</v>
      </c>
      <c r="G872" s="37">
        <v>38992</v>
      </c>
      <c r="H872">
        <v>18.910471000000001</v>
      </c>
      <c r="I872" s="36">
        <f>IF(ISBLANK(H873), "", Long0[[#This Row],[Adj Close]]/H873-1)</f>
        <v>3.8389415215172473E-2</v>
      </c>
      <c r="J872" s="29">
        <v>38992</v>
      </c>
      <c r="K872">
        <v>1.7569380000000001</v>
      </c>
      <c r="L872" s="33">
        <f>IF(ISBLANK(K873),"",Long1[[#This Row],[Adj Close]]/K873-1)</f>
        <v>2.4193266318300433E-2</v>
      </c>
      <c r="M872" s="37">
        <v>38992</v>
      </c>
      <c r="N872">
        <v>13.253537</v>
      </c>
      <c r="O872" s="36">
        <f>IF(ISBLANK(N873),"",Long2[[#This Row],[Adj Close]]/N873-1)</f>
        <v>-1.0650546490224788E-2</v>
      </c>
      <c r="P872" s="29">
        <v>38992</v>
      </c>
      <c r="Q872">
        <v>14.246086999999999</v>
      </c>
      <c r="R872" s="33">
        <f>IF(ISBLANK(Q873),"",Long3[[#This Row],[Adj Close]]/Q873-1)</f>
        <v>-9.1188194633305963E-3</v>
      </c>
      <c r="S872" s="37">
        <v>38992</v>
      </c>
      <c r="T872" s="35">
        <v>13.130276</v>
      </c>
      <c r="U872" s="36">
        <f>IF(ISBLANK(T873),"",Long4[[#This Row],[Adj Close]]/T873-1)</f>
        <v>-1.4715252315014138E-2</v>
      </c>
      <c r="Y872" s="37">
        <v>38992</v>
      </c>
      <c r="Z872" s="35">
        <v>10.748837</v>
      </c>
      <c r="AA872" s="36">
        <f>IF(ISBLANK(Z873),"",Long6[[#This Row],[Adj Close]]/Z873-1)</f>
        <v>0</v>
      </c>
      <c r="AH872" s="29">
        <v>38992</v>
      </c>
      <c r="AI872" s="44">
        <v>47.758128999999997</v>
      </c>
      <c r="AJ872" s="33">
        <f>IF(ISBLANK(AI873),"",Short0[[#This Row],[Adj Close]]/AI873-1)</f>
        <v>4.7695439325494471E-2</v>
      </c>
      <c r="AK872" s="37">
        <v>38992</v>
      </c>
      <c r="AL872" s="39">
        <v>35.904690000000002</v>
      </c>
      <c r="AM872" s="36">
        <f>IF(ISBLANK(AL873),"",Short1[[#This Row],[Adj Close]]/AL873-1)</f>
        <v>3.738519466200696E-2</v>
      </c>
      <c r="AN872" s="29">
        <v>38992</v>
      </c>
      <c r="AO872" s="44">
        <v>37.513474000000002</v>
      </c>
      <c r="AP872" s="33">
        <f>IF(ISBLANK(AO873),"",Short2[[#This Row],[Adj Close]]/AO873-1)</f>
        <v>-2.872847759748276E-3</v>
      </c>
    </row>
    <row r="873" spans="1:42" x14ac:dyDescent="0.25">
      <c r="A873" s="37">
        <v>38985</v>
      </c>
      <c r="B873" s="39">
        <v>1335.849976</v>
      </c>
      <c r="C873" s="36">
        <f>IF(ISBLANK(B874), "", GSPC[[#This Row],[Adj Close]]/B874-1)</f>
        <v>1.6025454095180747E-2</v>
      </c>
      <c r="D87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7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73" s="11" t="e">
        <f>IF(ISBLANK(GSPC[[#This Row],[Long Exp.]]), "", (GSPC[[#This Row],[Long Exp.]]/D874-1)+(E874/GSPC[[#This Row],[Short Exp.]]-1))</f>
        <v>#VALUE!</v>
      </c>
      <c r="G873" s="37">
        <v>38985</v>
      </c>
      <c r="H873">
        <v>18.211348000000001</v>
      </c>
      <c r="I873" s="36">
        <f>IF(ISBLANK(H874), "", Long0[[#This Row],[Adj Close]]/H874-1)</f>
        <v>4.4905844665514838E-3</v>
      </c>
      <c r="J873" s="29">
        <v>38985</v>
      </c>
      <c r="K873">
        <v>1.715436</v>
      </c>
      <c r="L873" s="33">
        <f>IF(ISBLANK(K874),"",Long1[[#This Row],[Adj Close]]/K874-1)</f>
        <v>4.2016929230713096E-2</v>
      </c>
      <c r="M873" s="37">
        <v>38985</v>
      </c>
      <c r="N873">
        <v>13.396214000000001</v>
      </c>
      <c r="O873" s="36">
        <f>IF(ISBLANK(N874),"",Long2[[#This Row],[Adj Close]]/N874-1)</f>
        <v>1.7458908866424983E-2</v>
      </c>
      <c r="P873" s="29">
        <v>38985</v>
      </c>
      <c r="Q873">
        <v>14.377190000000001</v>
      </c>
      <c r="R873" s="33">
        <f>IF(ISBLANK(Q874),"",Long3[[#This Row],[Adj Close]]/Q874-1)</f>
        <v>7.0405048794626168E-3</v>
      </c>
      <c r="S873" s="37">
        <v>38985</v>
      </c>
      <c r="T873" s="35">
        <v>13.326377000000001</v>
      </c>
      <c r="U873" s="36">
        <f>IF(ISBLANK(T874),"",Long4[[#This Row],[Adj Close]]/T874-1)</f>
        <v>5.9660894251840402E-2</v>
      </c>
      <c r="Y873" s="37">
        <v>38985</v>
      </c>
      <c r="Z873" s="35">
        <v>10.748837</v>
      </c>
      <c r="AA873" s="36">
        <f>IF(ISBLANK(Z874),"",Long6[[#This Row],[Adj Close]]/Z874-1)</f>
        <v>5.6513570296470084E-2</v>
      </c>
      <c r="AH873" s="29">
        <v>38985</v>
      </c>
      <c r="AI873" s="44">
        <v>45.583981000000001</v>
      </c>
      <c r="AJ873" s="33">
        <f>IF(ISBLANK(AI874),"",Short0[[#This Row],[Adj Close]]/AI874-1)</f>
        <v>4.7188756242525276E-2</v>
      </c>
      <c r="AK873" s="37">
        <v>38985</v>
      </c>
      <c r="AL873" s="39">
        <v>34.610759999999999</v>
      </c>
      <c r="AM873" s="36">
        <f>IF(ISBLANK(AL874),"",Short1[[#This Row],[Adj Close]]/AL874-1)</f>
        <v>-1.4173150118450439E-2</v>
      </c>
      <c r="AN873" s="29">
        <v>38985</v>
      </c>
      <c r="AO873" s="44">
        <v>37.621555000000001</v>
      </c>
      <c r="AP873" s="33">
        <f>IF(ISBLANK(AO874),"",Short2[[#This Row],[Adj Close]]/AO874-1)</f>
        <v>-1.2224075137182266E-2</v>
      </c>
    </row>
    <row r="874" spans="1:42" x14ac:dyDescent="0.25">
      <c r="A874" s="37">
        <v>38978</v>
      </c>
      <c r="B874" s="39">
        <v>1314.780029</v>
      </c>
      <c r="C874" s="36">
        <f>IF(ISBLANK(B875), "", GSPC[[#This Row],[Adj Close]]/B875-1)</f>
        <v>-3.6979258856603137E-3</v>
      </c>
      <c r="D87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7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74" s="11" t="e">
        <f>IF(ISBLANK(GSPC[[#This Row],[Long Exp.]]), "", (GSPC[[#This Row],[Long Exp.]]/D875-1)+(E875/GSPC[[#This Row],[Short Exp.]]-1))</f>
        <v>#VALUE!</v>
      </c>
      <c r="G874" s="37">
        <v>38978</v>
      </c>
      <c r="H874">
        <v>18.129933999999999</v>
      </c>
      <c r="I874" s="36">
        <f>IF(ISBLANK(H875), "", Long0[[#This Row],[Adj Close]]/H875-1)</f>
        <v>-5.6496890825884716E-2</v>
      </c>
      <c r="J874" s="29">
        <v>38978</v>
      </c>
      <c r="K874">
        <v>1.6462650000000001</v>
      </c>
      <c r="L874" s="33">
        <f>IF(ISBLANK(K875),"",Long1[[#This Row],[Adj Close]]/K875-1)</f>
        <v>8.4744776348892881E-3</v>
      </c>
      <c r="M874" s="37">
        <v>38978</v>
      </c>
      <c r="N874">
        <v>13.166344</v>
      </c>
      <c r="O874" s="36">
        <f>IF(ISBLANK(N875),"",Long2[[#This Row],[Adj Close]]/N875-1)</f>
        <v>5.2598237203842491E-2</v>
      </c>
      <c r="P874" s="29">
        <v>38978</v>
      </c>
      <c r="Q874">
        <v>14.276674999999999</v>
      </c>
      <c r="R874" s="33">
        <f>IF(ISBLANK(Q875),"",Long3[[#This Row],[Adj Close]]/Q875-1)</f>
        <v>3.994974073948665E-3</v>
      </c>
      <c r="S874" s="37">
        <v>38978</v>
      </c>
      <c r="T874" s="35">
        <v>12.576077</v>
      </c>
      <c r="U874" s="36">
        <f>IF(ISBLANK(T875),"",Long4[[#This Row],[Adj Close]]/T875-1)</f>
        <v>-4.0962310949442249E-2</v>
      </c>
      <c r="Y874" s="37">
        <v>38978</v>
      </c>
      <c r="Z874" s="35">
        <v>10.173875000000001</v>
      </c>
      <c r="AA874" s="36">
        <f>IF(ISBLANK(Z875),"",Long6[[#This Row],[Adj Close]]/Z875-1)</f>
        <v>3.8463158910508888E-3</v>
      </c>
      <c r="AH874" s="29">
        <v>38978</v>
      </c>
      <c r="AI874" s="44">
        <v>43.529860999999997</v>
      </c>
      <c r="AJ874" s="33">
        <f>IF(ISBLANK(AI875),"",Short0[[#This Row],[Adj Close]]/AI875-1)</f>
        <v>-3.6035811395032091E-2</v>
      </c>
      <c r="AK874" s="37">
        <v>38978</v>
      </c>
      <c r="AL874" s="39">
        <v>35.108356000000001</v>
      </c>
      <c r="AM874" s="36">
        <f>IF(ISBLANK(AL875),"",Short1[[#This Row],[Adj Close]]/AL875-1)</f>
        <v>9.2885341178496894E-3</v>
      </c>
      <c r="AN874" s="29">
        <v>38978</v>
      </c>
      <c r="AO874" s="44">
        <v>38.087135000000004</v>
      </c>
      <c r="AP874" s="33">
        <f>IF(ISBLANK(AO875),"",Short2[[#This Row],[Adj Close]]/AO875-1)</f>
        <v>-1.250277454701787E-2</v>
      </c>
    </row>
    <row r="875" spans="1:42" x14ac:dyDescent="0.25">
      <c r="A875" s="37">
        <v>38971</v>
      </c>
      <c r="B875" s="39">
        <v>1319.660034</v>
      </c>
      <c r="C875" s="36">
        <f>IF(ISBLANK(B876), "", GSPC[[#This Row],[Adj Close]]/B876-1)</f>
        <v>1.5967102898906349E-2</v>
      </c>
      <c r="D87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7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75" s="11" t="e">
        <f>IF(ISBLANK(GSPC[[#This Row],[Long Exp.]]), "", (GSPC[[#This Row],[Long Exp.]]/D876-1)+(E876/GSPC[[#This Row],[Short Exp.]]-1))</f>
        <v>#VALUE!</v>
      </c>
      <c r="G875" s="37">
        <v>38971</v>
      </c>
      <c r="H875">
        <v>19.215553</v>
      </c>
      <c r="I875" s="36">
        <f>IF(ISBLANK(H876), "", Long0[[#This Row],[Adj Close]]/H876-1)</f>
        <v>4.9407054291858543E-2</v>
      </c>
      <c r="J875" s="29">
        <v>38971</v>
      </c>
      <c r="K875">
        <v>1.632431</v>
      </c>
      <c r="L875" s="33">
        <f>IF(ISBLANK(K876),"",Long1[[#This Row],[Adj Close]]/K876-1)</f>
        <v>1.7241809065767999E-2</v>
      </c>
      <c r="M875" s="37">
        <v>38971</v>
      </c>
      <c r="N875">
        <v>12.508423000000001</v>
      </c>
      <c r="O875" s="36">
        <f>IF(ISBLANK(N876),"",Long2[[#This Row],[Adj Close]]/N876-1)</f>
        <v>-1.5595453319175778E-2</v>
      </c>
      <c r="P875" s="29">
        <v>38971</v>
      </c>
      <c r="Q875">
        <v>14.219867000000001</v>
      </c>
      <c r="R875" s="33">
        <f>IF(ISBLANK(Q876),"",Long3[[#This Row],[Adj Close]]/Q876-1)</f>
        <v>-2.28685261428061E-2</v>
      </c>
      <c r="S875" s="37">
        <v>38971</v>
      </c>
      <c r="T875" s="35">
        <v>13.113225</v>
      </c>
      <c r="U875" s="36">
        <f>IF(ISBLANK(T876),"",Long4[[#This Row],[Adj Close]]/T876-1)</f>
        <v>-1.2986017963370067E-3</v>
      </c>
      <c r="Y875" s="37">
        <v>38971</v>
      </c>
      <c r="Z875" s="35">
        <v>10.134893</v>
      </c>
      <c r="AA875" s="36">
        <f>IF(ISBLANK(Z876),"",Long6[[#This Row],[Adj Close]]/Z876-1)</f>
        <v>3.792400308830457E-2</v>
      </c>
      <c r="AH875" s="29">
        <v>38971</v>
      </c>
      <c r="AI875" s="44">
        <v>45.157134999999997</v>
      </c>
      <c r="AJ875" s="33">
        <f>IF(ISBLANK(AI876),"",Short0[[#This Row],[Adj Close]]/AI876-1)</f>
        <v>-2.2379533269186624E-2</v>
      </c>
      <c r="AK875" s="37">
        <v>38971</v>
      </c>
      <c r="AL875" s="39">
        <v>34.785252</v>
      </c>
      <c r="AM875" s="36">
        <f>IF(ISBLANK(AL876),"",Short1[[#This Row],[Adj Close]]/AL876-1)</f>
        <v>0.16238417720053344</v>
      </c>
      <c r="AN875" s="29">
        <v>38971</v>
      </c>
      <c r="AO875" s="44">
        <v>38.569358999999999</v>
      </c>
      <c r="AP875" s="33">
        <f>IF(ISBLANK(AO876),"",Short2[[#This Row],[Adj Close]]/AO876-1)</f>
        <v>8.6162841129302503E-2</v>
      </c>
    </row>
    <row r="876" spans="1:42" x14ac:dyDescent="0.25">
      <c r="A876" s="37">
        <v>38964</v>
      </c>
      <c r="B876" s="39">
        <v>1298.920044</v>
      </c>
      <c r="C876" s="36">
        <f>IF(ISBLANK(B877), "", GSPC[[#This Row],[Adj Close]]/B877-1)</f>
        <v>-9.2218716163731118E-3</v>
      </c>
      <c r="D87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7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76" s="11" t="e">
        <f>IF(ISBLANK(GSPC[[#This Row],[Long Exp.]]), "", (GSPC[[#This Row],[Long Exp.]]/D877-1)+(E877/GSPC[[#This Row],[Short Exp.]]-1))</f>
        <v>#VALUE!</v>
      </c>
      <c r="G876" s="37">
        <v>38964</v>
      </c>
      <c r="H876">
        <v>18.310866999999998</v>
      </c>
      <c r="I876" s="36">
        <f>IF(ISBLANK(H877), "", Long0[[#This Row],[Adj Close]]/H877-1)</f>
        <v>-4.9166528089803485E-3</v>
      </c>
      <c r="J876" s="29">
        <v>38964</v>
      </c>
      <c r="K876">
        <v>1.604762</v>
      </c>
      <c r="L876" s="33">
        <f>IF(ISBLANK(K877),"",Long1[[#This Row],[Adj Close]]/K877-1)</f>
        <v>8.6955537899893187E-3</v>
      </c>
      <c r="M876" s="37">
        <v>38964</v>
      </c>
      <c r="N876">
        <v>12.706588</v>
      </c>
      <c r="O876" s="36">
        <f>IF(ISBLANK(N877),"",Long2[[#This Row],[Adj Close]]/N877-1)</f>
        <v>-2.0769575070961221E-2</v>
      </c>
      <c r="P876" s="29">
        <v>38964</v>
      </c>
      <c r="Q876">
        <v>14.552664999999999</v>
      </c>
      <c r="R876" s="33">
        <f>IF(ISBLANK(Q877),"",Long3[[#This Row],[Adj Close]]/Q877-1)</f>
        <v>-4.0583279196099276E-2</v>
      </c>
      <c r="S876" s="37">
        <v>38964</v>
      </c>
      <c r="T876" s="35">
        <v>13.130276</v>
      </c>
      <c r="U876" s="36">
        <f>IF(ISBLANK(T877),"",Long4[[#This Row],[Adj Close]]/T877-1)</f>
        <v>3.0100342844393335E-2</v>
      </c>
      <c r="Y876" s="37">
        <v>38964</v>
      </c>
      <c r="Z876" s="35">
        <v>9.7645809999999997</v>
      </c>
      <c r="AA876" s="36">
        <f>IF(ISBLANK(Z877),"",Long6[[#This Row],[Adj Close]]/Z877-1)</f>
        <v>-2.718441340090294E-2</v>
      </c>
      <c r="AH876" s="29">
        <v>38964</v>
      </c>
      <c r="AI876" s="44">
        <v>46.190865000000002</v>
      </c>
      <c r="AJ876" s="33">
        <f>IF(ISBLANK(AI877),"",Short0[[#This Row],[Adj Close]]/AI877-1)</f>
        <v>4.4960959997579764E-3</v>
      </c>
      <c r="AK876" s="37">
        <v>38964</v>
      </c>
      <c r="AL876" s="39">
        <v>29.925778999999999</v>
      </c>
      <c r="AM876" s="36">
        <f>IF(ISBLANK(AL877),"",Short1[[#This Row],[Adj Close]]/AL877-1)</f>
        <v>-2.1550952261986223E-2</v>
      </c>
      <c r="AN876" s="29">
        <v>38964</v>
      </c>
      <c r="AO876" s="44">
        <v>35.509739000000003</v>
      </c>
      <c r="AP876" s="33">
        <f>IF(ISBLANK(AO877),"",Short2[[#This Row],[Adj Close]]/AO877-1)</f>
        <v>-4.6439720516436522E-2</v>
      </c>
    </row>
    <row r="877" spans="1:42" x14ac:dyDescent="0.25">
      <c r="A877" s="37">
        <v>38957</v>
      </c>
      <c r="B877" s="39">
        <v>1311.01001</v>
      </c>
      <c r="C877" s="36">
        <f>IF(ISBLANK(B878), "", GSPC[[#This Row],[Adj Close]]/B878-1)</f>
        <v>1.2292616279910185E-2</v>
      </c>
      <c r="D87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7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77" s="11" t="e">
        <f>IF(ISBLANK(GSPC[[#This Row],[Long Exp.]]), "", (GSPC[[#This Row],[Long Exp.]]/D878-1)+(E878/GSPC[[#This Row],[Short Exp.]]-1))</f>
        <v>#VALUE!</v>
      </c>
      <c r="G877" s="37">
        <v>38957</v>
      </c>
      <c r="H877">
        <v>18.401340000000001</v>
      </c>
      <c r="I877" s="36">
        <f>IF(ISBLANK(H878), "", Long0[[#This Row],[Adj Close]]/H878-1)</f>
        <v>-1.2621269046637629E-2</v>
      </c>
      <c r="J877" s="29">
        <v>38957</v>
      </c>
      <c r="K877">
        <v>1.5909279999999999</v>
      </c>
      <c r="L877" s="33">
        <f>IF(ISBLANK(K878),"",Long1[[#This Row],[Adj Close]]/K878-1)</f>
        <v>-2.5424045487986935E-2</v>
      </c>
      <c r="M877" s="37">
        <v>38957</v>
      </c>
      <c r="N877">
        <v>12.976096</v>
      </c>
      <c r="O877" s="36">
        <f>IF(ISBLANK(N878),"",Long2[[#This Row],[Adj Close]]/N878-1)</f>
        <v>1.2228161066054621E-3</v>
      </c>
      <c r="P877" s="29">
        <v>38957</v>
      </c>
      <c r="Q877">
        <v>15.168241999999999</v>
      </c>
      <c r="R877" s="33">
        <f>IF(ISBLANK(Q878),"",Long3[[#This Row],[Adj Close]]/Q878-1)</f>
        <v>2.3399223502830191E-2</v>
      </c>
      <c r="S877" s="37">
        <v>38957</v>
      </c>
      <c r="T877" s="35">
        <v>12.746599</v>
      </c>
      <c r="U877" s="36">
        <f>IF(ISBLANK(T878),"",Long4[[#This Row],[Adj Close]]/T878-1)</f>
        <v>3.1034491684085674E-2</v>
      </c>
      <c r="Y877" s="37">
        <v>38957</v>
      </c>
      <c r="Z877" s="35">
        <v>10.037443</v>
      </c>
      <c r="AA877" s="36">
        <f>IF(ISBLANK(Z878),"",Long6[[#This Row],[Adj Close]]/Z878-1)</f>
        <v>-4.629624966875534E-2</v>
      </c>
      <c r="AH877" s="29">
        <v>38957</v>
      </c>
      <c r="AI877" s="44">
        <v>45.984116</v>
      </c>
      <c r="AJ877" s="33">
        <f>IF(ISBLANK(AI878),"",Short0[[#This Row],[Adj Close]]/AI878-1)</f>
        <v>4.0440482798100863E-2</v>
      </c>
      <c r="AK877" s="37">
        <v>38957</v>
      </c>
      <c r="AL877" s="39">
        <v>30.584913</v>
      </c>
      <c r="AM877" s="36">
        <f>IF(ISBLANK(AL878),"",Short1[[#This Row],[Adj Close]]/AL878-1)</f>
        <v>3.8622008702376531E-2</v>
      </c>
      <c r="AN877" s="29">
        <v>38957</v>
      </c>
      <c r="AO877" s="44">
        <v>37.239113000000003</v>
      </c>
      <c r="AP877" s="33">
        <f>IF(ISBLANK(AO878),"",Short2[[#This Row],[Adj Close]]/AO878-1)</f>
        <v>6.7049744853853177E-4</v>
      </c>
    </row>
    <row r="878" spans="1:42" x14ac:dyDescent="0.25">
      <c r="A878" s="37">
        <v>38950</v>
      </c>
      <c r="B878" s="39">
        <v>1295.089966</v>
      </c>
      <c r="C878" s="36">
        <f>IF(ISBLANK(B879), "", GSPC[[#This Row],[Adj Close]]/B879-1)</f>
        <v>-5.5364222749867409E-3</v>
      </c>
      <c r="D87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7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78" s="11" t="e">
        <f>IF(ISBLANK(GSPC[[#This Row],[Long Exp.]]), "", (GSPC[[#This Row],[Long Exp.]]/D879-1)+(E879/GSPC[[#This Row],[Short Exp.]]-1))</f>
        <v>#VALUE!</v>
      </c>
      <c r="G878" s="37">
        <v>38950</v>
      </c>
      <c r="H878">
        <v>18.636557</v>
      </c>
      <c r="I878" s="36">
        <f>IF(ISBLANK(H879), "", Long0[[#This Row],[Adj Close]]/H879-1)</f>
        <v>-2.0446954236119752E-2</v>
      </c>
      <c r="J878" s="29">
        <v>38950</v>
      </c>
      <c r="K878">
        <v>1.632431</v>
      </c>
      <c r="L878" s="33">
        <f>IF(ISBLANK(K879),"",Long1[[#This Row],[Adj Close]]/K879-1)</f>
        <v>3.5087952905787478E-2</v>
      </c>
      <c r="M878" s="37">
        <v>38950</v>
      </c>
      <c r="N878">
        <v>12.960248</v>
      </c>
      <c r="O878" s="36">
        <f>IF(ISBLANK(N879),"",Long2[[#This Row],[Adj Close]]/N879-1)</f>
        <v>-3.048796904464135E-3</v>
      </c>
      <c r="P878" s="29">
        <v>38950</v>
      </c>
      <c r="Q878">
        <v>14.821432</v>
      </c>
      <c r="R878" s="33">
        <f>IF(ISBLANK(Q879),"",Long3[[#This Row],[Adj Close]]/Q879-1)</f>
        <v>-1.7529113659573214E-2</v>
      </c>
      <c r="S878" s="37">
        <v>38950</v>
      </c>
      <c r="T878" s="35">
        <v>12.362921999999999</v>
      </c>
      <c r="U878" s="36">
        <f>IF(ISBLANK(T879),"",Long4[[#This Row],[Adj Close]]/T879-1)</f>
        <v>2.5459560241546386E-2</v>
      </c>
      <c r="Y878" s="37">
        <v>38950</v>
      </c>
      <c r="Z878" s="35">
        <v>10.524697</v>
      </c>
      <c r="AA878" s="36">
        <f>IF(ISBLANK(Z879),"",Long6[[#This Row],[Adj Close]]/Z879-1)</f>
        <v>-5.0132087335491016E-2</v>
      </c>
      <c r="AH878" s="29">
        <v>38950</v>
      </c>
      <c r="AI878" s="44">
        <v>44.196776999999997</v>
      </c>
      <c r="AJ878" s="33">
        <f>IF(ISBLANK(AI879),"",Short0[[#This Row],[Adj Close]]/AI879-1)</f>
        <v>-2.3862127300443792E-2</v>
      </c>
      <c r="AK878" s="37">
        <v>38950</v>
      </c>
      <c r="AL878" s="39">
        <v>29.447588</v>
      </c>
      <c r="AM878" s="36">
        <f>IF(ISBLANK(AL879),"",Short1[[#This Row],[Adj Close]]/AL879-1)</f>
        <v>-7.0379753037281834E-2</v>
      </c>
      <c r="AN878" s="29">
        <v>38950</v>
      </c>
      <c r="AO878" s="44">
        <v>37.214160999999997</v>
      </c>
      <c r="AP878" s="33">
        <f>IF(ISBLANK(AO879),"",Short2[[#This Row],[Adj Close]]/AO879-1)</f>
        <v>-2.8013585602251756E-2</v>
      </c>
    </row>
    <row r="879" spans="1:42" x14ac:dyDescent="0.25">
      <c r="A879" s="37">
        <v>38943</v>
      </c>
      <c r="B879" s="39">
        <v>1302.3000489999999</v>
      </c>
      <c r="C879" s="36">
        <f>IF(ISBLANK(B880), "", GSPC[[#This Row],[Adj Close]]/B880-1)</f>
        <v>2.8072105783918611E-2</v>
      </c>
      <c r="D87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7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79" s="11" t="e">
        <f>IF(ISBLANK(GSPC[[#This Row],[Long Exp.]]), "", (GSPC[[#This Row],[Long Exp.]]/D880-1)+(E880/GSPC[[#This Row],[Short Exp.]]-1))</f>
        <v>#VALUE!</v>
      </c>
      <c r="G879" s="37">
        <v>38943</v>
      </c>
      <c r="H879">
        <v>19.025572</v>
      </c>
      <c r="I879" s="36">
        <f>IF(ISBLANK(H880), "", Long0[[#This Row],[Adj Close]]/H880-1)</f>
        <v>5.5722961764057111E-2</v>
      </c>
      <c r="J879" s="29">
        <v>38943</v>
      </c>
      <c r="K879">
        <v>1.577094</v>
      </c>
      <c r="L879" s="33">
        <f>IF(ISBLANK(K880),"",Long1[[#This Row],[Adj Close]]/K880-1)</f>
        <v>0</v>
      </c>
      <c r="M879" s="37">
        <v>38943</v>
      </c>
      <c r="N879">
        <v>12.999881999999999</v>
      </c>
      <c r="O879" s="36">
        <f>IF(ISBLANK(N880),"",Long2[[#This Row],[Adj Close]]/N880-1)</f>
        <v>6.7708792760277303E-2</v>
      </c>
      <c r="P879" s="29">
        <v>38943</v>
      </c>
      <c r="Q879">
        <v>15.085874</v>
      </c>
      <c r="R879" s="33">
        <f>IF(ISBLANK(Q880),"",Long3[[#This Row],[Adj Close]]/Q880-1)</f>
        <v>9.8667334293716102E-3</v>
      </c>
      <c r="S879" s="37">
        <v>38943</v>
      </c>
      <c r="T879" s="35">
        <v>12.055982</v>
      </c>
      <c r="U879" s="36">
        <f>IF(ISBLANK(T880),"",Long4[[#This Row],[Adj Close]]/T880-1)</f>
        <v>4.7407692498157017E-2</v>
      </c>
      <c r="Y879" s="37">
        <v>38943</v>
      </c>
      <c r="Z879" s="35">
        <v>11.080169</v>
      </c>
      <c r="AA879" s="36">
        <f>IF(ISBLANK(Z880),"",Long6[[#This Row],[Adj Close]]/Z880-1)</f>
        <v>4.5036618637528836E-2</v>
      </c>
      <c r="AH879" s="29">
        <v>38943</v>
      </c>
      <c r="AI879" s="44">
        <v>45.277186999999998</v>
      </c>
      <c r="AJ879" s="33">
        <f>IF(ISBLANK(AI880),"",Short0[[#This Row],[Adj Close]]/AI880-1)</f>
        <v>0.1253107379034939</v>
      </c>
      <c r="AK879" s="37">
        <v>38943</v>
      </c>
      <c r="AL879" s="39">
        <v>31.677008000000001</v>
      </c>
      <c r="AM879" s="36">
        <f>IF(ISBLANK(AL880),"",Short1[[#This Row],[Adj Close]]/AL880-1)</f>
        <v>5.9892351207489813E-2</v>
      </c>
      <c r="AN879" s="29">
        <v>38943</v>
      </c>
      <c r="AO879" s="44">
        <v>38.286709000000002</v>
      </c>
      <c r="AP879" s="33">
        <f>IF(ISBLANK(AO880),"",Short2[[#This Row],[Adj Close]]/AO880-1)</f>
        <v>5.6920488427023352E-2</v>
      </c>
    </row>
    <row r="880" spans="1:42" x14ac:dyDescent="0.25">
      <c r="A880" s="37">
        <v>38936</v>
      </c>
      <c r="B880" s="39">
        <v>1266.73999</v>
      </c>
      <c r="C880" s="36">
        <f>IF(ISBLANK(B881), "", GSPC[[#This Row],[Adj Close]]/B881-1)</f>
        <v>-9.8643033610278374E-3</v>
      </c>
      <c r="D88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8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80" s="11" t="e">
        <f>IF(ISBLANK(GSPC[[#This Row],[Long Exp.]]), "", (GSPC[[#This Row],[Long Exp.]]/D881-1)+(E881/GSPC[[#This Row],[Short Exp.]]-1))</f>
        <v>#VALUE!</v>
      </c>
      <c r="G880" s="37">
        <v>38936</v>
      </c>
      <c r="H880">
        <v>18.021367999999999</v>
      </c>
      <c r="I880" s="36">
        <f>IF(ISBLANK(H881), "", Long0[[#This Row],[Adj Close]]/H881-1)</f>
        <v>-0.13428951052303628</v>
      </c>
      <c r="J880" s="29">
        <v>38936</v>
      </c>
      <c r="K880">
        <v>1.577094</v>
      </c>
      <c r="L880" s="33">
        <f>IF(ISBLANK(K881),"",Long1[[#This Row],[Adj Close]]/K881-1)</f>
        <v>-0.10937489411397971</v>
      </c>
      <c r="M880" s="37">
        <v>38936</v>
      </c>
      <c r="N880">
        <v>12.175494</v>
      </c>
      <c r="O880" s="36">
        <f>IF(ISBLANK(N881),"",Long2[[#This Row],[Adj Close]]/N881-1)</f>
        <v>-5.8256660493646306E-3</v>
      </c>
      <c r="P880" s="29">
        <v>38936</v>
      </c>
      <c r="Q880">
        <v>14.93848</v>
      </c>
      <c r="R880" s="33">
        <f>IF(ISBLANK(Q881),"",Long3[[#This Row],[Adj Close]]/Q881-1)</f>
        <v>-8.0603628132729366E-3</v>
      </c>
      <c r="S880" s="37">
        <v>38936</v>
      </c>
      <c r="T880" s="35">
        <v>11.510305000000001</v>
      </c>
      <c r="U880" s="36">
        <f>IF(ISBLANK(T881),"",Long4[[#This Row],[Adj Close]]/T881-1)</f>
        <v>3.3690223911486239E-2</v>
      </c>
      <c r="Y880" s="37">
        <v>38936</v>
      </c>
      <c r="Z880" s="35">
        <v>10.602660999999999</v>
      </c>
      <c r="AA880" s="36">
        <f>IF(ISBLANK(Z881),"",Long6[[#This Row],[Adj Close]]/Z881-1)</f>
        <v>-0.10082626895847546</v>
      </c>
      <c r="AH880" s="29">
        <v>38936</v>
      </c>
      <c r="AI880" s="44">
        <v>40.235275000000001</v>
      </c>
      <c r="AJ880" s="33">
        <f>IF(ISBLANK(AI881),"",Short0[[#This Row],[Adj Close]]/AI881-1)</f>
        <v>-2.6935621257636599E-2</v>
      </c>
      <c r="AK880" s="37">
        <v>38936</v>
      </c>
      <c r="AL880" s="39">
        <v>29.887004999999998</v>
      </c>
      <c r="AM880" s="36">
        <f>IF(ISBLANK(AL881),"",Short1[[#This Row],[Adj Close]]/AL881-1)</f>
        <v>-4.3432852530957855E-2</v>
      </c>
      <c r="AN880" s="29">
        <v>38936</v>
      </c>
      <c r="AO880" s="44">
        <v>36.224777000000003</v>
      </c>
      <c r="AP880" s="33">
        <f>IF(ISBLANK(AO881),"",Short2[[#This Row],[Adj Close]]/AO881-1)</f>
        <v>-6.6306801436862739E-2</v>
      </c>
    </row>
    <row r="881" spans="1:42" x14ac:dyDescent="0.25">
      <c r="A881" s="37">
        <v>38929</v>
      </c>
      <c r="B881" s="39">
        <v>1279.3599850000001</v>
      </c>
      <c r="C881" s="36">
        <f>IF(ISBLANK(B882), "", GSPC[[#This Row],[Adj Close]]/B882-1)</f>
        <v>6.3348008991392923E-4</v>
      </c>
      <c r="D88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8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81" s="11" t="e">
        <f>IF(ISBLANK(GSPC[[#This Row],[Long Exp.]]), "", (GSPC[[#This Row],[Long Exp.]]/D882-1)+(E882/GSPC[[#This Row],[Short Exp.]]-1))</f>
        <v>#VALUE!</v>
      </c>
      <c r="G881" s="37">
        <v>38929</v>
      </c>
      <c r="H881">
        <v>20.816852999999998</v>
      </c>
      <c r="I881" s="36">
        <f>IF(ISBLANK(H882), "", Long0[[#This Row],[Adj Close]]/H882-1)</f>
        <v>4.5909138457602472E-2</v>
      </c>
      <c r="J881" s="29">
        <v>38929</v>
      </c>
      <c r="K881">
        <v>1.770772</v>
      </c>
      <c r="L881" s="33">
        <f>IF(ISBLANK(K882),"",Long1[[#This Row],[Adj Close]]/K882-1)</f>
        <v>0.10344836181315364</v>
      </c>
      <c r="M881" s="37">
        <v>38929</v>
      </c>
      <c r="N881">
        <v>12.246840000000001</v>
      </c>
      <c r="O881" s="36">
        <f>IF(ISBLANK(N882),"",Long2[[#This Row],[Adj Close]]/N882-1)</f>
        <v>2.5960429889853032E-3</v>
      </c>
      <c r="P881" s="29">
        <v>38929</v>
      </c>
      <c r="Q881">
        <v>15.059868</v>
      </c>
      <c r="R881" s="33">
        <f>IF(ISBLANK(Q882),"",Long3[[#This Row],[Adj Close]]/Q882-1)</f>
        <v>6.9565527870842914E-3</v>
      </c>
      <c r="S881" s="37">
        <v>38929</v>
      </c>
      <c r="T881" s="35">
        <v>11.135159</v>
      </c>
      <c r="U881" s="36">
        <f>IF(ISBLANK(T882),"",Long4[[#This Row],[Adj Close]]/T882-1)</f>
        <v>3.4865597181414021E-2</v>
      </c>
      <c r="Y881" s="37">
        <v>38929</v>
      </c>
      <c r="Z881" s="35">
        <v>11.79156</v>
      </c>
      <c r="AA881" s="36">
        <f>IF(ISBLANK(Z882),"",Long6[[#This Row],[Adj Close]]/Z882-1)</f>
        <v>-2.3406163736306551E-2</v>
      </c>
      <c r="AH881" s="29">
        <v>38929</v>
      </c>
      <c r="AI881" s="44">
        <v>41.349037000000003</v>
      </c>
      <c r="AJ881" s="33">
        <f>IF(ISBLANK(AI882),"",Short0[[#This Row],[Adj Close]]/AI882-1)</f>
        <v>-1.2266620458300292E-2</v>
      </c>
      <c r="AK881" s="37">
        <v>38929</v>
      </c>
      <c r="AL881" s="39">
        <v>31.244022000000001</v>
      </c>
      <c r="AM881" s="36">
        <f>IF(ISBLANK(AL882),"",Short1[[#This Row],[Adj Close]]/AL882-1)</f>
        <v>6.1936328933832607E-2</v>
      </c>
      <c r="AN881" s="29">
        <v>38929</v>
      </c>
      <c r="AO881" s="44">
        <v>38.797302000000002</v>
      </c>
      <c r="AP881" s="33">
        <f>IF(ISBLANK(AO882),"",Short2[[#This Row],[Adj Close]]/AO882-1)</f>
        <v>3.0136809823069433E-2</v>
      </c>
    </row>
    <row r="882" spans="1:42" x14ac:dyDescent="0.25">
      <c r="A882" s="37">
        <v>38922</v>
      </c>
      <c r="B882" s="39">
        <v>1278.5500489999999</v>
      </c>
      <c r="C882" s="36">
        <f>IF(ISBLANK(B883), "", GSPC[[#This Row],[Adj Close]]/B883-1)</f>
        <v>3.0847631438568612E-2</v>
      </c>
      <c r="D88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8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82" s="11" t="e">
        <f>IF(ISBLANK(GSPC[[#This Row],[Long Exp.]]), "", (GSPC[[#This Row],[Long Exp.]]/D883-1)+(E883/GSPC[[#This Row],[Short Exp.]]-1))</f>
        <v>#VALUE!</v>
      </c>
      <c r="G882" s="37">
        <v>38922</v>
      </c>
      <c r="H882">
        <v>19.903117999999999</v>
      </c>
      <c r="I882" s="36">
        <f>IF(ISBLANK(H883), "", Long0[[#This Row],[Adj Close]]/H883-1)</f>
        <v>0.1524360505429061</v>
      </c>
      <c r="J882" s="29">
        <v>38922</v>
      </c>
      <c r="K882">
        <v>1.604762</v>
      </c>
      <c r="L882" s="33">
        <f>IF(ISBLANK(K883),"",Long1[[#This Row],[Adj Close]]/K883-1)</f>
        <v>1.7543659414086976E-2</v>
      </c>
      <c r="M882" s="37">
        <v>38922</v>
      </c>
      <c r="N882">
        <v>12.215128999999999</v>
      </c>
      <c r="O882" s="36">
        <f>IF(ISBLANK(N883),"",Long2[[#This Row],[Adj Close]]/N883-1)</f>
        <v>8.9816042065473445E-2</v>
      </c>
      <c r="P882" s="29">
        <v>38922</v>
      </c>
      <c r="Q882">
        <v>14.955826999999999</v>
      </c>
      <c r="R882" s="33">
        <f>IF(ISBLANK(Q883),"",Long3[[#This Row],[Adj Close]]/Q883-1)</f>
        <v>2.4955866970483687E-2</v>
      </c>
      <c r="S882" s="37">
        <v>38922</v>
      </c>
      <c r="T882" s="35">
        <v>10.760005</v>
      </c>
      <c r="U882" s="36">
        <f>IF(ISBLANK(T883),"",Long4[[#This Row],[Adj Close]]/T883-1)</f>
        <v>9.4536029851116865E-2</v>
      </c>
      <c r="Y882" s="37">
        <v>38922</v>
      </c>
      <c r="Z882" s="35">
        <v>12.074170000000001</v>
      </c>
      <c r="AA882" s="36">
        <f>IF(ISBLANK(Z883),"",Long6[[#This Row],[Adj Close]]/Z883-1)</f>
        <v>8.3042170058010178E-2</v>
      </c>
      <c r="AH882" s="29">
        <v>38922</v>
      </c>
      <c r="AI882" s="44">
        <v>41.862549000000001</v>
      </c>
      <c r="AJ882" s="33">
        <f>IF(ISBLANK(AI883),"",Short0[[#This Row],[Adj Close]]/AI883-1)</f>
        <v>-3.3117809800124021E-2</v>
      </c>
      <c r="AK882" s="37">
        <v>38922</v>
      </c>
      <c r="AL882" s="39">
        <v>29.421747</v>
      </c>
      <c r="AM882" s="36">
        <f>IF(ISBLANK(AL883),"",Short1[[#This Row],[Adj Close]]/AL883-1)</f>
        <v>3.547895624850872E-2</v>
      </c>
      <c r="AN882" s="29">
        <v>38922</v>
      </c>
      <c r="AO882" s="44">
        <v>37.662281</v>
      </c>
      <c r="AP882" s="33">
        <f>IF(ISBLANK(AO883),"",Short2[[#This Row],[Adj Close]]/AO883-1)</f>
        <v>6.5135722482827507E-2</v>
      </c>
    </row>
    <row r="883" spans="1:42" x14ac:dyDescent="0.25">
      <c r="A883" s="37">
        <v>38915</v>
      </c>
      <c r="B883" s="39">
        <v>1240.290039</v>
      </c>
      <c r="C883" s="36">
        <f>IF(ISBLANK(B884), "", GSPC[[#This Row],[Adj Close]]/B884-1)</f>
        <v>3.308597445495165E-3</v>
      </c>
      <c r="D88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8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83" s="11" t="e">
        <f>IF(ISBLANK(GSPC[[#This Row],[Long Exp.]]), "", (GSPC[[#This Row],[Long Exp.]]/D884-1)+(E884/GSPC[[#This Row],[Short Exp.]]-1))</f>
        <v>#VALUE!</v>
      </c>
      <c r="G883" s="37">
        <v>38915</v>
      </c>
      <c r="H883">
        <v>17.270475000000001</v>
      </c>
      <c r="I883" s="36">
        <f>IF(ISBLANK(H884), "", Long0[[#This Row],[Adj Close]]/H884-1)</f>
        <v>-1.1393222328114572E-2</v>
      </c>
      <c r="J883" s="29">
        <v>38915</v>
      </c>
      <c r="K883">
        <v>1.577094</v>
      </c>
      <c r="L883" s="33">
        <f>IF(ISBLANK(K884),"",Long1[[#This Row],[Adj Close]]/K884-1)</f>
        <v>-8.6955537899892077E-3</v>
      </c>
      <c r="M883" s="37">
        <v>38915</v>
      </c>
      <c r="N883">
        <v>11.208432</v>
      </c>
      <c r="O883" s="36">
        <f>IF(ISBLANK(N884),"",Long2[[#This Row],[Adj Close]]/N884-1)</f>
        <v>-3.6128067224896143E-2</v>
      </c>
      <c r="P883" s="29">
        <v>38915</v>
      </c>
      <c r="Q883">
        <v>14.591678999999999</v>
      </c>
      <c r="R883" s="33">
        <f>IF(ISBLANK(Q884),"",Long3[[#This Row],[Adj Close]]/Q884-1)</f>
        <v>2.715871035246975E-2</v>
      </c>
      <c r="S883" s="37">
        <v>38915</v>
      </c>
      <c r="T883" s="35">
        <v>9.8306539999999991</v>
      </c>
      <c r="U883" s="36">
        <f>IF(ISBLANK(T884),"",Long4[[#This Row],[Adj Close]]/T884-1)</f>
        <v>3.2228914871980097E-2</v>
      </c>
      <c r="Y883" s="37">
        <v>38915</v>
      </c>
      <c r="Z883" s="35">
        <v>11.148384</v>
      </c>
      <c r="AA883" s="36">
        <f>IF(ISBLANK(Z884),"",Long6[[#This Row],[Adj Close]]/Z884-1)</f>
        <v>-2.8862471087048647E-2</v>
      </c>
      <c r="AH883" s="29">
        <v>38915</v>
      </c>
      <c r="AI883" s="44">
        <v>43.296432000000003</v>
      </c>
      <c r="AJ883" s="33">
        <f>IF(ISBLANK(AI884),"",Short0[[#This Row],[Adj Close]]/AI884-1)</f>
        <v>-3.9360744619344468E-2</v>
      </c>
      <c r="AK883" s="37">
        <v>38915</v>
      </c>
      <c r="AL883" s="39">
        <v>28.41366</v>
      </c>
      <c r="AM883" s="36">
        <f>IF(ISBLANK(AL884),"",Short1[[#This Row],[Adj Close]]/AL884-1)</f>
        <v>-3.383859797401545E-2</v>
      </c>
      <c r="AN883" s="29">
        <v>38915</v>
      </c>
      <c r="AO883" s="44">
        <v>35.359138000000002</v>
      </c>
      <c r="AP883" s="33">
        <f>IF(ISBLANK(AO884),"",Short2[[#This Row],[Adj Close]]/AO884-1)</f>
        <v>6.5135946259448518E-2</v>
      </c>
    </row>
    <row r="884" spans="1:42" x14ac:dyDescent="0.25">
      <c r="A884" s="37">
        <v>38908</v>
      </c>
      <c r="B884" s="39">
        <v>1236.1999510000001</v>
      </c>
      <c r="C884" s="36">
        <f>IF(ISBLANK(B885), "", GSPC[[#This Row],[Adj Close]]/B885-1)</f>
        <v>-2.3137488907568504E-2</v>
      </c>
      <c r="D88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8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84" s="11" t="e">
        <f>IF(ISBLANK(GSPC[[#This Row],[Long Exp.]]), "", (GSPC[[#This Row],[Long Exp.]]/D885-1)+(E885/GSPC[[#This Row],[Short Exp.]]-1))</f>
        <v>#VALUE!</v>
      </c>
      <c r="G884" s="37">
        <v>38908</v>
      </c>
      <c r="H884">
        <v>17.469508999999999</v>
      </c>
      <c r="I884" s="36">
        <f>IF(ISBLANK(H885), "", Long0[[#This Row],[Adj Close]]/H885-1)</f>
        <v>-1.3789551565917102E-2</v>
      </c>
      <c r="J884" s="29">
        <v>38908</v>
      </c>
      <c r="K884">
        <v>1.5909279999999999</v>
      </c>
      <c r="L884" s="33">
        <f>IF(ISBLANK(K885),"",Long1[[#This Row],[Adj Close]]/K885-1)</f>
        <v>-0.20138907364469694</v>
      </c>
      <c r="M884" s="37">
        <v>38908</v>
      </c>
      <c r="N884">
        <v>11.628549</v>
      </c>
      <c r="O884" s="36">
        <f>IF(ISBLANK(N885),"",Long2[[#This Row],[Adj Close]]/N885-1)</f>
        <v>2.3012651134229678E-2</v>
      </c>
      <c r="P884" s="29">
        <v>38908</v>
      </c>
      <c r="Q884">
        <v>14.205866</v>
      </c>
      <c r="R884" s="33">
        <f>IF(ISBLANK(Q885),"",Long3[[#This Row],[Adj Close]]/Q885-1)</f>
        <v>1.834292252333336E-3</v>
      </c>
      <c r="S884" s="37">
        <v>38908</v>
      </c>
      <c r="T884" s="35">
        <v>9.5237149999999993</v>
      </c>
      <c r="U884" s="36">
        <f>IF(ISBLANK(T885),"",Long4[[#This Row],[Adj Close]]/T885-1)</f>
        <v>-7.4564862904886398E-2</v>
      </c>
      <c r="Y884" s="37">
        <v>38908</v>
      </c>
      <c r="Z884" s="35">
        <v>11.479717000000001</v>
      </c>
      <c r="AA884" s="36">
        <f>IF(ISBLANK(Z885),"",Long6[[#This Row],[Adj Close]]/Z885-1)</f>
        <v>-0.10554299631471509</v>
      </c>
      <c r="AH884" s="29">
        <v>38908</v>
      </c>
      <c r="AI884" s="44">
        <v>45.070438000000003</v>
      </c>
      <c r="AJ884" s="33">
        <f>IF(ISBLANK(AI885),"",Short0[[#This Row],[Adj Close]]/AI885-1)</f>
        <v>-8.440571804707564E-2</v>
      </c>
      <c r="AK884" s="37">
        <v>38908</v>
      </c>
      <c r="AL884" s="39">
        <v>29.408812999999999</v>
      </c>
      <c r="AM884" s="36">
        <f>IF(ISBLANK(AL885),"",Short1[[#This Row],[Adj Close]]/AL885-1)</f>
        <v>-0.12949488922427177</v>
      </c>
      <c r="AN884" s="29">
        <v>38908</v>
      </c>
      <c r="AO884" s="44">
        <v>33.196831000000003</v>
      </c>
      <c r="AP884" s="33">
        <f>IF(ISBLANK(AO885),"",Short2[[#This Row],[Adj Close]]/AO885-1)</f>
        <v>-9.630121065275099E-2</v>
      </c>
    </row>
    <row r="885" spans="1:42" x14ac:dyDescent="0.25">
      <c r="A885" s="37">
        <v>38901</v>
      </c>
      <c r="B885" s="39">
        <v>1265.4799800000001</v>
      </c>
      <c r="C885" s="36">
        <f>IF(ISBLANK(B886), "", GSPC[[#This Row],[Adj Close]]/B886-1)</f>
        <v>-3.7159275563536376E-3</v>
      </c>
      <c r="D88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8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85" s="11" t="e">
        <f>IF(ISBLANK(GSPC[[#This Row],[Long Exp.]]), "", (GSPC[[#This Row],[Long Exp.]]/D886-1)+(E886/GSPC[[#This Row],[Short Exp.]]-1))</f>
        <v>#VALUE!</v>
      </c>
      <c r="G885" s="37">
        <v>38901</v>
      </c>
      <c r="H885">
        <v>17.713774000000001</v>
      </c>
      <c r="I885" s="36">
        <f>IF(ISBLANK(H886), "", Long0[[#This Row],[Adj Close]]/H886-1)</f>
        <v>-1.8149990061648857E-2</v>
      </c>
      <c r="J885" s="29">
        <v>38901</v>
      </c>
      <c r="K885">
        <v>1.992119</v>
      </c>
      <c r="L885" s="33">
        <f>IF(ISBLANK(K886),"",Long1[[#This Row],[Adj Close]]/K886-1)</f>
        <v>0.17073215166187605</v>
      </c>
      <c r="M885" s="37">
        <v>38901</v>
      </c>
      <c r="N885">
        <v>11.366965</v>
      </c>
      <c r="O885" s="36">
        <f>IF(ISBLANK(N886),"",Long2[[#This Row],[Adj Close]]/N886-1)</f>
        <v>-8.370645788619846E-2</v>
      </c>
      <c r="P885" s="29">
        <v>38901</v>
      </c>
      <c r="Q885">
        <v>14.179855999999999</v>
      </c>
      <c r="R885" s="33">
        <f>IF(ISBLANK(Q886),"",Long3[[#This Row],[Adj Close]]/Q886-1)</f>
        <v>1.2693434087592825E-2</v>
      </c>
      <c r="S885" s="37">
        <v>38901</v>
      </c>
      <c r="T885" s="35">
        <v>10.291067</v>
      </c>
      <c r="U885" s="36">
        <f>IF(ISBLANK(T886),"",Long4[[#This Row],[Adj Close]]/T886-1)</f>
        <v>-4.660356003379984E-2</v>
      </c>
      <c r="Y885" s="37">
        <v>38901</v>
      </c>
      <c r="Z885" s="35">
        <v>12.834286000000001</v>
      </c>
      <c r="AA885" s="36">
        <f>IF(ISBLANK(Z886),"",Long6[[#This Row],[Adj Close]]/Z886-1)</f>
        <v>-1.0518461661104594E-2</v>
      </c>
      <c r="AH885" s="29">
        <v>38901</v>
      </c>
      <c r="AI885" s="44">
        <v>49.225338000000001</v>
      </c>
      <c r="AJ885" s="33">
        <f>IF(ISBLANK(AI886),"",Short0[[#This Row],[Adj Close]]/AI886-1)</f>
        <v>-5.201668608646981E-2</v>
      </c>
      <c r="AK885" s="37">
        <v>38901</v>
      </c>
      <c r="AL885" s="39">
        <v>33.783619000000002</v>
      </c>
      <c r="AM885" s="36">
        <f>IF(ISBLANK(AL886),"",Short1[[#This Row],[Adj Close]]/AL886-1)</f>
        <v>-4.5231184880501041E-2</v>
      </c>
      <c r="AN885" s="29">
        <v>38901</v>
      </c>
      <c r="AO885" s="44">
        <v>36.734397999999999</v>
      </c>
      <c r="AP885" s="33">
        <f>IF(ISBLANK(AO886),"",Short2[[#This Row],[Adj Close]]/AO886-1)</f>
        <v>-6.7661844209643274E-4</v>
      </c>
    </row>
    <row r="886" spans="1:42" x14ac:dyDescent="0.25">
      <c r="A886" s="37">
        <v>38894</v>
      </c>
      <c r="B886" s="39">
        <v>1270.1999510000001</v>
      </c>
      <c r="C886" s="36">
        <f>IF(ISBLANK(B887), "", GSPC[[#This Row],[Adj Close]]/B887-1)</f>
        <v>2.0650824427481007E-2</v>
      </c>
      <c r="D88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8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86" s="11" t="e">
        <f>IF(ISBLANK(GSPC[[#This Row],[Long Exp.]]), "", (GSPC[[#This Row],[Long Exp.]]/D887-1)+(E887/GSPC[[#This Row],[Short Exp.]]-1))</f>
        <v>#VALUE!</v>
      </c>
      <c r="G886" s="37">
        <v>38894</v>
      </c>
      <c r="H886">
        <v>18.041222000000001</v>
      </c>
      <c r="I886" s="36">
        <f>IF(ISBLANK(H887), "", Long0[[#This Row],[Adj Close]]/H887-1)</f>
        <v>-2.7237395206621717E-2</v>
      </c>
      <c r="J886" s="29">
        <v>38894</v>
      </c>
      <c r="K886">
        <v>1.7016009999999999</v>
      </c>
      <c r="L886" s="33">
        <f>IF(ISBLANK(K887),"",Long1[[#This Row],[Adj Close]]/K887-1)</f>
        <v>0.2178214349615315</v>
      </c>
      <c r="M886" s="37">
        <v>38894</v>
      </c>
      <c r="N886">
        <v>12.405374999999999</v>
      </c>
      <c r="O886" s="36">
        <f>IF(ISBLANK(N887),"",Long2[[#This Row],[Adj Close]]/N887-1)</f>
        <v>1.2289913352071524E-2</v>
      </c>
      <c r="P886" s="29">
        <v>38894</v>
      </c>
      <c r="Q886">
        <v>14.002121000000001</v>
      </c>
      <c r="R886" s="33">
        <f>IF(ISBLANK(Q887),"",Long3[[#This Row],[Adj Close]]/Q887-1)</f>
        <v>3.1619657599833317E-2</v>
      </c>
      <c r="S886" s="37">
        <v>38894</v>
      </c>
      <c r="T886" s="35">
        <v>10.794110999999999</v>
      </c>
      <c r="U886" s="36">
        <f>IF(ISBLANK(T887),"",Long4[[#This Row],[Adj Close]]/T887-1)</f>
        <v>4.8881617426064672E-2</v>
      </c>
      <c r="Y886" s="37">
        <v>38894</v>
      </c>
      <c r="Z886" s="35">
        <v>12.970718</v>
      </c>
      <c r="AA886" s="36">
        <f>IF(ISBLANK(Z887),"",Long6[[#This Row],[Adj Close]]/Z887-1)</f>
        <v>7.2522397484896306E-2</v>
      </c>
      <c r="AH886" s="29">
        <v>38894</v>
      </c>
      <c r="AI886" s="44">
        <v>51.926375999999998</v>
      </c>
      <c r="AJ886" s="33">
        <f>IF(ISBLANK(AI887),"",Short0[[#This Row],[Adj Close]]/AI887-1)</f>
        <v>0.16434871926604444</v>
      </c>
      <c r="AK886" s="37">
        <v>38894</v>
      </c>
      <c r="AL886" s="39">
        <v>35.384082999999997</v>
      </c>
      <c r="AM886" s="36">
        <f>IF(ISBLANK(AL887),"",Short1[[#This Row],[Adj Close]]/AL887-1)</f>
        <v>4.1200260028738223E-2</v>
      </c>
      <c r="AN886" s="29">
        <v>38894</v>
      </c>
      <c r="AO886" s="44">
        <v>36.759270000000001</v>
      </c>
      <c r="AP886" s="33">
        <f>IF(ISBLANK(AO887),"",Short2[[#This Row],[Adj Close]]/AO887-1)</f>
        <v>-3.8169527705548267E-3</v>
      </c>
    </row>
    <row r="887" spans="1:42" x14ac:dyDescent="0.25">
      <c r="A887" s="37">
        <v>38887</v>
      </c>
      <c r="B887" s="39">
        <v>1244.5</v>
      </c>
      <c r="C887" s="36">
        <f>IF(ISBLANK(B888), "", GSPC[[#This Row],[Adj Close]]/B888-1)</f>
        <v>-5.6251009001877517E-3</v>
      </c>
      <c r="D88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8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87" s="11" t="e">
        <f>IF(ISBLANK(GSPC[[#This Row],[Long Exp.]]), "", (GSPC[[#This Row],[Long Exp.]]/D888-1)+(E888/GSPC[[#This Row],[Short Exp.]]-1))</f>
        <v>#VALUE!</v>
      </c>
      <c r="G887" s="37">
        <v>38887</v>
      </c>
      <c r="H887">
        <v>18.546377</v>
      </c>
      <c r="I887" s="36">
        <f>IF(ISBLANK(H888), "", Long0[[#This Row],[Adj Close]]/H888-1)</f>
        <v>-1.532558872335521E-2</v>
      </c>
      <c r="J887" s="29">
        <v>38887</v>
      </c>
      <c r="K887">
        <v>1.3972500000000001</v>
      </c>
      <c r="L887" s="33">
        <f>IF(ISBLANK(K888),"",Long1[[#This Row],[Adj Close]]/K888-1)</f>
        <v>0</v>
      </c>
      <c r="M887" s="37">
        <v>38887</v>
      </c>
      <c r="N887">
        <v>12.254765000000001</v>
      </c>
      <c r="O887" s="36">
        <f>IF(ISBLANK(N888),"",Long2[[#This Row],[Adj Close]]/N888-1)</f>
        <v>1.5101739911948409E-2</v>
      </c>
      <c r="P887" s="29">
        <v>38887</v>
      </c>
      <c r="Q887">
        <v>13.572948999999999</v>
      </c>
      <c r="R887" s="33">
        <f>IF(ISBLANK(Q888),"",Long3[[#This Row],[Adj Close]]/Q888-1)</f>
        <v>-1.8495567087595033E-2</v>
      </c>
      <c r="S887" s="37">
        <v>38887</v>
      </c>
      <c r="T887" s="35">
        <v>10.291067</v>
      </c>
      <c r="U887" s="36">
        <f>IF(ISBLANK(T888),"",Long4[[#This Row],[Adj Close]]/T888-1)</f>
        <v>1.6597211508839749E-3</v>
      </c>
      <c r="Y887" s="37">
        <v>38887</v>
      </c>
      <c r="Z887" s="35">
        <v>12.093657</v>
      </c>
      <c r="AA887" s="36">
        <f>IF(ISBLANK(Z888),"",Long6[[#This Row],[Adj Close]]/Z888-1)</f>
        <v>-4.6850960509711936E-2</v>
      </c>
      <c r="AH887" s="29">
        <v>38887</v>
      </c>
      <c r="AI887" s="44">
        <v>44.596927999999998</v>
      </c>
      <c r="AJ887" s="33">
        <f>IF(ISBLANK(AI888),"",Short0[[#This Row],[Adj Close]]/AI888-1)</f>
        <v>-1.006662888086729E-2</v>
      </c>
      <c r="AK887" s="37">
        <v>38887</v>
      </c>
      <c r="AL887" s="39">
        <v>33.983936</v>
      </c>
      <c r="AM887" s="36">
        <f>IF(ISBLANK(AL888),"",Short1[[#This Row],[Adj Close]]/AL888-1)</f>
        <v>4.1942267292458535E-3</v>
      </c>
      <c r="AN887" s="29">
        <v>38887</v>
      </c>
      <c r="AO887" s="44">
        <v>36.900115999999997</v>
      </c>
      <c r="AP887" s="33">
        <f>IF(ISBLANK(AO888),"",Short2[[#This Row],[Adj Close]]/AO888-1)</f>
        <v>-7.7964635019346362E-3</v>
      </c>
    </row>
    <row r="888" spans="1:42" x14ac:dyDescent="0.25">
      <c r="A888" s="37">
        <v>38880</v>
      </c>
      <c r="B888" s="39">
        <v>1251.540039</v>
      </c>
      <c r="C888" s="36">
        <f>IF(ISBLANK(B889), "", GSPC[[#This Row],[Adj Close]]/B889-1)</f>
        <v>-6.0689129622482074E-4</v>
      </c>
      <c r="D88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8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88" s="11" t="e">
        <f>IF(ISBLANK(GSPC[[#This Row],[Long Exp.]]), "", (GSPC[[#This Row],[Long Exp.]]/D889-1)+(E889/GSPC[[#This Row],[Short Exp.]]-1))</f>
        <v>#VALUE!</v>
      </c>
      <c r="G888" s="37">
        <v>38880</v>
      </c>
      <c r="H888">
        <v>18.835035000000001</v>
      </c>
      <c r="I888" s="36">
        <f>IF(ISBLANK(H889), "", Long0[[#This Row],[Adj Close]]/H889-1)</f>
        <v>2.2526651875571568E-2</v>
      </c>
      <c r="J888" s="29">
        <v>38880</v>
      </c>
      <c r="K888">
        <v>1.3972500000000001</v>
      </c>
      <c r="L888" s="33">
        <f>IF(ISBLANK(K889),"",Long1[[#This Row],[Adj Close]]/K889-1)</f>
        <v>9.999884344261023E-3</v>
      </c>
      <c r="M888" s="37">
        <v>38880</v>
      </c>
      <c r="N888">
        <v>12.07245</v>
      </c>
      <c r="O888" s="36">
        <f>IF(ISBLANK(N889),"",Long2[[#This Row],[Adj Close]]/N889-1)</f>
        <v>4.243669647960191E-2</v>
      </c>
      <c r="P888" s="29">
        <v>38880</v>
      </c>
      <c r="Q888">
        <v>13.828719</v>
      </c>
      <c r="R888" s="33">
        <f>IF(ISBLANK(Q889),"",Long3[[#This Row],[Adj Close]]/Q889-1)</f>
        <v>3.4754355518411773E-2</v>
      </c>
      <c r="S888" s="37">
        <v>38880</v>
      </c>
      <c r="T888" s="35">
        <v>10.274015</v>
      </c>
      <c r="U888" s="36">
        <f>IF(ISBLANK(T889),"",Long4[[#This Row],[Adj Close]]/T889-1)</f>
        <v>3.330399714372545E-3</v>
      </c>
      <c r="Y888" s="37">
        <v>38880</v>
      </c>
      <c r="Z888" s="35">
        <v>12.688107</v>
      </c>
      <c r="AA888" s="36">
        <f>IF(ISBLANK(Z889),"",Long6[[#This Row],[Adj Close]]/Z889-1)</f>
        <v>-2.9806511955958626E-2</v>
      </c>
      <c r="AH888" s="29">
        <v>38880</v>
      </c>
      <c r="AI888" s="44">
        <v>45.050434000000003</v>
      </c>
      <c r="AJ888" s="33">
        <f>IF(ISBLANK(AI889),"",Short0[[#This Row],[Adj Close]]/AI889-1)</f>
        <v>3.1297482435948432E-2</v>
      </c>
      <c r="AK888" s="37">
        <v>38880</v>
      </c>
      <c r="AL888" s="39">
        <v>33.841994999999997</v>
      </c>
      <c r="AM888" s="36">
        <f>IF(ISBLANK(AL889),"",Short1[[#This Row],[Adj Close]]/AL889-1)</f>
        <v>4.0881534087737093E-2</v>
      </c>
      <c r="AN888" s="29">
        <v>38880</v>
      </c>
      <c r="AO888" s="44">
        <v>37.190066999999999</v>
      </c>
      <c r="AP888" s="33">
        <f>IF(ISBLANK(AO889),"",Short2[[#This Row],[Adj Close]]/AO889-1)</f>
        <v>-5.5387833560383015E-3</v>
      </c>
    </row>
    <row r="889" spans="1:42" x14ac:dyDescent="0.25">
      <c r="A889" s="37">
        <v>38873</v>
      </c>
      <c r="B889" s="39">
        <v>1252.3000489999999</v>
      </c>
      <c r="C889" s="36">
        <f>IF(ISBLANK(B890), "", GSPC[[#This Row],[Adj Close]]/B890-1)</f>
        <v>-2.7883376138095994E-2</v>
      </c>
      <c r="D88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8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89" s="11" t="e">
        <f>IF(ISBLANK(GSPC[[#This Row],[Long Exp.]]), "", (GSPC[[#This Row],[Long Exp.]]/D890-1)+(E890/GSPC[[#This Row],[Short Exp.]]-1))</f>
        <v>#VALUE!</v>
      </c>
      <c r="G889" s="37">
        <v>38873</v>
      </c>
      <c r="H889">
        <v>18.420092</v>
      </c>
      <c r="I889" s="36">
        <f>IF(ISBLANK(H890), "", Long0[[#This Row],[Adj Close]]/H890-1)</f>
        <v>-2.3433709744211328E-2</v>
      </c>
      <c r="J889" s="29">
        <v>38873</v>
      </c>
      <c r="K889">
        <v>1.383416</v>
      </c>
      <c r="L889" s="33">
        <f>IF(ISBLANK(K890),"",Long1[[#This Row],[Adj Close]]/K890-1)</f>
        <v>5.2631739135396982E-2</v>
      </c>
      <c r="M889" s="37">
        <v>38873</v>
      </c>
      <c r="N889">
        <v>11.580990999999999</v>
      </c>
      <c r="O889" s="36">
        <f>IF(ISBLANK(N890),"",Long2[[#This Row],[Adj Close]]/N890-1)</f>
        <v>-9.2546463443721971E-2</v>
      </c>
      <c r="P889" s="29">
        <v>38873</v>
      </c>
      <c r="Q889">
        <v>13.364253</v>
      </c>
      <c r="R889" s="33">
        <f>IF(ISBLANK(Q890),"",Long3[[#This Row],[Adj Close]]/Q890-1)</f>
        <v>1.4346769327991282E-2</v>
      </c>
      <c r="S889" s="37">
        <v>38873</v>
      </c>
      <c r="T889" s="35">
        <v>10.239912</v>
      </c>
      <c r="U889" s="36">
        <f>IF(ISBLANK(T890),"",Long4[[#This Row],[Adj Close]]/T890-1)</f>
        <v>-4.3027766544991075E-2</v>
      </c>
      <c r="Y889" s="37">
        <v>38873</v>
      </c>
      <c r="Z889" s="35">
        <v>13.077914</v>
      </c>
      <c r="AA889" s="36">
        <f>IF(ISBLANK(Z890),"",Long6[[#This Row],[Adj Close]]/Z890-1)</f>
        <v>-0.102941039283731</v>
      </c>
      <c r="AH889" s="29">
        <v>38873</v>
      </c>
      <c r="AI889" s="44">
        <v>43.683258000000002</v>
      </c>
      <c r="AJ889" s="33">
        <f>IF(ISBLANK(AI890),"",Short0[[#This Row],[Adj Close]]/AI890-1)</f>
        <v>-7.2237786070804E-2</v>
      </c>
      <c r="AK889" s="37">
        <v>38873</v>
      </c>
      <c r="AL889" s="39">
        <v>32.512821000000002</v>
      </c>
      <c r="AM889" s="36">
        <f>IF(ISBLANK(AL890),"",Short1[[#This Row],[Adj Close]]/AL890-1)</f>
        <v>-4.201545406442786E-2</v>
      </c>
      <c r="AN889" s="29">
        <v>38873</v>
      </c>
      <c r="AO889" s="44">
        <v>37.397202</v>
      </c>
      <c r="AP889" s="33">
        <f>IF(ISBLANK(AO890),"",Short2[[#This Row],[Adj Close]]/AO890-1)</f>
        <v>-6.1147565355922251E-2</v>
      </c>
    </row>
    <row r="890" spans="1:42" x14ac:dyDescent="0.25">
      <c r="A890" s="37">
        <v>38866</v>
      </c>
      <c r="B890" s="39">
        <v>1288.219971</v>
      </c>
      <c r="C890" s="36">
        <f>IF(ISBLANK(B891), "", GSPC[[#This Row],[Adj Close]]/B891-1)</f>
        <v>6.2960386091852616E-3</v>
      </c>
      <c r="D89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9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90" s="11" t="e">
        <f>IF(ISBLANK(GSPC[[#This Row],[Long Exp.]]), "", (GSPC[[#This Row],[Long Exp.]]/D891-1)+(E891/GSPC[[#This Row],[Short Exp.]]-1))</f>
        <v>#VALUE!</v>
      </c>
      <c r="G890" s="37">
        <v>38866</v>
      </c>
      <c r="H890">
        <v>18.862100999999999</v>
      </c>
      <c r="I890" s="36">
        <f>IF(ISBLANK(H891), "", Long0[[#This Row],[Adj Close]]/H891-1)</f>
        <v>-1.4323032749584685E-3</v>
      </c>
      <c r="J890" s="29">
        <v>38866</v>
      </c>
      <c r="K890">
        <v>1.3142450000000001</v>
      </c>
      <c r="L890" s="33">
        <f>IF(ISBLANK(K891),"",Long1[[#This Row],[Adj Close]]/K891-1)</f>
        <v>-4.040429853780203E-2</v>
      </c>
      <c r="M890" s="37">
        <v>38866</v>
      </c>
      <c r="N890">
        <v>12.762076</v>
      </c>
      <c r="O890" s="36">
        <f>IF(ISBLANK(N891),"",Long2[[#This Row],[Adj Close]]/N891-1)</f>
        <v>1.7699103047361442E-2</v>
      </c>
      <c r="P890" s="29">
        <v>38866</v>
      </c>
      <c r="Q890">
        <v>13.175231</v>
      </c>
      <c r="R890" s="33">
        <f>IF(ISBLANK(Q891),"",Long3[[#This Row],[Adj Close]]/Q891-1)</f>
        <v>1.6572346352895728E-2</v>
      </c>
      <c r="S890" s="37">
        <v>38866</v>
      </c>
      <c r="T890" s="35">
        <v>10.700322999999999</v>
      </c>
      <c r="U890" s="36">
        <f>IF(ISBLANK(T891),"",Long4[[#This Row],[Adj Close]]/T891-1)</f>
        <v>2.9532548603052877E-2</v>
      </c>
      <c r="Y890" s="37">
        <v>38866</v>
      </c>
      <c r="Z890" s="35">
        <v>14.578656000000001</v>
      </c>
      <c r="AA890" s="36">
        <f>IF(ISBLANK(Z891),"",Long6[[#This Row],[Adj Close]]/Z891-1)</f>
        <v>4.9088256101301964E-2</v>
      </c>
      <c r="AH890" s="29">
        <v>38866</v>
      </c>
      <c r="AI890" s="44">
        <v>47.084541000000002</v>
      </c>
      <c r="AJ890" s="33">
        <f>IF(ISBLANK(AI891),"",Short0[[#This Row],[Adj Close]]/AI891-1)</f>
        <v>1.3930924369899955E-2</v>
      </c>
      <c r="AK890" s="37">
        <v>38866</v>
      </c>
      <c r="AL890" s="39">
        <v>33.938774000000002</v>
      </c>
      <c r="AM890" s="36">
        <f>IF(ISBLANK(AL891),"",Short1[[#This Row],[Adj Close]]/AL891-1)</f>
        <v>1.42694396212939E-2</v>
      </c>
      <c r="AN890" s="29">
        <v>38866</v>
      </c>
      <c r="AO890" s="44">
        <v>39.832886000000002</v>
      </c>
      <c r="AP890" s="33">
        <f>IF(ISBLANK(AO891),"",Short2[[#This Row],[Adj Close]]/AO891-1)</f>
        <v>-1.8575156173959217E-2</v>
      </c>
    </row>
    <row r="891" spans="1:42" x14ac:dyDescent="0.25">
      <c r="A891" s="37">
        <v>38859</v>
      </c>
      <c r="B891" s="39">
        <v>1280.160034</v>
      </c>
      <c r="C891" s="36">
        <f>IF(ISBLANK(B892), "", GSPC[[#This Row],[Adj Close]]/B892-1)</f>
        <v>1.0362820690495322E-2</v>
      </c>
      <c r="D89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9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91" s="11" t="e">
        <f>IF(ISBLANK(GSPC[[#This Row],[Long Exp.]]), "", (GSPC[[#This Row],[Long Exp.]]/D892-1)+(E892/GSPC[[#This Row],[Short Exp.]]-1))</f>
        <v>#VALUE!</v>
      </c>
      <c r="G891" s="37">
        <v>38859</v>
      </c>
      <c r="H891">
        <v>18.889156</v>
      </c>
      <c r="I891" s="36">
        <f>IF(ISBLANK(H892), "", Long0[[#This Row],[Adj Close]]/H892-1)</f>
        <v>1.7492550398970241E-2</v>
      </c>
      <c r="J891" s="29">
        <v>38859</v>
      </c>
      <c r="K891">
        <v>1.3695820000000001</v>
      </c>
      <c r="L891" s="33">
        <f>IF(ISBLANK(K892),"",Long1[[#This Row],[Adj Close]]/K892-1)</f>
        <v>0</v>
      </c>
      <c r="M891" s="37">
        <v>38859</v>
      </c>
      <c r="N891">
        <v>12.540127</v>
      </c>
      <c r="O891" s="36">
        <f>IF(ISBLANK(N892),"",Long2[[#This Row],[Adj Close]]/N892-1)</f>
        <v>-4.3531024976553812E-2</v>
      </c>
      <c r="P891" s="29">
        <v>38859</v>
      </c>
      <c r="Q891">
        <v>12.960445999999999</v>
      </c>
      <c r="R891" s="33">
        <f>IF(ISBLANK(Q892),"",Long3[[#This Row],[Adj Close]]/Q892-1)</f>
        <v>1.5141377853479021E-2</v>
      </c>
      <c r="S891" s="37">
        <v>38859</v>
      </c>
      <c r="T891" s="35">
        <v>10.393380000000001</v>
      </c>
      <c r="U891" s="36">
        <f>IF(ISBLANK(T892),"",Long4[[#This Row],[Adj Close]]/T892-1)</f>
        <v>-2.7134768125259057E-2</v>
      </c>
      <c r="Y891" s="37">
        <v>38859</v>
      </c>
      <c r="Z891" s="35">
        <v>13.896501000000001</v>
      </c>
      <c r="AA891" s="36">
        <f>IF(ISBLANK(Z892),"",Long6[[#This Row],[Adj Close]]/Z892-1)</f>
        <v>-1.2465257916995043E-2</v>
      </c>
      <c r="AH891" s="29">
        <v>38859</v>
      </c>
      <c r="AI891" s="44">
        <v>46.437621999999998</v>
      </c>
      <c r="AJ891" s="33">
        <f>IF(ISBLANK(AI892),"",Short0[[#This Row],[Adj Close]]/AI892-1)</f>
        <v>3.313892519054118E-3</v>
      </c>
      <c r="AK891" s="37">
        <v>38859</v>
      </c>
      <c r="AL891" s="39">
        <v>33.461300000000001</v>
      </c>
      <c r="AM891" s="36">
        <f>IF(ISBLANK(AL892),"",Short1[[#This Row],[Adj Close]]/AL892-1)</f>
        <v>-3.8739587779516693E-2</v>
      </c>
      <c r="AN891" s="29">
        <v>38859</v>
      </c>
      <c r="AO891" s="44">
        <v>40.586792000000003</v>
      </c>
      <c r="AP891" s="33">
        <f>IF(ISBLANK(AO892),"",Short2[[#This Row],[Adj Close]]/AO892-1)</f>
        <v>4.9226034539289198E-3</v>
      </c>
    </row>
    <row r="892" spans="1:42" x14ac:dyDescent="0.25">
      <c r="A892" s="37">
        <v>38852</v>
      </c>
      <c r="B892" s="39">
        <v>1267.030029</v>
      </c>
      <c r="C892" s="36">
        <f>IF(ISBLANK(B893), "", GSPC[[#This Row],[Adj Close]]/B893-1)</f>
        <v>-1.8749389104654401E-2</v>
      </c>
      <c r="D89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9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92" s="11" t="e">
        <f>IF(ISBLANK(GSPC[[#This Row],[Long Exp.]]), "", (GSPC[[#This Row],[Long Exp.]]/D893-1)+(E893/GSPC[[#This Row],[Short Exp.]]-1))</f>
        <v>#VALUE!</v>
      </c>
      <c r="G892" s="37">
        <v>38852</v>
      </c>
      <c r="H892">
        <v>18.564416999999999</v>
      </c>
      <c r="I892" s="36">
        <f>IF(ISBLANK(H893), "", Long0[[#This Row],[Adj Close]]/H893-1)</f>
        <v>-1.2949666986991959E-2</v>
      </c>
      <c r="J892" s="29">
        <v>38852</v>
      </c>
      <c r="K892">
        <v>1.3695820000000001</v>
      </c>
      <c r="L892" s="33">
        <f>IF(ISBLANK(K893),"",Long1[[#This Row],[Adj Close]]/K893-1)</f>
        <v>-6.6037652215837017E-2</v>
      </c>
      <c r="M892" s="37">
        <v>38852</v>
      </c>
      <c r="N892">
        <v>13.110856</v>
      </c>
      <c r="O892" s="36">
        <f>IF(ISBLANK(N893),"",Long2[[#This Row],[Adj Close]]/N893-1)</f>
        <v>4.2505134288097768E-3</v>
      </c>
      <c r="P892" s="29">
        <v>38852</v>
      </c>
      <c r="Q892">
        <v>12.767134</v>
      </c>
      <c r="R892" s="33">
        <f>IF(ISBLANK(Q893),"",Long3[[#This Row],[Adj Close]]/Q893-1)</f>
        <v>1.0197051635505883E-2</v>
      </c>
      <c r="S892" s="37">
        <v>38852</v>
      </c>
      <c r="T892" s="35">
        <v>10.683268</v>
      </c>
      <c r="U892" s="36">
        <f>IF(ISBLANK(T893),"",Long4[[#This Row],[Adj Close]]/T893-1)</f>
        <v>-4.7872463207026983E-2</v>
      </c>
      <c r="Y892" s="37">
        <v>38852</v>
      </c>
      <c r="Z892" s="35">
        <v>14.071911</v>
      </c>
      <c r="AA892" s="36">
        <f>IF(ISBLANK(Z893),"",Long6[[#This Row],[Adj Close]]/Z893-1)</f>
        <v>-6.1941642775956707E-3</v>
      </c>
      <c r="AH892" s="29">
        <v>38852</v>
      </c>
      <c r="AI892" s="44">
        <v>46.284241000000002</v>
      </c>
      <c r="AJ892" s="33">
        <f>IF(ISBLANK(AI893),"",Short0[[#This Row],[Adj Close]]/AI893-1)</f>
        <v>1.8790538777232246E-2</v>
      </c>
      <c r="AK892" s="37">
        <v>38852</v>
      </c>
      <c r="AL892" s="39">
        <v>34.809818</v>
      </c>
      <c r="AM892" s="36">
        <f>IF(ISBLANK(AL893),"",Short1[[#This Row],[Adj Close]]/AL893-1)</f>
        <v>2.5665158087325057E-2</v>
      </c>
      <c r="AN892" s="29">
        <v>38852</v>
      </c>
      <c r="AO892" s="44">
        <v>40.387977999999997</v>
      </c>
      <c r="AP892" s="33">
        <f>IF(ISBLANK(AO893),"",Short2[[#This Row],[Adj Close]]/AO893-1)</f>
        <v>-3.5417129298740635E-2</v>
      </c>
    </row>
    <row r="893" spans="1:42" x14ac:dyDescent="0.25">
      <c r="A893" s="37">
        <v>38845</v>
      </c>
      <c r="B893" s="39">
        <v>1291.23999</v>
      </c>
      <c r="C893" s="36">
        <f>IF(ISBLANK(B894), "", GSPC[[#This Row],[Adj Close]]/B894-1)</f>
        <v>-2.6037910134278364E-2</v>
      </c>
      <c r="D89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9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93" s="11" t="e">
        <f>IF(ISBLANK(GSPC[[#This Row],[Long Exp.]]), "", (GSPC[[#This Row],[Long Exp.]]/D894-1)+(E894/GSPC[[#This Row],[Short Exp.]]-1))</f>
        <v>#VALUE!</v>
      </c>
      <c r="G893" s="37">
        <v>38845</v>
      </c>
      <c r="H893">
        <v>18.807974000000002</v>
      </c>
      <c r="I893" s="36">
        <f>IF(ISBLANK(H894), "", Long0[[#This Row],[Adj Close]]/H894-1)</f>
        <v>-3.4275067061186326E-2</v>
      </c>
      <c r="J893" s="29">
        <v>38845</v>
      </c>
      <c r="K893">
        <v>1.466421</v>
      </c>
      <c r="L893" s="33">
        <f>IF(ISBLANK(K894),"",Long1[[#This Row],[Adj Close]]/K894-1)</f>
        <v>0.12765963991384255</v>
      </c>
      <c r="M893" s="37">
        <v>38845</v>
      </c>
      <c r="N893">
        <v>13.055364000000001</v>
      </c>
      <c r="O893" s="36">
        <f>IF(ISBLANK(N894),"",Long2[[#This Row],[Adj Close]]/N894-1)</f>
        <v>-3.0606727483415197E-2</v>
      </c>
      <c r="P893" s="29">
        <v>38845</v>
      </c>
      <c r="Q893">
        <v>12.638261</v>
      </c>
      <c r="R893" s="33">
        <f>IF(ISBLANK(Q894),"",Long3[[#This Row],[Adj Close]]/Q894-1)</f>
        <v>-3.3825869630497718E-2</v>
      </c>
      <c r="S893" s="37">
        <v>38845</v>
      </c>
      <c r="T893" s="35">
        <v>11.220416999999999</v>
      </c>
      <c r="U893" s="36">
        <f>IF(ISBLANK(T894),"",Long4[[#This Row],[Adj Close]]/T894-1)</f>
        <v>-1.1269870908543256E-2</v>
      </c>
      <c r="Y893" s="37">
        <v>38845</v>
      </c>
      <c r="Z893" s="35">
        <v>14.159618</v>
      </c>
      <c r="AA893" s="36">
        <f>IF(ISBLANK(Z894),"",Long6[[#This Row],[Adj Close]]/Z894-1)</f>
        <v>-5.6493383048233592E-2</v>
      </c>
      <c r="AH893" s="29">
        <v>38845</v>
      </c>
      <c r="AI893" s="44">
        <v>45.430576000000002</v>
      </c>
      <c r="AJ893" s="33">
        <f>IF(ISBLANK(AI894),"",Short0[[#This Row],[Adj Close]]/AI894-1)</f>
        <v>-4.4868213247129418E-2</v>
      </c>
      <c r="AK893" s="37">
        <v>38845</v>
      </c>
      <c r="AL893" s="39">
        <v>33.938774000000002</v>
      </c>
      <c r="AM893" s="36">
        <f>IF(ISBLANK(AL894),"",Short1[[#This Row],[Adj Close]]/AL894-1)</f>
        <v>-9.807960019406059E-2</v>
      </c>
      <c r="AN893" s="29">
        <v>38845</v>
      </c>
      <c r="AO893" s="44">
        <v>41.870925999999997</v>
      </c>
      <c r="AP893" s="33">
        <f>IF(ISBLANK(AO894),"",Short2[[#This Row],[Adj Close]]/AO894-1)</f>
        <v>-6.9694762870617155E-2</v>
      </c>
    </row>
    <row r="894" spans="1:42" x14ac:dyDescent="0.25">
      <c r="A894" s="37">
        <v>38838</v>
      </c>
      <c r="B894" s="39">
        <v>1325.76001</v>
      </c>
      <c r="C894" s="36">
        <f>IF(ISBLANK(B895), "", GSPC[[#This Row],[Adj Close]]/B895-1)</f>
        <v>1.1559522034314318E-2</v>
      </c>
      <c r="D89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9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94" s="11" t="e">
        <f>IF(ISBLANK(GSPC[[#This Row],[Long Exp.]]), "", (GSPC[[#This Row],[Long Exp.]]/D895-1)+(E895/GSPC[[#This Row],[Short Exp.]]-1))</f>
        <v>#VALUE!</v>
      </c>
      <c r="G894" s="37">
        <v>38838</v>
      </c>
      <c r="H894">
        <v>19.475498000000002</v>
      </c>
      <c r="I894" s="36">
        <f>IF(ISBLANK(H895), "", Long0[[#This Row],[Adj Close]]/H895-1)</f>
        <v>-1.1446823137816309E-2</v>
      </c>
      <c r="J894" s="29">
        <v>38838</v>
      </c>
      <c r="K894">
        <v>1.300411</v>
      </c>
      <c r="L894" s="33">
        <f>IF(ISBLANK(K895),"",Long1[[#This Row],[Adj Close]]/K895-1)</f>
        <v>2.1739677012308833E-2</v>
      </c>
      <c r="M894" s="37">
        <v>38838</v>
      </c>
      <c r="N894">
        <v>13.467561999999999</v>
      </c>
      <c r="O894" s="36">
        <f>IF(ISBLANK(N895),"",Long2[[#This Row],[Adj Close]]/N895-1)</f>
        <v>0.13266687047708015</v>
      </c>
      <c r="P894" s="29">
        <v>38838</v>
      </c>
      <c r="Q894">
        <v>13.080728000000001</v>
      </c>
      <c r="R894" s="33">
        <f>IF(ISBLANK(Q895),"",Long3[[#This Row],[Adj Close]]/Q895-1)</f>
        <v>4.8553417496705276E-2</v>
      </c>
      <c r="S894" s="37">
        <v>38838</v>
      </c>
      <c r="T894" s="35">
        <v>11.348311000000001</v>
      </c>
      <c r="U894" s="36">
        <f>IF(ISBLANK(T895),"",Long4[[#This Row],[Adj Close]]/T895-1)</f>
        <v>3.6604433436025818E-2</v>
      </c>
      <c r="Y894" s="37">
        <v>38838</v>
      </c>
      <c r="Z894" s="35">
        <v>15.007439</v>
      </c>
      <c r="AA894" s="36">
        <f>IF(ISBLANK(Z895),"",Long6[[#This Row],[Adj Close]]/Z895-1)</f>
        <v>3.0789815212616922E-2</v>
      </c>
      <c r="AH894" s="29">
        <v>38838</v>
      </c>
      <c r="AI894" s="44">
        <v>47.564720000000001</v>
      </c>
      <c r="AJ894" s="33">
        <f>IF(ISBLANK(AI895),"",Short0[[#This Row],[Adj Close]]/AI895-1)</f>
        <v>0.10044736288551048</v>
      </c>
      <c r="AK894" s="37">
        <v>38838</v>
      </c>
      <c r="AL894" s="39">
        <v>37.629455999999998</v>
      </c>
      <c r="AM894" s="36">
        <f>IF(ISBLANK(AL895),"",Short1[[#This Row],[Adj Close]]/AL895-1)</f>
        <v>2.9297349839675579E-2</v>
      </c>
      <c r="AN894" s="29">
        <v>38838</v>
      </c>
      <c r="AO894" s="44">
        <v>45.007728999999998</v>
      </c>
      <c r="AP894" s="33">
        <f>IF(ISBLANK(AO895),"",Short2[[#This Row],[Adj Close]]/AO895-1)</f>
        <v>-8.0103076918941474E-3</v>
      </c>
    </row>
    <row r="895" spans="1:42" x14ac:dyDescent="0.25">
      <c r="A895" s="37">
        <v>38831</v>
      </c>
      <c r="B895" s="39">
        <v>1310.6099850000001</v>
      </c>
      <c r="C895" s="36">
        <f>IF(ISBLANK(B896), "", GSPC[[#This Row],[Adj Close]]/B896-1)</f>
        <v>-5.1098467541743631E-4</v>
      </c>
      <c r="D89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9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95" s="11" t="e">
        <f>IF(ISBLANK(GSPC[[#This Row],[Long Exp.]]), "", (GSPC[[#This Row],[Long Exp.]]/D896-1)+(E896/GSPC[[#This Row],[Short Exp.]]-1))</f>
        <v>#VALUE!</v>
      </c>
      <c r="G895" s="37">
        <v>38831</v>
      </c>
      <c r="H895">
        <v>19.701011999999999</v>
      </c>
      <c r="I895" s="36">
        <f>IF(ISBLANK(H896), "", Long0[[#This Row],[Adj Close]]/H896-1)</f>
        <v>1.4398414118464764E-2</v>
      </c>
      <c r="J895" s="29">
        <v>38831</v>
      </c>
      <c r="K895">
        <v>1.272742</v>
      </c>
      <c r="L895" s="33">
        <f>IF(ISBLANK(K896),"",Long1[[#This Row],[Adj Close]]/K896-1)</f>
        <v>-4.1666949029387501E-2</v>
      </c>
      <c r="M895" s="37">
        <v>38831</v>
      </c>
      <c r="N895">
        <v>11.890135000000001</v>
      </c>
      <c r="O895" s="36">
        <f>IF(ISBLANK(N896),"",Long2[[#This Row],[Adj Close]]/N896-1)</f>
        <v>-5.3049521363864871E-3</v>
      </c>
      <c r="P895" s="29">
        <v>38831</v>
      </c>
      <c r="Q895">
        <v>12.475023</v>
      </c>
      <c r="R895" s="33">
        <f>IF(ISBLANK(Q896),"",Long3[[#This Row],[Adj Close]]/Q896-1)</f>
        <v>-1.0562179687446105E-2</v>
      </c>
      <c r="S895" s="37">
        <v>38831</v>
      </c>
      <c r="T895" s="35">
        <v>10.947581</v>
      </c>
      <c r="U895" s="36">
        <f>IF(ISBLANK(T896),"",Long4[[#This Row],[Adj Close]]/T896-1)</f>
        <v>7.0586029719115206E-3</v>
      </c>
      <c r="Y895" s="37">
        <v>38831</v>
      </c>
      <c r="Z895" s="35">
        <v>14.559165</v>
      </c>
      <c r="AA895" s="36">
        <f>IF(ISBLANK(Z896),"",Long6[[#This Row],[Adj Close]]/Z896-1)</f>
        <v>-2.8608584136495252E-2</v>
      </c>
      <c r="AH895" s="29">
        <v>38831</v>
      </c>
      <c r="AI895" s="44">
        <v>43.223075999999999</v>
      </c>
      <c r="AJ895" s="33">
        <f>IF(ISBLANK(AI896),"",Short0[[#This Row],[Adj Close]]/AI896-1)</f>
        <v>1.3131115315392128E-2</v>
      </c>
      <c r="AK895" s="37">
        <v>38831</v>
      </c>
      <c r="AL895" s="39">
        <v>36.558391999999998</v>
      </c>
      <c r="AM895" s="36">
        <f>IF(ISBLANK(AL896),"",Short1[[#This Row],[Adj Close]]/AL896-1)</f>
        <v>-1.4075473738559108E-2</v>
      </c>
      <c r="AN895" s="29">
        <v>38831</v>
      </c>
      <c r="AO895" s="44">
        <v>45.371166000000002</v>
      </c>
      <c r="AP895" s="33">
        <f>IF(ISBLANK(AO896),"",Short2[[#This Row],[Adj Close]]/AO896-1)</f>
        <v>-2.7270709243143343E-2</v>
      </c>
    </row>
    <row r="896" spans="1:42" x14ac:dyDescent="0.25">
      <c r="A896" s="37">
        <v>38824</v>
      </c>
      <c r="B896" s="39">
        <v>1311.280029</v>
      </c>
      <c r="C896" s="36">
        <f>IF(ISBLANK(B897), "", GSPC[[#This Row],[Adj Close]]/B897-1)</f>
        <v>1.7190047540919462E-2</v>
      </c>
      <c r="D89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9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96" s="11" t="e">
        <f>IF(ISBLANK(GSPC[[#This Row],[Long Exp.]]), "", (GSPC[[#This Row],[Long Exp.]]/D897-1)+(E897/GSPC[[#This Row],[Short Exp.]]-1))</f>
        <v>#VALUE!</v>
      </c>
      <c r="G896" s="37">
        <v>38824</v>
      </c>
      <c r="H896">
        <v>19.421375000000001</v>
      </c>
      <c r="I896" s="36">
        <f>IF(ISBLANK(H897), "", Long0[[#This Row],[Adj Close]]/H897-1)</f>
        <v>-3.9696587361867763E-2</v>
      </c>
      <c r="J896" s="29">
        <v>38824</v>
      </c>
      <c r="K896">
        <v>1.328079</v>
      </c>
      <c r="L896" s="33">
        <f>IF(ISBLANK(K897),"",Long1[[#This Row],[Adj Close]]/K897-1)</f>
        <v>-1.0309163112660724E-2</v>
      </c>
      <c r="M896" s="37">
        <v>38824</v>
      </c>
      <c r="N896">
        <v>11.953548</v>
      </c>
      <c r="O896" s="36">
        <f>IF(ISBLANK(N897),"",Long2[[#This Row],[Adj Close]]/N897-1)</f>
        <v>6.4220392583437036E-2</v>
      </c>
      <c r="P896" s="29">
        <v>38824</v>
      </c>
      <c r="Q896">
        <v>12.608193</v>
      </c>
      <c r="R896" s="33">
        <f>IF(ISBLANK(Q897),"",Long3[[#This Row],[Adj Close]]/Q897-1)</f>
        <v>2.8021221529474616E-2</v>
      </c>
      <c r="S896" s="37">
        <v>38824</v>
      </c>
      <c r="T896" s="35">
        <v>10.870848000000001</v>
      </c>
      <c r="U896" s="36">
        <f>IF(ISBLANK(T897),"",Long4[[#This Row],[Adj Close]]/T897-1)</f>
        <v>0.12137232887666438</v>
      </c>
      <c r="Y896" s="37">
        <v>38824</v>
      </c>
      <c r="Z896" s="35">
        <v>14.987949</v>
      </c>
      <c r="AA896" s="36">
        <f>IF(ISBLANK(Z897),"",Long6[[#This Row],[Adj Close]]/Z897-1)</f>
        <v>5.4869518924935967E-2</v>
      </c>
      <c r="AH896" s="29">
        <v>38824</v>
      </c>
      <c r="AI896" s="44">
        <v>42.662864999999996</v>
      </c>
      <c r="AJ896" s="33">
        <f>IF(ISBLANK(AI897),"",Short0[[#This Row],[Adj Close]]/AI897-1)</f>
        <v>-2.027904055239782E-3</v>
      </c>
      <c r="AK896" s="37">
        <v>38824</v>
      </c>
      <c r="AL896" s="39">
        <v>37.080314999999999</v>
      </c>
      <c r="AM896" s="36">
        <f>IF(ISBLANK(AL897),"",Short1[[#This Row],[Adj Close]]/AL897-1)</f>
        <v>6.9521819099471749E-4</v>
      </c>
      <c r="AN896" s="29">
        <v>38824</v>
      </c>
      <c r="AO896" s="44">
        <v>46.643158</v>
      </c>
      <c r="AP896" s="33">
        <f>IF(ISBLANK(AO897),"",Short2[[#This Row],[Adj Close]]/AO897-1)</f>
        <v>-4.8525931094278607E-2</v>
      </c>
    </row>
    <row r="897" spans="1:42" x14ac:dyDescent="0.25">
      <c r="A897" s="37">
        <v>38817</v>
      </c>
      <c r="B897" s="39">
        <v>1289.119995</v>
      </c>
      <c r="C897" s="36">
        <f>IF(ISBLANK(B898), "", GSPC[[#This Row],[Adj Close]]/B898-1)</f>
        <v>-4.9247433423388332E-3</v>
      </c>
      <c r="D89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9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97" s="11" t="e">
        <f>IF(ISBLANK(GSPC[[#This Row],[Long Exp.]]), "", (GSPC[[#This Row],[Long Exp.]]/D898-1)+(E898/GSPC[[#This Row],[Short Exp.]]-1))</f>
        <v>#VALUE!</v>
      </c>
      <c r="G897" s="37">
        <v>38817</v>
      </c>
      <c r="H897">
        <v>20.224207</v>
      </c>
      <c r="I897" s="36">
        <f>IF(ISBLANK(H898), "", Long0[[#This Row],[Adj Close]]/H898-1)</f>
        <v>-1.580357812859956E-2</v>
      </c>
      <c r="J897" s="29">
        <v>38817</v>
      </c>
      <c r="K897">
        <v>1.3419129999999999</v>
      </c>
      <c r="L897" s="33">
        <f>IF(ISBLANK(K898),"",Long1[[#This Row],[Adj Close]]/K898-1)</f>
        <v>0</v>
      </c>
      <c r="M897" s="37">
        <v>38817</v>
      </c>
      <c r="N897">
        <v>11.232211</v>
      </c>
      <c r="O897" s="36">
        <f>IF(ISBLANK(N898),"",Long2[[#This Row],[Adj Close]]/N898-1)</f>
        <v>-6.31164266463069E-3</v>
      </c>
      <c r="P897" s="29">
        <v>38817</v>
      </c>
      <c r="Q897">
        <v>12.264526</v>
      </c>
      <c r="R897" s="33">
        <f>IF(ISBLANK(Q898),"",Long3[[#This Row],[Adj Close]]/Q898-1)</f>
        <v>-1.6195499816868186E-2</v>
      </c>
      <c r="S897" s="37">
        <v>38817</v>
      </c>
      <c r="T897" s="35">
        <v>9.6942360000000001</v>
      </c>
      <c r="U897" s="36">
        <f>IF(ISBLANK(T898),"",Long4[[#This Row],[Adj Close]]/T898-1)</f>
        <v>-3.3984791460290653E-2</v>
      </c>
      <c r="Y897" s="37">
        <v>38817</v>
      </c>
      <c r="Z897" s="35">
        <v>14.208344</v>
      </c>
      <c r="AA897" s="36">
        <f>IF(ISBLANK(Z898),"",Long6[[#This Row],[Adj Close]]/Z898-1)</f>
        <v>1.390843461051916E-2</v>
      </c>
      <c r="AH897" s="29">
        <v>38817</v>
      </c>
      <c r="AI897" s="44">
        <v>42.749557000000003</v>
      </c>
      <c r="AJ897" s="33">
        <f>IF(ISBLANK(AI898),"",Short0[[#This Row],[Adj Close]]/AI898-1)</f>
        <v>4.3803834435418576E-2</v>
      </c>
      <c r="AK897" s="37">
        <v>38817</v>
      </c>
      <c r="AL897" s="39">
        <v>37.054554000000003</v>
      </c>
      <c r="AM897" s="36">
        <f>IF(ISBLANK(AL898),"",Short1[[#This Row],[Adj Close]]/AL898-1)</f>
        <v>-1.0494915249892212E-2</v>
      </c>
      <c r="AN897" s="29">
        <v>38817</v>
      </c>
      <c r="AO897" s="44">
        <v>49.021996000000001</v>
      </c>
      <c r="AP897" s="33">
        <f>IF(ISBLANK(AO898),"",Short2[[#This Row],[Adj Close]]/AO898-1)</f>
        <v>-3.3545031320579843E-2</v>
      </c>
    </row>
    <row r="898" spans="1:42" x14ac:dyDescent="0.25">
      <c r="A898" s="37">
        <v>38810</v>
      </c>
      <c r="B898" s="39">
        <v>1295.5</v>
      </c>
      <c r="C898" s="36">
        <f>IF(ISBLANK(B899), "", GSPC[[#This Row],[Adj Close]]/B899-1)</f>
        <v>4.8653919114105548E-4</v>
      </c>
      <c r="D89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9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98" s="11" t="e">
        <f>IF(ISBLANK(GSPC[[#This Row],[Long Exp.]]), "", (GSPC[[#This Row],[Long Exp.]]/D899-1)+(E899/GSPC[[#This Row],[Short Exp.]]-1))</f>
        <v>#VALUE!</v>
      </c>
      <c r="G898" s="37">
        <v>38810</v>
      </c>
      <c r="H898">
        <v>20.548953999999998</v>
      </c>
      <c r="I898" s="36">
        <f>IF(ISBLANK(H899), "", Long0[[#This Row],[Adj Close]]/H899-1)</f>
        <v>-2.4049592012966303E-2</v>
      </c>
      <c r="J898" s="29">
        <v>38810</v>
      </c>
      <c r="K898">
        <v>1.3419129999999999</v>
      </c>
      <c r="L898" s="33">
        <f>IF(ISBLANK(K899),"",Long1[[#This Row],[Adj Close]]/K899-1)</f>
        <v>0</v>
      </c>
      <c r="M898" s="37">
        <v>38810</v>
      </c>
      <c r="N898">
        <v>11.303554999999999</v>
      </c>
      <c r="O898" s="36">
        <f>IF(ISBLANK(N899),"",Long2[[#This Row],[Adj Close]]/N899-1)</f>
        <v>-6.2717062443214955E-3</v>
      </c>
      <c r="P898" s="29">
        <v>38810</v>
      </c>
      <c r="Q898">
        <v>12.466426</v>
      </c>
      <c r="R898" s="33">
        <f>IF(ISBLANK(Q899),"",Long3[[#This Row],[Adj Close]]/Q899-1)</f>
        <v>-1.2925514845161024E-2</v>
      </c>
      <c r="S898" s="37">
        <v>38810</v>
      </c>
      <c r="T898" s="35">
        <v>10.035283</v>
      </c>
      <c r="U898" s="36">
        <f>IF(ISBLANK(T899),"",Long4[[#This Row],[Adj Close]]/T899-1)</f>
        <v>5.9406035709896887E-2</v>
      </c>
      <c r="Y898" s="37">
        <v>38810</v>
      </c>
      <c r="Z898" s="35">
        <v>14.013439</v>
      </c>
      <c r="AA898" s="36">
        <f>IF(ISBLANK(Z899),"",Long6[[#This Row],[Adj Close]]/Z899-1)</f>
        <v>0</v>
      </c>
      <c r="AH898" s="29">
        <v>38810</v>
      </c>
      <c r="AI898" s="44">
        <v>40.955547000000003</v>
      </c>
      <c r="AJ898" s="33">
        <f>IF(ISBLANK(AI899),"",Short0[[#This Row],[Adj Close]]/AI899-1)</f>
        <v>8.3833500839453734E-2</v>
      </c>
      <c r="AK898" s="37">
        <v>38810</v>
      </c>
      <c r="AL898" s="39">
        <v>37.447563000000002</v>
      </c>
      <c r="AM898" s="36">
        <f>IF(ISBLANK(AL899),"",Short1[[#This Row],[Adj Close]]/AL899-1)</f>
        <v>3.9155311826404304E-2</v>
      </c>
      <c r="AN898" s="29">
        <v>38810</v>
      </c>
      <c r="AO898" s="44">
        <v>50.723517999999999</v>
      </c>
      <c r="AP898" s="33">
        <f>IF(ISBLANK(AO899),"",Short2[[#This Row],[Adj Close]]/AO899-1)</f>
        <v>1.7058856153619351E-2</v>
      </c>
    </row>
    <row r="899" spans="1:42" x14ac:dyDescent="0.25">
      <c r="A899" s="37">
        <v>38803</v>
      </c>
      <c r="B899" s="39">
        <v>1294.869995</v>
      </c>
      <c r="C899" s="36">
        <f>IF(ISBLANK(B900), "", GSPC[[#This Row],[Adj Close]]/B900-1)</f>
        <v>-6.2012788701505395E-3</v>
      </c>
      <c r="D89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89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899" s="11" t="e">
        <f>IF(ISBLANK(GSPC[[#This Row],[Long Exp.]]), "", (GSPC[[#This Row],[Long Exp.]]/D900-1)+(E900/GSPC[[#This Row],[Short Exp.]]-1))</f>
        <v>#VALUE!</v>
      </c>
      <c r="G899" s="37">
        <v>38803</v>
      </c>
      <c r="H899">
        <v>21.055326000000001</v>
      </c>
      <c r="I899" s="36">
        <f>IF(ISBLANK(H900), "", Long0[[#This Row],[Adj Close]]/H900-1)</f>
        <v>-3.7433232821980744E-2</v>
      </c>
      <c r="J899" s="29">
        <v>38803</v>
      </c>
      <c r="K899">
        <v>1.3419129999999999</v>
      </c>
      <c r="L899" s="33">
        <f>IF(ISBLANK(K900),"",Long1[[#This Row],[Adj Close]]/K900-1)</f>
        <v>7.7777706385323109E-2</v>
      </c>
      <c r="M899" s="37">
        <v>38803</v>
      </c>
      <c r="N899">
        <v>11.374895</v>
      </c>
      <c r="O899" s="36">
        <f>IF(ISBLANK(N900),"",Long2[[#This Row],[Adj Close]]/N900-1)</f>
        <v>3.4966114584049635E-3</v>
      </c>
      <c r="P899" s="29">
        <v>38803</v>
      </c>
      <c r="Q899">
        <v>12.629671</v>
      </c>
      <c r="R899" s="33">
        <f>IF(ISBLANK(Q900),"",Long3[[#This Row],[Adj Close]]/Q900-1)</f>
        <v>-3.321228141741972E-2</v>
      </c>
      <c r="S899" s="37">
        <v>38803</v>
      </c>
      <c r="T899" s="35">
        <v>9.4725560000000009</v>
      </c>
      <c r="U899" s="36">
        <f>IF(ISBLANK(T900),"",Long4[[#This Row],[Adj Close]]/T900-1)</f>
        <v>-2.2867196548546964E-2</v>
      </c>
      <c r="Y899" s="37">
        <v>38803</v>
      </c>
      <c r="Z899" s="35">
        <v>14.013439</v>
      </c>
      <c r="AA899" s="36">
        <f>IF(ISBLANK(Z900),"",Long6[[#This Row],[Adj Close]]/Z900-1)</f>
        <v>-8.2760672516802858E-3</v>
      </c>
      <c r="AH899" s="29">
        <v>38803</v>
      </c>
      <c r="AI899" s="44">
        <v>37.787674000000003</v>
      </c>
      <c r="AJ899" s="33">
        <f>IF(ISBLANK(AI900),"",Short0[[#This Row],[Adj Close]]/AI900-1)</f>
        <v>8.0678672518877725E-2</v>
      </c>
      <c r="AK899" s="37">
        <v>38803</v>
      </c>
      <c r="AL899" s="39">
        <v>36.036541</v>
      </c>
      <c r="AM899" s="36">
        <f>IF(ISBLANK(AL900),"",Short1[[#This Row],[Adj Close]]/AL900-1)</f>
        <v>2.8503233745884371E-2</v>
      </c>
      <c r="AN899" s="29">
        <v>38803</v>
      </c>
      <c r="AO899" s="44">
        <v>49.872745999999999</v>
      </c>
      <c r="AP899" s="33">
        <f>IF(ISBLANK(AO900),"",Short2[[#This Row],[Adj Close]]/AO900-1)</f>
        <v>7.6767526720351587E-3</v>
      </c>
    </row>
    <row r="900" spans="1:42" x14ac:dyDescent="0.25">
      <c r="A900" s="37">
        <v>38796</v>
      </c>
      <c r="B900" s="39">
        <v>1302.9499510000001</v>
      </c>
      <c r="C900" s="36">
        <f>IF(ISBLANK(B901), "", GSPC[[#This Row],[Adj Close]]/B901-1)</f>
        <v>-3.2893853509274873E-3</v>
      </c>
      <c r="D90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0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00" s="11" t="e">
        <f>IF(ISBLANK(GSPC[[#This Row],[Long Exp.]]), "", (GSPC[[#This Row],[Long Exp.]]/D901-1)+(E901/GSPC[[#This Row],[Short Exp.]]-1))</f>
        <v>#VALUE!</v>
      </c>
      <c r="G900" s="37">
        <v>38796</v>
      </c>
      <c r="H900">
        <v>21.874146</v>
      </c>
      <c r="I900" s="36">
        <f>IF(ISBLANK(H901), "", Long0[[#This Row],[Adj Close]]/H901-1)</f>
        <v>-2.4478278419462041E-2</v>
      </c>
      <c r="J900" s="29">
        <v>38796</v>
      </c>
      <c r="K900">
        <v>1.245074</v>
      </c>
      <c r="L900" s="33">
        <f>IF(ISBLANK(K901),"",Long1[[#This Row],[Adj Close]]/K901-1)</f>
        <v>-5.2631739135397204E-2</v>
      </c>
      <c r="M900" s="37">
        <v>38796</v>
      </c>
      <c r="N900">
        <v>11.33526</v>
      </c>
      <c r="O900" s="36">
        <f>IF(ISBLANK(N901),"",Long2[[#This Row],[Adj Close]]/N901-1)</f>
        <v>-6.1679790569415305E-2</v>
      </c>
      <c r="P900" s="29">
        <v>38796</v>
      </c>
      <c r="Q900">
        <v>13.063541000000001</v>
      </c>
      <c r="R900" s="33">
        <f>IF(ISBLANK(Q901),"",Long3[[#This Row],[Adj Close]]/Q901-1)</f>
        <v>-2.7191851596566452E-2</v>
      </c>
      <c r="S900" s="37">
        <v>38796</v>
      </c>
      <c r="T900" s="35">
        <v>9.6942360000000001</v>
      </c>
      <c r="U900" s="36">
        <f>IF(ISBLANK(T901),"",Long4[[#This Row],[Adj Close]]/T901-1)</f>
        <v>-3.3163268359178266E-2</v>
      </c>
      <c r="Y900" s="37">
        <v>38796</v>
      </c>
      <c r="Z900" s="35">
        <v>14.130383</v>
      </c>
      <c r="AA900" s="36">
        <f>IF(ISBLANK(Z901),"",Long6[[#This Row],[Adj Close]]/Z901-1)</f>
        <v>0.11367148779561842</v>
      </c>
      <c r="AH900" s="29">
        <v>38796</v>
      </c>
      <c r="AI900" s="44">
        <v>34.966614</v>
      </c>
      <c r="AJ900" s="33">
        <f>IF(ISBLANK(AI901),"",Short0[[#This Row],[Adj Close]]/AI901-1)</f>
        <v>3.8218051713491352E-2</v>
      </c>
      <c r="AK900" s="37">
        <v>38796</v>
      </c>
      <c r="AL900" s="39">
        <v>35.037849000000001</v>
      </c>
      <c r="AM900" s="36">
        <f>IF(ISBLANK(AL901),"",Short1[[#This Row],[Adj Close]]/AL901-1)</f>
        <v>-4.5965061226445836E-2</v>
      </c>
      <c r="AN900" s="29">
        <v>38796</v>
      </c>
      <c r="AO900" s="44">
        <v>49.492801999999998</v>
      </c>
      <c r="AP900" s="33">
        <f>IF(ISBLANK(AO901),"",Short2[[#This Row],[Adj Close]]/AO901-1)</f>
        <v>-1.4995622804960806E-3</v>
      </c>
    </row>
    <row r="901" spans="1:42" x14ac:dyDescent="0.25">
      <c r="A901" s="37">
        <v>38789</v>
      </c>
      <c r="B901" s="39">
        <v>1307.25</v>
      </c>
      <c r="C901" s="36">
        <f>IF(ISBLANK(B902), "", GSPC[[#This Row],[Adj Close]]/B902-1)</f>
        <v>2.0157290438013398E-2</v>
      </c>
      <c r="D90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0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01" s="11" t="e">
        <f>IF(ISBLANK(GSPC[[#This Row],[Long Exp.]]), "", (GSPC[[#This Row],[Long Exp.]]/D902-1)+(E902/GSPC[[#This Row],[Short Exp.]]-1))</f>
        <v>#VALUE!</v>
      </c>
      <c r="G901" s="37">
        <v>38789</v>
      </c>
      <c r="H901">
        <v>22.423023000000001</v>
      </c>
      <c r="I901" s="36">
        <f>IF(ISBLANK(H902), "", Long0[[#This Row],[Adj Close]]/H902-1)</f>
        <v>8.6311931416353183E-2</v>
      </c>
      <c r="J901" s="29">
        <v>38789</v>
      </c>
      <c r="K901">
        <v>1.3142450000000001</v>
      </c>
      <c r="L901" s="33">
        <f>IF(ISBLANK(K902),"",Long1[[#This Row],[Adj Close]]/K902-1)</f>
        <v>-4.040429853780203E-2</v>
      </c>
      <c r="M901" s="37">
        <v>38789</v>
      </c>
      <c r="N901">
        <v>12.080375</v>
      </c>
      <c r="O901" s="36">
        <f>IF(ISBLANK(N902),"",Long2[[#This Row],[Adj Close]]/N902-1)</f>
        <v>8.6038417262488398E-3</v>
      </c>
      <c r="P901" s="29">
        <v>38789</v>
      </c>
      <c r="Q901">
        <v>13.428692</v>
      </c>
      <c r="R901" s="33">
        <f>IF(ISBLANK(Q902),"",Long3[[#This Row],[Adj Close]]/Q902-1)</f>
        <v>2.4841197103637302E-2</v>
      </c>
      <c r="S901" s="37">
        <v>38789</v>
      </c>
      <c r="T901" s="35">
        <v>10.026756000000001</v>
      </c>
      <c r="U901" s="36">
        <f>IF(ISBLANK(T902),"",Long4[[#This Row],[Adj Close]]/T902-1)</f>
        <v>1.0309193170841002E-2</v>
      </c>
      <c r="Y901" s="37">
        <v>38789</v>
      </c>
      <c r="Z901" s="35">
        <v>12.688107</v>
      </c>
      <c r="AA901" s="36">
        <f>IF(ISBLANK(Z902),"",Long6[[#This Row],[Adj Close]]/Z902-1)</f>
        <v>-2.6178149104775339E-2</v>
      </c>
      <c r="AH901" s="29">
        <v>38789</v>
      </c>
      <c r="AI901" s="44">
        <v>33.679451</v>
      </c>
      <c r="AJ901" s="33">
        <f>IF(ISBLANK(AI902),"",Short0[[#This Row],[Adj Close]]/AI902-1)</f>
        <v>-3.9376069150077853E-2</v>
      </c>
      <c r="AK901" s="37">
        <v>38789</v>
      </c>
      <c r="AL901" s="39">
        <v>36.725960000000001</v>
      </c>
      <c r="AM901" s="36">
        <f>IF(ISBLANK(AL902),"",Short1[[#This Row],[Adj Close]]/AL902-1)</f>
        <v>6.7416216920044736E-2</v>
      </c>
      <c r="AN901" s="29">
        <v>38789</v>
      </c>
      <c r="AO901" s="44">
        <v>49.567131000000003</v>
      </c>
      <c r="AP901" s="33">
        <f>IF(ISBLANK(AO902),"",Short2[[#This Row],[Adj Close]]/AO902-1)</f>
        <v>6.5707314032716235E-2</v>
      </c>
    </row>
    <row r="902" spans="1:42" x14ac:dyDescent="0.25">
      <c r="A902" s="37">
        <v>38782</v>
      </c>
      <c r="B902" s="39">
        <v>1281.420044</v>
      </c>
      <c r="C902" s="36">
        <f>IF(ISBLANK(B903), "", GSPC[[#This Row],[Adj Close]]/B903-1)</f>
        <v>-4.5135182448128308E-3</v>
      </c>
      <c r="D90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0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02" s="11" t="e">
        <f>IF(ISBLANK(GSPC[[#This Row],[Long Exp.]]), "", (GSPC[[#This Row],[Long Exp.]]/D903-1)+(E903/GSPC[[#This Row],[Short Exp.]]-1))</f>
        <v>#VALUE!</v>
      </c>
      <c r="G902" s="37">
        <v>38782</v>
      </c>
      <c r="H902">
        <v>20.641421999999999</v>
      </c>
      <c r="I902" s="36">
        <f>IF(ISBLANK(H903), "", Long0[[#This Row],[Adj Close]]/H903-1)</f>
        <v>1.1463987869932524E-2</v>
      </c>
      <c r="J902" s="29">
        <v>38782</v>
      </c>
      <c r="K902">
        <v>1.3695820000000001</v>
      </c>
      <c r="L902" s="33">
        <f>IF(ISBLANK(K903),"",Long1[[#This Row],[Adj Close]]/K903-1)</f>
        <v>-4.8076388425524308E-2</v>
      </c>
      <c r="M902" s="37">
        <v>38782</v>
      </c>
      <c r="N902">
        <v>11.977323999999999</v>
      </c>
      <c r="O902" s="36">
        <f>IF(ISBLANK(N903),"",Long2[[#This Row],[Adj Close]]/N903-1)</f>
        <v>-6.2073590579924676E-2</v>
      </c>
      <c r="P902" s="29">
        <v>38782</v>
      </c>
      <c r="Q902">
        <v>13.103192999999999</v>
      </c>
      <c r="R902" s="33">
        <f>IF(ISBLANK(Q903),"",Long3[[#This Row],[Adj Close]]/Q903-1)</f>
        <v>-3.177086670046525E-2</v>
      </c>
      <c r="S902" s="37">
        <v>38782</v>
      </c>
      <c r="T902" s="35">
        <v>9.9244430000000001</v>
      </c>
      <c r="U902" s="36">
        <f>IF(ISBLANK(T903),"",Long4[[#This Row],[Adj Close]]/T903-1)</f>
        <v>-8.0568747162225729E-2</v>
      </c>
      <c r="Y902" s="37">
        <v>38782</v>
      </c>
      <c r="Z902" s="35">
        <v>13.029187</v>
      </c>
      <c r="AA902" s="36">
        <f>IF(ISBLANK(Z903),"",Long6[[#This Row],[Adj Close]]/Z903-1)</f>
        <v>-0.12327862039720305</v>
      </c>
      <c r="AH902" s="29">
        <v>38782</v>
      </c>
      <c r="AI902" s="44">
        <v>35.059975000000001</v>
      </c>
      <c r="AJ902" s="33">
        <f>IF(ISBLANK(AI903),"",Short0[[#This Row],[Adj Close]]/AI903-1)</f>
        <v>-1.6464138366145464E-2</v>
      </c>
      <c r="AK902" s="37">
        <v>38782</v>
      </c>
      <c r="AL902" s="39">
        <v>34.406410000000001</v>
      </c>
      <c r="AM902" s="36">
        <f>IF(ISBLANK(AL903),"",Short1[[#This Row],[Adj Close]]/AL903-1)</f>
        <v>3.7422726402192019E-4</v>
      </c>
      <c r="AN902" s="29">
        <v>38782</v>
      </c>
      <c r="AO902" s="44">
        <v>46.511017000000002</v>
      </c>
      <c r="AP902" s="33">
        <f>IF(ISBLANK(AO903),"",Short2[[#This Row],[Adj Close]]/AO903-1)</f>
        <v>-3.2972605280544354E-2</v>
      </c>
    </row>
    <row r="903" spans="1:42" x14ac:dyDescent="0.25">
      <c r="A903" s="37">
        <v>38775</v>
      </c>
      <c r="B903" s="39">
        <v>1287.2299800000001</v>
      </c>
      <c r="C903" s="36">
        <f>IF(ISBLANK(B904), "", GSPC[[#This Row],[Adj Close]]/B904-1)</f>
        <v>-1.706237568431801E-3</v>
      </c>
      <c r="D90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0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03" s="11" t="e">
        <f>IF(ISBLANK(GSPC[[#This Row],[Long Exp.]]), "", (GSPC[[#This Row],[Long Exp.]]/D904-1)+(E904/GSPC[[#This Row],[Short Exp.]]-1))</f>
        <v>#VALUE!</v>
      </c>
      <c r="G903" s="37">
        <v>38775</v>
      </c>
      <c r="H903">
        <v>20.407471000000001</v>
      </c>
      <c r="I903" s="36">
        <f>IF(ISBLANK(H904), "", Long0[[#This Row],[Adj Close]]/H904-1)</f>
        <v>-2.2834977266486089E-2</v>
      </c>
      <c r="J903" s="29">
        <v>38775</v>
      </c>
      <c r="K903">
        <v>1.438752</v>
      </c>
      <c r="L903" s="33">
        <f>IF(ISBLANK(K904),"",Long1[[#This Row],[Adj Close]]/K904-1)</f>
        <v>0.35064915558142395</v>
      </c>
      <c r="M903" s="37">
        <v>38775</v>
      </c>
      <c r="N903">
        <v>12.770004</v>
      </c>
      <c r="O903" s="36">
        <f>IF(ISBLANK(N904),"",Long2[[#This Row],[Adj Close]]/N904-1)</f>
        <v>1.6403813208438089E-2</v>
      </c>
      <c r="P903" s="29">
        <v>38775</v>
      </c>
      <c r="Q903">
        <v>13.533153</v>
      </c>
      <c r="R903" s="33">
        <f>IF(ISBLANK(Q904),"",Long3[[#This Row],[Adj Close]]/Q904-1)</f>
        <v>1.3065500198523594E-2</v>
      </c>
      <c r="S903" s="37">
        <v>38775</v>
      </c>
      <c r="T903" s="35">
        <v>10.794110999999999</v>
      </c>
      <c r="U903" s="36">
        <f>IF(ISBLANK(T904),"",Long4[[#This Row],[Adj Close]]/T904-1)</f>
        <v>1.280014592278933E-2</v>
      </c>
      <c r="Y903" s="37">
        <v>38775</v>
      </c>
      <c r="Z903" s="35">
        <v>14.861262999999999</v>
      </c>
      <c r="AA903" s="36">
        <f>IF(ISBLANK(Z904),"",Long6[[#This Row],[Adj Close]]/Z904-1)</f>
        <v>3.0405185922755207E-2</v>
      </c>
      <c r="AH903" s="29">
        <v>38775</v>
      </c>
      <c r="AI903" s="44">
        <v>35.64687</v>
      </c>
      <c r="AJ903" s="33">
        <f>IF(ISBLANK(AI904),"",Short0[[#This Row],[Adj Close]]/AI904-1)</f>
        <v>-3.5546596970289945E-2</v>
      </c>
      <c r="AK903" s="37">
        <v>38775</v>
      </c>
      <c r="AL903" s="39">
        <v>34.393538999999997</v>
      </c>
      <c r="AM903" s="36">
        <f>IF(ISBLANK(AL904),"",Short1[[#This Row],[Adj Close]]/AL904-1)</f>
        <v>-1.2213063276795388E-2</v>
      </c>
      <c r="AN903" s="29">
        <v>38775</v>
      </c>
      <c r="AO903" s="44">
        <v>48.096896999999998</v>
      </c>
      <c r="AP903" s="33">
        <f>IF(ISBLANK(AO904),"",Short2[[#This Row],[Adj Close]]/AO904-1)</f>
        <v>-4.0533568769535289E-2</v>
      </c>
    </row>
    <row r="904" spans="1:42" x14ac:dyDescent="0.25">
      <c r="A904" s="37">
        <v>38768</v>
      </c>
      <c r="B904" s="39">
        <v>1289.4300539999999</v>
      </c>
      <c r="C904" s="36">
        <f>IF(ISBLANK(B905), "", GSPC[[#This Row],[Adj Close]]/B905-1)</f>
        <v>1.7013641721927986E-3</v>
      </c>
      <c r="D90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0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04" s="11" t="e">
        <f>IF(ISBLANK(GSPC[[#This Row],[Long Exp.]]), "", (GSPC[[#This Row],[Long Exp.]]/D905-1)+(E905/GSPC[[#This Row],[Short Exp.]]-1))</f>
        <v>#VALUE!</v>
      </c>
      <c r="G904" s="37">
        <v>38768</v>
      </c>
      <c r="H904">
        <v>20.884364999999999</v>
      </c>
      <c r="I904" s="36">
        <f>IF(ISBLANK(H905), "", Long0[[#This Row],[Adj Close]]/H905-1)</f>
        <v>2.7900736961038231E-2</v>
      </c>
      <c r="J904" s="29">
        <v>38768</v>
      </c>
      <c r="K904">
        <v>1.0652299999999999</v>
      </c>
      <c r="L904" s="33">
        <f>IF(ISBLANK(K905),"",Long1[[#This Row],[Adj Close]]/K905-1)</f>
        <v>8.4507113950469392E-2</v>
      </c>
      <c r="M904" s="37">
        <v>38768</v>
      </c>
      <c r="N904">
        <v>12.563908</v>
      </c>
      <c r="O904" s="36">
        <f>IF(ISBLANK(N905),"",Long2[[#This Row],[Adj Close]]/N905-1)</f>
        <v>-2.6412663175292672E-2</v>
      </c>
      <c r="P904" s="29">
        <v>38768</v>
      </c>
      <c r="Q904">
        <v>13.358616</v>
      </c>
      <c r="R904" s="33">
        <f>IF(ISBLANK(Q905),"",Long3[[#This Row],[Adj Close]]/Q905-1)</f>
        <v>1.6520705498889177E-2</v>
      </c>
      <c r="S904" s="37">
        <v>38768</v>
      </c>
      <c r="T904" s="35">
        <v>10.657691</v>
      </c>
      <c r="U904" s="36">
        <f>IF(ISBLANK(T905),"",Long4[[#This Row],[Adj Close]]/T905-1)</f>
        <v>-2.3437716189101176E-2</v>
      </c>
      <c r="Y904" s="37">
        <v>38768</v>
      </c>
      <c r="Z904" s="35">
        <v>14.422737</v>
      </c>
      <c r="AA904" s="36">
        <f>IF(ISBLANK(Z905),"",Long6[[#This Row],[Adj Close]]/Z905-1)</f>
        <v>0.20816320410422762</v>
      </c>
      <c r="AH904" s="29">
        <v>38768</v>
      </c>
      <c r="AI904" s="44">
        <v>36.960697000000003</v>
      </c>
      <c r="AJ904" s="33">
        <f>IF(ISBLANK(AI905),"",Short0[[#This Row],[Adj Close]]/AI905-1)</f>
        <v>4.3887761248391666E-2</v>
      </c>
      <c r="AK904" s="37">
        <v>38768</v>
      </c>
      <c r="AL904" s="39">
        <v>34.818783000000003</v>
      </c>
      <c r="AM904" s="36">
        <f>IF(ISBLANK(AL905),"",Short1[[#This Row],[Adj Close]]/AL905-1)</f>
        <v>-5.1543207583720774E-3</v>
      </c>
      <c r="AN904" s="29">
        <v>38768</v>
      </c>
      <c r="AO904" s="44">
        <v>50.128796000000001</v>
      </c>
      <c r="AP904" s="33">
        <f>IF(ISBLANK(AO905),"",Short2[[#This Row],[Adj Close]]/AO905-1)</f>
        <v>4.2066835069931363E-2</v>
      </c>
    </row>
    <row r="905" spans="1:42" x14ac:dyDescent="0.25">
      <c r="A905" s="37">
        <v>38761</v>
      </c>
      <c r="B905" s="39">
        <v>1287.23999</v>
      </c>
      <c r="C905" s="36">
        <f>IF(ISBLANK(B906), "", GSPC[[#This Row],[Adj Close]]/B906-1)</f>
        <v>1.5982762421035357E-2</v>
      </c>
      <c r="D90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0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05" s="11" t="e">
        <f>IF(ISBLANK(GSPC[[#This Row],[Long Exp.]]), "", (GSPC[[#This Row],[Long Exp.]]/D906-1)+(E906/GSPC[[#This Row],[Short Exp.]]-1))</f>
        <v>#VALUE!</v>
      </c>
      <c r="G905" s="37">
        <v>38761</v>
      </c>
      <c r="H905">
        <v>20.317492000000001</v>
      </c>
      <c r="I905" s="36">
        <f>IF(ISBLANK(H906), "", Long0[[#This Row],[Adj Close]]/H906-1)</f>
        <v>4.7795857982825485E-2</v>
      </c>
      <c r="J905" s="29">
        <v>38761</v>
      </c>
      <c r="K905">
        <v>0.98222500000000001</v>
      </c>
      <c r="L905" s="33">
        <f>IF(ISBLANK(K906),"",Long1[[#This Row],[Adj Close]]/K906-1)</f>
        <v>-1.3888735506631611E-2</v>
      </c>
      <c r="M905" s="37">
        <v>38761</v>
      </c>
      <c r="N905">
        <v>12.904757</v>
      </c>
      <c r="O905" s="36">
        <f>IF(ISBLANK(N906),"",Long2[[#This Row],[Adj Close]]/N906-1)</f>
        <v>-4.2353129230366937E-2</v>
      </c>
      <c r="P905" s="29">
        <v>38761</v>
      </c>
      <c r="Q905">
        <v>13.141508999999999</v>
      </c>
      <c r="R905" s="33">
        <f>IF(ISBLANK(Q906),"",Long3[[#This Row],[Adj Close]]/Q906-1)</f>
        <v>3.0718067605145061E-2</v>
      </c>
      <c r="S905" s="37">
        <v>38761</v>
      </c>
      <c r="T905" s="35">
        <v>10.913478</v>
      </c>
      <c r="U905" s="36">
        <f>IF(ISBLANK(T906),"",Long4[[#This Row],[Adj Close]]/T906-1)</f>
        <v>7.8741510027275918E-3</v>
      </c>
      <c r="Y905" s="37">
        <v>38761</v>
      </c>
      <c r="Z905" s="35">
        <v>11.937739000000001</v>
      </c>
      <c r="AA905" s="36">
        <f>IF(ISBLANK(Z906),"",Long6[[#This Row],[Adj Close]]/Z906-1)</f>
        <v>-2.1565213514169845E-2</v>
      </c>
      <c r="AH905" s="29">
        <v>38761</v>
      </c>
      <c r="AI905" s="44">
        <v>35.406773000000001</v>
      </c>
      <c r="AJ905" s="33">
        <f>IF(ISBLANK(AI906),"",Short0[[#This Row],[Adj Close]]/AI906-1)</f>
        <v>0.11276435354849879</v>
      </c>
      <c r="AK905" s="37">
        <v>38761</v>
      </c>
      <c r="AL905" s="39">
        <v>34.999180000000003</v>
      </c>
      <c r="AM905" s="36">
        <f>IF(ISBLANK(AL906),"",Short1[[#This Row],[Adj Close]]/AL906-1)</f>
        <v>3.368223190335895E-2</v>
      </c>
      <c r="AN905" s="29">
        <v>38761</v>
      </c>
      <c r="AO905" s="44">
        <v>48.105164000000002</v>
      </c>
      <c r="AP905" s="33">
        <f>IF(ISBLANK(AO906),"",Short2[[#This Row],[Adj Close]]/AO906-1)</f>
        <v>2.0859068705522787E-2</v>
      </c>
    </row>
    <row r="906" spans="1:42" x14ac:dyDescent="0.25">
      <c r="A906" s="37">
        <v>38754</v>
      </c>
      <c r="B906" s="39">
        <v>1266.98999</v>
      </c>
      <c r="C906" s="36">
        <f>IF(ISBLANK(B907), "", GSPC[[#This Row],[Adj Close]]/B907-1)</f>
        <v>2.341685665760318E-3</v>
      </c>
      <c r="D90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0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06" s="11" t="e">
        <f>IF(ISBLANK(GSPC[[#This Row],[Long Exp.]]), "", (GSPC[[#This Row],[Long Exp.]]/D907-1)+(E907/GSPC[[#This Row],[Short Exp.]]-1))</f>
        <v>#VALUE!</v>
      </c>
      <c r="G906" s="37">
        <v>38754</v>
      </c>
      <c r="H906">
        <v>19.390696999999999</v>
      </c>
      <c r="I906" s="36">
        <f>IF(ISBLANK(H907), "", Long0[[#This Row],[Adj Close]]/H907-1)</f>
        <v>1.0787935869035703E-2</v>
      </c>
      <c r="J906" s="29">
        <v>38754</v>
      </c>
      <c r="K906">
        <v>0.99605900000000003</v>
      </c>
      <c r="L906" s="33">
        <f>IF(ISBLANK(K907),"",Long1[[#This Row],[Adj Close]]/K907-1)</f>
        <v>-2.7027687041870418E-2</v>
      </c>
      <c r="M906" s="37">
        <v>38754</v>
      </c>
      <c r="N906">
        <v>13.475486</v>
      </c>
      <c r="O906" s="36">
        <f>IF(ISBLANK(N907),"",Long2[[#This Row],[Adj Close]]/N907-1)</f>
        <v>4.1666792280580456E-2</v>
      </c>
      <c r="P906" s="29">
        <v>38754</v>
      </c>
      <c r="Q906">
        <v>12.749858</v>
      </c>
      <c r="R906" s="33">
        <f>IF(ISBLANK(Q907),"",Long3[[#This Row],[Adj Close]]/Q907-1)</f>
        <v>-1.6743388528190462E-2</v>
      </c>
      <c r="S906" s="37">
        <v>38754</v>
      </c>
      <c r="T906" s="35">
        <v>10.828215</v>
      </c>
      <c r="U906" s="36">
        <f>IF(ISBLANK(T907),"",Long4[[#This Row],[Adj Close]]/T907-1)</f>
        <v>4.8720161632189951E-2</v>
      </c>
      <c r="Y906" s="37">
        <v>38754</v>
      </c>
      <c r="Z906" s="35">
        <v>12.200853</v>
      </c>
      <c r="AA906" s="36">
        <f>IF(ISBLANK(Z907),"",Long6[[#This Row],[Adj Close]]/Z907-1)</f>
        <v>-3.170930326593524E-2</v>
      </c>
      <c r="AH906" s="29">
        <v>38754</v>
      </c>
      <c r="AI906" s="44">
        <v>31.818752</v>
      </c>
      <c r="AJ906" s="33">
        <f>IF(ISBLANK(AI907),"",Short0[[#This Row],[Adj Close]]/AI907-1)</f>
        <v>-2.9495289085407772E-2</v>
      </c>
      <c r="AK906" s="37">
        <v>38754</v>
      </c>
      <c r="AL906" s="39">
        <v>33.858741999999999</v>
      </c>
      <c r="AM906" s="36">
        <f>IF(ISBLANK(AL907),"",Short1[[#This Row],[Adj Close]]/AL907-1)</f>
        <v>8.1498611583357139E-2</v>
      </c>
      <c r="AN906" s="29">
        <v>38754</v>
      </c>
      <c r="AO906" s="44">
        <v>47.122238000000003</v>
      </c>
      <c r="AP906" s="33">
        <f>IF(ISBLANK(AO907),"",Short2[[#This Row],[Adj Close]]/AO907-1)</f>
        <v>-5.9184469071219881E-2</v>
      </c>
    </row>
    <row r="907" spans="1:42" x14ac:dyDescent="0.25">
      <c r="A907" s="37">
        <v>38747</v>
      </c>
      <c r="B907" s="39">
        <v>1264.030029</v>
      </c>
      <c r="C907" s="36">
        <f>IF(ISBLANK(B908), "", GSPC[[#This Row],[Adj Close]]/B908-1)</f>
        <v>-1.5338190917651429E-2</v>
      </c>
      <c r="D90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0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07" s="11" t="e">
        <f>IF(ISBLANK(GSPC[[#This Row],[Long Exp.]]), "", (GSPC[[#This Row],[Long Exp.]]/D908-1)+(E908/GSPC[[#This Row],[Short Exp.]]-1))</f>
        <v>#VALUE!</v>
      </c>
      <c r="G907" s="37">
        <v>38747</v>
      </c>
      <c r="H907">
        <v>19.183744000000001</v>
      </c>
      <c r="I907" s="36">
        <f>IF(ISBLANK(H908), "", Long0[[#This Row],[Adj Close]]/H908-1)</f>
        <v>7.4055382447537399E-2</v>
      </c>
      <c r="J907" s="29">
        <v>38747</v>
      </c>
      <c r="K907">
        <v>1.023728</v>
      </c>
      <c r="L907" s="33">
        <f>IF(ISBLANK(K908),"",Long1[[#This Row],[Adj Close]]/K908-1)</f>
        <v>0</v>
      </c>
      <c r="M907" s="37">
        <v>38747</v>
      </c>
      <c r="N907">
        <v>12.936465</v>
      </c>
      <c r="O907" s="36">
        <f>IF(ISBLANK(N908),"",Long2[[#This Row],[Adj Close]]/N908-1)</f>
        <v>6.1118333900675559E-2</v>
      </c>
      <c r="P907" s="29">
        <v>38747</v>
      </c>
      <c r="Q907">
        <v>12.966969000000001</v>
      </c>
      <c r="R907" s="33">
        <f>IF(ISBLANK(Q908),"",Long3[[#This Row],[Adj Close]]/Q908-1)</f>
        <v>1.533323634386452E-2</v>
      </c>
      <c r="S907" s="37">
        <v>38747</v>
      </c>
      <c r="T907" s="35">
        <v>10.325170999999999</v>
      </c>
      <c r="U907" s="36">
        <f>IF(ISBLANK(T908),"",Long4[[#This Row],[Adj Close]]/T908-1)</f>
        <v>5.3959591705368126E-2</v>
      </c>
      <c r="Y907" s="37">
        <v>38747</v>
      </c>
      <c r="Z907" s="35">
        <v>12.600403</v>
      </c>
      <c r="AA907" s="36">
        <f>IF(ISBLANK(Z908),"",Long6[[#This Row],[Adj Close]]/Z908-1)</f>
        <v>-4.7864439576954076E-2</v>
      </c>
      <c r="AH907" s="29">
        <v>38747</v>
      </c>
      <c r="AI907" s="44">
        <v>32.785778000000001</v>
      </c>
      <c r="AJ907" s="33">
        <f>IF(ISBLANK(AI908),"",Short0[[#This Row],[Adj Close]]/AI908-1)</f>
        <v>1.277296186170096E-2</v>
      </c>
      <c r="AK907" s="37">
        <v>38747</v>
      </c>
      <c r="AL907" s="39">
        <v>31.307245000000002</v>
      </c>
      <c r="AM907" s="36">
        <f>IF(ISBLANK(AL908),"",Short1[[#This Row],[Adj Close]]/AL908-1)</f>
        <v>-2.8005830491218853E-2</v>
      </c>
      <c r="AN907" s="29">
        <v>38747</v>
      </c>
      <c r="AO907" s="44">
        <v>50.086585999999997</v>
      </c>
      <c r="AP907" s="33">
        <f>IF(ISBLANK(AO908),"",Short2[[#This Row],[Adj Close]]/AO908-1)</f>
        <v>-4.0101059774599102E-2</v>
      </c>
    </row>
    <row r="908" spans="1:42" x14ac:dyDescent="0.25">
      <c r="A908" s="37">
        <v>38740</v>
      </c>
      <c r="B908" s="39">
        <v>1283.719971</v>
      </c>
      <c r="C908" s="36">
        <f>IF(ISBLANK(B909), "", GSPC[[#This Row],[Adj Close]]/B909-1)</f>
        <v>1.7622003484942361E-2</v>
      </c>
      <c r="D90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0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08" s="11" t="e">
        <f>IF(ISBLANK(GSPC[[#This Row],[Long Exp.]]), "", (GSPC[[#This Row],[Long Exp.]]/D909-1)+(E909/GSPC[[#This Row],[Short Exp.]]-1))</f>
        <v>#VALUE!</v>
      </c>
      <c r="G908" s="37">
        <v>38740</v>
      </c>
      <c r="H908">
        <v>17.861038000000001</v>
      </c>
      <c r="I908" s="36">
        <f>IF(ISBLANK(H909), "", Long0[[#This Row],[Adj Close]]/H909-1)</f>
        <v>-8.9864612447172476E-3</v>
      </c>
      <c r="J908" s="29">
        <v>38740</v>
      </c>
      <c r="K908">
        <v>1.023728</v>
      </c>
      <c r="L908" s="33">
        <f>IF(ISBLANK(K909),"",Long1[[#This Row],[Adj Close]]/K909-1)</f>
        <v>0</v>
      </c>
      <c r="M908" s="37">
        <v>38740</v>
      </c>
      <c r="N908">
        <v>12.19135</v>
      </c>
      <c r="O908" s="36">
        <f>IF(ISBLANK(N909),"",Long2[[#This Row],[Adj Close]]/N909-1)</f>
        <v>6.0689887141694543E-2</v>
      </c>
      <c r="P908" s="29">
        <v>38740</v>
      </c>
      <c r="Q908">
        <v>12.771146</v>
      </c>
      <c r="R908" s="33">
        <f>IF(ISBLANK(Q909),"",Long3[[#This Row],[Adj Close]]/Q909-1)</f>
        <v>-2.5024095470357E-2</v>
      </c>
      <c r="S908" s="37">
        <v>38740</v>
      </c>
      <c r="T908" s="35">
        <v>9.7965529999999994</v>
      </c>
      <c r="U908" s="36">
        <f>IF(ISBLANK(T909),"",Long4[[#This Row],[Adj Close]]/T909-1)</f>
        <v>-1.1187305637509026E-2</v>
      </c>
      <c r="Y908" s="37">
        <v>38740</v>
      </c>
      <c r="Z908" s="35">
        <v>13.233833000000001</v>
      </c>
      <c r="AA908" s="36">
        <f>IF(ISBLANK(Z909),"",Long6[[#This Row],[Adj Close]]/Z909-1)</f>
        <v>9.0763120993399893E-2</v>
      </c>
      <c r="AH908" s="29">
        <v>38740</v>
      </c>
      <c r="AI908" s="44">
        <v>32.372287999999998</v>
      </c>
      <c r="AJ908" s="33">
        <f>IF(ISBLANK(AI909),"",Short0[[#This Row],[Adj Close]]/AI909-1)</f>
        <v>-2.2553298028976321E-2</v>
      </c>
      <c r="AK908" s="37">
        <v>38740</v>
      </c>
      <c r="AL908" s="39">
        <v>32.209293000000002</v>
      </c>
      <c r="AM908" s="36">
        <f>IF(ISBLANK(AL909),"",Short1[[#This Row],[Adj Close]]/AL909-1)</f>
        <v>2.4175068653192522E-2</v>
      </c>
      <c r="AN908" s="29">
        <v>38740</v>
      </c>
      <c r="AO908" s="44">
        <v>52.179020000000001</v>
      </c>
      <c r="AP908" s="33">
        <f>IF(ISBLANK(AO909),"",Short2[[#This Row],[Adj Close]]/AO909-1)</f>
        <v>2.574898479806742E-2</v>
      </c>
    </row>
    <row r="909" spans="1:42" x14ac:dyDescent="0.25">
      <c r="A909" s="37">
        <v>38733</v>
      </c>
      <c r="B909" s="39">
        <v>1261.48999</v>
      </c>
      <c r="C909" s="36">
        <f>IF(ISBLANK(B910), "", GSPC[[#This Row],[Adj Close]]/B910-1)</f>
        <v>-2.0285641851402691E-2</v>
      </c>
      <c r="D90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0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09" s="11" t="e">
        <f>IF(ISBLANK(GSPC[[#This Row],[Long Exp.]]), "", (GSPC[[#This Row],[Long Exp.]]/D910-1)+(E910/GSPC[[#This Row],[Short Exp.]]-1))</f>
        <v>#VALUE!</v>
      </c>
      <c r="G909" s="37">
        <v>38733</v>
      </c>
      <c r="H909">
        <v>18.023001000000001</v>
      </c>
      <c r="I909" s="36">
        <f>IF(ISBLANK(H910), "", Long0[[#This Row],[Adj Close]]/H910-1)</f>
        <v>-2.5778200362758685E-2</v>
      </c>
      <c r="J909" s="29">
        <v>38733</v>
      </c>
      <c r="K909">
        <v>1.023728</v>
      </c>
      <c r="L909" s="33">
        <f>IF(ISBLANK(K910),"",Long1[[#This Row],[Adj Close]]/K910-1)</f>
        <v>2.7778474969856193E-2</v>
      </c>
      <c r="M909" s="37">
        <v>38733</v>
      </c>
      <c r="N909">
        <v>11.493793</v>
      </c>
      <c r="O909" s="36">
        <f>IF(ISBLANK(N910),"",Long2[[#This Row],[Adj Close]]/N910-1)</f>
        <v>-4.1005712267997318E-2</v>
      </c>
      <c r="P909" s="29">
        <v>38733</v>
      </c>
      <c r="Q909">
        <v>13.098935000000001</v>
      </c>
      <c r="R909" s="33">
        <f>IF(ISBLANK(Q910),"",Long3[[#This Row],[Adj Close]]/Q910-1)</f>
        <v>3.4285319037032247E-2</v>
      </c>
      <c r="S909" s="37">
        <v>38733</v>
      </c>
      <c r="T909" s="35">
        <v>9.9073899999999995</v>
      </c>
      <c r="U909" s="36">
        <f>IF(ISBLANK(T910),"",Long4[[#This Row],[Adj Close]]/T910-1)</f>
        <v>-9.3776953074927727E-3</v>
      </c>
      <c r="Y909" s="37">
        <v>38733</v>
      </c>
      <c r="Z909" s="35">
        <v>12.132637000000001</v>
      </c>
      <c r="AA909" s="36">
        <f>IF(ISBLANK(Z910),"",Long6[[#This Row],[Adj Close]]/Z910-1)</f>
        <v>2.9776479279595147E-2</v>
      </c>
      <c r="AH909" s="29">
        <v>38733</v>
      </c>
      <c r="AI909" s="44">
        <v>33.119236000000001</v>
      </c>
      <c r="AJ909" s="33">
        <f>IF(ISBLANK(AI910),"",Short0[[#This Row],[Adj Close]]/AI910-1)</f>
        <v>2.7093981112137122E-2</v>
      </c>
      <c r="AK909" s="37">
        <v>38733</v>
      </c>
      <c r="AL909" s="39">
        <v>31.449010999999999</v>
      </c>
      <c r="AM909" s="36">
        <f>IF(ISBLANK(AL910),"",Short1[[#This Row],[Adj Close]]/AL910-1)</f>
        <v>1.9850183998757487E-2</v>
      </c>
      <c r="AN909" s="29">
        <v>38733</v>
      </c>
      <c r="AO909" s="44">
        <v>50.869190000000003</v>
      </c>
      <c r="AP909" s="33">
        <f>IF(ISBLANK(AO910),"",Short2[[#This Row],[Adj Close]]/AO910-1)</f>
        <v>-3.5005683540905275E-2</v>
      </c>
    </row>
    <row r="910" spans="1:42" x14ac:dyDescent="0.25">
      <c r="A910" s="37">
        <v>38726</v>
      </c>
      <c r="B910" s="39">
        <v>1287.6099850000001</v>
      </c>
      <c r="C910" s="36">
        <f>IF(ISBLANK(B911), "", GSPC[[#This Row],[Adj Close]]/B911-1)</f>
        <v>1.6803719182685306E-3</v>
      </c>
      <c r="D91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1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10" s="11" t="e">
        <f>IF(ISBLANK(GSPC[[#This Row],[Long Exp.]]), "", (GSPC[[#This Row],[Long Exp.]]/D911-1)+(E911/GSPC[[#This Row],[Short Exp.]]-1))</f>
        <v>#VALUE!</v>
      </c>
      <c r="G910" s="37">
        <v>38726</v>
      </c>
      <c r="H910">
        <v>18.499894999999999</v>
      </c>
      <c r="I910" s="36">
        <f>IF(ISBLANK(H911), "", Long0[[#This Row],[Adj Close]]/H911-1)</f>
        <v>-4.3582447005321434E-3</v>
      </c>
      <c r="J910" s="29">
        <v>38726</v>
      </c>
      <c r="K910">
        <v>0.99605900000000003</v>
      </c>
      <c r="L910" s="33">
        <f>IF(ISBLANK(K911),"",Long1[[#This Row],[Adj Close]]/K911-1)</f>
        <v>1.4084349308966848E-2</v>
      </c>
      <c r="M910" s="37">
        <v>38726</v>
      </c>
      <c r="N910">
        <v>11.985257000000001</v>
      </c>
      <c r="O910" s="36">
        <f>IF(ISBLANK(N911),"",Long2[[#This Row],[Adj Close]]/N911-1)</f>
        <v>-3.5714176524001551E-2</v>
      </c>
      <c r="P910" s="29">
        <v>38726</v>
      </c>
      <c r="Q910">
        <v>12.664721</v>
      </c>
      <c r="R910" s="33">
        <f>IF(ISBLANK(Q911),"",Long3[[#This Row],[Adj Close]]/Q911-1)</f>
        <v>-3.3495746731108111E-3</v>
      </c>
      <c r="S910" s="37">
        <v>38726</v>
      </c>
      <c r="T910" s="35">
        <v>10.001177999999999</v>
      </c>
      <c r="U910" s="36">
        <f>IF(ISBLANK(T911),"",Long4[[#This Row],[Adj Close]]/T911-1)</f>
        <v>-2.0050155764277822E-2</v>
      </c>
      <c r="Y910" s="37">
        <v>38726</v>
      </c>
      <c r="Z910" s="35">
        <v>11.781815999999999</v>
      </c>
      <c r="AA910" s="36">
        <f>IF(ISBLANK(Z911),"",Long6[[#This Row],[Adj Close]]/Z911-1)</f>
        <v>5.4054177369974754E-2</v>
      </c>
      <c r="AH910" s="29">
        <v>38726</v>
      </c>
      <c r="AI910" s="44">
        <v>32.245575000000002</v>
      </c>
      <c r="AJ910" s="33">
        <f>IF(ISBLANK(AI911),"",Short0[[#This Row],[Adj Close]]/AI911-1)</f>
        <v>0.16198034243232962</v>
      </c>
      <c r="AK910" s="37">
        <v>38726</v>
      </c>
      <c r="AL910" s="39">
        <v>30.836893</v>
      </c>
      <c r="AM910" s="36">
        <f>IF(ISBLANK(AL911),"",Short1[[#This Row],[Adj Close]]/AL911-1)</f>
        <v>1.7214897049558475E-2</v>
      </c>
      <c r="AN910" s="29">
        <v>38726</v>
      </c>
      <c r="AO910" s="44">
        <v>52.714497000000001</v>
      </c>
      <c r="AP910" s="33">
        <f>IF(ISBLANK(AO911),"",Short2[[#This Row],[Adj Close]]/AO911-1)</f>
        <v>2.1878171652047751E-2</v>
      </c>
    </row>
    <row r="911" spans="1:42" x14ac:dyDescent="0.25">
      <c r="A911" s="37">
        <v>38719</v>
      </c>
      <c r="B911" s="39">
        <v>1285.4499510000001</v>
      </c>
      <c r="C911" s="36">
        <f>IF(ISBLANK(B912), "", GSPC[[#This Row],[Adj Close]]/B912-1)</f>
        <v>2.9768652187410538E-2</v>
      </c>
      <c r="D91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1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11" s="11" t="e">
        <f>IF(ISBLANK(GSPC[[#This Row],[Long Exp.]]), "", (GSPC[[#This Row],[Long Exp.]]/D912-1)+(E912/GSPC[[#This Row],[Short Exp.]]-1))</f>
        <v>#VALUE!</v>
      </c>
      <c r="G911" s="37">
        <v>38719</v>
      </c>
      <c r="H911">
        <v>18.580874999999999</v>
      </c>
      <c r="I911" s="36">
        <f>IF(ISBLANK(H912), "", Long0[[#This Row],[Adj Close]]/H912-1)</f>
        <v>3.7643462950194051E-2</v>
      </c>
      <c r="J911" s="29">
        <v>38719</v>
      </c>
      <c r="K911">
        <v>0.98222500000000001</v>
      </c>
      <c r="L911" s="33">
        <f>IF(ISBLANK(K912),"",Long1[[#This Row],[Adj Close]]/K912-1)</f>
        <v>4.4117131185269276E-2</v>
      </c>
      <c r="M911" s="37">
        <v>38719</v>
      </c>
      <c r="N911">
        <v>12.429154</v>
      </c>
      <c r="O911" s="36">
        <f>IF(ISBLANK(N912),"",Long2[[#This Row],[Adj Close]]/N912-1)</f>
        <v>7.1770111306978635E-2</v>
      </c>
      <c r="P911" s="29">
        <v>38719</v>
      </c>
      <c r="Q911">
        <v>12.707285000000001</v>
      </c>
      <c r="R911" s="33">
        <f>IF(ISBLANK(Q912),"",Long3[[#This Row],[Adj Close]]/Q912-1)</f>
        <v>1.530595123572609E-2</v>
      </c>
      <c r="S911" s="37">
        <v>38719</v>
      </c>
      <c r="T911" s="35">
        <v>10.205806000000001</v>
      </c>
      <c r="U911" s="36">
        <f>IF(ISBLANK(T912),"",Long4[[#This Row],[Adj Close]]/T912-1)</f>
        <v>-6.638981936467836E-3</v>
      </c>
      <c r="Y911" s="37">
        <v>38719</v>
      </c>
      <c r="Z911" s="35">
        <v>11.177619</v>
      </c>
      <c r="AA911" s="36">
        <f>IF(ISBLANK(Z912),"",Long6[[#This Row],[Adj Close]]/Z912-1)</f>
        <v>9.1341397831614879E-2</v>
      </c>
      <c r="AH911" s="29">
        <v>38719</v>
      </c>
      <c r="AI911" s="44">
        <v>27.750533999999998</v>
      </c>
      <c r="AJ911" s="33">
        <f>IF(ISBLANK(AI912),"",Short0[[#This Row],[Adj Close]]/AI912-1)</f>
        <v>5.4218296409937139E-2</v>
      </c>
      <c r="AK911" s="37">
        <v>38719</v>
      </c>
      <c r="AL911" s="39">
        <v>30.315023</v>
      </c>
      <c r="AM911" s="36">
        <f>IF(ISBLANK(AL912),"",Short1[[#This Row],[Adj Close]]/AL912-1)</f>
        <v>8.4091305630086044E-2</v>
      </c>
      <c r="AN911" s="29">
        <v>38719</v>
      </c>
      <c r="AO911" s="44">
        <v>51.585892000000001</v>
      </c>
      <c r="AP911" s="33">
        <f>IF(ISBLANK(AO912),"",Short2[[#This Row],[Adj Close]]/AO912-1)</f>
        <v>2.6220785739109909E-2</v>
      </c>
    </row>
    <row r="912" spans="1:42" x14ac:dyDescent="0.25">
      <c r="A912" s="37">
        <v>38712</v>
      </c>
      <c r="B912" s="39">
        <v>1248.290039</v>
      </c>
      <c r="C912" s="36">
        <f>IF(ISBLANK(B913), "", GSPC[[#This Row],[Adj Close]]/B913-1)</f>
        <v>-1.6056307012190518E-2</v>
      </c>
      <c r="D91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1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12" s="11" t="e">
        <f>IF(ISBLANK(GSPC[[#This Row],[Long Exp.]]), "", (GSPC[[#This Row],[Long Exp.]]/D913-1)+(E913/GSPC[[#This Row],[Short Exp.]]-1))</f>
        <v>#VALUE!</v>
      </c>
      <c r="G912" s="37">
        <v>38712</v>
      </c>
      <c r="H912">
        <v>17.906801000000002</v>
      </c>
      <c r="I912" s="36">
        <f>IF(ISBLANK(H913), "", Long0[[#This Row],[Adj Close]]/H913-1)</f>
        <v>-1.6748570420434983E-2</v>
      </c>
      <c r="J912" s="29">
        <v>38712</v>
      </c>
      <c r="K912">
        <v>0.94072299999999998</v>
      </c>
      <c r="L912" s="33">
        <f>IF(ISBLANK(K913),"",Long1[[#This Row],[Adj Close]]/K913-1)</f>
        <v>0</v>
      </c>
      <c r="M912" s="37">
        <v>38712</v>
      </c>
      <c r="N912">
        <v>11.596847</v>
      </c>
      <c r="O912" s="36">
        <f>IF(ISBLANK(N913),"",Long2[[#This Row],[Adj Close]]/N913-1)</f>
        <v>-1.3486079268719586E-2</v>
      </c>
      <c r="P912" s="29">
        <v>38712</v>
      </c>
      <c r="Q912">
        <v>12.51572</v>
      </c>
      <c r="R912" s="33">
        <f>IF(ISBLANK(Q913),"",Long3[[#This Row],[Adj Close]]/Q913-1)</f>
        <v>-1.4084895365488737E-2</v>
      </c>
      <c r="S912" s="37">
        <v>38712</v>
      </c>
      <c r="T912" s="35">
        <v>10.274015</v>
      </c>
      <c r="U912" s="36">
        <f>IF(ISBLANK(T913),"",Long4[[#This Row],[Adj Close]]/T913-1)</f>
        <v>2.0321691844628509E-2</v>
      </c>
      <c r="Y912" s="37">
        <v>38712</v>
      </c>
      <c r="Z912" s="35">
        <v>10.242092</v>
      </c>
      <c r="AA912" s="36">
        <f>IF(ISBLANK(Z913),"",Long6[[#This Row],[Adj Close]]/Z913-1)</f>
        <v>-1.2217930812862487E-2</v>
      </c>
      <c r="AH912" s="29">
        <v>38712</v>
      </c>
      <c r="AI912" s="44">
        <v>26.323328</v>
      </c>
      <c r="AJ912" s="33">
        <f>IF(ISBLANK(AI913),"",Short0[[#This Row],[Adj Close]]/AI913-1)</f>
        <v>-2.7593137005369917E-2</v>
      </c>
      <c r="AK912" s="37">
        <v>38712</v>
      </c>
      <c r="AL912" s="39">
        <v>27.963533000000002</v>
      </c>
      <c r="AM912" s="36">
        <f>IF(ISBLANK(AL913),"",Short1[[#This Row],[Adj Close]]/AL913-1)</f>
        <v>-1.851008437711088E-2</v>
      </c>
      <c r="AN912" s="29">
        <v>38712</v>
      </c>
      <c r="AO912" s="44">
        <v>50.267829999999996</v>
      </c>
      <c r="AP912" s="33">
        <f>IF(ISBLANK(AO913),"",Short2[[#This Row],[Adj Close]]/AO913-1)</f>
        <v>-1.0218833976032959E-2</v>
      </c>
    </row>
    <row r="913" spans="1:42" x14ac:dyDescent="0.25">
      <c r="A913" s="37">
        <v>38705</v>
      </c>
      <c r="B913" s="39">
        <v>1268.660034</v>
      </c>
      <c r="C913" s="36">
        <f>IF(ISBLANK(B914), "", GSPC[[#This Row],[Adj Close]]/B914-1)</f>
        <v>1.0574188500935833E-3</v>
      </c>
      <c r="D91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1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13" s="11" t="e">
        <f>IF(ISBLANK(GSPC[[#This Row],[Long Exp.]]), "", (GSPC[[#This Row],[Long Exp.]]/D914-1)+(E914/GSPC[[#This Row],[Short Exp.]]-1))</f>
        <v>#VALUE!</v>
      </c>
      <c r="G913" s="37">
        <v>38705</v>
      </c>
      <c r="H913">
        <v>18.211822999999999</v>
      </c>
      <c r="I913" s="36">
        <f>IF(ISBLANK(H914), "", Long0[[#This Row],[Adj Close]]/H914-1)</f>
        <v>-3.1488470761165455E-2</v>
      </c>
      <c r="J913" s="29">
        <v>38705</v>
      </c>
      <c r="K913">
        <v>0.94072299999999998</v>
      </c>
      <c r="L913" s="33">
        <f>IF(ISBLANK(K914),"",Long1[[#This Row],[Adj Close]]/K914-1)</f>
        <v>-2.8571104027195648E-2</v>
      </c>
      <c r="M913" s="37">
        <v>38705</v>
      </c>
      <c r="N913">
        <v>11.755381</v>
      </c>
      <c r="O913" s="36">
        <f>IF(ISBLANK(N914),"",Long2[[#This Row],[Adj Close]]/N914-1)</f>
        <v>5.1027872838600663E-2</v>
      </c>
      <c r="P913" s="29">
        <v>38705</v>
      </c>
      <c r="Q913">
        <v>12.694521</v>
      </c>
      <c r="R913" s="33">
        <f>IF(ISBLANK(Q914),"",Long3[[#This Row],[Adj Close]]/Q914-1)</f>
        <v>-1.0288013546974728E-2</v>
      </c>
      <c r="S913" s="37">
        <v>38705</v>
      </c>
      <c r="T913" s="35">
        <v>10.069388</v>
      </c>
      <c r="U913" s="36">
        <f>IF(ISBLANK(T914),"",Long4[[#This Row],[Adj Close]]/T914-1)</f>
        <v>-1.1715465895044574E-2</v>
      </c>
      <c r="Y913" s="37">
        <v>38705</v>
      </c>
      <c r="Z913" s="35">
        <v>10.368777</v>
      </c>
      <c r="AA913" s="36">
        <f>IF(ISBLANK(Z914),"",Long6[[#This Row],[Adj Close]]/Z914-1)</f>
        <v>-2.474789534207178E-2</v>
      </c>
      <c r="AH913" s="29">
        <v>38705</v>
      </c>
      <c r="AI913" s="44">
        <v>27.070281999999999</v>
      </c>
      <c r="AJ913" s="33">
        <f>IF(ISBLANK(AI914),"",Short0[[#This Row],[Adj Close]]/AI914-1)</f>
        <v>4.8025104953375086E-2</v>
      </c>
      <c r="AK913" s="37">
        <v>38705</v>
      </c>
      <c r="AL913" s="39">
        <v>28.490901999999998</v>
      </c>
      <c r="AM913" s="36">
        <f>IF(ISBLANK(AL914),"",Short1[[#This Row],[Adj Close]]/AL914-1)</f>
        <v>-1.4679564675765699E-2</v>
      </c>
      <c r="AN913" s="29">
        <v>38705</v>
      </c>
      <c r="AO913" s="44">
        <v>50.786811999999998</v>
      </c>
      <c r="AP913" s="33">
        <f>IF(ISBLANK(AO914),"",Short2[[#This Row],[Adj Close]]/AO914-1)</f>
        <v>-1.9093247654502599E-2</v>
      </c>
    </row>
    <row r="914" spans="1:42" x14ac:dyDescent="0.25">
      <c r="A914" s="37">
        <v>38698</v>
      </c>
      <c r="B914" s="39">
        <v>1267.3199460000001</v>
      </c>
      <c r="C914" s="36">
        <f>IF(ISBLANK(B915), "", GSPC[[#This Row],[Adj Close]]/B915-1)</f>
        <v>6.312641266318364E-3</v>
      </c>
      <c r="D91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1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14" s="11" t="e">
        <f>IF(ISBLANK(GSPC[[#This Row],[Long Exp.]]), "", (GSPC[[#This Row],[Long Exp.]]/D915-1)+(E915/GSPC[[#This Row],[Short Exp.]]-1))</f>
        <v>#VALUE!</v>
      </c>
      <c r="G914" s="37">
        <v>38698</v>
      </c>
      <c r="H914">
        <v>18.803930000000001</v>
      </c>
      <c r="I914" s="36">
        <f>IF(ISBLANK(H915), "", Long0[[#This Row],[Adj Close]]/H915-1)</f>
        <v>7.2079052723974524E-3</v>
      </c>
      <c r="J914" s="29">
        <v>38698</v>
      </c>
      <c r="K914">
        <v>0.968391</v>
      </c>
      <c r="L914" s="33">
        <f>IF(ISBLANK(K915),"",Long1[[#This Row],[Adj Close]]/K915-1)</f>
        <v>-2.7777471013263333E-2</v>
      </c>
      <c r="M914" s="37">
        <v>38698</v>
      </c>
      <c r="N914">
        <v>11.184652</v>
      </c>
      <c r="O914" s="36">
        <f>IF(ISBLANK(N915),"",Long2[[#This Row],[Adj Close]]/N915-1)</f>
        <v>-7.0814784583139723E-4</v>
      </c>
      <c r="P914" s="29">
        <v>38698</v>
      </c>
      <c r="Q914">
        <v>12.82648</v>
      </c>
      <c r="R914" s="33">
        <f>IF(ISBLANK(Q915),"",Long3[[#This Row],[Adj Close]]/Q915-1)</f>
        <v>3.0144699956887511E-2</v>
      </c>
      <c r="S914" s="37">
        <v>38698</v>
      </c>
      <c r="T914" s="35">
        <v>10.188753999999999</v>
      </c>
      <c r="U914" s="36">
        <f>IF(ISBLANK(T915),"",Long4[[#This Row],[Adj Close]]/T915-1)</f>
        <v>-5.8236197383073618E-3</v>
      </c>
      <c r="Y914" s="37">
        <v>38698</v>
      </c>
      <c r="Z914" s="35">
        <v>10.631894000000001</v>
      </c>
      <c r="AA914" s="36">
        <f>IF(ISBLANK(Z915),"",Long6[[#This Row],[Adj Close]]/Z915-1)</f>
        <v>-5.8671254125880035E-2</v>
      </c>
      <c r="AH914" s="29">
        <v>38698</v>
      </c>
      <c r="AI914" s="44">
        <v>25.829802999999998</v>
      </c>
      <c r="AJ914" s="33">
        <f>IF(ISBLANK(AI915),"",Short0[[#This Row],[Adj Close]]/AI915-1)</f>
        <v>-3.6806934326997331E-2</v>
      </c>
      <c r="AK914" s="37">
        <v>38698</v>
      </c>
      <c r="AL914" s="39">
        <v>28.915367</v>
      </c>
      <c r="AM914" s="36">
        <f>IF(ISBLANK(AL915),"",Short1[[#This Row],[Adj Close]]/AL915-1)</f>
        <v>-0.10366812229240074</v>
      </c>
      <c r="AN914" s="29">
        <v>38698</v>
      </c>
      <c r="AO914" s="44">
        <v>51.775371999999997</v>
      </c>
      <c r="AP914" s="33">
        <f>IF(ISBLANK(AO915),"",Short2[[#This Row],[Adj Close]]/AO915-1)</f>
        <v>8.7370580203751658E-2</v>
      </c>
    </row>
    <row r="915" spans="1:42" x14ac:dyDescent="0.25">
      <c r="A915" s="37">
        <v>38691</v>
      </c>
      <c r="B915" s="39">
        <v>1259.369995</v>
      </c>
      <c r="C915" s="36">
        <f>IF(ISBLANK(B916), "", GSPC[[#This Row],[Adj Close]]/B916-1)</f>
        <v>-4.5135178791814168E-3</v>
      </c>
      <c r="D91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1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15" s="11" t="e">
        <f>IF(ISBLANK(GSPC[[#This Row],[Long Exp.]]), "", (GSPC[[#This Row],[Long Exp.]]/D916-1)+(E916/GSPC[[#This Row],[Short Exp.]]-1))</f>
        <v>#VALUE!</v>
      </c>
      <c r="G915" s="37">
        <v>38691</v>
      </c>
      <c r="H915">
        <v>18.669363000000001</v>
      </c>
      <c r="I915" s="36">
        <f>IF(ISBLANK(H916), "", Long0[[#This Row],[Adj Close]]/H916-1)</f>
        <v>0</v>
      </c>
      <c r="J915" s="29">
        <v>38691</v>
      </c>
      <c r="K915">
        <v>0.99605900000000003</v>
      </c>
      <c r="L915" s="33">
        <f>IF(ISBLANK(K916),"",Long1[[#This Row],[Adj Close]]/K916-1)</f>
        <v>-6.4935272194737159E-2</v>
      </c>
      <c r="M915" s="37">
        <v>38691</v>
      </c>
      <c r="N915">
        <v>11.192577999999999</v>
      </c>
      <c r="O915" s="36">
        <f>IF(ISBLANK(N916),"",Long2[[#This Row],[Adj Close]]/N916-1)</f>
        <v>4.5151636742279511E-2</v>
      </c>
      <c r="P915" s="29">
        <v>38691</v>
      </c>
      <c r="Q915">
        <v>12.451143999999999</v>
      </c>
      <c r="R915" s="33">
        <f>IF(ISBLANK(Q916),"",Long3[[#This Row],[Adj Close]]/Q916-1)</f>
        <v>4.0845146975596602E-3</v>
      </c>
      <c r="S915" s="37">
        <v>38691</v>
      </c>
      <c r="T915" s="35">
        <v>10.248436999999999</v>
      </c>
      <c r="U915" s="36">
        <f>IF(ISBLANK(T916),"",Long4[[#This Row],[Adj Close]]/T916-1)</f>
        <v>-4.2993692133142303E-2</v>
      </c>
      <c r="Y915" s="37">
        <v>38691</v>
      </c>
      <c r="Z915" s="35">
        <v>11.294560000000001</v>
      </c>
      <c r="AA915" s="36">
        <f>IF(ISBLANK(Z916),"",Long6[[#This Row],[Adj Close]]/Z916-1)</f>
        <v>-4.2148791169276945E-2</v>
      </c>
      <c r="AH915" s="29">
        <v>38691</v>
      </c>
      <c r="AI915" s="44">
        <v>26.816849000000001</v>
      </c>
      <c r="AJ915" s="33">
        <f>IF(ISBLANK(AI916),"",Short0[[#This Row],[Adj Close]]/AI916-1)</f>
        <v>-1.542614202417425E-2</v>
      </c>
      <c r="AK915" s="37">
        <v>38691</v>
      </c>
      <c r="AL915" s="39">
        <v>32.259666000000003</v>
      </c>
      <c r="AM915" s="36">
        <f>IF(ISBLANK(AL916),"",Short1[[#This Row],[Adj Close]]/AL916-1)</f>
        <v>2.6816190391644845E-2</v>
      </c>
      <c r="AN915" s="29">
        <v>38691</v>
      </c>
      <c r="AO915" s="44">
        <v>47.615203999999999</v>
      </c>
      <c r="AP915" s="33">
        <f>IF(ISBLANK(AO916),"",Short2[[#This Row],[Adj Close]]/AO916-1)</f>
        <v>-1.8842612623310995E-2</v>
      </c>
    </row>
    <row r="916" spans="1:42" x14ac:dyDescent="0.25">
      <c r="A916" s="37">
        <v>38684</v>
      </c>
      <c r="B916" s="39">
        <v>1265.079956</v>
      </c>
      <c r="C916" s="36">
        <f>IF(ISBLANK(B917), "", GSPC[[#This Row],[Adj Close]]/B917-1)</f>
        <v>-2.4995418884289355E-3</v>
      </c>
      <c r="D91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1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16" s="11" t="e">
        <f>IF(ISBLANK(GSPC[[#This Row],[Long Exp.]]), "", (GSPC[[#This Row],[Long Exp.]]/D917-1)+(E917/GSPC[[#This Row],[Short Exp.]]-1))</f>
        <v>#VALUE!</v>
      </c>
      <c r="G916" s="37">
        <v>38684</v>
      </c>
      <c r="H916">
        <v>18.669363000000001</v>
      </c>
      <c r="I916" s="36">
        <f>IF(ISBLANK(H917), "", Long0[[#This Row],[Adj Close]]/H917-1)</f>
        <v>-1.6075617300542189E-2</v>
      </c>
      <c r="J916" s="29">
        <v>38684</v>
      </c>
      <c r="K916">
        <v>1.0652299999999999</v>
      </c>
      <c r="L916" s="33">
        <f>IF(ISBLANK(K917),"",Long1[[#This Row],[Adj Close]]/K917-1)</f>
        <v>4.0540065329853103E-2</v>
      </c>
      <c r="M916" s="37">
        <v>38684</v>
      </c>
      <c r="N916">
        <v>10.709047</v>
      </c>
      <c r="O916" s="36">
        <f>IF(ISBLANK(N917),"",Long2[[#This Row],[Adj Close]]/N917-1)</f>
        <v>2.503823656293136E-2</v>
      </c>
      <c r="P916" s="29">
        <v>38684</v>
      </c>
      <c r="Q916">
        <v>12.400494</v>
      </c>
      <c r="R916" s="33">
        <f>IF(ISBLANK(Q917),"",Long3[[#This Row],[Adj Close]]/Q917-1)</f>
        <v>-1.7719398484829063E-2</v>
      </c>
      <c r="S916" s="37">
        <v>38684</v>
      </c>
      <c r="T916" s="35">
        <v>10.70885</v>
      </c>
      <c r="U916" s="36">
        <f>IF(ISBLANK(T917),"",Long4[[#This Row],[Adj Close]]/T917-1)</f>
        <v>2.9508240219005888E-2</v>
      </c>
      <c r="Y916" s="37">
        <v>38684</v>
      </c>
      <c r="Z916" s="35">
        <v>11.79156</v>
      </c>
      <c r="AA916" s="36">
        <f>IF(ISBLANK(Z917),"",Long6[[#This Row],[Adj Close]]/Z917-1)</f>
        <v>-1.3855215631044859E-2</v>
      </c>
      <c r="AH916" s="29">
        <v>38684</v>
      </c>
      <c r="AI916" s="44">
        <v>27.237010999999999</v>
      </c>
      <c r="AJ916" s="33">
        <f>IF(ISBLANK(AI917),"",Short0[[#This Row],[Adj Close]]/AI917-1)</f>
        <v>-0.10063841207881397</v>
      </c>
      <c r="AK916" s="37">
        <v>38684</v>
      </c>
      <c r="AL916" s="39">
        <v>31.417176999999999</v>
      </c>
      <c r="AM916" s="36">
        <f>IF(ISBLANK(AL917),"",Short1[[#This Row],[Adj Close]]/AL917-1)</f>
        <v>-3.515644446112387E-2</v>
      </c>
      <c r="AN916" s="29">
        <v>38684</v>
      </c>
      <c r="AO916" s="44">
        <v>48.529629</v>
      </c>
      <c r="AP916" s="33">
        <f>IF(ISBLANK(AO917),"",Short2[[#This Row],[Adj Close]]/AO917-1)</f>
        <v>-8.4156183028465392E-3</v>
      </c>
    </row>
    <row r="917" spans="1:42" x14ac:dyDescent="0.25">
      <c r="A917" s="37">
        <v>38677</v>
      </c>
      <c r="B917" s="39">
        <v>1268.25</v>
      </c>
      <c r="C917" s="36">
        <f>IF(ISBLANK(B918), "", GSPC[[#This Row],[Adj Close]]/B918-1)</f>
        <v>1.6006136236453194E-2</v>
      </c>
      <c r="D91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1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17" s="11" t="e">
        <f>IF(ISBLANK(GSPC[[#This Row],[Long Exp.]]), "", (GSPC[[#This Row],[Long Exp.]]/D918-1)+(E918/GSPC[[#This Row],[Short Exp.]]-1))</f>
        <v>#VALUE!</v>
      </c>
      <c r="G917" s="37">
        <v>38677</v>
      </c>
      <c r="H917">
        <v>18.974388000000001</v>
      </c>
      <c r="I917" s="36">
        <f>IF(ISBLANK(H918), "", Long0[[#This Row],[Adj Close]]/H918-1)</f>
        <v>1.5850183204250801E-2</v>
      </c>
      <c r="J917" s="29">
        <v>38677</v>
      </c>
      <c r="K917">
        <v>1.023728</v>
      </c>
      <c r="L917" s="33">
        <f>IF(ISBLANK(K918),"",Long1[[#This Row],[Adj Close]]/K918-1)</f>
        <v>-1.3333179125681327E-2</v>
      </c>
      <c r="M917" s="37">
        <v>38677</v>
      </c>
      <c r="N917">
        <v>10.447461000000001</v>
      </c>
      <c r="O917" s="36">
        <f>IF(ISBLANK(N918),"",Long2[[#This Row],[Adj Close]]/N918-1)</f>
        <v>2.2812476435871698E-3</v>
      </c>
      <c r="P917" s="29">
        <v>38677</v>
      </c>
      <c r="Q917">
        <v>12.624186999999999</v>
      </c>
      <c r="R917" s="33">
        <f>IF(ISBLANK(Q918),"",Long3[[#This Row],[Adj Close]]/Q918-1)</f>
        <v>1.4585984486644277E-2</v>
      </c>
      <c r="S917" s="37">
        <v>38677</v>
      </c>
      <c r="T917" s="35">
        <v>10.401908000000001</v>
      </c>
      <c r="U917" s="36">
        <f>IF(ISBLANK(T918),"",Long4[[#This Row],[Adj Close]]/T918-1)</f>
        <v>3.3022860972285573E-2</v>
      </c>
      <c r="Y917" s="37">
        <v>38677</v>
      </c>
      <c r="Z917" s="35">
        <v>11.957229999999999</v>
      </c>
      <c r="AA917" s="36">
        <f>IF(ISBLANK(Z918),"",Long6[[#This Row],[Adj Close]]/Z918-1)</f>
        <v>1.3212521835508806E-2</v>
      </c>
      <c r="AH917" s="29">
        <v>38677</v>
      </c>
      <c r="AI917" s="44">
        <v>30.284828000000001</v>
      </c>
      <c r="AJ917" s="33">
        <f>IF(ISBLANK(AI918),"",Short0[[#This Row],[Adj Close]]/AI918-1)</f>
        <v>8.4029419476308931E-2</v>
      </c>
      <c r="AK917" s="37">
        <v>38677</v>
      </c>
      <c r="AL917" s="39">
        <v>32.561939000000002</v>
      </c>
      <c r="AM917" s="36">
        <f>IF(ISBLANK(AL918),"",Short1[[#This Row],[Adj Close]]/AL918-1)</f>
        <v>0.10281005075638427</v>
      </c>
      <c r="AN917" s="29">
        <v>38677</v>
      </c>
      <c r="AO917" s="44">
        <v>48.941502</v>
      </c>
      <c r="AP917" s="33">
        <f>IF(ISBLANK(AO918),"",Short2[[#This Row],[Adj Close]]/AO918-1)</f>
        <v>4.4111882520324164E-2</v>
      </c>
    </row>
    <row r="918" spans="1:42" x14ac:dyDescent="0.25">
      <c r="A918" s="37">
        <v>38670</v>
      </c>
      <c r="B918" s="39">
        <v>1248.2700199999999</v>
      </c>
      <c r="C918" s="36">
        <f>IF(ISBLANK(B919), "", GSPC[[#This Row],[Adj Close]]/B919-1)</f>
        <v>1.0974187927830892E-2</v>
      </c>
      <c r="D91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1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18" s="11" t="e">
        <f>IF(ISBLANK(GSPC[[#This Row],[Long Exp.]]), "", (GSPC[[#This Row],[Long Exp.]]/D919-1)+(E919/GSPC[[#This Row],[Short Exp.]]-1))</f>
        <v>#VALUE!</v>
      </c>
      <c r="G918" s="37">
        <v>38670</v>
      </c>
      <c r="H918">
        <v>18.678332999999999</v>
      </c>
      <c r="I918" s="36">
        <f>IF(ISBLANK(H919), "", Long0[[#This Row],[Adj Close]]/H919-1)</f>
        <v>5.045401885137113E-2</v>
      </c>
      <c r="J918" s="29">
        <v>38670</v>
      </c>
      <c r="K918">
        <v>1.0375620000000001</v>
      </c>
      <c r="L918" s="33">
        <f>IF(ISBLANK(K919),"",Long1[[#This Row],[Adj Close]]/K919-1)</f>
        <v>-2.5973733372135377E-2</v>
      </c>
      <c r="M918" s="37">
        <v>38670</v>
      </c>
      <c r="N918">
        <v>10.423681999999999</v>
      </c>
      <c r="O918" s="36">
        <f>IF(ISBLANK(N919),"",Long2[[#This Row],[Adj Close]]/N919-1)</f>
        <v>-2.2305049942845656E-2</v>
      </c>
      <c r="P918" s="29">
        <v>38670</v>
      </c>
      <c r="Q918">
        <v>12.442698</v>
      </c>
      <c r="R918" s="33">
        <f>IF(ISBLANK(Q919),"",Long3[[#This Row],[Adj Close]]/Q919-1)</f>
        <v>1.7955658499861915E-2</v>
      </c>
      <c r="S918" s="37">
        <v>38670</v>
      </c>
      <c r="T918" s="35">
        <v>10.069388</v>
      </c>
      <c r="U918" s="36">
        <f>IF(ISBLANK(T919),"",Long4[[#This Row],[Adj Close]]/T919-1)</f>
        <v>4.6986015076683207E-2</v>
      </c>
      <c r="Y918" s="37">
        <v>38670</v>
      </c>
      <c r="Z918" s="35">
        <v>11.801304999999999</v>
      </c>
      <c r="AA918" s="36">
        <f>IF(ISBLANK(Z919),"",Long6[[#This Row],[Adj Close]]/Z919-1)</f>
        <v>-5.3166446966737002E-2</v>
      </c>
      <c r="AH918" s="29">
        <v>38670</v>
      </c>
      <c r="AI918" s="44">
        <v>27.937275</v>
      </c>
      <c r="AJ918" s="33">
        <f>IF(ISBLANK(AI919),"",Short0[[#This Row],[Adj Close]]/AI919-1)</f>
        <v>2.6967397736106458E-2</v>
      </c>
      <c r="AK918" s="37">
        <v>38670</v>
      </c>
      <c r="AL918" s="39">
        <v>29.526335</v>
      </c>
      <c r="AM918" s="36">
        <f>IF(ISBLANK(AL919),"",Short1[[#This Row],[Adj Close]]/AL919-1)</f>
        <v>-2.4022440287748581E-2</v>
      </c>
      <c r="AN918" s="29">
        <v>38670</v>
      </c>
      <c r="AO918" s="44">
        <v>46.873809999999999</v>
      </c>
      <c r="AP918" s="33">
        <f>IF(ISBLANK(AO919),"",Short2[[#This Row],[Adj Close]]/AO919-1)</f>
        <v>1.7525103388601915E-2</v>
      </c>
    </row>
    <row r="919" spans="1:42" x14ac:dyDescent="0.25">
      <c r="A919" s="37">
        <v>38663</v>
      </c>
      <c r="B919" s="39">
        <v>1234.719971</v>
      </c>
      <c r="C919" s="36">
        <f>IF(ISBLANK(B920), "", GSPC[[#This Row],[Adj Close]]/B920-1)</f>
        <v>1.1949412215613631E-2</v>
      </c>
      <c r="D91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1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19" s="11" t="e">
        <f>IF(ISBLANK(GSPC[[#This Row],[Long Exp.]]), "", (GSPC[[#This Row],[Long Exp.]]/D920-1)+(E920/GSPC[[#This Row],[Short Exp.]]-1))</f>
        <v>#VALUE!</v>
      </c>
      <c r="G919" s="37">
        <v>38663</v>
      </c>
      <c r="H919">
        <v>17.781199999999998</v>
      </c>
      <c r="I919" s="36">
        <f>IF(ISBLANK(H920), "", Long0[[#This Row],[Adj Close]]/H920-1)</f>
        <v>-8.5042070487136856E-3</v>
      </c>
      <c r="J919" s="29">
        <v>38663</v>
      </c>
      <c r="K919">
        <v>1.0652299999999999</v>
      </c>
      <c r="L919" s="33">
        <f>IF(ISBLANK(K920),"",Long1[[#This Row],[Adj Close]]/K920-1)</f>
        <v>0.11594174051418604</v>
      </c>
      <c r="M919" s="37">
        <v>38663</v>
      </c>
      <c r="N919">
        <v>10.661486999999999</v>
      </c>
      <c r="O919" s="36">
        <f>IF(ISBLANK(N920),"",Long2[[#This Row],[Adj Close]]/N920-1)</f>
        <v>5.2318508828683719E-3</v>
      </c>
      <c r="P919" s="29">
        <v>38663</v>
      </c>
      <c r="Q919">
        <v>12.223222</v>
      </c>
      <c r="R919" s="33">
        <f>IF(ISBLANK(Q920),"",Long3[[#This Row],[Adj Close]]/Q920-1)</f>
        <v>-2.5899617921782636E-2</v>
      </c>
      <c r="S919" s="37">
        <v>38663</v>
      </c>
      <c r="T919" s="35">
        <v>9.6174999999999997</v>
      </c>
      <c r="U919" s="36">
        <f>IF(ISBLANK(T920),"",Long4[[#This Row],[Adj Close]]/T920-1)</f>
        <v>-6.1675993586978173E-3</v>
      </c>
      <c r="Y919" s="37">
        <v>38663</v>
      </c>
      <c r="Z919" s="35">
        <v>12.46397</v>
      </c>
      <c r="AA919" s="36">
        <f>IF(ISBLANK(Z920),"",Long6[[#This Row],[Adj Close]]/Z920-1)</f>
        <v>0.13992847809578812</v>
      </c>
      <c r="AH919" s="29">
        <v>38663</v>
      </c>
      <c r="AI919" s="44">
        <v>27.203662999999999</v>
      </c>
      <c r="AJ919" s="33">
        <f>IF(ISBLANK(AI920),"",Short0[[#This Row],[Adj Close]]/AI920-1)</f>
        <v>8.3112300675444617E-2</v>
      </c>
      <c r="AK919" s="37">
        <v>38663</v>
      </c>
      <c r="AL919" s="39">
        <v>30.253088000000002</v>
      </c>
      <c r="AM919" s="36">
        <f>IF(ISBLANK(AL920),"",Short1[[#This Row],[Adj Close]]/AL920-1)</f>
        <v>-3.1700893266370267E-2</v>
      </c>
      <c r="AN919" s="29">
        <v>38663</v>
      </c>
      <c r="AO919" s="44">
        <v>46.066490000000002</v>
      </c>
      <c r="AP919" s="33">
        <f>IF(ISBLANK(AO920),"",Short2[[#This Row],[Adj Close]]/AO920-1)</f>
        <v>-3.0382553015615765E-2</v>
      </c>
    </row>
    <row r="920" spans="1:42" x14ac:dyDescent="0.25">
      <c r="A920" s="37">
        <v>38656</v>
      </c>
      <c r="B920" s="39">
        <v>1220.1400149999999</v>
      </c>
      <c r="C920" s="36">
        <f>IF(ISBLANK(B921), "", GSPC[[#This Row],[Adj Close]]/B921-1)</f>
        <v>1.8132342339850505E-2</v>
      </c>
      <c r="D92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2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20" s="11" t="e">
        <f>IF(ISBLANK(GSPC[[#This Row],[Long Exp.]]), "", (GSPC[[#This Row],[Long Exp.]]/D921-1)+(E921/GSPC[[#This Row],[Short Exp.]]-1))</f>
        <v>#VALUE!</v>
      </c>
      <c r="G920" s="37">
        <v>38656</v>
      </c>
      <c r="H920">
        <v>17.933712</v>
      </c>
      <c r="I920" s="36">
        <f>IF(ISBLANK(H921), "", Long0[[#This Row],[Adj Close]]/H921-1)</f>
        <v>-1.5270903961673632E-2</v>
      </c>
      <c r="J920" s="29">
        <v>38656</v>
      </c>
      <c r="K920">
        <v>0.95455699999999999</v>
      </c>
      <c r="L920" s="33">
        <f>IF(ISBLANK(K921),"",Long1[[#This Row],[Adj Close]]/K921-1)</f>
        <v>1.4705710395089833E-2</v>
      </c>
      <c r="M920" s="37">
        <v>38656</v>
      </c>
      <c r="N920">
        <v>10.605998</v>
      </c>
      <c r="O920" s="36">
        <f>IF(ISBLANK(N921),"",Long2[[#This Row],[Adj Close]]/N921-1)</f>
        <v>4.1245135422761647E-2</v>
      </c>
      <c r="P920" s="29">
        <v>38656</v>
      </c>
      <c r="Q920">
        <v>12.548216</v>
      </c>
      <c r="R920" s="33">
        <f>IF(ISBLANK(Q921),"",Long3[[#This Row],[Adj Close]]/Q921-1)</f>
        <v>-3.567947576540853E-2</v>
      </c>
      <c r="S920" s="37">
        <v>38656</v>
      </c>
      <c r="T920" s="35">
        <v>9.6771849999999997</v>
      </c>
      <c r="U920" s="36">
        <f>IF(ISBLANK(T921),"",Long4[[#This Row],[Adj Close]]/T921-1)</f>
        <v>5.9757251565485614E-2</v>
      </c>
      <c r="Y920" s="37">
        <v>38656</v>
      </c>
      <c r="Z920" s="35">
        <v>10.933992999999999</v>
      </c>
      <c r="AA920" s="36">
        <f>IF(ISBLANK(Z921),"",Long6[[#This Row],[Adj Close]]/Z921-1)</f>
        <v>7.6775183300066718E-2</v>
      </c>
      <c r="AH920" s="29">
        <v>38656</v>
      </c>
      <c r="AI920" s="44">
        <v>25.116198000000001</v>
      </c>
      <c r="AJ920" s="33">
        <f>IF(ISBLANK(AI921),"",Short0[[#This Row],[Adj Close]]/AI921-1)</f>
        <v>0.1374205185221784</v>
      </c>
      <c r="AK920" s="37">
        <v>38656</v>
      </c>
      <c r="AL920" s="39">
        <v>31.243535999999999</v>
      </c>
      <c r="AM920" s="36">
        <f>IF(ISBLANK(AL921),"",Short1[[#This Row],[Adj Close]]/AL921-1)</f>
        <v>0.13930612732193959</v>
      </c>
      <c r="AN920" s="29">
        <v>38656</v>
      </c>
      <c r="AO920" s="44">
        <v>47.509963999999997</v>
      </c>
      <c r="AP920" s="33">
        <f>IF(ISBLANK(AO921),"",Short2[[#This Row],[Adj Close]]/AO921-1)</f>
        <v>4.9165254915219059E-2</v>
      </c>
    </row>
    <row r="921" spans="1:42" x14ac:dyDescent="0.25">
      <c r="A921" s="37">
        <v>38649</v>
      </c>
      <c r="B921" s="39">
        <v>1198.410034</v>
      </c>
      <c r="C921" s="36">
        <f>IF(ISBLANK(B922), "", GSPC[[#This Row],[Adj Close]]/B922-1)</f>
        <v>1.5954754230250945E-2</v>
      </c>
      <c r="D92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2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21" s="11" t="e">
        <f>IF(ISBLANK(GSPC[[#This Row],[Long Exp.]]), "", (GSPC[[#This Row],[Long Exp.]]/D922-1)+(E922/GSPC[[#This Row],[Short Exp.]]-1))</f>
        <v>#VALUE!</v>
      </c>
      <c r="G921" s="37">
        <v>38649</v>
      </c>
      <c r="H921">
        <v>18.211822999999999</v>
      </c>
      <c r="I921" s="36">
        <f>IF(ISBLANK(H922), "", Long0[[#This Row],[Adj Close]]/H922-1)</f>
        <v>-8.3047389575903185E-3</v>
      </c>
      <c r="J921" s="29">
        <v>38649</v>
      </c>
      <c r="K921">
        <v>0.94072299999999998</v>
      </c>
      <c r="L921" s="33">
        <f>IF(ISBLANK(K922),"",Long1[[#This Row],[Adj Close]]/K922-1)</f>
        <v>6.2500423544081363E-2</v>
      </c>
      <c r="M921" s="37">
        <v>38649</v>
      </c>
      <c r="N921">
        <v>10.185879999999999</v>
      </c>
      <c r="O921" s="36">
        <f>IF(ISBLANK(N922),"",Long2[[#This Row],[Adj Close]]/N922-1)</f>
        <v>-3.383486425106097E-2</v>
      </c>
      <c r="P921" s="29">
        <v>38649</v>
      </c>
      <c r="Q921">
        <v>13.012494999999999</v>
      </c>
      <c r="R921" s="33">
        <f>IF(ISBLANK(Q922),"",Long3[[#This Row],[Adj Close]]/Q922-1)</f>
        <v>3.8746683093971113E-2</v>
      </c>
      <c r="S921" s="37">
        <v>38649</v>
      </c>
      <c r="T921" s="35">
        <v>9.1315109999999997</v>
      </c>
      <c r="U921" s="36">
        <f>IF(ISBLANK(T922),"",Long4[[#This Row],[Adj Close]]/T922-1)</f>
        <v>3.4782661906774148E-2</v>
      </c>
      <c r="Y921" s="37">
        <v>38649</v>
      </c>
      <c r="Z921" s="35">
        <v>10.154388000000001</v>
      </c>
      <c r="AA921" s="36">
        <f>IF(ISBLANK(Z922),"",Long6[[#This Row],[Adj Close]]/Z922-1)</f>
        <v>-3.696823311572206E-2</v>
      </c>
      <c r="AH921" s="29">
        <v>38649</v>
      </c>
      <c r="AI921" s="44">
        <v>22.081717000000001</v>
      </c>
      <c r="AJ921" s="33">
        <f>IF(ISBLANK(AI922),"",Short0[[#This Row],[Adj Close]]/AI922-1)</f>
        <v>2.3493134786160441E-2</v>
      </c>
      <c r="AK921" s="37">
        <v>38649</v>
      </c>
      <c r="AL921" s="39">
        <v>27.423302</v>
      </c>
      <c r="AM921" s="36">
        <f>IF(ISBLANK(AL922),"",Short1[[#This Row],[Adj Close]]/AL922-1)</f>
        <v>-3.0908562955671348E-2</v>
      </c>
      <c r="AN921" s="29">
        <v>38649</v>
      </c>
      <c r="AO921" s="44">
        <v>45.283585000000002</v>
      </c>
      <c r="AP921" s="33">
        <f>IF(ISBLANK(AO922),"",Short2[[#This Row],[Adj Close]]/AO922-1)</f>
        <v>-5.7717319764889474E-3</v>
      </c>
    </row>
    <row r="922" spans="1:42" x14ac:dyDescent="0.25">
      <c r="A922" s="37">
        <v>38642</v>
      </c>
      <c r="B922" s="39">
        <v>1179.589966</v>
      </c>
      <c r="C922" s="36">
        <f>IF(ISBLANK(B923), "", GSPC[[#This Row],[Adj Close]]/B923-1)</f>
        <v>-5.8824850768637305E-3</v>
      </c>
      <c r="D92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2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22" s="11" t="e">
        <f>IF(ISBLANK(GSPC[[#This Row],[Long Exp.]]), "", (GSPC[[#This Row],[Long Exp.]]/D923-1)+(E923/GSPC[[#This Row],[Short Exp.]]-1))</f>
        <v>#VALUE!</v>
      </c>
      <c r="G922" s="37">
        <v>38642</v>
      </c>
      <c r="H922">
        <v>18.364333999999999</v>
      </c>
      <c r="I922" s="36">
        <f>IF(ISBLANK(H923), "", Long0[[#This Row],[Adj Close]]/H923-1)</f>
        <v>3.4360254973839544E-2</v>
      </c>
      <c r="J922" s="29">
        <v>38642</v>
      </c>
      <c r="K922">
        <v>0.88538600000000001</v>
      </c>
      <c r="L922" s="33">
        <f>IF(ISBLANK(K923),"",Long1[[#This Row],[Adj Close]]/K923-1)</f>
        <v>-9.8591463259436463E-2</v>
      </c>
      <c r="M922" s="37">
        <v>38642</v>
      </c>
      <c r="N922">
        <v>10.542586999999999</v>
      </c>
      <c r="O922" s="36">
        <f>IF(ISBLANK(N923),"",Long2[[#This Row],[Adj Close]]/N923-1)</f>
        <v>-5.2706465156508675E-2</v>
      </c>
      <c r="P922" s="29">
        <v>38642</v>
      </c>
      <c r="Q922">
        <v>12.527111</v>
      </c>
      <c r="R922" s="33">
        <f>IF(ISBLANK(Q923),"",Long3[[#This Row],[Adj Close]]/Q923-1)</f>
        <v>-2.3041418948991588E-2</v>
      </c>
      <c r="S922" s="37">
        <v>38642</v>
      </c>
      <c r="T922" s="35">
        <v>8.8245690000000003</v>
      </c>
      <c r="U922" s="36">
        <f>IF(ISBLANK(T923),"",Long4[[#This Row],[Adj Close]]/T923-1)</f>
        <v>3.8114240729098858E-2</v>
      </c>
      <c r="Y922" s="37">
        <v>38642</v>
      </c>
      <c r="Z922" s="35">
        <v>10.544188</v>
      </c>
      <c r="AA922" s="36">
        <f>IF(ISBLANK(Z923),"",Long6[[#This Row],[Adj Close]]/Z923-1)</f>
        <v>5.1506128025369691E-2</v>
      </c>
      <c r="AH922" s="29">
        <v>38642</v>
      </c>
      <c r="AI922" s="44">
        <v>21.574856</v>
      </c>
      <c r="AJ922" s="33">
        <f>IF(ISBLANK(AI923),"",Short0[[#This Row],[Adj Close]]/AI923-1)</f>
        <v>3.1239771180348486E-2</v>
      </c>
      <c r="AK922" s="37">
        <v>38642</v>
      </c>
      <c r="AL922" s="39">
        <v>28.297951000000001</v>
      </c>
      <c r="AM922" s="36">
        <f>IF(ISBLANK(AL923),"",Short1[[#This Row],[Adj Close]]/AL923-1)</f>
        <v>1.6400650328010524E-2</v>
      </c>
      <c r="AN922" s="29">
        <v>38642</v>
      </c>
      <c r="AO922" s="44">
        <v>45.546467</v>
      </c>
      <c r="AP922" s="33">
        <f>IF(ISBLANK(AO923),"",Short2[[#This Row],[Adj Close]]/AO923-1)</f>
        <v>-6.4519536229458163E-3</v>
      </c>
    </row>
    <row r="923" spans="1:42" x14ac:dyDescent="0.25">
      <c r="A923" s="37">
        <v>38635</v>
      </c>
      <c r="B923" s="39">
        <v>1186.5699460000001</v>
      </c>
      <c r="C923" s="36">
        <f>IF(ISBLANK(B924), "", GSPC[[#This Row],[Adj Close]]/B924-1)</f>
        <v>-7.8017207231028118E-3</v>
      </c>
      <c r="D92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2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23" s="11" t="e">
        <f>IF(ISBLANK(GSPC[[#This Row],[Long Exp.]]), "", (GSPC[[#This Row],[Long Exp.]]/D924-1)+(E924/GSPC[[#This Row],[Short Exp.]]-1))</f>
        <v>#VALUE!</v>
      </c>
      <c r="G923" s="37">
        <v>38635</v>
      </c>
      <c r="H923">
        <v>17.754292</v>
      </c>
      <c r="I923" s="36">
        <f>IF(ISBLANK(H924), "", Long0[[#This Row],[Adj Close]]/H924-1)</f>
        <v>-2.0296751283735648E-2</v>
      </c>
      <c r="J923" s="29">
        <v>38635</v>
      </c>
      <c r="K923">
        <v>0.98222500000000001</v>
      </c>
      <c r="L923" s="33">
        <f>IF(ISBLANK(K924),"",Long1[[#This Row],[Adj Close]]/K924-1)</f>
        <v>7.5757841266781645E-2</v>
      </c>
      <c r="M923" s="37">
        <v>38635</v>
      </c>
      <c r="N923">
        <v>11.129166</v>
      </c>
      <c r="O923" s="36">
        <f>IF(ISBLANK(N924),"",Long2[[#This Row],[Adj Close]]/N924-1)</f>
        <v>-4.229171209596172E-2</v>
      </c>
      <c r="P923" s="29">
        <v>38635</v>
      </c>
      <c r="Q923">
        <v>12.822561</v>
      </c>
      <c r="R923" s="33">
        <f>IF(ISBLANK(Q924),"",Long3[[#This Row],[Adj Close]]/Q924-1)</f>
        <v>-3.2175912559991082E-2</v>
      </c>
      <c r="S923" s="37">
        <v>38635</v>
      </c>
      <c r="T923" s="35">
        <v>8.5005760000000006</v>
      </c>
      <c r="U923" s="36">
        <f>IF(ISBLANK(T924),"",Long4[[#This Row],[Adj Close]]/T924-1)</f>
        <v>-2.0628769027605576E-2</v>
      </c>
      <c r="Y923" s="37">
        <v>38635</v>
      </c>
      <c r="Z923" s="35">
        <v>10.027699999999999</v>
      </c>
      <c r="AA923" s="36">
        <f>IF(ISBLANK(Z924),"",Long6[[#This Row],[Adj Close]]/Z924-1)</f>
        <v>-3.2894621998332152E-2</v>
      </c>
      <c r="AH923" s="29">
        <v>38635</v>
      </c>
      <c r="AI923" s="44">
        <v>20.921279999999999</v>
      </c>
      <c r="AJ923" s="33">
        <f>IF(ISBLANK(AI924),"",Short0[[#This Row],[Adj Close]]/AI924-1)</f>
        <v>-3.6251716571600645E-2</v>
      </c>
      <c r="AK923" s="37">
        <v>38635</v>
      </c>
      <c r="AL923" s="39">
        <v>27.841335000000001</v>
      </c>
      <c r="AM923" s="36">
        <f>IF(ISBLANK(AL924),"",Short1[[#This Row],[Adj Close]]/AL924-1)</f>
        <v>1.6436085956579083E-2</v>
      </c>
      <c r="AN923" s="29">
        <v>38635</v>
      </c>
      <c r="AO923" s="44">
        <v>45.842238999999999</v>
      </c>
      <c r="AP923" s="33">
        <f>IF(ISBLANK(AO924),"",Short2[[#This Row],[Adj Close]]/AO924-1)</f>
        <v>-3.1249551599703107E-2</v>
      </c>
    </row>
    <row r="924" spans="1:42" x14ac:dyDescent="0.25">
      <c r="A924" s="37">
        <v>38628</v>
      </c>
      <c r="B924" s="39">
        <v>1195.900024</v>
      </c>
      <c r="C924" s="36">
        <f>IF(ISBLANK(B925), "", GSPC[[#This Row],[Adj Close]]/B925-1)</f>
        <v>-2.6782035806886095E-2</v>
      </c>
      <c r="D92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2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24" s="11" t="e">
        <f>IF(ISBLANK(GSPC[[#This Row],[Long Exp.]]), "", (GSPC[[#This Row],[Long Exp.]]/D925-1)+(E925/GSPC[[#This Row],[Short Exp.]]-1))</f>
        <v>#VALUE!</v>
      </c>
      <c r="G924" s="37">
        <v>38628</v>
      </c>
      <c r="H924">
        <v>18.122112000000001</v>
      </c>
      <c r="I924" s="36">
        <f>IF(ISBLANK(H925), "", Long0[[#This Row],[Adj Close]]/H925-1)</f>
        <v>5.2365211327704886E-2</v>
      </c>
      <c r="J924" s="29">
        <v>38628</v>
      </c>
      <c r="K924">
        <v>0.91305400000000003</v>
      </c>
      <c r="L924" s="33">
        <f>IF(ISBLANK(K925),"",Long1[[#This Row],[Adj Close]]/K925-1)</f>
        <v>-0.17500065508121643</v>
      </c>
      <c r="M924" s="37">
        <v>38628</v>
      </c>
      <c r="N924">
        <v>11.620621999999999</v>
      </c>
      <c r="O924" s="36">
        <f>IF(ISBLANK(N925),"",Long2[[#This Row],[Adj Close]]/N925-1)</f>
        <v>-8.4894199508373624E-2</v>
      </c>
      <c r="P924" s="29">
        <v>38628</v>
      </c>
      <c r="Q924">
        <v>13.248855000000001</v>
      </c>
      <c r="R924" s="33">
        <f>IF(ISBLANK(Q925),"",Long3[[#This Row],[Adj Close]]/Q925-1)</f>
        <v>-2.9075082213302128E-2</v>
      </c>
      <c r="S924" s="37">
        <v>38628</v>
      </c>
      <c r="T924" s="35">
        <v>8.6796260000000007</v>
      </c>
      <c r="U924" s="36">
        <f>IF(ISBLANK(T925),"",Long4[[#This Row],[Adj Close]]/T925-1)</f>
        <v>1.5968125318747362E-2</v>
      </c>
      <c r="Y924" s="37">
        <v>38628</v>
      </c>
      <c r="Z924" s="35">
        <v>10.368777</v>
      </c>
      <c r="AA924" s="36">
        <f>IF(ISBLANK(Z925),"",Long6[[#This Row],[Adj Close]]/Z925-1)</f>
        <v>-4.5739941101312853E-2</v>
      </c>
      <c r="AH924" s="29">
        <v>38628</v>
      </c>
      <c r="AI924" s="44">
        <v>21.708241000000001</v>
      </c>
      <c r="AJ924" s="33">
        <f>IF(ISBLANK(AI925),"",Short0[[#This Row],[Adj Close]]/AI925-1)</f>
        <v>-1.0938917818447469E-2</v>
      </c>
      <c r="AK924" s="37">
        <v>38628</v>
      </c>
      <c r="AL924" s="39">
        <v>27.391131999999999</v>
      </c>
      <c r="AM924" s="36">
        <f>IF(ISBLANK(AL925),"",Short1[[#This Row],[Adj Close]]/AL925-1)</f>
        <v>-1.977570002353668E-2</v>
      </c>
      <c r="AN924" s="29">
        <v>38628</v>
      </c>
      <c r="AO924" s="44">
        <v>47.320999</v>
      </c>
      <c r="AP924" s="33">
        <f>IF(ISBLANK(AO925),"",Short2[[#This Row],[Adj Close]]/AO925-1)</f>
        <v>-3.6144706659013814E-2</v>
      </c>
    </row>
    <row r="925" spans="1:42" x14ac:dyDescent="0.25">
      <c r="A925" s="37">
        <v>38621</v>
      </c>
      <c r="B925" s="39">
        <v>1228.8100589999999</v>
      </c>
      <c r="C925" s="36">
        <f>IF(ISBLANK(B926), "", GSPC[[#This Row],[Adj Close]]/B926-1)</f>
        <v>1.112493278651816E-2</v>
      </c>
      <c r="D92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2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25" s="11" t="e">
        <f>IF(ISBLANK(GSPC[[#This Row],[Long Exp.]]), "", (GSPC[[#This Row],[Long Exp.]]/D926-1)+(E926/GSPC[[#This Row],[Short Exp.]]-1))</f>
        <v>#VALUE!</v>
      </c>
      <c r="G925" s="37">
        <v>38621</v>
      </c>
      <c r="H925">
        <v>17.220364</v>
      </c>
      <c r="I925" s="36">
        <f>IF(ISBLANK(H926), "", Long0[[#This Row],[Adj Close]]/H926-1)</f>
        <v>6.7036085505333798E-2</v>
      </c>
      <c r="J925" s="29">
        <v>38621</v>
      </c>
      <c r="K925">
        <v>1.106733</v>
      </c>
      <c r="L925" s="33">
        <f>IF(ISBLANK(K926),"",Long1[[#This Row],[Adj Close]]/K926-1)</f>
        <v>0.33333453808148672</v>
      </c>
      <c r="M925" s="37">
        <v>38621</v>
      </c>
      <c r="N925">
        <v>12.698665</v>
      </c>
      <c r="O925" s="36">
        <f>IF(ISBLANK(N926),"",Long2[[#This Row],[Adj Close]]/N926-1)</f>
        <v>2.1683776707569935E-2</v>
      </c>
      <c r="P925" s="29">
        <v>38621</v>
      </c>
      <c r="Q925">
        <v>13.645602</v>
      </c>
      <c r="R925" s="33">
        <f>IF(ISBLANK(Q926),"",Long3[[#This Row],[Adj Close]]/Q926-1)</f>
        <v>1.3161610078512354E-2</v>
      </c>
      <c r="S925" s="37">
        <v>38621</v>
      </c>
      <c r="T925" s="35">
        <v>8.5432070000000007</v>
      </c>
      <c r="U925" s="36">
        <f>IF(ISBLANK(T926),"",Long4[[#This Row],[Adj Close]]/T926-1)</f>
        <v>1.1099934800250733E-2</v>
      </c>
      <c r="Y925" s="37">
        <v>38621</v>
      </c>
      <c r="Z925" s="35">
        <v>10.865777</v>
      </c>
      <c r="AA925" s="36">
        <f>IF(ISBLANK(Z926),"",Long6[[#This Row],[Adj Close]]/Z926-1)</f>
        <v>-3.379553107479083E-2</v>
      </c>
      <c r="AH925" s="29">
        <v>38621</v>
      </c>
      <c r="AI925" s="44">
        <v>21.948332000000001</v>
      </c>
      <c r="AJ925" s="33">
        <f>IF(ISBLANK(AI926),"",Short0[[#This Row],[Adj Close]]/AI926-1)</f>
        <v>1.636824537244097E-2</v>
      </c>
      <c r="AK925" s="37">
        <v>38621</v>
      </c>
      <c r="AL925" s="39">
        <v>27.943739000000001</v>
      </c>
      <c r="AM925" s="36">
        <f>IF(ISBLANK(AL926),"",Short1[[#This Row],[Adj Close]]/AL926-1)</f>
        <v>1.4212426787943544E-2</v>
      </c>
      <c r="AN925" s="29">
        <v>38621</v>
      </c>
      <c r="AO925" s="44">
        <v>49.095542999999999</v>
      </c>
      <c r="AP925" s="33">
        <f>IF(ISBLANK(AO926),"",Short2[[#This Row],[Adj Close]]/AO926-1)</f>
        <v>5.9574720179975671E-2</v>
      </c>
    </row>
    <row r="926" spans="1:42" x14ac:dyDescent="0.25">
      <c r="A926" s="37">
        <v>38614</v>
      </c>
      <c r="B926" s="39">
        <v>1215.290039</v>
      </c>
      <c r="C926" s="36">
        <f>IF(ISBLANK(B927), "", GSPC[[#This Row],[Adj Close]]/B927-1)</f>
        <v>-1.8272729341169525E-2</v>
      </c>
      <c r="D92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2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26" s="11" t="e">
        <f>IF(ISBLANK(GSPC[[#This Row],[Long Exp.]]), "", (GSPC[[#This Row],[Long Exp.]]/D927-1)+(E927/GSPC[[#This Row],[Short Exp.]]-1))</f>
        <v>#VALUE!</v>
      </c>
      <c r="G926" s="37">
        <v>38614</v>
      </c>
      <c r="H926">
        <v>16.138501999999999</v>
      </c>
      <c r="I926" s="36">
        <f>IF(ISBLANK(H927), "", Long0[[#This Row],[Adj Close]]/H927-1)</f>
        <v>-1.5275447348377047E-2</v>
      </c>
      <c r="J926" s="29">
        <v>38614</v>
      </c>
      <c r="K926">
        <v>0.83004900000000004</v>
      </c>
      <c r="L926" s="33">
        <f>IF(ISBLANK(K927),"",Long1[[#This Row],[Adj Close]]/K927-1)</f>
        <v>-3.2258854308758744E-2</v>
      </c>
      <c r="M926" s="37">
        <v>38614</v>
      </c>
      <c r="N926">
        <v>12.429154</v>
      </c>
      <c r="O926" s="36">
        <f>IF(ISBLANK(N927),"",Long2[[#This Row],[Adj Close]]/N927-1)</f>
        <v>8.3601422866232955E-3</v>
      </c>
      <c r="P926" s="29">
        <v>38614</v>
      </c>
      <c r="Q926">
        <v>13.468337</v>
      </c>
      <c r="R926" s="33">
        <f>IF(ISBLANK(Q927),"",Long3[[#This Row],[Adj Close]]/Q927-1)</f>
        <v>-1.3906008147884674E-2</v>
      </c>
      <c r="S926" s="37">
        <v>38614</v>
      </c>
      <c r="T926" s="35">
        <v>8.4494190000000007</v>
      </c>
      <c r="U926" s="36">
        <f>IF(ISBLANK(T927),"",Long4[[#This Row],[Adj Close]]/T927-1)</f>
        <v>0.11348335247690011</v>
      </c>
      <c r="Y926" s="37">
        <v>38614</v>
      </c>
      <c r="Z926" s="35">
        <v>11.245836000000001</v>
      </c>
      <c r="AA926" s="36">
        <f>IF(ISBLANK(Z927),"",Long6[[#This Row],[Adj Close]]/Z927-1)</f>
        <v>-7.234724645781776E-2</v>
      </c>
      <c r="AH926" s="29">
        <v>38614</v>
      </c>
      <c r="AI926" s="44">
        <v>21.594861999999999</v>
      </c>
      <c r="AJ926" s="33">
        <f>IF(ISBLANK(AI927),"",Short0[[#This Row],[Adj Close]]/AI927-1)</f>
        <v>-7.4592915771732993E-2</v>
      </c>
      <c r="AK926" s="37">
        <v>38614</v>
      </c>
      <c r="AL926" s="39">
        <v>27.552156</v>
      </c>
      <c r="AM926" s="36">
        <f>IF(ISBLANK(AL927),"",Short1[[#This Row],[Adj Close]]/AL927-1)</f>
        <v>-2.8299762747356794E-2</v>
      </c>
      <c r="AN926" s="29">
        <v>38614</v>
      </c>
      <c r="AO926" s="44">
        <v>46.335140000000003</v>
      </c>
      <c r="AP926" s="33">
        <f>IF(ISBLANK(AO927),"",Short2[[#This Row],[Adj Close]]/AO927-1)</f>
        <v>-7.2521234165352055E-2</v>
      </c>
    </row>
    <row r="927" spans="1:42" x14ac:dyDescent="0.25">
      <c r="A927" s="37">
        <v>38607</v>
      </c>
      <c r="B927" s="39">
        <v>1237.910034</v>
      </c>
      <c r="C927" s="36">
        <f>IF(ISBLANK(B928), "", GSPC[[#This Row],[Adj Close]]/B928-1)</f>
        <v>-2.8755566400676669E-3</v>
      </c>
      <c r="D92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2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27" s="11" t="e">
        <f>IF(ISBLANK(GSPC[[#This Row],[Long Exp.]]), "", (GSPC[[#This Row],[Long Exp.]]/D928-1)+(E928/GSPC[[#This Row],[Short Exp.]]-1))</f>
        <v>#VALUE!</v>
      </c>
      <c r="G927" s="37">
        <v>38607</v>
      </c>
      <c r="H927">
        <v>16.388849</v>
      </c>
      <c r="I927" s="36">
        <f>IF(ISBLANK(H928), "", Long0[[#This Row],[Adj Close]]/H928-1)</f>
        <v>-1.5045855569979283E-2</v>
      </c>
      <c r="J927" s="29">
        <v>38607</v>
      </c>
      <c r="K927">
        <v>0.85771799999999998</v>
      </c>
      <c r="L927" s="33">
        <f>IF(ISBLANK(K928),"",Long1[[#This Row],[Adj Close]]/K928-1)</f>
        <v>-1.5872833749449256E-2</v>
      </c>
      <c r="M927" s="37">
        <v>38607</v>
      </c>
      <c r="N927">
        <v>12.326105999999999</v>
      </c>
      <c r="O927" s="36">
        <f>IF(ISBLANK(N928),"",Long2[[#This Row],[Adj Close]]/N928-1)</f>
        <v>-5.0671348112110715E-2</v>
      </c>
      <c r="P927" s="29">
        <v>38607</v>
      </c>
      <c r="Q927">
        <v>13.658269000000001</v>
      </c>
      <c r="R927" s="33">
        <f>IF(ISBLANK(Q928),"",Long3[[#This Row],[Adj Close]]/Q928-1)</f>
        <v>7.5262751672828809E-3</v>
      </c>
      <c r="S927" s="37">
        <v>38607</v>
      </c>
      <c r="T927" s="35">
        <v>7.5882759999999996</v>
      </c>
      <c r="U927" s="36">
        <f>IF(ISBLANK(T928),"",Long4[[#This Row],[Adj Close]]/T928-1)</f>
        <v>3.6088370699699945E-2</v>
      </c>
      <c r="Y927" s="37">
        <v>38607</v>
      </c>
      <c r="Z927" s="35">
        <v>12.122894000000001</v>
      </c>
      <c r="AA927" s="36">
        <f>IF(ISBLANK(Z928),"",Long6[[#This Row],[Adj Close]]/Z928-1)</f>
        <v>-6.8164769709855522E-2</v>
      </c>
      <c r="AH927" s="29">
        <v>38607</v>
      </c>
      <c r="AI927" s="44">
        <v>23.335526999999999</v>
      </c>
      <c r="AJ927" s="33">
        <f>IF(ISBLANK(AI928),"",Short0[[#This Row],[Adj Close]]/AI928-1)</f>
        <v>-7.7267739774580124E-2</v>
      </c>
      <c r="AK927" s="37">
        <v>38607</v>
      </c>
      <c r="AL927" s="39">
        <v>28.354583999999999</v>
      </c>
      <c r="AM927" s="36">
        <f>IF(ISBLANK(AL928),"",Short1[[#This Row],[Adj Close]]/AL928-1)</f>
        <v>-9.4691689706523863E-2</v>
      </c>
      <c r="AN927" s="29">
        <v>38607</v>
      </c>
      <c r="AO927" s="44">
        <v>49.958168000000001</v>
      </c>
      <c r="AP927" s="33">
        <f>IF(ISBLANK(AO928),"",Short2[[#This Row],[Adj Close]]/AO928-1)</f>
        <v>-2.7817617657160842E-2</v>
      </c>
    </row>
    <row r="928" spans="1:42" x14ac:dyDescent="0.25">
      <c r="A928" s="37">
        <v>38600</v>
      </c>
      <c r="B928" s="39">
        <v>1241.4799800000001</v>
      </c>
      <c r="C928" s="36">
        <f>IF(ISBLANK(B929), "", GSPC[[#This Row],[Adj Close]]/B929-1)</f>
        <v>1.9260734318636397E-2</v>
      </c>
      <c r="D92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2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28" s="11" t="e">
        <f>IF(ISBLANK(GSPC[[#This Row],[Long Exp.]]), "", (GSPC[[#This Row],[Long Exp.]]/D929-1)+(E929/GSPC[[#This Row],[Short Exp.]]-1))</f>
        <v>#VALUE!</v>
      </c>
      <c r="G928" s="37">
        <v>38600</v>
      </c>
      <c r="H928">
        <v>16.639199999999999</v>
      </c>
      <c r="I928" s="36">
        <f>IF(ISBLANK(H929), "", Long0[[#This Row],[Adj Close]]/H929-1)</f>
        <v>1.4168938193305225E-2</v>
      </c>
      <c r="J928" s="29">
        <v>38600</v>
      </c>
      <c r="K928">
        <v>0.87155199999999999</v>
      </c>
      <c r="L928" s="33">
        <f>IF(ISBLANK(K929),"",Long1[[#This Row],[Adj Close]]/K929-1)</f>
        <v>8.6207175892749177E-2</v>
      </c>
      <c r="M928" s="37">
        <v>38600</v>
      </c>
      <c r="N928">
        <v>12.984024</v>
      </c>
      <c r="O928" s="36">
        <f>IF(ISBLANK(N929),"",Long2[[#This Row],[Adj Close]]/N929-1)</f>
        <v>1.8656345807770869E-2</v>
      </c>
      <c r="P928" s="29">
        <v>38600</v>
      </c>
      <c r="Q928">
        <v>13.556241</v>
      </c>
      <c r="R928" s="33">
        <f>IF(ISBLANK(Q929),"",Long3[[#This Row],[Adj Close]]/Q929-1)</f>
        <v>-8.5137866866598078E-3</v>
      </c>
      <c r="S928" s="37">
        <v>38600</v>
      </c>
      <c r="T928" s="35">
        <v>7.3239660000000004</v>
      </c>
      <c r="U928" s="36">
        <f>IF(ISBLANK(T929),"",Long4[[#This Row],[Adj Close]]/T929-1)</f>
        <v>2.7512173003325202E-2</v>
      </c>
      <c r="Y928" s="37">
        <v>38600</v>
      </c>
      <c r="Z928" s="35">
        <v>13.009696999999999</v>
      </c>
      <c r="AA928" s="36">
        <f>IF(ISBLANK(Z929),"",Long6[[#This Row],[Adj Close]]/Z929-1)</f>
        <v>3.2482611865668032E-2</v>
      </c>
      <c r="AH928" s="29">
        <v>38600</v>
      </c>
      <c r="AI928" s="44">
        <v>25.289597000000001</v>
      </c>
      <c r="AJ928" s="33">
        <f>IF(ISBLANK(AI929),"",Short0[[#This Row],[Adj Close]]/AI929-1)</f>
        <v>6.0995724064555334E-2</v>
      </c>
      <c r="AK928" s="37">
        <v>38600</v>
      </c>
      <c r="AL928" s="39">
        <v>31.320361999999999</v>
      </c>
      <c r="AM928" s="36">
        <f>IF(ISBLANK(AL929),"",Short1[[#This Row],[Adj Close]]/AL929-1)</f>
        <v>5.7892998062139434E-2</v>
      </c>
      <c r="AN928" s="29">
        <v>38600</v>
      </c>
      <c r="AO928" s="44">
        <v>51.387650000000001</v>
      </c>
      <c r="AP928" s="33">
        <f>IF(ISBLANK(AO929),"",Short2[[#This Row],[Adj Close]]/AO929-1)</f>
        <v>2.540985644523408E-2</v>
      </c>
    </row>
    <row r="929" spans="1:42" x14ac:dyDescent="0.25">
      <c r="A929" s="37">
        <v>38593</v>
      </c>
      <c r="B929" s="39">
        <v>1218.0200199999999</v>
      </c>
      <c r="C929" s="36">
        <f>IF(ISBLANK(B930), "", GSPC[[#This Row],[Adj Close]]/B930-1)</f>
        <v>1.0721138708245981E-2</v>
      </c>
      <c r="D92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2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29" s="11" t="e">
        <f>IF(ISBLANK(GSPC[[#This Row],[Long Exp.]]), "", (GSPC[[#This Row],[Long Exp.]]/D930-1)+(E930/GSPC[[#This Row],[Short Exp.]]-1))</f>
        <v>#VALUE!</v>
      </c>
      <c r="G929" s="37">
        <v>38593</v>
      </c>
      <c r="H929">
        <v>16.406734</v>
      </c>
      <c r="I929" s="36">
        <f>IF(ISBLANK(H930), "", Long0[[#This Row],[Adj Close]]/H930-1)</f>
        <v>2.3424046756771677E-2</v>
      </c>
      <c r="J929" s="29">
        <v>38593</v>
      </c>
      <c r="K929">
        <v>0.80238100000000001</v>
      </c>
      <c r="L929" s="33">
        <f>IF(ISBLANK(K930),"",Long1[[#This Row],[Adj Close]]/K930-1)</f>
        <v>1.7543659414086976E-2</v>
      </c>
      <c r="M929" s="37">
        <v>38593</v>
      </c>
      <c r="N929">
        <v>12.746226</v>
      </c>
      <c r="O929" s="36">
        <f>IF(ISBLANK(N930),"",Long2[[#This Row],[Adj Close]]/N930-1)</f>
        <v>-2.7811303853844449E-2</v>
      </c>
      <c r="P929" s="29">
        <v>38593</v>
      </c>
      <c r="Q929">
        <v>13.672647</v>
      </c>
      <c r="R929" s="33">
        <f>IF(ISBLANK(Q930),"",Long3[[#This Row],[Adj Close]]/Q930-1)</f>
        <v>5.3491196460338397E-2</v>
      </c>
      <c r="S929" s="37">
        <v>38593</v>
      </c>
      <c r="T929" s="35">
        <v>7.1278629999999996</v>
      </c>
      <c r="U929" s="36">
        <f>IF(ISBLANK(T930),"",Long4[[#This Row],[Adj Close]]/T930-1)</f>
        <v>2.4509503773136432E-2</v>
      </c>
      <c r="Y929" s="37">
        <v>38593</v>
      </c>
      <c r="Z929" s="35">
        <v>12.600403</v>
      </c>
      <c r="AA929" s="36">
        <f>IF(ISBLANK(Z930),"",Long6[[#This Row],[Adj Close]]/Z930-1)</f>
        <v>-1.5445453389271169E-3</v>
      </c>
      <c r="AH929" s="29">
        <v>38593</v>
      </c>
      <c r="AI929" s="44">
        <v>23.835719999999998</v>
      </c>
      <c r="AJ929" s="33">
        <f>IF(ISBLANK(AI930),"",Short0[[#This Row],[Adj Close]]/AI930-1)</f>
        <v>-3.6235905211036146E-3</v>
      </c>
      <c r="AK929" s="37">
        <v>38593</v>
      </c>
      <c r="AL929" s="39">
        <v>29.606361</v>
      </c>
      <c r="AM929" s="36">
        <f>IF(ISBLANK(AL930),"",Short1[[#This Row],[Adj Close]]/AL930-1)</f>
        <v>2.3907299591421349E-3</v>
      </c>
      <c r="AN929" s="29">
        <v>38593</v>
      </c>
      <c r="AO929" s="44">
        <v>50.114254000000003</v>
      </c>
      <c r="AP929" s="33">
        <f>IF(ISBLANK(AO930),"",Short2[[#This Row],[Adj Close]]/AO930-1)</f>
        <v>4.4341767311397273E-2</v>
      </c>
    </row>
    <row r="930" spans="1:42" x14ac:dyDescent="0.25">
      <c r="A930" s="37">
        <v>38586</v>
      </c>
      <c r="B930" s="39">
        <v>1205.099976</v>
      </c>
      <c r="C930" s="36">
        <f>IF(ISBLANK(B931), "", GSPC[[#This Row],[Adj Close]]/B931-1)</f>
        <v>-1.1978245211690997E-2</v>
      </c>
      <c r="D93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3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30" s="11" t="e">
        <f>IF(ISBLANK(GSPC[[#This Row],[Long Exp.]]), "", (GSPC[[#This Row],[Long Exp.]]/D931-1)+(E931/GSPC[[#This Row],[Short Exp.]]-1))</f>
        <v>#VALUE!</v>
      </c>
      <c r="G930" s="37">
        <v>38586</v>
      </c>
      <c r="H930">
        <v>16.031217999999999</v>
      </c>
      <c r="I930" s="36">
        <f>IF(ISBLANK(H931), "", Long0[[#This Row],[Adj Close]]/H931-1)</f>
        <v>-1.375082483662915E-2</v>
      </c>
      <c r="J930" s="29">
        <v>38586</v>
      </c>
      <c r="K930">
        <v>0.788547</v>
      </c>
      <c r="L930" s="33">
        <f>IF(ISBLANK(K931),"",Long1[[#This Row],[Adj Close]]/K931-1)</f>
        <v>-3.3897931304864515E-2</v>
      </c>
      <c r="M930" s="37">
        <v>38586</v>
      </c>
      <c r="N930">
        <v>13.110856</v>
      </c>
      <c r="O930" s="36">
        <f>IF(ISBLANK(N931),"",Long2[[#This Row],[Adj Close]]/N931-1)</f>
        <v>-4.4482589765582614E-2</v>
      </c>
      <c r="P930" s="29">
        <v>38586</v>
      </c>
      <c r="Q930">
        <v>12.978415999999999</v>
      </c>
      <c r="R930" s="33">
        <f>IF(ISBLANK(Q931),"",Long3[[#This Row],[Adj Close]]/Q931-1)</f>
        <v>1.3965841899838072E-2</v>
      </c>
      <c r="S930" s="37">
        <v>38586</v>
      </c>
      <c r="T930" s="35">
        <v>6.9573419999999997</v>
      </c>
      <c r="U930" s="36">
        <f>IF(ISBLANK(T931),"",Long4[[#This Row],[Adj Close]]/T931-1)</f>
        <v>-1.4492634555088091E-2</v>
      </c>
      <c r="Y930" s="37">
        <v>38586</v>
      </c>
      <c r="Z930" s="35">
        <v>12.619895</v>
      </c>
      <c r="AA930" s="36">
        <f>IF(ISBLANK(Z931),"",Long6[[#This Row],[Adj Close]]/Z931-1)</f>
        <v>3.3519731505391226E-2</v>
      </c>
      <c r="AH930" s="29">
        <v>38586</v>
      </c>
      <c r="AI930" s="44">
        <v>23.922405000000001</v>
      </c>
      <c r="AJ930" s="33">
        <f>IF(ISBLANK(AI931),"",Short0[[#This Row],[Adj Close]]/AI931-1)</f>
        <v>-3.0802866282513608E-2</v>
      </c>
      <c r="AK930" s="37">
        <v>38586</v>
      </c>
      <c r="AL930" s="39">
        <v>29.535748999999999</v>
      </c>
      <c r="AM930" s="36">
        <f>IF(ISBLANK(AL931),"",Short1[[#This Row],[Adj Close]]/AL931-1)</f>
        <v>-3.4417982287160087E-2</v>
      </c>
      <c r="AN930" s="29">
        <v>38586</v>
      </c>
      <c r="AO930" s="44">
        <v>47.986449999999998</v>
      </c>
      <c r="AP930" s="33">
        <f>IF(ISBLANK(AO931),"",Short2[[#This Row],[Adj Close]]/AO931-1)</f>
        <v>-2.4712313561257693E-2</v>
      </c>
    </row>
    <row r="931" spans="1:42" x14ac:dyDescent="0.25">
      <c r="A931" s="37">
        <v>38579</v>
      </c>
      <c r="B931" s="39">
        <v>1219.709961</v>
      </c>
      <c r="C931" s="36">
        <f>IF(ISBLANK(B932), "", GSPC[[#This Row],[Adj Close]]/B932-1)</f>
        <v>-8.6802183614924644E-3</v>
      </c>
      <c r="D93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3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31" s="11" t="e">
        <f>IF(ISBLANK(GSPC[[#This Row],[Long Exp.]]), "", (GSPC[[#This Row],[Long Exp.]]/D932-1)+(E932/GSPC[[#This Row],[Short Exp.]]-1))</f>
        <v>#VALUE!</v>
      </c>
      <c r="G931" s="37">
        <v>38579</v>
      </c>
      <c r="H931">
        <v>16.254733999999999</v>
      </c>
      <c r="I931" s="36">
        <f>IF(ISBLANK(H932), "", Long0[[#This Row],[Adj Close]]/H932-1)</f>
        <v>1.6210367928563452E-2</v>
      </c>
      <c r="J931" s="29">
        <v>38579</v>
      </c>
      <c r="K931">
        <v>0.81621500000000002</v>
      </c>
      <c r="L931" s="33">
        <f>IF(ISBLANK(K932),"",Long1[[#This Row],[Adj Close]]/K932-1)</f>
        <v>5.3570806221142631E-2</v>
      </c>
      <c r="M931" s="37">
        <v>38579</v>
      </c>
      <c r="N931">
        <v>13.721211</v>
      </c>
      <c r="O931" s="36">
        <f>IF(ISBLANK(N932),"",Long2[[#This Row],[Adj Close]]/N932-1)</f>
        <v>-3.0252326287899645E-2</v>
      </c>
      <c r="P931" s="29">
        <v>38579</v>
      </c>
      <c r="Q931">
        <v>12.799658000000001</v>
      </c>
      <c r="R931" s="33">
        <f>IF(ISBLANK(Q932),"",Long3[[#This Row],[Adj Close]]/Q932-1)</f>
        <v>-8.8521930699106965E-3</v>
      </c>
      <c r="S931" s="37">
        <v>38579</v>
      </c>
      <c r="T931" s="35">
        <v>7.0596550000000002</v>
      </c>
      <c r="U931" s="36">
        <f>IF(ISBLANK(T932),"",Long4[[#This Row],[Adj Close]]/T932-1)</f>
        <v>1.3463937798410486E-2</v>
      </c>
      <c r="Y931" s="37">
        <v>38579</v>
      </c>
      <c r="Z931" s="35">
        <v>12.210599</v>
      </c>
      <c r="AA931" s="36">
        <f>IF(ISBLANK(Z932),"",Long6[[#This Row],[Adj Close]]/Z932-1)</f>
        <v>-4.7148315677308927E-2</v>
      </c>
      <c r="AH931" s="29">
        <v>38579</v>
      </c>
      <c r="AI931" s="44">
        <v>24.682703</v>
      </c>
      <c r="AJ931" s="33">
        <f>IF(ISBLANK(AI932),"",Short0[[#This Row],[Adj Close]]/AI932-1)</f>
        <v>-2.089940613024388E-2</v>
      </c>
      <c r="AK931" s="37">
        <v>38579</v>
      </c>
      <c r="AL931" s="39">
        <v>30.588545</v>
      </c>
      <c r="AM931" s="36">
        <f>IF(ISBLANK(AL932),"",Short1[[#This Row],[Adj Close]]/AL932-1)</f>
        <v>-3.9507841634407792E-2</v>
      </c>
      <c r="AN931" s="29">
        <v>38579</v>
      </c>
      <c r="AO931" s="44">
        <v>49.202354</v>
      </c>
      <c r="AP931" s="33">
        <f>IF(ISBLANK(AO932),"",Short2[[#This Row],[Adj Close]]/AO932-1)</f>
        <v>-4.5577432943383789E-2</v>
      </c>
    </row>
    <row r="932" spans="1:42" x14ac:dyDescent="0.25">
      <c r="A932" s="37">
        <v>38572</v>
      </c>
      <c r="B932" s="39">
        <v>1230.3900149999999</v>
      </c>
      <c r="C932" s="36">
        <f>IF(ISBLANK(B933), "", GSPC[[#This Row],[Adj Close]]/B933-1)</f>
        <v>3.2370402126271625E-3</v>
      </c>
      <c r="D93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3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32" s="11" t="e">
        <f>IF(ISBLANK(GSPC[[#This Row],[Long Exp.]]), "", (GSPC[[#This Row],[Long Exp.]]/D933-1)+(E933/GSPC[[#This Row],[Short Exp.]]-1))</f>
        <v>#VALUE!</v>
      </c>
      <c r="G932" s="37">
        <v>38572</v>
      </c>
      <c r="H932">
        <v>15.995442000000001</v>
      </c>
      <c r="I932" s="36">
        <f>IF(ISBLANK(H933), "", Long0[[#This Row],[Adj Close]]/H933-1)</f>
        <v>-5.589092540689844E-4</v>
      </c>
      <c r="J932" s="29">
        <v>38572</v>
      </c>
      <c r="K932">
        <v>0.77471299999999998</v>
      </c>
      <c r="L932" s="33">
        <f>IF(ISBLANK(K933),"",Long1[[#This Row],[Adj Close]]/K933-1)</f>
        <v>-6.6665943817774687E-2</v>
      </c>
      <c r="M932" s="37">
        <v>38572</v>
      </c>
      <c r="N932">
        <v>14.149259000000001</v>
      </c>
      <c r="O932" s="36">
        <f>IF(ISBLANK(N933),"",Long2[[#This Row],[Adj Close]]/N933-1)</f>
        <v>3.179194018181053E-2</v>
      </c>
      <c r="P932" s="29">
        <v>38572</v>
      </c>
      <c r="Q932">
        <v>12.913975000000001</v>
      </c>
      <c r="R932" s="33">
        <f>IF(ISBLANK(Q933),"",Long3[[#This Row],[Adj Close]]/Q933-1)</f>
        <v>-1.1927966853845229E-2</v>
      </c>
      <c r="S932" s="37">
        <v>38572</v>
      </c>
      <c r="T932" s="35">
        <v>6.9658670000000003</v>
      </c>
      <c r="U932" s="36">
        <f>IF(ISBLANK(T933),"",Long4[[#This Row],[Adj Close]]/T933-1)</f>
        <v>2.6381877339277437E-2</v>
      </c>
      <c r="Y932" s="37">
        <v>38572</v>
      </c>
      <c r="Z932" s="35">
        <v>12.814795</v>
      </c>
      <c r="AA932" s="36">
        <f>IF(ISBLANK(Z933),"",Long6[[#This Row],[Adj Close]]/Z933-1)</f>
        <v>-3.0325721432030717E-3</v>
      </c>
      <c r="AH932" s="29">
        <v>38572</v>
      </c>
      <c r="AI932" s="44">
        <v>25.209568000000001</v>
      </c>
      <c r="AJ932" s="33">
        <f>IF(ISBLANK(AI933),"",Short0[[#This Row],[Adj Close]]/AI933-1)</f>
        <v>-3.6900459420975418E-3</v>
      </c>
      <c r="AK932" s="37">
        <v>38572</v>
      </c>
      <c r="AL932" s="39">
        <v>31.846741000000002</v>
      </c>
      <c r="AM932" s="36">
        <f>IF(ISBLANK(AL933),"",Short1[[#This Row],[Adj Close]]/AL933-1)</f>
        <v>-1.5674689754347271E-2</v>
      </c>
      <c r="AN932" s="29">
        <v>38572</v>
      </c>
      <c r="AO932" s="44">
        <v>51.551960000000001</v>
      </c>
      <c r="AP932" s="33">
        <f>IF(ISBLANK(AO933),"",Short2[[#This Row],[Adj Close]]/AO933-1)</f>
        <v>-2.3922131573987926E-3</v>
      </c>
    </row>
    <row r="933" spans="1:42" x14ac:dyDescent="0.25">
      <c r="A933" s="37">
        <v>38565</v>
      </c>
      <c r="B933" s="39">
        <v>1226.420044</v>
      </c>
      <c r="C933" s="36">
        <f>IF(ISBLANK(B934), "", GSPC[[#This Row],[Adj Close]]/B934-1)</f>
        <v>-6.2875833836801842E-3</v>
      </c>
      <c r="D93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3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33" s="11" t="e">
        <f>IF(ISBLANK(GSPC[[#This Row],[Long Exp.]]), "", (GSPC[[#This Row],[Long Exp.]]/D934-1)+(E934/GSPC[[#This Row],[Short Exp.]]-1))</f>
        <v>#VALUE!</v>
      </c>
      <c r="G933" s="37">
        <v>38565</v>
      </c>
      <c r="H933">
        <v>16.004387000000001</v>
      </c>
      <c r="I933" s="36">
        <f>IF(ISBLANK(H934), "", Long0[[#This Row],[Adj Close]]/H934-1)</f>
        <v>3.1105863934555611E-2</v>
      </c>
      <c r="J933" s="29">
        <v>38565</v>
      </c>
      <c r="K933">
        <v>0.83004900000000004</v>
      </c>
      <c r="L933" s="33">
        <f>IF(ISBLANK(K934),"",Long1[[#This Row],[Adj Close]]/K934-1)</f>
        <v>5.2630978242260706E-2</v>
      </c>
      <c r="M933" s="37">
        <v>38565</v>
      </c>
      <c r="N933">
        <v>13.713286999999999</v>
      </c>
      <c r="O933" s="36">
        <f>IF(ISBLANK(N934),"",Long2[[#This Row],[Adj Close]]/N934-1)</f>
        <v>-5.747230607582865E-3</v>
      </c>
      <c r="P933" s="29">
        <v>38565</v>
      </c>
      <c r="Q933">
        <v>13.069872</v>
      </c>
      <c r="R933" s="33">
        <f>IF(ISBLANK(Q934),"",Long3[[#This Row],[Adj Close]]/Q934-1)</f>
        <v>2.1111032810407826E-2</v>
      </c>
      <c r="S933" s="37">
        <v>38565</v>
      </c>
      <c r="T933" s="35">
        <v>6.7868180000000002</v>
      </c>
      <c r="U933" s="36">
        <f>IF(ISBLANK(T934),"",Long4[[#This Row],[Adj Close]]/T934-1)</f>
        <v>-2.3312755241397976E-2</v>
      </c>
      <c r="Y933" s="37">
        <v>38565</v>
      </c>
      <c r="Z933" s="35">
        <v>12.853775000000001</v>
      </c>
      <c r="AA933" s="36">
        <f>IF(ISBLANK(Z934),"",Long6[[#This Row],[Adj Close]]/Z934-1)</f>
        <v>0.10008322231604172</v>
      </c>
      <c r="AH933" s="29">
        <v>38565</v>
      </c>
      <c r="AI933" s="44">
        <v>25.302937</v>
      </c>
      <c r="AJ933" s="33">
        <f>IF(ISBLANK(AI934),"",Short0[[#This Row],[Adj Close]]/AI934-1)</f>
        <v>-5.668824536978101E-2</v>
      </c>
      <c r="AK933" s="37">
        <v>38565</v>
      </c>
      <c r="AL933" s="39">
        <v>32.353878000000002</v>
      </c>
      <c r="AM933" s="36">
        <f>IF(ISBLANK(AL934),"",Short1[[#This Row],[Adj Close]]/AL934-1)</f>
        <v>-1.3054759560911733E-2</v>
      </c>
      <c r="AN933" s="29">
        <v>38565</v>
      </c>
      <c r="AO933" s="44">
        <v>51.675578999999999</v>
      </c>
      <c r="AP933" s="33">
        <f>IF(ISBLANK(AO934),"",Short2[[#This Row],[Adj Close]]/AO934-1)</f>
        <v>-6.3029579539166991E-2</v>
      </c>
    </row>
    <row r="934" spans="1:42" x14ac:dyDescent="0.25">
      <c r="A934" s="37">
        <v>38558</v>
      </c>
      <c r="B934" s="39">
        <v>1234.1800539999999</v>
      </c>
      <c r="C934" s="36">
        <f>IF(ISBLANK(B935), "", GSPC[[#This Row],[Adj Close]]/B935-1)</f>
        <v>4.0529146789625159E-4</v>
      </c>
      <c r="D93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3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34" s="11" t="e">
        <f>IF(ISBLANK(GSPC[[#This Row],[Long Exp.]]), "", (GSPC[[#This Row],[Long Exp.]]/D935-1)+(E935/GSPC[[#This Row],[Short Exp.]]-1))</f>
        <v>#VALUE!</v>
      </c>
      <c r="G934" s="37">
        <v>38558</v>
      </c>
      <c r="H934">
        <v>15.521575</v>
      </c>
      <c r="I934" s="36">
        <f>IF(ISBLANK(H935), "", Long0[[#This Row],[Adj Close]]/H935-1)</f>
        <v>-9.1323574192304635E-3</v>
      </c>
      <c r="J934" s="29">
        <v>38558</v>
      </c>
      <c r="K934">
        <v>0.788547</v>
      </c>
      <c r="L934" s="33">
        <f>IF(ISBLANK(K935),"",Long1[[#This Row],[Adj Close]]/K935-1)</f>
        <v>-1.7241185920404467E-2</v>
      </c>
      <c r="M934" s="37">
        <v>38558</v>
      </c>
      <c r="N934">
        <v>13.792555999999999</v>
      </c>
      <c r="O934" s="36">
        <f>IF(ISBLANK(N935),"",Long2[[#This Row],[Adj Close]]/N935-1)</f>
        <v>2.7154832508348381E-2</v>
      </c>
      <c r="P934" s="29">
        <v>38558</v>
      </c>
      <c r="Q934">
        <v>12.799658000000001</v>
      </c>
      <c r="R934" s="33">
        <f>IF(ISBLANK(Q935),"",Long3[[#This Row],[Adj Close]]/Q935-1)</f>
        <v>1.432993278061967E-2</v>
      </c>
      <c r="S934" s="37">
        <v>38558</v>
      </c>
      <c r="T934" s="35">
        <v>6.9488139999999996</v>
      </c>
      <c r="U934" s="36">
        <f>IF(ISBLANK(T935),"",Long4[[#This Row],[Adj Close]]/T935-1)</f>
        <v>-2.4480800451689433E-3</v>
      </c>
      <c r="Y934" s="37">
        <v>38558</v>
      </c>
      <c r="Z934" s="35">
        <v>11.684366000000001</v>
      </c>
      <c r="AA934" s="36">
        <f>IF(ISBLANK(Z935),"",Long6[[#This Row],[Adj Close]]/Z935-1)</f>
        <v>4.1877373473000468E-3</v>
      </c>
      <c r="AH934" s="29">
        <v>38558</v>
      </c>
      <c r="AI934" s="44">
        <v>26.823515</v>
      </c>
      <c r="AJ934" s="33">
        <f>IF(ISBLANK(AI935),"",Short0[[#This Row],[Adj Close]]/AI935-1)</f>
        <v>-1.9850527965182829E-3</v>
      </c>
      <c r="AK934" s="37">
        <v>38558</v>
      </c>
      <c r="AL934" s="39">
        <v>32.781837000000003</v>
      </c>
      <c r="AM934" s="36">
        <f>IF(ISBLANK(AL935),"",Short1[[#This Row],[Adj Close]]/AL935-1)</f>
        <v>2.2560162502468062E-2</v>
      </c>
      <c r="AN934" s="29">
        <v>38558</v>
      </c>
      <c r="AO934" s="44">
        <v>55.151772000000001</v>
      </c>
      <c r="AP934" s="33">
        <f>IF(ISBLANK(AO935),"",Short2[[#This Row],[Adj Close]]/AO935-1)</f>
        <v>1.3102140137521534E-2</v>
      </c>
    </row>
    <row r="935" spans="1:42" x14ac:dyDescent="0.25">
      <c r="A935" s="37">
        <v>38551</v>
      </c>
      <c r="B935" s="39">
        <v>1233.6800539999999</v>
      </c>
      <c r="C935" s="36">
        <f>IF(ISBLANK(B936), "", GSPC[[#This Row],[Adj Close]]/B936-1)</f>
        <v>4.6908673151360158E-3</v>
      </c>
      <c r="D93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3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35" s="11" t="e">
        <f>IF(ISBLANK(GSPC[[#This Row],[Long Exp.]]), "", (GSPC[[#This Row],[Long Exp.]]/D936-1)+(E936/GSPC[[#This Row],[Short Exp.]]-1))</f>
        <v>#VALUE!</v>
      </c>
      <c r="G935" s="37">
        <v>38551</v>
      </c>
      <c r="H935">
        <v>15.664630000000001</v>
      </c>
      <c r="I935" s="36">
        <f>IF(ISBLANK(H936), "", Long0[[#This Row],[Adj Close]]/H936-1)</f>
        <v>-9.6907175603730189E-2</v>
      </c>
      <c r="J935" s="29">
        <v>38551</v>
      </c>
      <c r="K935">
        <v>0.80238100000000001</v>
      </c>
      <c r="L935" s="33">
        <f>IF(ISBLANK(K936),"",Long1[[#This Row],[Adj Close]]/K936-1)</f>
        <v>-0.10769222214808394</v>
      </c>
      <c r="M935" s="37">
        <v>38551</v>
      </c>
      <c r="N935">
        <v>13.427923</v>
      </c>
      <c r="O935" s="36">
        <f>IF(ISBLANK(N936),"",Long2[[#This Row],[Adj Close]]/N936-1)</f>
        <v>3.2926529640807445E-2</v>
      </c>
      <c r="P935" s="29">
        <v>38551</v>
      </c>
      <c r="Q935">
        <v>12.618831</v>
      </c>
      <c r="R935" s="33">
        <f>IF(ISBLANK(Q936),"",Long3[[#This Row],[Adj Close]]/Q936-1)</f>
        <v>-3.9371020362058973E-3</v>
      </c>
      <c r="S935" s="37">
        <v>38551</v>
      </c>
      <c r="T935" s="35">
        <v>6.9658670000000003</v>
      </c>
      <c r="U935" s="36">
        <f>IF(ISBLANK(T936),"",Long4[[#This Row],[Adj Close]]/T936-1)</f>
        <v>3.680211734335459E-2</v>
      </c>
      <c r="Y935" s="37">
        <v>38551</v>
      </c>
      <c r="Z935" s="35">
        <v>11.635638999999999</v>
      </c>
      <c r="AA935" s="36">
        <f>IF(ISBLANK(Z936),"",Long6[[#This Row],[Adj Close]]/Z936-1)</f>
        <v>3.2871837630634282E-2</v>
      </c>
      <c r="AH935" s="29">
        <v>38551</v>
      </c>
      <c r="AI935" s="44">
        <v>26.876867000000001</v>
      </c>
      <c r="AJ935" s="33">
        <f>IF(ISBLANK(AI936),"",Short0[[#This Row],[Adj Close]]/AI936-1)</f>
        <v>6.3043746185174054E-2</v>
      </c>
      <c r="AK935" s="37">
        <v>38551</v>
      </c>
      <c r="AL935" s="39">
        <v>32.058590000000002</v>
      </c>
      <c r="AM935" s="36">
        <f>IF(ISBLANK(AL936),"",Short1[[#This Row],[Adj Close]]/AL936-1)</f>
        <v>-1.2913786204349131E-2</v>
      </c>
      <c r="AN935" s="29">
        <v>38551</v>
      </c>
      <c r="AO935" s="44">
        <v>54.438510999999998</v>
      </c>
      <c r="AP935" s="33">
        <f>IF(ISBLANK(AO936),"",Short2[[#This Row],[Adj Close]]/AO936-1)</f>
        <v>-4.3483404187361074E-3</v>
      </c>
    </row>
    <row r="936" spans="1:42" x14ac:dyDescent="0.25">
      <c r="A936" s="37">
        <v>38544</v>
      </c>
      <c r="B936" s="39">
        <v>1227.920044</v>
      </c>
      <c r="C936" s="36">
        <f>IF(ISBLANK(B937), "", GSPC[[#This Row],[Adj Close]]/B937-1)</f>
        <v>1.3252404732218226E-2</v>
      </c>
      <c r="D93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3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36" s="11" t="e">
        <f>IF(ISBLANK(GSPC[[#This Row],[Long Exp.]]), "", (GSPC[[#This Row],[Long Exp.]]/D937-1)+(E937/GSPC[[#This Row],[Short Exp.]]-1))</f>
        <v>#VALUE!</v>
      </c>
      <c r="G936" s="37">
        <v>38544</v>
      </c>
      <c r="H936">
        <v>17.345537</v>
      </c>
      <c r="I936" s="36">
        <f>IF(ISBLANK(H937), "", Long0[[#This Row],[Adj Close]]/H937-1)</f>
        <v>-5.1502566340966283E-4</v>
      </c>
      <c r="J936" s="29">
        <v>38544</v>
      </c>
      <c r="K936">
        <v>0.89922000000000002</v>
      </c>
      <c r="L936" s="33">
        <f>IF(ISBLANK(K937),"",Long1[[#This Row],[Adj Close]]/K937-1)</f>
        <v>8.333363452037168E-2</v>
      </c>
      <c r="M936" s="37">
        <v>38544</v>
      </c>
      <c r="N936">
        <v>12.999881999999999</v>
      </c>
      <c r="O936" s="36">
        <f>IF(ISBLANK(N937),"",Long2[[#This Row],[Adj Close]]/N937-1)</f>
        <v>6.7524272634129634E-3</v>
      </c>
      <c r="P936" s="29">
        <v>38544</v>
      </c>
      <c r="Q936">
        <v>12.668709</v>
      </c>
      <c r="R936" s="33">
        <f>IF(ISBLANK(Q937),"",Long3[[#This Row],[Adj Close]]/Q937-1)</f>
        <v>-7.3295069443084504E-3</v>
      </c>
      <c r="S936" s="37">
        <v>38544</v>
      </c>
      <c r="T936" s="35">
        <v>6.7186079999999997</v>
      </c>
      <c r="U936" s="36">
        <f>IF(ISBLANK(T937),"",Long4[[#This Row],[Adj Close]]/T937-1)</f>
        <v>-1.5000169331921831E-2</v>
      </c>
      <c r="Y936" s="37">
        <v>38544</v>
      </c>
      <c r="Z936" s="35">
        <v>11.265326999999999</v>
      </c>
      <c r="AA936" s="36">
        <f>IF(ISBLANK(Z937),"",Long6[[#This Row],[Adj Close]]/Z937-1)</f>
        <v>-4.0663856669717724E-2</v>
      </c>
      <c r="AH936" s="29">
        <v>38544</v>
      </c>
      <c r="AI936" s="44">
        <v>25.282935999999999</v>
      </c>
      <c r="AJ936" s="33">
        <f>IF(ISBLANK(AI937),"",Short0[[#This Row],[Adj Close]]/AI937-1)</f>
        <v>5.3036732146829468E-3</v>
      </c>
      <c r="AK936" s="37">
        <v>38544</v>
      </c>
      <c r="AL936" s="39">
        <v>32.478003999999999</v>
      </c>
      <c r="AM936" s="36">
        <f>IF(ISBLANK(AL937),"",Short1[[#This Row],[Adj Close]]/AL937-1)</f>
        <v>4.287504153855104E-2</v>
      </c>
      <c r="AN936" s="29">
        <v>38544</v>
      </c>
      <c r="AO936" s="44">
        <v>54.676262000000001</v>
      </c>
      <c r="AP936" s="33">
        <f>IF(ISBLANK(AO937),"",Short2[[#This Row],[Adj Close]]/AO937-1)</f>
        <v>1.7857433400896072E-2</v>
      </c>
    </row>
    <row r="937" spans="1:42" x14ac:dyDescent="0.25">
      <c r="A937" s="37">
        <v>38537</v>
      </c>
      <c r="B937" s="39">
        <v>1211.8599850000001</v>
      </c>
      <c r="C937" s="36">
        <f>IF(ISBLANK(B938), "", GSPC[[#This Row],[Adj Close]]/B938-1)</f>
        <v>1.4584277871196871E-2</v>
      </c>
      <c r="D93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3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37" s="11" t="e">
        <f>IF(ISBLANK(GSPC[[#This Row],[Long Exp.]]), "", (GSPC[[#This Row],[Long Exp.]]/D938-1)+(E938/GSPC[[#This Row],[Short Exp.]]-1))</f>
        <v>#VALUE!</v>
      </c>
      <c r="G937" s="37">
        <v>38537</v>
      </c>
      <c r="H937">
        <v>17.354475000000001</v>
      </c>
      <c r="I937" s="36">
        <f>IF(ISBLANK(H938), "", Long0[[#This Row],[Adj Close]]/H938-1)</f>
        <v>2.1575286725212139E-2</v>
      </c>
      <c r="J937" s="29">
        <v>38537</v>
      </c>
      <c r="K937">
        <v>0.83004900000000004</v>
      </c>
      <c r="L937" s="33">
        <f>IF(ISBLANK(K938),"",Long1[[#This Row],[Adj Close]]/K938-1)</f>
        <v>5.2630978242260706E-2</v>
      </c>
      <c r="M937" s="37">
        <v>38537</v>
      </c>
      <c r="N937">
        <v>12.91269</v>
      </c>
      <c r="O937" s="36">
        <f>IF(ISBLANK(N938),"",Long2[[#This Row],[Adj Close]]/N938-1)</f>
        <v>2.9709667214694147E-2</v>
      </c>
      <c r="P937" s="29">
        <v>38537</v>
      </c>
      <c r="Q937">
        <v>12.76225</v>
      </c>
      <c r="R937" s="33">
        <f>IF(ISBLANK(Q938),"",Long3[[#This Row],[Adj Close]]/Q938-1)</f>
        <v>1.6051985302963034E-2</v>
      </c>
      <c r="S937" s="37">
        <v>38537</v>
      </c>
      <c r="T937" s="35">
        <v>6.8209229999999996</v>
      </c>
      <c r="U937" s="36">
        <f>IF(ISBLANK(T938),"",Long4[[#This Row],[Adj Close]]/T938-1)</f>
        <v>1.5228600924477309E-2</v>
      </c>
      <c r="Y937" s="37">
        <v>38537</v>
      </c>
      <c r="Z937" s="35">
        <v>11.742836</v>
      </c>
      <c r="AA937" s="36">
        <f>IF(ISBLANK(Z938),"",Long6[[#This Row],[Adj Close]]/Z938-1)</f>
        <v>7.9749084250936741E-2</v>
      </c>
      <c r="AH937" s="29">
        <v>38537</v>
      </c>
      <c r="AI937" s="44">
        <v>25.149550999999999</v>
      </c>
      <c r="AJ937" s="33">
        <f>IF(ISBLANK(AI938),"",Short0[[#This Row],[Adj Close]]/AI938-1)</f>
        <v>4.0275943187262131E-2</v>
      </c>
      <c r="AK937" s="37">
        <v>38537</v>
      </c>
      <c r="AL937" s="39">
        <v>31.142757</v>
      </c>
      <c r="AM937" s="36">
        <f>IF(ISBLANK(AL938),"",Short1[[#This Row],[Adj Close]]/AL938-1)</f>
        <v>5.9697254895502372E-2</v>
      </c>
      <c r="AN937" s="29">
        <v>38537</v>
      </c>
      <c r="AO937" s="44">
        <v>53.717013999999999</v>
      </c>
      <c r="AP937" s="33">
        <f>IF(ISBLANK(AO938),"",Short2[[#This Row],[Adj Close]]/AO938-1)</f>
        <v>3.3601079499713249E-2</v>
      </c>
    </row>
    <row r="938" spans="1:42" x14ac:dyDescent="0.25">
      <c r="A938" s="37">
        <v>38530</v>
      </c>
      <c r="B938" s="39">
        <v>1194.4399410000001</v>
      </c>
      <c r="C938" s="36">
        <f>IF(ISBLANK(B939), "", GSPC[[#This Row],[Adj Close]]/B939-1)</f>
        <v>2.4085829032818307E-3</v>
      </c>
      <c r="D93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3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38" s="11" t="e">
        <f>IF(ISBLANK(GSPC[[#This Row],[Long Exp.]]), "", (GSPC[[#This Row],[Long Exp.]]/D939-1)+(E939/GSPC[[#This Row],[Short Exp.]]-1))</f>
        <v>#VALUE!</v>
      </c>
      <c r="G938" s="37">
        <v>38530</v>
      </c>
      <c r="H938">
        <v>16.987954999999999</v>
      </c>
      <c r="I938" s="36">
        <f>IF(ISBLANK(H939), "", Long0[[#This Row],[Adj Close]]/H939-1)</f>
        <v>0</v>
      </c>
      <c r="J938" s="29">
        <v>38530</v>
      </c>
      <c r="K938">
        <v>0.788547</v>
      </c>
      <c r="L938" s="33">
        <f>IF(ISBLANK(K939),"",Long1[[#This Row],[Adj Close]]/K939-1)</f>
        <v>-1.7241185920404467E-2</v>
      </c>
      <c r="M938" s="37">
        <v>38530</v>
      </c>
      <c r="N938">
        <v>12.540127</v>
      </c>
      <c r="O938" s="36">
        <f>IF(ISBLANK(N939),"",Long2[[#This Row],[Adj Close]]/N939-1)</f>
        <v>3.3986648514640505E-2</v>
      </c>
      <c r="P938" s="29">
        <v>38530</v>
      </c>
      <c r="Q938">
        <v>12.560627</v>
      </c>
      <c r="R938" s="33">
        <f>IF(ISBLANK(Q939),"",Long3[[#This Row],[Adj Close]]/Q939-1)</f>
        <v>1.7339920118504493E-2</v>
      </c>
      <c r="S938" s="37">
        <v>38530</v>
      </c>
      <c r="T938" s="35">
        <v>6.7186079999999997</v>
      </c>
      <c r="U938" s="36">
        <f>IF(ISBLANK(T939),"",Long4[[#This Row],[Adj Close]]/T939-1)</f>
        <v>1.4156757721188518E-2</v>
      </c>
      <c r="Y938" s="37">
        <v>38530</v>
      </c>
      <c r="Z938" s="35">
        <v>10.875522999999999</v>
      </c>
      <c r="AA938" s="36">
        <f>IF(ISBLANK(Z939),"",Long6[[#This Row],[Adj Close]]/Z939-1)</f>
        <v>0.19742542242586847</v>
      </c>
      <c r="AH938" s="29">
        <v>38530</v>
      </c>
      <c r="AI938" s="44">
        <v>24.175846</v>
      </c>
      <c r="AJ938" s="33">
        <f>IF(ISBLANK(AI939),"",Short0[[#This Row],[Adj Close]]/AI939-1)</f>
        <v>-3.846158282338441E-2</v>
      </c>
      <c r="AK938" s="37">
        <v>38530</v>
      </c>
      <c r="AL938" s="39">
        <v>29.388352999999999</v>
      </c>
      <c r="AM938" s="36">
        <f>IF(ISBLANK(AL939),"",Short1[[#This Row],[Adj Close]]/AL939-1)</f>
        <v>1.3407627390477739E-2</v>
      </c>
      <c r="AN938" s="29">
        <v>38530</v>
      </c>
      <c r="AO938" s="44">
        <v>51.970740999999997</v>
      </c>
      <c r="AP938" s="33">
        <f>IF(ISBLANK(AO939),"",Short2[[#This Row],[Adj Close]]/AO939-1)</f>
        <v>3.544618258032961E-2</v>
      </c>
    </row>
    <row r="939" spans="1:42" x14ac:dyDescent="0.25">
      <c r="A939" s="37">
        <v>38523</v>
      </c>
      <c r="B939" s="39">
        <v>1191.5699460000001</v>
      </c>
      <c r="C939" s="36">
        <f>IF(ISBLANK(B940), "", GSPC[[#This Row],[Adj Close]]/B940-1)</f>
        <v>-2.0863476049891139E-2</v>
      </c>
      <c r="D93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3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39" s="11" t="e">
        <f>IF(ISBLANK(GSPC[[#This Row],[Long Exp.]]), "", (GSPC[[#This Row],[Long Exp.]]/D940-1)+(E940/GSPC[[#This Row],[Short Exp.]]-1))</f>
        <v>#VALUE!</v>
      </c>
      <c r="G939" s="37">
        <v>38523</v>
      </c>
      <c r="H939">
        <v>16.987954999999999</v>
      </c>
      <c r="I939" s="36">
        <f>IF(ISBLANK(H940), "", Long0[[#This Row],[Adj Close]]/H940-1)</f>
        <v>-3.150396863223015E-2</v>
      </c>
      <c r="J939" s="29">
        <v>38523</v>
      </c>
      <c r="K939">
        <v>0.80238100000000001</v>
      </c>
      <c r="L939" s="33">
        <f>IF(ISBLANK(K940),"",Long1[[#This Row],[Adj Close]]/K940-1)</f>
        <v>0.11538472231489516</v>
      </c>
      <c r="M939" s="37">
        <v>38523</v>
      </c>
      <c r="N939">
        <v>12.127939</v>
      </c>
      <c r="O939" s="36">
        <f>IF(ISBLANK(N940),"",Long2[[#This Row],[Adj Close]]/N940-1)</f>
        <v>5.4445682906556492E-2</v>
      </c>
      <c r="P939" s="29">
        <v>38523</v>
      </c>
      <c r="Q939">
        <v>12.346539</v>
      </c>
      <c r="R939" s="33">
        <f>IF(ISBLANK(Q940),"",Long3[[#This Row],[Adj Close]]/Q940-1)</f>
        <v>1.0891623819320184E-2</v>
      </c>
      <c r="S939" s="37">
        <v>38523</v>
      </c>
      <c r="T939" s="35">
        <v>6.624822</v>
      </c>
      <c r="U939" s="36">
        <f>IF(ISBLANK(T940),"",Long4[[#This Row],[Adj Close]]/T940-1)</f>
        <v>-9.5459755001593427E-2</v>
      </c>
      <c r="Y939" s="37">
        <v>38523</v>
      </c>
      <c r="Z939" s="35">
        <v>9.0824219999999993</v>
      </c>
      <c r="AA939" s="36">
        <f>IF(ISBLANK(Z940),"",Long6[[#This Row],[Adj Close]]/Z940-1)</f>
        <v>-1.1665332915760884E-2</v>
      </c>
      <c r="AH939" s="29">
        <v>38523</v>
      </c>
      <c r="AI939" s="44">
        <v>25.142880999999999</v>
      </c>
      <c r="AJ939" s="33">
        <f>IF(ISBLANK(AI940),"",Short0[[#This Row],[Adj Close]]/AI940-1)</f>
        <v>-5.6320158910387108E-2</v>
      </c>
      <c r="AK939" s="37">
        <v>38523</v>
      </c>
      <c r="AL939" s="39">
        <v>28.999538000000001</v>
      </c>
      <c r="AM939" s="36">
        <f>IF(ISBLANK(AL940),"",Short1[[#This Row],[Adj Close]]/AL940-1)</f>
        <v>-6.8772449212605169E-3</v>
      </c>
      <c r="AN939" s="29">
        <v>38523</v>
      </c>
      <c r="AO939" s="44">
        <v>50.191639000000002</v>
      </c>
      <c r="AP939" s="33">
        <f>IF(ISBLANK(AO940),"",Short2[[#This Row],[Adj Close]]/AO940-1)</f>
        <v>-3.3469982106202556E-2</v>
      </c>
    </row>
    <row r="940" spans="1:42" x14ac:dyDescent="0.25">
      <c r="A940" s="37">
        <v>38516</v>
      </c>
      <c r="B940" s="39">
        <v>1216.959961</v>
      </c>
      <c r="C940" s="36">
        <f>IF(ISBLANK(B941), "", GSPC[[#This Row],[Adj Close]]/B941-1)</f>
        <v>1.5733093151711008E-2</v>
      </c>
      <c r="D94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4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40" s="11" t="e">
        <f>IF(ISBLANK(GSPC[[#This Row],[Long Exp.]]), "", (GSPC[[#This Row],[Long Exp.]]/D941-1)+(E941/GSPC[[#This Row],[Short Exp.]]-1))</f>
        <v>#VALUE!</v>
      </c>
      <c r="G940" s="37">
        <v>38516</v>
      </c>
      <c r="H940">
        <v>17.540552000000002</v>
      </c>
      <c r="I940" s="36">
        <f>IF(ISBLANK(H941), "", Long0[[#This Row],[Adj Close]]/H941-1)</f>
        <v>0.13103447386467293</v>
      </c>
      <c r="J940" s="29">
        <v>38516</v>
      </c>
      <c r="K940">
        <v>0.71937600000000002</v>
      </c>
      <c r="L940" s="33">
        <f>IF(ISBLANK(K941),"",Long1[[#This Row],[Adj Close]]/K941-1)</f>
        <v>-0.1186439847344144</v>
      </c>
      <c r="M940" s="37">
        <v>38516</v>
      </c>
      <c r="N940">
        <v>11.501720000000001</v>
      </c>
      <c r="O940" s="36">
        <f>IF(ISBLANK(N941),"",Long2[[#This Row],[Adj Close]]/N941-1)</f>
        <v>4.9168352838561136E-2</v>
      </c>
      <c r="P940" s="29">
        <v>38516</v>
      </c>
      <c r="Q940">
        <v>12.213514</v>
      </c>
      <c r="R940" s="33">
        <f>IF(ISBLANK(Q941),"",Long3[[#This Row],[Adj Close]]/Q941-1)</f>
        <v>2.7238634994990463E-2</v>
      </c>
      <c r="S940" s="37">
        <v>38516</v>
      </c>
      <c r="T940" s="35">
        <v>7.3239660000000004</v>
      </c>
      <c r="U940" s="36">
        <f>IF(ISBLANK(T941),"",Long4[[#This Row],[Adj Close]]/T941-1)</f>
        <v>4.5012063210681852E-2</v>
      </c>
      <c r="Y940" s="37">
        <v>38516</v>
      </c>
      <c r="Z940" s="35">
        <v>9.189622</v>
      </c>
      <c r="AA940" s="36">
        <f>IF(ISBLANK(Z941),"",Long6[[#This Row],[Adj Close]]/Z941-1)</f>
        <v>-1.3598199372347852E-2</v>
      </c>
      <c r="AH940" s="29">
        <v>38516</v>
      </c>
      <c r="AI940" s="44">
        <v>26.643443999999999</v>
      </c>
      <c r="AJ940" s="33">
        <f>IF(ISBLANK(AI941),"",Short0[[#This Row],[Adj Close]]/AI941-1)</f>
        <v>7.4502260034650547E-2</v>
      </c>
      <c r="AK940" s="37">
        <v>38516</v>
      </c>
      <c r="AL940" s="39">
        <v>29.200355999999999</v>
      </c>
      <c r="AM940" s="36">
        <f>IF(ISBLANK(AL941),"",Short1[[#This Row],[Adj Close]]/AL941-1)</f>
        <v>0.1592874947118077</v>
      </c>
      <c r="AN940" s="29">
        <v>38516</v>
      </c>
      <c r="AO940" s="44">
        <v>51.929726000000002</v>
      </c>
      <c r="AP940" s="33">
        <f>IF(ISBLANK(AO941),"",Short2[[#This Row],[Adj Close]]/AO941-1)</f>
        <v>7.6478399972769839E-2</v>
      </c>
    </row>
    <row r="941" spans="1:42" x14ac:dyDescent="0.25">
      <c r="A941" s="37">
        <v>38509</v>
      </c>
      <c r="B941" s="39">
        <v>1198.1099850000001</v>
      </c>
      <c r="C941" s="36">
        <f>IF(ISBLANK(B942), "", GSPC[[#This Row],[Adj Close]]/B942-1)</f>
        <v>1.7474331240709962E-3</v>
      </c>
      <c r="D94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4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41" s="11" t="e">
        <f>IF(ISBLANK(GSPC[[#This Row],[Long Exp.]]), "", (GSPC[[#This Row],[Long Exp.]]/D942-1)+(E942/GSPC[[#This Row],[Short Exp.]]-1))</f>
        <v>#VALUE!</v>
      </c>
      <c r="G941" s="37">
        <v>38509</v>
      </c>
      <c r="H941">
        <v>15.508414999999999</v>
      </c>
      <c r="I941" s="36">
        <f>IF(ISBLANK(H942), "", Long0[[#This Row],[Adj Close]]/H942-1)</f>
        <v>2.5943205097613165E-2</v>
      </c>
      <c r="J941" s="29">
        <v>38509</v>
      </c>
      <c r="K941">
        <v>0.81621500000000002</v>
      </c>
      <c r="L941" s="33">
        <f>IF(ISBLANK(K942),"",Long1[[#This Row],[Adj Close]]/K942-1)</f>
        <v>-7.8125247067380776E-2</v>
      </c>
      <c r="M941" s="37">
        <v>38509</v>
      </c>
      <c r="N941">
        <v>10.962702</v>
      </c>
      <c r="O941" s="36">
        <f>IF(ISBLANK(N942),"",Long2[[#This Row],[Adj Close]]/N942-1)</f>
        <v>1.6911919193980385E-2</v>
      </c>
      <c r="P941" s="29">
        <v>38509</v>
      </c>
      <c r="Q941">
        <v>11.889656</v>
      </c>
      <c r="R941" s="33">
        <f>IF(ISBLANK(Q942),"",Long3[[#This Row],[Adj Close]]/Q942-1)</f>
        <v>-7.5731289102979327E-3</v>
      </c>
      <c r="S941" s="37">
        <v>38509</v>
      </c>
      <c r="T941" s="35">
        <v>7.0084989999999996</v>
      </c>
      <c r="U941" s="36">
        <f>IF(ISBLANK(T942),"",Long4[[#This Row],[Adj Close]]/T942-1)</f>
        <v>0</v>
      </c>
      <c r="Y941" s="37">
        <v>38509</v>
      </c>
      <c r="Z941" s="35">
        <v>9.3163070000000001</v>
      </c>
      <c r="AA941" s="36">
        <f>IF(ISBLANK(Z942),"",Long6[[#This Row],[Adj Close]]/Z942-1)</f>
        <v>3.8002150140124424E-2</v>
      </c>
      <c r="AH941" s="29">
        <v>38509</v>
      </c>
      <c r="AI941" s="44">
        <v>24.79608</v>
      </c>
      <c r="AJ941" s="33">
        <f>IF(ISBLANK(AI942),"",Short0[[#This Row],[Adj Close]]/AI942-1)</f>
        <v>-4.6666588747534044E-2</v>
      </c>
      <c r="AK941" s="37">
        <v>38509</v>
      </c>
      <c r="AL941" s="39">
        <v>25.188192000000001</v>
      </c>
      <c r="AM941" s="36">
        <f>IF(ISBLANK(AL942),"",Short1[[#This Row],[Adj Close]]/AL942-1)</f>
        <v>3.7121570654871316E-2</v>
      </c>
      <c r="AN941" s="29">
        <v>38509</v>
      </c>
      <c r="AO941" s="44">
        <v>48.240378999999997</v>
      </c>
      <c r="AP941" s="33">
        <f>IF(ISBLANK(AO942),"",Short2[[#This Row],[Adj Close]]/AO942-1)</f>
        <v>1.5319955816675002E-3</v>
      </c>
    </row>
    <row r="942" spans="1:42" x14ac:dyDescent="0.25">
      <c r="A942" s="37">
        <v>38502</v>
      </c>
      <c r="B942" s="39">
        <v>1196.0200199999999</v>
      </c>
      <c r="C942" s="36">
        <f>IF(ISBLANK(B943), "", GSPC[[#This Row],[Adj Close]]/B943-1)</f>
        <v>-2.3023481649944166E-3</v>
      </c>
      <c r="D94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4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42" s="11" t="e">
        <f>IF(ISBLANK(GSPC[[#This Row],[Long Exp.]]), "", (GSPC[[#This Row],[Long Exp.]]/D943-1)+(E943/GSPC[[#This Row],[Short Exp.]]-1))</f>
        <v>#VALUE!</v>
      </c>
      <c r="G942" s="37">
        <v>38502</v>
      </c>
      <c r="H942">
        <v>15.116251</v>
      </c>
      <c r="I942" s="36">
        <f>IF(ISBLANK(H943), "", Long0[[#This Row],[Adj Close]]/H943-1)</f>
        <v>1.8618659859456432E-2</v>
      </c>
      <c r="J942" s="29">
        <v>38502</v>
      </c>
      <c r="K942">
        <v>0.88538600000000001</v>
      </c>
      <c r="L942" s="33">
        <f>IF(ISBLANK(K943),"",Long1[[#This Row],[Adj Close]]/K943-1)</f>
        <v>-7.2463980673757589E-2</v>
      </c>
      <c r="M942" s="37">
        <v>38502</v>
      </c>
      <c r="N942">
        <v>10.780385000000001</v>
      </c>
      <c r="O942" s="36">
        <f>IF(ISBLANK(N943),"",Long2[[#This Row],[Adj Close]]/N943-1)</f>
        <v>4.4546576393160287E-2</v>
      </c>
      <c r="P942" s="29">
        <v>38502</v>
      </c>
      <c r="Q942">
        <v>11.980385</v>
      </c>
      <c r="R942" s="33">
        <f>IF(ISBLANK(Q943),"",Long3[[#This Row],[Adj Close]]/Q943-1)</f>
        <v>1.4315871856907192E-2</v>
      </c>
      <c r="S942" s="37">
        <v>38502</v>
      </c>
      <c r="T942" s="35">
        <v>7.0084989999999996</v>
      </c>
      <c r="U942" s="36">
        <f>IF(ISBLANK(T943),"",Long4[[#This Row],[Adj Close]]/T943-1)</f>
        <v>3.5264586693247502E-2</v>
      </c>
      <c r="Y942" s="37">
        <v>38502</v>
      </c>
      <c r="Z942" s="35">
        <v>8.9752290000000006</v>
      </c>
      <c r="AA942" s="36">
        <f>IF(ISBLANK(Z943),"",Long6[[#This Row],[Adj Close]]/Z943-1)</f>
        <v>-2.2292896145099883E-2</v>
      </c>
      <c r="AH942" s="29">
        <v>38502</v>
      </c>
      <c r="AI942" s="44">
        <v>26.009872000000001</v>
      </c>
      <c r="AJ942" s="33">
        <f>IF(ISBLANK(AI943),"",Short0[[#This Row],[Adj Close]]/AI943-1)</f>
        <v>4.8668877443025504E-2</v>
      </c>
      <c r="AK942" s="37">
        <v>38502</v>
      </c>
      <c r="AL942" s="39">
        <v>24.286633999999999</v>
      </c>
      <c r="AM942" s="36">
        <f>IF(ISBLANK(AL943),"",Short1[[#This Row],[Adj Close]]/AL943-1)</f>
        <v>3.6280917900924914E-2</v>
      </c>
      <c r="AN942" s="29">
        <v>38502</v>
      </c>
      <c r="AO942" s="44">
        <v>48.166587999999997</v>
      </c>
      <c r="AP942" s="33">
        <f>IF(ISBLANK(AO943),"",Short2[[#This Row],[Adj Close]]/AO943-1)</f>
        <v>2.06741308652445E-2</v>
      </c>
    </row>
    <row r="943" spans="1:42" x14ac:dyDescent="0.25">
      <c r="A943" s="37">
        <v>38495</v>
      </c>
      <c r="B943" s="39">
        <v>1198.780029</v>
      </c>
      <c r="C943" s="36">
        <f>IF(ISBLANK(B944), "", GSPC[[#This Row],[Adj Close]]/B944-1)</f>
        <v>7.9880261741114289E-3</v>
      </c>
      <c r="D94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4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43" s="11" t="e">
        <f>IF(ISBLANK(GSPC[[#This Row],[Long Exp.]]), "", (GSPC[[#This Row],[Long Exp.]]/D944-1)+(E944/GSPC[[#This Row],[Short Exp.]]-1))</f>
        <v>#VALUE!</v>
      </c>
      <c r="G943" s="37">
        <v>38495</v>
      </c>
      <c r="H943">
        <v>14.839950999999999</v>
      </c>
      <c r="I943" s="36">
        <f>IF(ISBLANK(H944), "", Long0[[#This Row],[Adj Close]]/H944-1)</f>
        <v>3.2238285343600737E-2</v>
      </c>
      <c r="J943" s="29">
        <v>38495</v>
      </c>
      <c r="K943">
        <v>0.95455699999999999</v>
      </c>
      <c r="L943" s="33">
        <f>IF(ISBLANK(K944),"",Long1[[#This Row],[Adj Close]]/K944-1)</f>
        <v>0.32692361157447558</v>
      </c>
      <c r="M943" s="37">
        <v>38495</v>
      </c>
      <c r="N943">
        <v>10.320636</v>
      </c>
      <c r="O943" s="36">
        <f>IF(ISBLANK(N944),"",Long2[[#This Row],[Adj Close]]/N944-1)</f>
        <v>1.5384118229369026E-3</v>
      </c>
      <c r="P943" s="29">
        <v>38495</v>
      </c>
      <c r="Q943">
        <v>11.811296</v>
      </c>
      <c r="R943" s="33">
        <f>IF(ISBLANK(Q944),"",Long3[[#This Row],[Adj Close]]/Q944-1)</f>
        <v>3.1328694580678773E-2</v>
      </c>
      <c r="S943" s="37">
        <v>38495</v>
      </c>
      <c r="T943" s="35">
        <v>6.7697659999999997</v>
      </c>
      <c r="U943" s="36">
        <f>IF(ISBLANK(T944),"",Long4[[#This Row],[Adj Close]]/T944-1)</f>
        <v>1.5345292324564053E-2</v>
      </c>
      <c r="Y943" s="37">
        <v>38495</v>
      </c>
      <c r="Z943" s="35">
        <v>9.1798749999999991</v>
      </c>
      <c r="AA943" s="36">
        <f>IF(ISBLANK(Z944),"",Long6[[#This Row],[Adj Close]]/Z944-1)</f>
        <v>-2.282178634654819E-2</v>
      </c>
      <c r="AH943" s="29">
        <v>38495</v>
      </c>
      <c r="AI943" s="44">
        <v>24.80275</v>
      </c>
      <c r="AJ943" s="33">
        <f>IF(ISBLANK(AI944),"",Short0[[#This Row],[Adj Close]]/AI944-1)</f>
        <v>1.8857195692674189E-3</v>
      </c>
      <c r="AK943" s="37">
        <v>38495</v>
      </c>
      <c r="AL943" s="39">
        <v>23.436342</v>
      </c>
      <c r="AM943" s="36">
        <f>IF(ISBLANK(AL944),"",Short1[[#This Row],[Adj Close]]/AL944-1)</f>
        <v>9.0140024266613938E-3</v>
      </c>
      <c r="AN943" s="29">
        <v>38495</v>
      </c>
      <c r="AO943" s="44">
        <v>47.190956</v>
      </c>
      <c r="AP943" s="33">
        <f>IF(ISBLANK(AO944),"",Short2[[#This Row],[Adj Close]]/AO944-1)</f>
        <v>3.5624361306592078E-2</v>
      </c>
    </row>
    <row r="944" spans="1:42" x14ac:dyDescent="0.25">
      <c r="A944" s="37">
        <v>38488</v>
      </c>
      <c r="B944" s="39">
        <v>1189.280029</v>
      </c>
      <c r="C944" s="36">
        <f>IF(ISBLANK(B945), "", GSPC[[#This Row],[Adj Close]]/B945-1)</f>
        <v>3.0527254888578881E-2</v>
      </c>
      <c r="D94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4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44" s="11" t="e">
        <f>IF(ISBLANK(GSPC[[#This Row],[Long Exp.]]), "", (GSPC[[#This Row],[Long Exp.]]/D945-1)+(E945/GSPC[[#This Row],[Short Exp.]]-1))</f>
        <v>#VALUE!</v>
      </c>
      <c r="G944" s="37">
        <v>38488</v>
      </c>
      <c r="H944">
        <v>14.376478000000001</v>
      </c>
      <c r="I944" s="36">
        <f>IF(ISBLANK(H945), "", Long0[[#This Row],[Adj Close]]/H945-1)</f>
        <v>7.4951333351926941E-3</v>
      </c>
      <c r="J944" s="29">
        <v>38488</v>
      </c>
      <c r="K944">
        <v>0.71937600000000002</v>
      </c>
      <c r="L944" s="33">
        <f>IF(ISBLANK(K945),"",Long1[[#This Row],[Adj Close]]/K945-1)</f>
        <v>-1.8867718661774946E-2</v>
      </c>
      <c r="M944" s="37">
        <v>38488</v>
      </c>
      <c r="N944">
        <v>10.304783</v>
      </c>
      <c r="O944" s="36">
        <f>IF(ISBLANK(N945),"",Long2[[#This Row],[Adj Close]]/N945-1)</f>
        <v>8.5336170271073097E-3</v>
      </c>
      <c r="P944" s="29">
        <v>38488</v>
      </c>
      <c r="Q944">
        <v>11.452503999999999</v>
      </c>
      <c r="R944" s="33">
        <f>IF(ISBLANK(Q945),"",Long3[[#This Row],[Adj Close]]/Q945-1)</f>
        <v>1.3133621861421085E-2</v>
      </c>
      <c r="S944" s="37">
        <v>38488</v>
      </c>
      <c r="T944" s="35">
        <v>6.6674519999999999</v>
      </c>
      <c r="U944" s="36">
        <f>IF(ISBLANK(T945),"",Long4[[#This Row],[Adj Close]]/T945-1)</f>
        <v>6.5394862866275494E-2</v>
      </c>
      <c r="Y944" s="37">
        <v>38488</v>
      </c>
      <c r="Z944" s="35">
        <v>9.3942689999999995</v>
      </c>
      <c r="AA944" s="36">
        <f>IF(ISBLANK(Z945),"",Long6[[#This Row],[Adj Close]]/Z945-1)</f>
        <v>6.7552768426888621E-2</v>
      </c>
      <c r="AH944" s="29">
        <v>38488</v>
      </c>
      <c r="AI944" s="44">
        <v>24.756067000000002</v>
      </c>
      <c r="AJ944" s="33">
        <f>IF(ISBLANK(AI945),"",Short0[[#This Row],[Adj Close]]/AI945-1)</f>
        <v>0.10148367527391655</v>
      </c>
      <c r="AK944" s="37">
        <v>38488</v>
      </c>
      <c r="AL944" s="39">
        <v>23.226973999999998</v>
      </c>
      <c r="AM944" s="36">
        <f>IF(ISBLANK(AL945),"",Short1[[#This Row],[Adj Close]]/AL945-1)</f>
        <v>8.5029919755718053E-2</v>
      </c>
      <c r="AN944" s="29">
        <v>38488</v>
      </c>
      <c r="AO944" s="44">
        <v>45.567638000000002</v>
      </c>
      <c r="AP944" s="33">
        <f>IF(ISBLANK(AO945),"",Short2[[#This Row],[Adj Close]]/AO945-1)</f>
        <v>8.3641817862591505E-2</v>
      </c>
    </row>
    <row r="945" spans="1:42" x14ac:dyDescent="0.25">
      <c r="A945" s="37">
        <v>38481</v>
      </c>
      <c r="B945" s="39">
        <v>1154.0500489999999</v>
      </c>
      <c r="C945" s="36">
        <f>IF(ISBLANK(B946), "", GSPC[[#This Row],[Adj Close]]/B946-1)</f>
        <v>-1.4769221286943579E-2</v>
      </c>
      <c r="D94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4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45" s="11" t="e">
        <f>IF(ISBLANK(GSPC[[#This Row],[Long Exp.]]), "", (GSPC[[#This Row],[Long Exp.]]/D946-1)+(E946/GSPC[[#This Row],[Short Exp.]]-1))</f>
        <v>#VALUE!</v>
      </c>
      <c r="G945" s="37">
        <v>38481</v>
      </c>
      <c r="H945">
        <v>14.269526000000001</v>
      </c>
      <c r="I945" s="36">
        <f>IF(ISBLANK(H946), "", Long0[[#This Row],[Adj Close]]/H946-1)</f>
        <v>-1.9595750854171978E-2</v>
      </c>
      <c r="J945" s="29">
        <v>38481</v>
      </c>
      <c r="K945">
        <v>0.73321000000000003</v>
      </c>
      <c r="L945" s="33">
        <f>IF(ISBLANK(K946),"",Long1[[#This Row],[Adj Close]]/K946-1)</f>
        <v>-0.29333379595628983</v>
      </c>
      <c r="M945" s="37">
        <v>38481</v>
      </c>
      <c r="N945">
        <v>10.21759</v>
      </c>
      <c r="O945" s="36">
        <f>IF(ISBLANK(N946),"",Long2[[#This Row],[Adj Close]]/N946-1)</f>
        <v>-7.6647479538670349E-2</v>
      </c>
      <c r="P945" s="29">
        <v>38481</v>
      </c>
      <c r="Q945">
        <v>11.304041</v>
      </c>
      <c r="R945" s="33">
        <f>IF(ISBLANK(Q946),"",Long3[[#This Row],[Adj Close]]/Q946-1)</f>
        <v>-6.1637144162358659E-3</v>
      </c>
      <c r="S945" s="37">
        <v>38481</v>
      </c>
      <c r="T945" s="35">
        <v>6.2581980000000001</v>
      </c>
      <c r="U945" s="36">
        <f>IF(ISBLANK(T946),"",Long4[[#This Row],[Adj Close]]/T946-1)</f>
        <v>-3.800764127951084E-2</v>
      </c>
      <c r="Y945" s="37">
        <v>38481</v>
      </c>
      <c r="Z945" s="35">
        <v>8.7998170000000009</v>
      </c>
      <c r="AA945" s="36">
        <f>IF(ISBLANK(Z946),"",Long6[[#This Row],[Adj Close]]/Z946-1)</f>
        <v>-6.0353771348565455E-2</v>
      </c>
      <c r="AH945" s="29">
        <v>38481</v>
      </c>
      <c r="AI945" s="44">
        <v>22.475200999999998</v>
      </c>
      <c r="AJ945" s="33">
        <f>IF(ISBLANK(AI946),"",Short0[[#This Row],[Adj Close]]/AI946-1)</f>
        <v>-6.3888740912669273E-2</v>
      </c>
      <c r="AK945" s="37">
        <v>38481</v>
      </c>
      <c r="AL945" s="39">
        <v>21.406759000000001</v>
      </c>
      <c r="AM945" s="36">
        <f>IF(ISBLANK(AL946),"",Short1[[#This Row],[Adj Close]]/AL946-1)</f>
        <v>-2.7751032972223588E-2</v>
      </c>
      <c r="AN945" s="29">
        <v>38481</v>
      </c>
      <c r="AO945" s="44">
        <v>42.050460999999999</v>
      </c>
      <c r="AP945" s="33">
        <f>IF(ISBLANK(AO946),"",Short2[[#This Row],[Adj Close]]/AO946-1)</f>
        <v>-2.961855542824976E-2</v>
      </c>
    </row>
    <row r="946" spans="1:42" x14ac:dyDescent="0.25">
      <c r="A946" s="37">
        <v>38474</v>
      </c>
      <c r="B946" s="39">
        <v>1171.349976</v>
      </c>
      <c r="C946" s="36">
        <f>IF(ISBLANK(B947), "", GSPC[[#This Row],[Adj Close]]/B947-1)</f>
        <v>1.2534036651957292E-2</v>
      </c>
      <c r="D94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4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46" s="11" t="e">
        <f>IF(ISBLANK(GSPC[[#This Row],[Long Exp.]]), "", (GSPC[[#This Row],[Long Exp.]]/D947-1)+(E947/GSPC[[#This Row],[Short Exp.]]-1))</f>
        <v>#VALUE!</v>
      </c>
      <c r="G946" s="37">
        <v>38474</v>
      </c>
      <c r="H946">
        <v>14.554736999999999</v>
      </c>
      <c r="I946" s="36">
        <f>IF(ISBLANK(H947), "", Long0[[#This Row],[Adj Close]]/H947-1)</f>
        <v>-1.0302895625221797E-2</v>
      </c>
      <c r="J946" s="29">
        <v>38474</v>
      </c>
      <c r="K946">
        <v>1.0375620000000001</v>
      </c>
      <c r="L946" s="33">
        <f>IF(ISBLANK(K947),"",Long1[[#This Row],[Adj Close]]/K947-1)</f>
        <v>-3.8461110740419358E-2</v>
      </c>
      <c r="M946" s="37">
        <v>38474</v>
      </c>
      <c r="N946">
        <v>11.065752</v>
      </c>
      <c r="O946" s="36">
        <f>IF(ISBLANK(N947),"",Long2[[#This Row],[Adj Close]]/N947-1)</f>
        <v>8.6381539935675766E-2</v>
      </c>
      <c r="P946" s="29">
        <v>38474</v>
      </c>
      <c r="Q946">
        <v>11.374148</v>
      </c>
      <c r="R946" s="33">
        <f>IF(ISBLANK(Q947),"",Long3[[#This Row],[Adj Close]]/Q947-1)</f>
        <v>1.6587299884882389E-2</v>
      </c>
      <c r="S946" s="37">
        <v>38474</v>
      </c>
      <c r="T946" s="35">
        <v>6.5054550000000004</v>
      </c>
      <c r="U946" s="36">
        <f>IF(ISBLANK(T947),"",Long4[[#This Row],[Adj Close]]/T947-1)</f>
        <v>-0.27333333258865911</v>
      </c>
      <c r="Y946" s="37">
        <v>38474</v>
      </c>
      <c r="Z946" s="35">
        <v>9.3650319999999994</v>
      </c>
      <c r="AA946" s="36">
        <f>IF(ISBLANK(Z947),"",Long6[[#This Row],[Adj Close]]/Z947-1)</f>
        <v>0.16062772580824447</v>
      </c>
      <c r="AH946" s="29">
        <v>38474</v>
      </c>
      <c r="AI946" s="44">
        <v>24.009112999999999</v>
      </c>
      <c r="AJ946" s="33">
        <f>IF(ISBLANK(AI947),"",Short0[[#This Row],[Adj Close]]/AI947-1)</f>
        <v>-3.8718301906214836E-2</v>
      </c>
      <c r="AK946" s="37">
        <v>38474</v>
      </c>
      <c r="AL946" s="39">
        <v>22.017775</v>
      </c>
      <c r="AM946" s="36">
        <f>IF(ISBLANK(AL947),"",Short1[[#This Row],[Adj Close]]/AL947-1)</f>
        <v>2.3639298517711627E-2</v>
      </c>
      <c r="AN946" s="29">
        <v>38474</v>
      </c>
      <c r="AO946" s="44">
        <v>43.333950000000002</v>
      </c>
      <c r="AP946" s="33">
        <f>IF(ISBLANK(AO947),"",Short2[[#This Row],[Adj Close]]/AO947-1)</f>
        <v>2.9725486379159394E-2</v>
      </c>
    </row>
    <row r="947" spans="1:42" x14ac:dyDescent="0.25">
      <c r="A947" s="37">
        <v>38467</v>
      </c>
      <c r="B947" s="39">
        <v>1156.849976</v>
      </c>
      <c r="C947" s="36">
        <f>IF(ISBLANK(B948), "", GSPC[[#This Row],[Adj Close]]/B948-1)</f>
        <v>4.1054586505981927E-3</v>
      </c>
      <c r="D94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4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47" s="11" t="e">
        <f>IF(ISBLANK(GSPC[[#This Row],[Long Exp.]]), "", (GSPC[[#This Row],[Long Exp.]]/D948-1)+(E948/GSPC[[#This Row],[Short Exp.]]-1))</f>
        <v>#VALUE!</v>
      </c>
      <c r="G947" s="37">
        <v>38467</v>
      </c>
      <c r="H947">
        <v>14.706253999999999</v>
      </c>
      <c r="I947" s="36">
        <f>IF(ISBLANK(H948), "", Long0[[#This Row],[Adj Close]]/H948-1)</f>
        <v>-9.6039683041031498E-3</v>
      </c>
      <c r="J947" s="29">
        <v>38467</v>
      </c>
      <c r="K947">
        <v>1.079064</v>
      </c>
      <c r="L947" s="33">
        <f>IF(ISBLANK(K948),"",Long1[[#This Row],[Adj Close]]/K948-1)</f>
        <v>-0.17894760870309578</v>
      </c>
      <c r="M947" s="37">
        <v>38467</v>
      </c>
      <c r="N947">
        <v>10.185879999999999</v>
      </c>
      <c r="O947" s="36">
        <f>IF(ISBLANK(N948),"",Long2[[#This Row],[Adj Close]]/N948-1)</f>
        <v>-4.6478003541916557E-3</v>
      </c>
      <c r="P947" s="29">
        <v>38467</v>
      </c>
      <c r="Q947">
        <v>11.188560000000001</v>
      </c>
      <c r="R947" s="33">
        <f>IF(ISBLANK(Q948),"",Long3[[#This Row],[Adj Close]]/Q948-1)</f>
        <v>5.0002277036167442E-3</v>
      </c>
      <c r="S947" s="37">
        <v>38467</v>
      </c>
      <c r="T947" s="35">
        <v>8.9524609999999996</v>
      </c>
      <c r="U947" s="36">
        <f>IF(ISBLANK(T948),"",Long4[[#This Row],[Adj Close]]/T948-1)</f>
        <v>-4.5454477603028565E-2</v>
      </c>
      <c r="Y947" s="37">
        <v>38467</v>
      </c>
      <c r="Z947" s="35">
        <v>8.068937</v>
      </c>
      <c r="AA947" s="36">
        <f>IF(ISBLANK(Z948),"",Long6[[#This Row],[Adj Close]]/Z948-1)</f>
        <v>0.10106412012158872</v>
      </c>
      <c r="AH947" s="29">
        <v>38467</v>
      </c>
      <c r="AI947" s="44">
        <v>24.976147000000001</v>
      </c>
      <c r="AJ947" s="33">
        <f>IF(ISBLANK(AI948),"",Short0[[#This Row],[Adj Close]]/AI948-1)</f>
        <v>1.2162411720492816E-2</v>
      </c>
      <c r="AK947" s="37">
        <v>38467</v>
      </c>
      <c r="AL947" s="39">
        <v>21.509309999999999</v>
      </c>
      <c r="AM947" s="36">
        <f>IF(ISBLANK(AL948),"",Short1[[#This Row],[Adj Close]]/AL948-1)</f>
        <v>3.6441208335509678E-2</v>
      </c>
      <c r="AN947" s="29">
        <v>38467</v>
      </c>
      <c r="AO947" s="44">
        <v>42.083011999999997</v>
      </c>
      <c r="AP947" s="33">
        <f>IF(ISBLANK(AO948),"",Short2[[#This Row],[Adj Close]]/AO948-1)</f>
        <v>-2.0551629224144885E-2</v>
      </c>
    </row>
    <row r="948" spans="1:42" x14ac:dyDescent="0.25">
      <c r="A948" s="37">
        <v>38460</v>
      </c>
      <c r="B948" s="39">
        <v>1152.119995</v>
      </c>
      <c r="C948" s="36">
        <f>IF(ISBLANK(B949), "", GSPC[[#This Row],[Adj Close]]/B949-1)</f>
        <v>8.3142252381116499E-3</v>
      </c>
      <c r="D94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4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48" s="11" t="e">
        <f>IF(ISBLANK(GSPC[[#This Row],[Long Exp.]]), "", (GSPC[[#This Row],[Long Exp.]]/D949-1)+(E949/GSPC[[#This Row],[Short Exp.]]-1))</f>
        <v>#VALUE!</v>
      </c>
      <c r="G948" s="37">
        <v>38460</v>
      </c>
      <c r="H948">
        <v>14.848862</v>
      </c>
      <c r="I948" s="36">
        <f>IF(ISBLANK(H949), "", Long0[[#This Row],[Adj Close]]/H949-1)</f>
        <v>-1.1862419412369096E-2</v>
      </c>
      <c r="J948" s="29">
        <v>38460</v>
      </c>
      <c r="K948">
        <v>1.3142450000000001</v>
      </c>
      <c r="L948" s="33">
        <f>IF(ISBLANK(K949),"",Long1[[#This Row],[Adj Close]]/K949-1)</f>
        <v>-2.0618326225321448E-2</v>
      </c>
      <c r="M948" s="37">
        <v>38460</v>
      </c>
      <c r="N948">
        <v>10.233442999999999</v>
      </c>
      <c r="O948" s="36">
        <f>IF(ISBLANK(N949),"",Long2[[#This Row],[Adj Close]]/N949-1)</f>
        <v>4.6695032731585151E-3</v>
      </c>
      <c r="P948" s="29">
        <v>38460</v>
      </c>
      <c r="Q948">
        <v>11.132892999999999</v>
      </c>
      <c r="R948" s="33">
        <f>IF(ISBLANK(Q949),"",Long3[[#This Row],[Adj Close]]/Q949-1)</f>
        <v>3.1327726085319973E-2</v>
      </c>
      <c r="S948" s="37">
        <v>38460</v>
      </c>
      <c r="T948" s="35">
        <v>9.3787680000000009</v>
      </c>
      <c r="U948" s="36">
        <f>IF(ISBLANK(T949),"",Long4[[#This Row],[Adj Close]]/T949-1)</f>
        <v>-6.6214022986697429E-2</v>
      </c>
      <c r="Y948" s="37">
        <v>38460</v>
      </c>
      <c r="Z948" s="35">
        <v>7.3283079999999998</v>
      </c>
      <c r="AA948" s="36">
        <f>IF(ISBLANK(Z949),"",Long6[[#This Row],[Adj Close]]/Z949-1)</f>
        <v>0.27027016720476382</v>
      </c>
      <c r="AH948" s="29">
        <v>38460</v>
      </c>
      <c r="AI948" s="44">
        <v>24.676027000000001</v>
      </c>
      <c r="AJ948" s="33">
        <f>IF(ISBLANK(AI949),"",Short0[[#This Row],[Adj Close]]/AI949-1)</f>
        <v>-9.4247191255391272E-2</v>
      </c>
      <c r="AK948" s="37">
        <v>38460</v>
      </c>
      <c r="AL948" s="39">
        <v>20.753043999999999</v>
      </c>
      <c r="AM948" s="36">
        <f>IF(ISBLANK(AL949),"",Short1[[#This Row],[Adj Close]]/AL949-1)</f>
        <v>-4.1037370787677663E-4</v>
      </c>
      <c r="AN948" s="29">
        <v>38460</v>
      </c>
      <c r="AO948" s="44">
        <v>42.966034000000001</v>
      </c>
      <c r="AP948" s="33">
        <f>IF(ISBLANK(AO949),"",Short2[[#This Row],[Adj Close]]/AO949-1)</f>
        <v>-8.4902484080034979E-3</v>
      </c>
    </row>
    <row r="949" spans="1:42" x14ac:dyDescent="0.25">
      <c r="A949" s="37">
        <v>38453</v>
      </c>
      <c r="B949" s="39">
        <v>1142.619995</v>
      </c>
      <c r="C949" s="36">
        <f>IF(ISBLANK(B950), "", GSPC[[#This Row],[Adj Close]]/B950-1)</f>
        <v>-3.2661664070793739E-2</v>
      </c>
      <c r="D94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4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49" s="11" t="e">
        <f>IF(ISBLANK(GSPC[[#This Row],[Long Exp.]]), "", (GSPC[[#This Row],[Long Exp.]]/D950-1)+(E950/GSPC[[#This Row],[Short Exp.]]-1))</f>
        <v>#VALUE!</v>
      </c>
      <c r="G949" s="37">
        <v>38453</v>
      </c>
      <c r="H949">
        <v>15.02712</v>
      </c>
      <c r="I949" s="36">
        <f>IF(ISBLANK(H950), "", Long0[[#This Row],[Adj Close]]/H950-1)</f>
        <v>-3.3811132320331616E-2</v>
      </c>
      <c r="J949" s="29">
        <v>38453</v>
      </c>
      <c r="K949">
        <v>1.3419129999999999</v>
      </c>
      <c r="L949" s="33">
        <f>IF(ISBLANK(K950),"",Long1[[#This Row],[Adj Close]]/K950-1)</f>
        <v>-3.000037588115223E-2</v>
      </c>
      <c r="M949" s="37">
        <v>38453</v>
      </c>
      <c r="N949">
        <v>10.185879999999999</v>
      </c>
      <c r="O949" s="36">
        <f>IF(ISBLANK(N950),"",Long2[[#This Row],[Adj Close]]/N950-1)</f>
        <v>-0.1661258755433529</v>
      </c>
      <c r="P949" s="29">
        <v>38453</v>
      </c>
      <c r="Q949">
        <v>10.794719000000001</v>
      </c>
      <c r="R949" s="33">
        <f>IF(ISBLANK(Q950),"",Long3[[#This Row],[Adj Close]]/Q950-1)</f>
        <v>-2.1860780027209148E-2</v>
      </c>
      <c r="S949" s="37">
        <v>38453</v>
      </c>
      <c r="T949" s="35">
        <v>10.043809</v>
      </c>
      <c r="U949" s="36">
        <f>IF(ISBLANK(T950),"",Long4[[#This Row],[Adj Close]]/T950-1)</f>
        <v>-4.2276241047749075E-2</v>
      </c>
      <c r="Y949" s="37">
        <v>38453</v>
      </c>
      <c r="Z949" s="35">
        <v>5.7690939999999999</v>
      </c>
      <c r="AA949" s="36">
        <f>IF(ISBLANK(Z950),"",Long6[[#This Row],[Adj Close]]/Z950-1)</f>
        <v>-8.3591487658311814E-2</v>
      </c>
      <c r="AH949" s="29">
        <v>38453</v>
      </c>
      <c r="AI949" s="44">
        <v>27.243666000000001</v>
      </c>
      <c r="AJ949" s="33">
        <f>IF(ISBLANK(AI950),"",Short0[[#This Row],[Adj Close]]/AI950-1)</f>
        <v>-5.9406343616222324E-2</v>
      </c>
      <c r="AK949" s="37">
        <v>38453</v>
      </c>
      <c r="AL949" s="39">
        <v>20.761564</v>
      </c>
      <c r="AM949" s="36">
        <f>IF(ISBLANK(AL950),"",Short1[[#This Row],[Adj Close]]/AL950-1)</f>
        <v>-3.4305076698122883E-2</v>
      </c>
      <c r="AN949" s="29">
        <v>38453</v>
      </c>
      <c r="AO949" s="44">
        <v>43.333950000000002</v>
      </c>
      <c r="AP949" s="33">
        <f>IF(ISBLANK(AO950),"",Short2[[#This Row],[Adj Close]]/AO950-1)</f>
        <v>-6.9522313582378925E-2</v>
      </c>
    </row>
    <row r="950" spans="1:42" x14ac:dyDescent="0.25">
      <c r="A950" s="37">
        <v>38446</v>
      </c>
      <c r="B950" s="39">
        <v>1181.1999510000001</v>
      </c>
      <c r="C950" s="36">
        <f>IF(ISBLANK(B951), "", GSPC[[#This Row],[Adj Close]]/B951-1)</f>
        <v>7.0592254283277089E-3</v>
      </c>
      <c r="D95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5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50" s="11" t="e">
        <f>IF(ISBLANK(GSPC[[#This Row],[Long Exp.]]), "", (GSPC[[#This Row],[Long Exp.]]/D951-1)+(E951/GSPC[[#This Row],[Short Exp.]]-1))</f>
        <v>#VALUE!</v>
      </c>
      <c r="G950" s="37">
        <v>38446</v>
      </c>
      <c r="H950">
        <v>15.552984</v>
      </c>
      <c r="I950" s="36">
        <f>IF(ISBLANK(H951), "", Long0[[#This Row],[Adj Close]]/H951-1)</f>
        <v>-8.5415448166392682E-3</v>
      </c>
      <c r="J950" s="29">
        <v>38446</v>
      </c>
      <c r="K950">
        <v>1.383416</v>
      </c>
      <c r="L950" s="33">
        <f>IF(ISBLANK(K951),"",Long1[[#This Row],[Adj Close]]/K951-1)</f>
        <v>-1.9607620807832848E-2</v>
      </c>
      <c r="M950" s="37">
        <v>38446</v>
      </c>
      <c r="N950">
        <v>12.215128999999999</v>
      </c>
      <c r="O950" s="36">
        <f>IF(ISBLANK(N951),"",Long2[[#This Row],[Adj Close]]/N951-1)</f>
        <v>-2.7760391113975103E-2</v>
      </c>
      <c r="P950" s="29">
        <v>38446</v>
      </c>
      <c r="Q950">
        <v>11.035974</v>
      </c>
      <c r="R950" s="33">
        <f>IF(ISBLANK(Q951),"",Long3[[#This Row],[Adj Close]]/Q951-1)</f>
        <v>-1.1198960351264109E-3</v>
      </c>
      <c r="S950" s="37">
        <v>38446</v>
      </c>
      <c r="T950" s="35">
        <v>10.487166999999999</v>
      </c>
      <c r="U950" s="36">
        <f>IF(ISBLANK(T951),"",Long4[[#This Row],[Adj Close]]/T951-1)</f>
        <v>-3.3018833564693928E-2</v>
      </c>
      <c r="Y950" s="37">
        <v>38446</v>
      </c>
      <c r="Z950" s="35">
        <v>6.2953299999999999</v>
      </c>
      <c r="AA950" s="36">
        <f>IF(ISBLANK(Z951),"",Long6[[#This Row],[Adj Close]]/Z951-1)</f>
        <v>-5.2785732255296036E-2</v>
      </c>
      <c r="AH950" s="29">
        <v>38446</v>
      </c>
      <c r="AI950" s="44">
        <v>28.964331000000001</v>
      </c>
      <c r="AJ950" s="33">
        <f>IF(ISBLANK(AI951),"",Short0[[#This Row],[Adj Close]]/AI951-1)</f>
        <v>-1.8752607742537508E-2</v>
      </c>
      <c r="AK950" s="37">
        <v>38446</v>
      </c>
      <c r="AL950" s="39">
        <v>21.499092000000001</v>
      </c>
      <c r="AM950" s="36">
        <f>IF(ISBLANK(AL951),"",Short1[[#This Row],[Adj Close]]/AL951-1)</f>
        <v>-3.3594232406001234E-3</v>
      </c>
      <c r="AN950" s="29">
        <v>38446</v>
      </c>
      <c r="AO950" s="44">
        <v>46.571724000000003</v>
      </c>
      <c r="AP950" s="33">
        <f>IF(ISBLANK(AO951),"",Short2[[#This Row],[Adj Close]]/AO951-1)</f>
        <v>-5.7604622972255992E-3</v>
      </c>
    </row>
    <row r="951" spans="1:42" x14ac:dyDescent="0.25">
      <c r="A951" s="37">
        <v>38439</v>
      </c>
      <c r="B951" s="39">
        <v>1172.920044</v>
      </c>
      <c r="C951" s="36">
        <f>IF(ISBLANK(B952), "", GSPC[[#This Row],[Adj Close]]/B952-1)</f>
        <v>1.2804971262725395E-3</v>
      </c>
      <c r="D95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5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51" s="11" t="e">
        <f>IF(ISBLANK(GSPC[[#This Row],[Long Exp.]]), "", (GSPC[[#This Row],[Long Exp.]]/D952-1)+(E952/GSPC[[#This Row],[Short Exp.]]-1))</f>
        <v>#VALUE!</v>
      </c>
      <c r="G951" s="37">
        <v>38439</v>
      </c>
      <c r="H951">
        <v>15.686975</v>
      </c>
      <c r="I951" s="36">
        <f>IF(ISBLANK(H952), "", Long0[[#This Row],[Adj Close]]/H952-1)</f>
        <v>-8.9938046062687516E-3</v>
      </c>
      <c r="J951" s="29">
        <v>38439</v>
      </c>
      <c r="K951">
        <v>1.411084</v>
      </c>
      <c r="L951" s="33">
        <f>IF(ISBLANK(K952),"",Long1[[#This Row],[Adj Close]]/K952-1)</f>
        <v>-0.14285731641017707</v>
      </c>
      <c r="M951" s="37">
        <v>38439</v>
      </c>
      <c r="N951">
        <v>12.563908</v>
      </c>
      <c r="O951" s="36">
        <f>IF(ISBLANK(N952),"",Long2[[#This Row],[Adj Close]]/N952-1)</f>
        <v>-6.0462493042593102E-2</v>
      </c>
      <c r="P951" s="29">
        <v>38439</v>
      </c>
      <c r="Q951">
        <v>11.048347</v>
      </c>
      <c r="R951" s="33">
        <f>IF(ISBLANK(Q952),"",Long3[[#This Row],[Adj Close]]/Q952-1)</f>
        <v>9.0395155155045259E-3</v>
      </c>
      <c r="S951" s="37">
        <v>38439</v>
      </c>
      <c r="T951" s="35">
        <v>10.845264999999999</v>
      </c>
      <c r="U951" s="36">
        <f>IF(ISBLANK(T952),"",Long4[[#This Row],[Adj Close]]/T952-1)</f>
        <v>-2.4540065464399463E-2</v>
      </c>
      <c r="Y951" s="37">
        <v>38439</v>
      </c>
      <c r="Z951" s="35">
        <v>6.6461519999999998</v>
      </c>
      <c r="AA951" s="36">
        <f>IF(ISBLANK(Z952),"",Long6[[#This Row],[Adj Close]]/Z952-1)</f>
        <v>-3.2624100674658596E-2</v>
      </c>
      <c r="AH951" s="29">
        <v>38439</v>
      </c>
      <c r="AI951" s="44">
        <v>29.517868</v>
      </c>
      <c r="AJ951" s="33">
        <f>IF(ISBLANK(AI952),"",Short0[[#This Row],[Adj Close]]/AI952-1)</f>
        <v>-3.7826326581941405E-2</v>
      </c>
      <c r="AK951" s="37">
        <v>38439</v>
      </c>
      <c r="AL951" s="39">
        <v>21.571560000000002</v>
      </c>
      <c r="AM951" s="36">
        <f>IF(ISBLANK(AL952),"",Short1[[#This Row],[Adj Close]]/AL952-1)</f>
        <v>-2.2033616761376384E-2</v>
      </c>
      <c r="AN951" s="29">
        <v>38439</v>
      </c>
      <c r="AO951" s="44">
        <v>46.841552999999998</v>
      </c>
      <c r="AP951" s="33">
        <f>IF(ISBLANK(AO952),"",Short2[[#This Row],[Adj Close]]/AO952-1)</f>
        <v>1.7946249395559999E-2</v>
      </c>
    </row>
    <row r="952" spans="1:42" x14ac:dyDescent="0.25">
      <c r="A952" s="37">
        <v>38432</v>
      </c>
      <c r="B952" s="39">
        <v>1171.420044</v>
      </c>
      <c r="C952" s="36">
        <f>IF(ISBLANK(B953), "", GSPC[[#This Row],[Adj Close]]/B953-1)</f>
        <v>-1.5323817620500502E-2</v>
      </c>
      <c r="D95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5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52" s="11" t="e">
        <f>IF(ISBLANK(GSPC[[#This Row],[Long Exp.]]), "", (GSPC[[#This Row],[Long Exp.]]/D953-1)+(E953/GSPC[[#This Row],[Short Exp.]]-1))</f>
        <v>#VALUE!</v>
      </c>
      <c r="G952" s="37">
        <v>38432</v>
      </c>
      <c r="H952">
        <v>15.829340999999999</v>
      </c>
      <c r="I952" s="36">
        <f>IF(ISBLANK(H953), "", Long0[[#This Row],[Adj Close]]/H953-1)</f>
        <v>-5.0335581016079933E-3</v>
      </c>
      <c r="J952" s="29">
        <v>38432</v>
      </c>
      <c r="K952">
        <v>1.6462650000000001</v>
      </c>
      <c r="L952" s="33">
        <f>IF(ISBLANK(K953),"",Long1[[#This Row],[Adj Close]]/K953-1)</f>
        <v>0.13333314975282029</v>
      </c>
      <c r="M952" s="37">
        <v>38432</v>
      </c>
      <c r="N952">
        <v>13.372439</v>
      </c>
      <c r="O952" s="36">
        <f>IF(ISBLANK(N953),"",Long2[[#This Row],[Adj Close]]/N953-1)</f>
        <v>4.1666441389891506E-3</v>
      </c>
      <c r="P952" s="29">
        <v>38432</v>
      </c>
      <c r="Q952">
        <v>10.94937</v>
      </c>
      <c r="R952" s="33">
        <f>IF(ISBLANK(Q953),"",Long3[[#This Row],[Adj Close]]/Q953-1)</f>
        <v>-2.4418349129368133E-3</v>
      </c>
      <c r="S952" s="37">
        <v>38432</v>
      </c>
      <c r="T952" s="35">
        <v>11.118104000000001</v>
      </c>
      <c r="U952" s="36">
        <f>IF(ISBLANK(T953),"",Long4[[#This Row],[Adj Close]]/T953-1)</f>
        <v>3.6565875765040667E-2</v>
      </c>
      <c r="Y952" s="37">
        <v>38432</v>
      </c>
      <c r="Z952" s="35">
        <v>6.8702889999999996</v>
      </c>
      <c r="AA952" s="36">
        <f>IF(ISBLANK(Z953),"",Long6[[#This Row],[Adj Close]]/Z953-1)</f>
        <v>3.2210679911260698E-2</v>
      </c>
      <c r="AH952" s="29">
        <v>38432</v>
      </c>
      <c r="AI952" s="44">
        <v>30.678315999999999</v>
      </c>
      <c r="AJ952" s="33">
        <f>IF(ISBLANK(AI953),"",Short0[[#This Row],[Adj Close]]/AI953-1)</f>
        <v>-5.6216527380206105E-2</v>
      </c>
      <c r="AK952" s="37">
        <v>38432</v>
      </c>
      <c r="AL952" s="39">
        <v>22.057568</v>
      </c>
      <c r="AM952" s="36">
        <f>IF(ISBLANK(AL953),"",Short1[[#This Row],[Adj Close]]/AL953-1)</f>
        <v>5.832006440223525E-3</v>
      </c>
      <c r="AN952" s="29">
        <v>38432</v>
      </c>
      <c r="AO952" s="44">
        <v>46.015743000000001</v>
      </c>
      <c r="AP952" s="33">
        <f>IF(ISBLANK(AO953),"",Short2[[#This Row],[Adj Close]]/AO953-1)</f>
        <v>1.9564916587686554E-2</v>
      </c>
    </row>
    <row r="953" spans="1:42" x14ac:dyDescent="0.25">
      <c r="A953" s="37">
        <v>38425</v>
      </c>
      <c r="B953" s="39">
        <v>1189.650024</v>
      </c>
      <c r="C953" s="36">
        <f>IF(ISBLANK(B954), "", GSPC[[#This Row],[Adj Close]]/B954-1)</f>
        <v>-8.6910309166100541E-3</v>
      </c>
      <c r="D95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5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53" s="11" t="e">
        <f>IF(ISBLANK(GSPC[[#This Row],[Long Exp.]]), "", (GSPC[[#This Row],[Long Exp.]]/D954-1)+(E954/GSPC[[#This Row],[Short Exp.]]-1))</f>
        <v>#VALUE!</v>
      </c>
      <c r="G953" s="37">
        <v>38425</v>
      </c>
      <c r="H953">
        <v>15.909421999999999</v>
      </c>
      <c r="I953" s="36">
        <f>IF(ISBLANK(H954), "", Long0[[#This Row],[Adj Close]]/H954-1)</f>
        <v>7.32371843475077E-3</v>
      </c>
      <c r="J953" s="29">
        <v>38425</v>
      </c>
      <c r="K953">
        <v>1.4525870000000001</v>
      </c>
      <c r="L953" s="33">
        <f>IF(ISBLANK(K954),"",Long1[[#This Row],[Adj Close]]/K954-1)</f>
        <v>-2.7777461717474639E-2</v>
      </c>
      <c r="M953" s="37">
        <v>38425</v>
      </c>
      <c r="N953">
        <v>13.316952000000001</v>
      </c>
      <c r="O953" s="36">
        <f>IF(ISBLANK(N954),"",Long2[[#This Row],[Adj Close]]/N954-1)</f>
        <v>-2.9675243407971674E-3</v>
      </c>
      <c r="P953" s="29">
        <v>38425</v>
      </c>
      <c r="Q953">
        <v>10.976172</v>
      </c>
      <c r="R953" s="33">
        <f>IF(ISBLANK(Q954),"",Long3[[#This Row],[Adj Close]]/Q954-1)</f>
        <v>1.4134274965412086E-2</v>
      </c>
      <c r="S953" s="37">
        <v>38425</v>
      </c>
      <c r="T953" s="35">
        <v>10.725902</v>
      </c>
      <c r="U953" s="36">
        <f>IF(ISBLANK(T954),"",Long4[[#This Row],[Adj Close]]/T954-1)</f>
        <v>7.3378811412744938E-2</v>
      </c>
      <c r="Y953" s="37">
        <v>38425</v>
      </c>
      <c r="Z953" s="35">
        <v>6.6558979999999996</v>
      </c>
      <c r="AA953" s="36">
        <f>IF(ISBLANK(Z954),"",Long6[[#This Row],[Adj Close]]/Z954-1)</f>
        <v>-3.12055286175007E-2</v>
      </c>
      <c r="AH953" s="29">
        <v>38425</v>
      </c>
      <c r="AI953" s="44">
        <v>32.505671999999997</v>
      </c>
      <c r="AJ953" s="33">
        <f>IF(ISBLANK(AI954),"",Short0[[#This Row],[Adj Close]]/AI954-1)</f>
        <v>5.9795486684998789E-2</v>
      </c>
      <c r="AK953" s="37">
        <v>38425</v>
      </c>
      <c r="AL953" s="39">
        <v>21.929673999999999</v>
      </c>
      <c r="AM953" s="36">
        <f>IF(ISBLANK(AL954),"",Short1[[#This Row],[Adj Close]]/AL954-1)</f>
        <v>-1.5502673939874256E-2</v>
      </c>
      <c r="AN953" s="29">
        <v>38425</v>
      </c>
      <c r="AO953" s="44">
        <v>45.132725000000001</v>
      </c>
      <c r="AP953" s="33">
        <f>IF(ISBLANK(AO954),"",Short2[[#This Row],[Adj Close]]/AO954-1)</f>
        <v>-3.1069428024344425E-2</v>
      </c>
    </row>
    <row r="954" spans="1:42" x14ac:dyDescent="0.25">
      <c r="A954" s="37">
        <v>38418</v>
      </c>
      <c r="B954" s="39">
        <v>1200.079956</v>
      </c>
      <c r="C954" s="36">
        <f>IF(ISBLANK(B955), "", GSPC[[#This Row],[Adj Close]]/B955-1)</f>
        <v>-1.8034267576155671E-2</v>
      </c>
      <c r="D95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5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54" s="11" t="e">
        <f>IF(ISBLANK(GSPC[[#This Row],[Long Exp.]]), "", (GSPC[[#This Row],[Long Exp.]]/D955-1)+(E955/GSPC[[#This Row],[Short Exp.]]-1))</f>
        <v>#VALUE!</v>
      </c>
      <c r="G954" s="37">
        <v>38418</v>
      </c>
      <c r="H954">
        <v>15.793753000000001</v>
      </c>
      <c r="I954" s="36">
        <f>IF(ISBLANK(H955), "", Long0[[#This Row],[Adj Close]]/H955-1)</f>
        <v>5.6664978431382185E-3</v>
      </c>
      <c r="J954" s="29">
        <v>38418</v>
      </c>
      <c r="K954">
        <v>1.494089</v>
      </c>
      <c r="L954" s="33">
        <f>IF(ISBLANK(K955),"",Long1[[#This Row],[Adj Close]]/K955-1)</f>
        <v>9.3456870606754006E-3</v>
      </c>
      <c r="M954" s="37">
        <v>38418</v>
      </c>
      <c r="N954">
        <v>13.356588</v>
      </c>
      <c r="O954" s="36">
        <f>IF(ISBLANK(N955),"",Long2[[#This Row],[Adj Close]]/N955-1)</f>
        <v>-2.2621696755314225E-2</v>
      </c>
      <c r="P954" s="29">
        <v>38418</v>
      </c>
      <c r="Q954">
        <v>10.823194000000001</v>
      </c>
      <c r="R954" s="33">
        <f>IF(ISBLANK(Q955),"",Long3[[#This Row],[Adj Close]]/Q955-1)</f>
        <v>-3.2889046313267167E-2</v>
      </c>
      <c r="S954" s="37">
        <v>38418</v>
      </c>
      <c r="T954" s="35">
        <v>9.9926530000000007</v>
      </c>
      <c r="U954" s="36">
        <f>IF(ISBLANK(T955),"",Long4[[#This Row],[Adj Close]]/T955-1)</f>
        <v>-6.687898327084596E-2</v>
      </c>
      <c r="Y954" s="37">
        <v>38418</v>
      </c>
      <c r="Z954" s="35">
        <v>6.8702889999999996</v>
      </c>
      <c r="AA954" s="36">
        <f>IF(ISBLANK(Z955),"",Long6[[#This Row],[Adj Close]]/Z955-1)</f>
        <v>-6.6225224069336175E-2</v>
      </c>
      <c r="AH954" s="29">
        <v>38418</v>
      </c>
      <c r="AI954" s="44">
        <v>30.671645999999999</v>
      </c>
      <c r="AJ954" s="33">
        <f>IF(ISBLANK(AI955),"",Short0[[#This Row],[Adj Close]]/AI955-1)</f>
        <v>-4.8417351989681556E-2</v>
      </c>
      <c r="AK954" s="37">
        <v>38418</v>
      </c>
      <c r="AL954" s="39">
        <v>22.274996000000002</v>
      </c>
      <c r="AM954" s="36">
        <f>IF(ISBLANK(AL955),"",Short1[[#This Row],[Adj Close]]/AL955-1)</f>
        <v>-1.785684287589373E-2</v>
      </c>
      <c r="AN954" s="29">
        <v>38418</v>
      </c>
      <c r="AO954" s="44">
        <v>46.579937000000001</v>
      </c>
      <c r="AP954" s="33">
        <f>IF(ISBLANK(AO955),"",Short2[[#This Row],[Adj Close]]/AO955-1)</f>
        <v>-8.0683802443773822E-2</v>
      </c>
    </row>
    <row r="955" spans="1:42" x14ac:dyDescent="0.25">
      <c r="A955" s="37">
        <v>38411</v>
      </c>
      <c r="B955" s="39">
        <v>1222.119995</v>
      </c>
      <c r="C955" s="36">
        <f>IF(ISBLANK(B956), "", GSPC[[#This Row],[Adj Close]]/B956-1)</f>
        <v>8.8742498529525982E-3</v>
      </c>
      <c r="D95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5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55" s="11" t="e">
        <f>IF(ISBLANK(GSPC[[#This Row],[Long Exp.]]), "", (GSPC[[#This Row],[Long Exp.]]/D956-1)+(E956/GSPC[[#This Row],[Short Exp.]]-1))</f>
        <v>#VALUE!</v>
      </c>
      <c r="G955" s="37">
        <v>38411</v>
      </c>
      <c r="H955">
        <v>15.704762000000001</v>
      </c>
      <c r="I955" s="36">
        <f>IF(ISBLANK(H956), "", Long0[[#This Row],[Adj Close]]/H956-1)</f>
        <v>4.1912381702507329E-2</v>
      </c>
      <c r="J955" s="29">
        <v>38411</v>
      </c>
      <c r="K955">
        <v>1.4802550000000001</v>
      </c>
      <c r="L955" s="33">
        <f>IF(ISBLANK(K956),"",Long1[[#This Row],[Adj Close]]/K956-1)</f>
        <v>-3.6035637093470796E-2</v>
      </c>
      <c r="M955" s="37">
        <v>38411</v>
      </c>
      <c r="N955">
        <v>13.66573</v>
      </c>
      <c r="O955" s="36">
        <f>IF(ISBLANK(N956),"",Long2[[#This Row],[Adj Close]]/N956-1)</f>
        <v>3.605804950978464E-2</v>
      </c>
      <c r="P955" s="29">
        <v>38411</v>
      </c>
      <c r="Q955">
        <v>11.191264</v>
      </c>
      <c r="R955" s="33">
        <f>IF(ISBLANK(Q956),"",Long3[[#This Row],[Adj Close]]/Q956-1)</f>
        <v>-3.0968207903258049E-3</v>
      </c>
      <c r="S955" s="37">
        <v>38411</v>
      </c>
      <c r="T955" s="35">
        <v>10.70885</v>
      </c>
      <c r="U955" s="36">
        <f>IF(ISBLANK(T956),"",Long4[[#This Row],[Adj Close]]/T956-1)</f>
        <v>7.718719138189889E-2</v>
      </c>
      <c r="Y955" s="37">
        <v>38411</v>
      </c>
      <c r="Z955" s="35">
        <v>7.3575439999999999</v>
      </c>
      <c r="AA955" s="36">
        <f>IF(ISBLANK(Z956),"",Long6[[#This Row],[Adj Close]]/Z956-1)</f>
        <v>-3.9576118302188101E-3</v>
      </c>
      <c r="AH955" s="29">
        <v>38411</v>
      </c>
      <c r="AI955" s="44">
        <v>32.232246000000004</v>
      </c>
      <c r="AJ955" s="33">
        <f>IF(ISBLANK(AI956),"",Short0[[#This Row],[Adj Close]]/AI956-1)</f>
        <v>-3.5045875167456497E-3</v>
      </c>
      <c r="AK955" s="37">
        <v>38411</v>
      </c>
      <c r="AL955" s="39">
        <v>22.679988999999999</v>
      </c>
      <c r="AM955" s="36">
        <f>IF(ISBLANK(AL956),"",Short1[[#This Row],[Adj Close]]/AL956-1)</f>
        <v>2.9212682320599814E-2</v>
      </c>
      <c r="AN955" s="29">
        <v>38411</v>
      </c>
      <c r="AO955" s="44">
        <v>50.668025999999998</v>
      </c>
      <c r="AP955" s="33">
        <f>IF(ISBLANK(AO956),"",Short2[[#This Row],[Adj Close]]/AO956-1)</f>
        <v>-5.2970633014779445E-3</v>
      </c>
    </row>
    <row r="956" spans="1:42" x14ac:dyDescent="0.25">
      <c r="A956" s="37">
        <v>38404</v>
      </c>
      <c r="B956" s="39">
        <v>1211.369995</v>
      </c>
      <c r="C956" s="36">
        <f>IF(ISBLANK(B957), "", GSPC[[#This Row],[Adj Close]]/B957-1)</f>
        <v>8.1392399044051267E-3</v>
      </c>
      <c r="D95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5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56" s="11" t="e">
        <f>IF(ISBLANK(GSPC[[#This Row],[Long Exp.]]), "", (GSPC[[#This Row],[Long Exp.]]/D957-1)+(E957/GSPC[[#This Row],[Short Exp.]]-1))</f>
        <v>#VALUE!</v>
      </c>
      <c r="G956" s="37">
        <v>38404</v>
      </c>
      <c r="H956">
        <v>15.073016000000001</v>
      </c>
      <c r="I956" s="36">
        <f>IF(ISBLANK(H957), "", Long0[[#This Row],[Adj Close]]/H957-1)</f>
        <v>4.8916418923954819E-2</v>
      </c>
      <c r="J956" s="29">
        <v>38404</v>
      </c>
      <c r="K956">
        <v>1.5355909999999999</v>
      </c>
      <c r="L956" s="33">
        <f>IF(ISBLANK(K957),"",Long1[[#This Row],[Adj Close]]/K957-1)</f>
        <v>-5.1282098806620047E-2</v>
      </c>
      <c r="M956" s="37">
        <v>38404</v>
      </c>
      <c r="N956">
        <v>13.19012</v>
      </c>
      <c r="O956" s="36">
        <f>IF(ISBLANK(N957),"",Long2[[#This Row],[Adj Close]]/N957-1)</f>
        <v>2.6526798798686579E-2</v>
      </c>
      <c r="P956" s="29">
        <v>38404</v>
      </c>
      <c r="Q956">
        <v>11.226029</v>
      </c>
      <c r="R956" s="33">
        <f>IF(ISBLANK(Q957),"",Long3[[#This Row],[Adj Close]]/Q957-1)</f>
        <v>1.4788061617887704E-2</v>
      </c>
      <c r="S956" s="37">
        <v>38404</v>
      </c>
      <c r="T956" s="35">
        <v>9.9414940000000005</v>
      </c>
      <c r="U956" s="36">
        <f>IF(ISBLANK(T957),"",Long4[[#This Row],[Adj Close]]/T957-1)</f>
        <v>4.1071317119635742E-2</v>
      </c>
      <c r="Y956" s="37">
        <v>38404</v>
      </c>
      <c r="Z956" s="35">
        <v>7.3867779999999996</v>
      </c>
      <c r="AA956" s="36">
        <f>IF(ISBLANK(Z957),"",Long6[[#This Row],[Adj Close]]/Z957-1)</f>
        <v>-6.5531536261698164E-3</v>
      </c>
      <c r="AH956" s="29">
        <v>38404</v>
      </c>
      <c r="AI956" s="44">
        <v>32.345604000000002</v>
      </c>
      <c r="AJ956" s="33">
        <f>IF(ISBLANK(AI957),"",Short0[[#This Row],[Adj Close]]/AI957-1)</f>
        <v>-1.1213053394720784E-2</v>
      </c>
      <c r="AK956" s="37">
        <v>38404</v>
      </c>
      <c r="AL956" s="39">
        <v>22.036251</v>
      </c>
      <c r="AM956" s="36">
        <f>IF(ISBLANK(AL957),"",Short1[[#This Row],[Adj Close]]/AL957-1)</f>
        <v>-3.9932991257808581E-2</v>
      </c>
      <c r="AN956" s="29">
        <v>38404</v>
      </c>
      <c r="AO956" s="44">
        <v>50.937846999999998</v>
      </c>
      <c r="AP956" s="33">
        <f>IF(ISBLANK(AO957),"",Short2[[#This Row],[Adj Close]]/AO957-1)</f>
        <v>7.450802528360545E-2</v>
      </c>
    </row>
    <row r="957" spans="1:42" x14ac:dyDescent="0.25">
      <c r="A957" s="37">
        <v>38397</v>
      </c>
      <c r="B957" s="39">
        <v>1201.589966</v>
      </c>
      <c r="C957" s="36">
        <f>IF(ISBLANK(B958), "", GSPC[[#This Row],[Adj Close]]/B958-1)</f>
        <v>-3.078140586717848E-3</v>
      </c>
      <c r="D95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5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57" s="11" t="e">
        <f>IF(ISBLANK(GSPC[[#This Row],[Long Exp.]]), "", (GSPC[[#This Row],[Long Exp.]]/D958-1)+(E958/GSPC[[#This Row],[Short Exp.]]-1))</f>
        <v>#VALUE!</v>
      </c>
      <c r="G957" s="37">
        <v>38397</v>
      </c>
      <c r="H957">
        <v>14.370082999999999</v>
      </c>
      <c r="I957" s="36">
        <f>IF(ISBLANK(H958), "", Long0[[#This Row],[Adj Close]]/H958-1)</f>
        <v>-6.7652923911956098E-3</v>
      </c>
      <c r="J957" s="29">
        <v>38397</v>
      </c>
      <c r="K957">
        <v>1.6185959999999999</v>
      </c>
      <c r="L957" s="33">
        <f>IF(ISBLANK(K958),"",Long1[[#This Row],[Adj Close]]/K958-1)</f>
        <v>-1.6807136153657032E-2</v>
      </c>
      <c r="M957" s="37">
        <v>38397</v>
      </c>
      <c r="N957">
        <v>12.849270000000001</v>
      </c>
      <c r="O957" s="36">
        <f>IF(ISBLANK(N958),"",Long2[[#This Row],[Adj Close]]/N958-1)</f>
        <v>9.96876150280257E-3</v>
      </c>
      <c r="P957" s="29">
        <v>38397</v>
      </c>
      <c r="Q957">
        <v>11.062436999999999</v>
      </c>
      <c r="R957" s="33">
        <f>IF(ISBLANK(Q958),"",Long3[[#This Row],[Adj Close]]/Q958-1)</f>
        <v>-5.515118683513065E-3</v>
      </c>
      <c r="S957" s="37">
        <v>38397</v>
      </c>
      <c r="T957" s="35">
        <v>9.5492919999999994</v>
      </c>
      <c r="U957" s="36">
        <f>IF(ISBLANK(T958),"",Long4[[#This Row],[Adj Close]]/T958-1)</f>
        <v>-1.9264410205048543E-2</v>
      </c>
      <c r="Y957" s="37">
        <v>38397</v>
      </c>
      <c r="Z957" s="35">
        <v>7.4355039999999999</v>
      </c>
      <c r="AA957" s="36">
        <f>IF(ISBLANK(Z958),"",Long6[[#This Row],[Adj Close]]/Z958-1)</f>
        <v>-8.949894243317158E-2</v>
      </c>
      <c r="AH957" s="29">
        <v>38397</v>
      </c>
      <c r="AI957" s="44">
        <v>32.712409999999998</v>
      </c>
      <c r="AJ957" s="33">
        <f>IF(ISBLANK(AI958),"",Short0[[#This Row],[Adj Close]]/AI958-1)</f>
        <v>4.2508025142892869E-2</v>
      </c>
      <c r="AK957" s="37">
        <v>38397</v>
      </c>
      <c r="AL957" s="39">
        <v>22.952826000000002</v>
      </c>
      <c r="AM957" s="36">
        <f>IF(ISBLANK(AL958),"",Short1[[#This Row],[Adj Close]]/AL958-1)</f>
        <v>-9.3835861734051784E-3</v>
      </c>
      <c r="AN957" s="29">
        <v>38397</v>
      </c>
      <c r="AO957" s="44">
        <v>47.405738999999997</v>
      </c>
      <c r="AP957" s="33">
        <f>IF(ISBLANK(AO958),"",Short2[[#This Row],[Adj Close]]/AO958-1)</f>
        <v>6.4233242851119421E-3</v>
      </c>
    </row>
    <row r="958" spans="1:42" x14ac:dyDescent="0.25">
      <c r="A958" s="37">
        <v>38390</v>
      </c>
      <c r="B958" s="39">
        <v>1205.3000489999999</v>
      </c>
      <c r="C958" s="36">
        <f>IF(ISBLANK(B959), "", GSPC[[#This Row],[Adj Close]]/B959-1)</f>
        <v>1.8869188177179641E-3</v>
      </c>
      <c r="D95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5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58" s="11" t="e">
        <f>IF(ISBLANK(GSPC[[#This Row],[Long Exp.]]), "", (GSPC[[#This Row],[Long Exp.]]/D959-1)+(E959/GSPC[[#This Row],[Short Exp.]]-1))</f>
        <v>#VALUE!</v>
      </c>
      <c r="G958" s="37">
        <v>38390</v>
      </c>
      <c r="H958">
        <v>14.467962999999999</v>
      </c>
      <c r="I958" s="36">
        <f>IF(ISBLANK(H959), "", Long0[[#This Row],[Adj Close]]/H959-1)</f>
        <v>0</v>
      </c>
      <c r="J958" s="29">
        <v>38390</v>
      </c>
      <c r="K958">
        <v>1.6462650000000001</v>
      </c>
      <c r="L958" s="33">
        <f>IF(ISBLANK(K959),"",Long1[[#This Row],[Adj Close]]/K959-1)</f>
        <v>-4.0322693472679805E-2</v>
      </c>
      <c r="M958" s="37">
        <v>38390</v>
      </c>
      <c r="N958">
        <v>12.722443</v>
      </c>
      <c r="O958" s="36">
        <f>IF(ISBLANK(N959),"",Long2[[#This Row],[Adj Close]]/N959-1)</f>
        <v>-1.4127658506084217E-2</v>
      </c>
      <c r="P958" s="29">
        <v>38390</v>
      </c>
      <c r="Q958">
        <v>11.123786000000001</v>
      </c>
      <c r="R958" s="33">
        <f>IF(ISBLANK(Q959),"",Long3[[#This Row],[Adj Close]]/Q959-1)</f>
        <v>-2.456522429205521E-2</v>
      </c>
      <c r="S958" s="37">
        <v>38390</v>
      </c>
      <c r="T958" s="35">
        <v>9.7368670000000002</v>
      </c>
      <c r="U958" s="36">
        <f>IF(ISBLANK(T959),"",Long4[[#This Row],[Adj Close]]/T959-1)</f>
        <v>-2.620142533951042E-3</v>
      </c>
      <c r="Y958" s="37">
        <v>38390</v>
      </c>
      <c r="Z958" s="35">
        <v>8.1663870000000003</v>
      </c>
      <c r="AA958" s="36">
        <f>IF(ISBLANK(Z959),"",Long6[[#This Row],[Adj Close]]/Z959-1)</f>
        <v>9.1145770353694422E-2</v>
      </c>
      <c r="AH958" s="29">
        <v>38390</v>
      </c>
      <c r="AI958" s="44">
        <v>31.378568999999999</v>
      </c>
      <c r="AJ958" s="33">
        <f>IF(ISBLANK(AI959),"",Short0[[#This Row],[Adj Close]]/AI959-1)</f>
        <v>-1.1970096783485484E-2</v>
      </c>
      <c r="AK958" s="37">
        <v>38390</v>
      </c>
      <c r="AL958" s="39">
        <v>23.170245999999999</v>
      </c>
      <c r="AM958" s="36">
        <f>IF(ISBLANK(AL959),"",Short1[[#This Row],[Adj Close]]/AL959-1)</f>
        <v>-2.7728331296983599E-2</v>
      </c>
      <c r="AN958" s="29">
        <v>38390</v>
      </c>
      <c r="AO958" s="44">
        <v>47.103180000000002</v>
      </c>
      <c r="AP958" s="33">
        <f>IF(ISBLANK(AO959),"",Short2[[#This Row],[Adj Close]]/AO959-1)</f>
        <v>-3.1240448027831214E-2</v>
      </c>
    </row>
    <row r="959" spans="1:42" x14ac:dyDescent="0.25">
      <c r="A959" s="37">
        <v>38383</v>
      </c>
      <c r="B959" s="39">
        <v>1203.030029</v>
      </c>
      <c r="C959" s="36">
        <f>IF(ISBLANK(B960), "", GSPC[[#This Row],[Adj Close]]/B960-1)</f>
        <v>2.7036986413702557E-2</v>
      </c>
      <c r="D95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5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59" s="11" t="e">
        <f>IF(ISBLANK(GSPC[[#This Row],[Long Exp.]]), "", (GSPC[[#This Row],[Long Exp.]]/D960-1)+(E960/GSPC[[#This Row],[Short Exp.]]-1))</f>
        <v>#VALUE!</v>
      </c>
      <c r="G959" s="37">
        <v>38383</v>
      </c>
      <c r="H959">
        <v>14.467962999999999</v>
      </c>
      <c r="I959" s="36">
        <f>IF(ISBLANK(H960), "", Long0[[#This Row],[Adj Close]]/H960-1)</f>
        <v>-2.0482117930517463E-2</v>
      </c>
      <c r="J959" s="29">
        <v>38383</v>
      </c>
      <c r="K959">
        <v>1.715436</v>
      </c>
      <c r="L959" s="33">
        <f>IF(ISBLANK(K960),"",Long1[[#This Row],[Adj Close]]/K960-1)</f>
        <v>-7.9999074754087962E-3</v>
      </c>
      <c r="M959" s="37">
        <v>38383</v>
      </c>
      <c r="N959">
        <v>12.904757</v>
      </c>
      <c r="O959" s="36">
        <f>IF(ISBLANK(N960),"",Long2[[#This Row],[Adj Close]]/N960-1)</f>
        <v>3.2339844516532157E-2</v>
      </c>
      <c r="P959" s="29">
        <v>38383</v>
      </c>
      <c r="Q959">
        <v>11.403926</v>
      </c>
      <c r="R959" s="33">
        <f>IF(ISBLANK(Q960),"",Long3[[#This Row],[Adj Close]]/Q960-1)</f>
        <v>4.0485399990036752E-2</v>
      </c>
      <c r="S959" s="37">
        <v>38383</v>
      </c>
      <c r="T959" s="35">
        <v>9.7624460000000006</v>
      </c>
      <c r="U959" s="36">
        <f>IF(ISBLANK(T960),"",Long4[[#This Row],[Adj Close]]/T960-1)</f>
        <v>9.8848389262258696E-2</v>
      </c>
      <c r="Y959" s="37">
        <v>38383</v>
      </c>
      <c r="Z959" s="35">
        <v>7.4842310000000003</v>
      </c>
      <c r="AA959" s="36">
        <f>IF(ISBLANK(Z960),"",Long6[[#This Row],[Adj Close]]/Z960-1)</f>
        <v>3.921665943438013E-3</v>
      </c>
      <c r="AH959" s="29">
        <v>38383</v>
      </c>
      <c r="AI959" s="44">
        <v>31.758724000000001</v>
      </c>
      <c r="AJ959" s="33">
        <f>IF(ISBLANK(AI960),"",Short0[[#This Row],[Adj Close]]/AI960-1)</f>
        <v>0.1284361925061579</v>
      </c>
      <c r="AK959" s="37">
        <v>38383</v>
      </c>
      <c r="AL959" s="39">
        <v>23.831040999999999</v>
      </c>
      <c r="AM959" s="36">
        <f>IF(ISBLANK(AL960),"",Short1[[#This Row],[Adj Close]]/AL960-1)</f>
        <v>3.7106150249532011E-2</v>
      </c>
      <c r="AN959" s="29">
        <v>38383</v>
      </c>
      <c r="AO959" s="44">
        <v>48.622157999999999</v>
      </c>
      <c r="AP959" s="33">
        <f>IF(ISBLANK(AO960),"",Short2[[#This Row],[Adj Close]]/AO960-1)</f>
        <v>5.9544706694454108E-2</v>
      </c>
    </row>
    <row r="960" spans="1:42" x14ac:dyDescent="0.25">
      <c r="A960" s="37">
        <v>38376</v>
      </c>
      <c r="B960" s="39">
        <v>1171.3599850000001</v>
      </c>
      <c r="C960" s="36">
        <f>IF(ISBLANK(B961), "", GSPC[[#This Row],[Adj Close]]/B961-1)</f>
        <v>2.9883377558648228E-3</v>
      </c>
      <c r="D96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6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60" s="11" t="e">
        <f>IF(ISBLANK(GSPC[[#This Row],[Long Exp.]]), "", (GSPC[[#This Row],[Long Exp.]]/D961-1)+(E961/GSPC[[#This Row],[Short Exp.]]-1))</f>
        <v>#VALUE!</v>
      </c>
      <c r="G960" s="37">
        <v>38376</v>
      </c>
      <c r="H960">
        <v>14.770493999999999</v>
      </c>
      <c r="I960" s="36">
        <f>IF(ISBLANK(H961), "", Long0[[#This Row],[Adj Close]]/H961-1)</f>
        <v>3.0212543077710041E-3</v>
      </c>
      <c r="J960" s="29">
        <v>38376</v>
      </c>
      <c r="K960">
        <v>1.7292700000000001</v>
      </c>
      <c r="L960" s="33">
        <f>IF(ISBLANK(K961),"",Long1[[#This Row],[Adj Close]]/K961-1)</f>
        <v>-7.9364168747245722E-3</v>
      </c>
      <c r="M960" s="37">
        <v>38376</v>
      </c>
      <c r="N960">
        <v>12.500493000000001</v>
      </c>
      <c r="O960" s="36">
        <f>IF(ISBLANK(N961),"",Long2[[#This Row],[Adj Close]]/N961-1)</f>
        <v>8.9569241619591455E-3</v>
      </c>
      <c r="P960" s="29">
        <v>38376</v>
      </c>
      <c r="Q960">
        <v>10.960198</v>
      </c>
      <c r="R960" s="33">
        <f>IF(ISBLANK(Q961),"",Long3[[#This Row],[Adj Close]]/Q961-1)</f>
        <v>2.1146766232889025E-2</v>
      </c>
      <c r="S960" s="37">
        <v>38376</v>
      </c>
      <c r="T960" s="35">
        <v>8.884252</v>
      </c>
      <c r="U960" s="36">
        <f>IF(ISBLANK(T961),"",Long4[[#This Row],[Adj Close]]/T961-1)</f>
        <v>3.3730011900822365E-2</v>
      </c>
      <c r="Y960" s="37">
        <v>38376</v>
      </c>
      <c r="Z960" s="35">
        <v>7.4549950000000003</v>
      </c>
      <c r="AA960" s="36">
        <f>IF(ISBLANK(Z961),"",Long6[[#This Row],[Adj Close]]/Z961-1)</f>
        <v>-1.1627930100901462E-2</v>
      </c>
      <c r="AH960" s="29">
        <v>38376</v>
      </c>
      <c r="AI960" s="44">
        <v>28.144013999999999</v>
      </c>
      <c r="AJ960" s="33">
        <f>IF(ISBLANK(AI961),"",Short0[[#This Row],[Adj Close]]/AI961-1)</f>
        <v>-1.9744729032033614E-2</v>
      </c>
      <c r="AK960" s="37">
        <v>38376</v>
      </c>
      <c r="AL960" s="39">
        <v>22.978401000000002</v>
      </c>
      <c r="AM960" s="36">
        <f>IF(ISBLANK(AL961),"",Short1[[#This Row],[Adj Close]]/AL961-1)</f>
        <v>-3.4050573367450654E-2</v>
      </c>
      <c r="AN960" s="29">
        <v>38376</v>
      </c>
      <c r="AO960" s="44">
        <v>45.889671</v>
      </c>
      <c r="AP960" s="33">
        <f>IF(ISBLANK(AO961),"",Short2[[#This Row],[Adj Close]]/AO961-1)</f>
        <v>2.6454762892730077E-2</v>
      </c>
    </row>
    <row r="961" spans="1:42" x14ac:dyDescent="0.25">
      <c r="A961" s="37">
        <v>38369</v>
      </c>
      <c r="B961" s="39">
        <v>1167.869995</v>
      </c>
      <c r="C961" s="36">
        <f>IF(ISBLANK(B962), "", GSPC[[#This Row],[Adj Close]]/B962-1)</f>
        <v>-1.4056347481573139E-2</v>
      </c>
      <c r="D96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6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61" s="11" t="e">
        <f>IF(ISBLANK(GSPC[[#This Row],[Long Exp.]]), "", (GSPC[[#This Row],[Long Exp.]]/D962-1)+(E962/GSPC[[#This Row],[Short Exp.]]-1))</f>
        <v>#VALUE!</v>
      </c>
      <c r="G961" s="37">
        <v>38369</v>
      </c>
      <c r="H961">
        <v>14.726003</v>
      </c>
      <c r="I961" s="36">
        <f>IF(ISBLANK(H962), "", Long0[[#This Row],[Adj Close]]/H962-1)</f>
        <v>-3.8349636958450617E-2</v>
      </c>
      <c r="J961" s="29">
        <v>38369</v>
      </c>
      <c r="K961">
        <v>1.743104</v>
      </c>
      <c r="L961" s="33">
        <f>IF(ISBLANK(K962),"",Long1[[#This Row],[Adj Close]]/K962-1)</f>
        <v>-9.9999896735925908E-2</v>
      </c>
      <c r="M961" s="37">
        <v>38369</v>
      </c>
      <c r="N961">
        <v>12.389521</v>
      </c>
      <c r="O961" s="36">
        <f>IF(ISBLANK(N962),"",Long2[[#This Row],[Adj Close]]/N962-1)</f>
        <v>7.0880115152245349E-3</v>
      </c>
      <c r="P961" s="29">
        <v>38369</v>
      </c>
      <c r="Q961">
        <v>10.733224999999999</v>
      </c>
      <c r="R961" s="33">
        <f>IF(ISBLANK(Q962),"",Long3[[#This Row],[Adj Close]]/Q962-1)</f>
        <v>-1.0742614135955009E-2</v>
      </c>
      <c r="S961" s="37">
        <v>38369</v>
      </c>
      <c r="T961" s="35">
        <v>8.5943640000000006</v>
      </c>
      <c r="U961" s="36">
        <f>IF(ISBLANK(T962),"",Long4[[#This Row],[Adj Close]]/T962-1)</f>
        <v>5.0000073303858805E-2</v>
      </c>
      <c r="Y961" s="37">
        <v>38369</v>
      </c>
      <c r="Z961" s="35">
        <v>7.5427010000000001</v>
      </c>
      <c r="AA961" s="36">
        <f>IF(ISBLANK(Z962),"",Long6[[#This Row],[Adj Close]]/Z962-1)</f>
        <v>-3.2499952219534056E-2</v>
      </c>
      <c r="AH961" s="29">
        <v>38369</v>
      </c>
      <c r="AI961" s="44">
        <v>28.710902999999998</v>
      </c>
      <c r="AJ961" s="33">
        <f>IF(ISBLANK(AI962),"",Short0[[#This Row],[Adj Close]]/AI962-1)</f>
        <v>-8.0645512353613169E-3</v>
      </c>
      <c r="AK961" s="37">
        <v>38369</v>
      </c>
      <c r="AL961" s="39">
        <v>23.788409999999999</v>
      </c>
      <c r="AM961" s="36">
        <f>IF(ISBLANK(AL962),"",Short1[[#This Row],[Adj Close]]/AL962-1)</f>
        <v>-2.821287800817629E-2</v>
      </c>
      <c r="AN961" s="29">
        <v>38369</v>
      </c>
      <c r="AO961" s="44">
        <v>44.706958999999998</v>
      </c>
      <c r="AP961" s="33">
        <f>IF(ISBLANK(AO962),"",Short2[[#This Row],[Adj Close]]/AO962-1)</f>
        <v>-4.727938206654958E-2</v>
      </c>
    </row>
    <row r="962" spans="1:42" x14ac:dyDescent="0.25">
      <c r="A962" s="37">
        <v>38362</v>
      </c>
      <c r="B962" s="39">
        <v>1184.5200199999999</v>
      </c>
      <c r="C962" s="36">
        <f>IF(ISBLANK(B963), "", GSPC[[#This Row],[Adj Close]]/B963-1)</f>
        <v>-1.4078023613928181E-3</v>
      </c>
      <c r="D96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6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62" s="11" t="e">
        <f>IF(ISBLANK(GSPC[[#This Row],[Long Exp.]]), "", (GSPC[[#This Row],[Long Exp.]]/D963-1)+(E963/GSPC[[#This Row],[Short Exp.]]-1))</f>
        <v>#VALUE!</v>
      </c>
      <c r="G962" s="37">
        <v>38362</v>
      </c>
      <c r="H962">
        <v>15.313261000000001</v>
      </c>
      <c r="I962" s="36">
        <f>IF(ISBLANK(H963), "", Long0[[#This Row],[Adj Close]]/H963-1)</f>
        <v>4.6701637401409535E-3</v>
      </c>
      <c r="J962" s="29">
        <v>38362</v>
      </c>
      <c r="K962">
        <v>1.936782</v>
      </c>
      <c r="L962" s="33">
        <f>IF(ISBLANK(K963),"",Long1[[#This Row],[Adj Close]]/K963-1)</f>
        <v>7.6923333555748208E-2</v>
      </c>
      <c r="M962" s="37">
        <v>38362</v>
      </c>
      <c r="N962">
        <v>12.302322</v>
      </c>
      <c r="O962" s="36">
        <f>IF(ISBLANK(N963),"",Long2[[#This Row],[Adj Close]]/N963-1)</f>
        <v>2.577648296781998E-2</v>
      </c>
      <c r="P962" s="29">
        <v>38362</v>
      </c>
      <c r="Q962">
        <v>10.849780000000001</v>
      </c>
      <c r="R962" s="33">
        <f>IF(ISBLANK(Q963),"",Long3[[#This Row],[Adj Close]]/Q963-1)</f>
        <v>3.75439793688086E-2</v>
      </c>
      <c r="S962" s="37">
        <v>38362</v>
      </c>
      <c r="T962" s="35">
        <v>8.1851079999999996</v>
      </c>
      <c r="U962" s="36">
        <f>IF(ISBLANK(T963),"",Long4[[#This Row],[Adj Close]]/T963-1)</f>
        <v>5.7269129892550064E-2</v>
      </c>
      <c r="Y962" s="37">
        <v>38362</v>
      </c>
      <c r="Z962" s="35">
        <v>7.7960729999999998</v>
      </c>
      <c r="AA962" s="36">
        <f>IF(ISBLANK(Z963),"",Long6[[#This Row],[Adj Close]]/Z963-1)</f>
        <v>-3.147695275885487E-2</v>
      </c>
      <c r="AH962" s="29">
        <v>38362</v>
      </c>
      <c r="AI962" s="44">
        <v>28.944326</v>
      </c>
      <c r="AJ962" s="33">
        <f>IF(ISBLANK(AI963),"",Short0[[#This Row],[Adj Close]]/AI963-1)</f>
        <v>-4.720078716972087E-2</v>
      </c>
      <c r="AK962" s="37">
        <v>38362</v>
      </c>
      <c r="AL962" s="39">
        <v>24.479033999999999</v>
      </c>
      <c r="AM962" s="36">
        <f>IF(ISBLANK(AL963),"",Short1[[#This Row],[Adj Close]]/AL963-1)</f>
        <v>4.290211917723008E-2</v>
      </c>
      <c r="AN962" s="29">
        <v>38362</v>
      </c>
      <c r="AO962" s="44">
        <v>46.925570999999998</v>
      </c>
      <c r="AP962" s="33">
        <f>IF(ISBLANK(AO963),"",Short2[[#This Row],[Adj Close]]/AO963-1)</f>
        <v>6.7941388175368767E-2</v>
      </c>
    </row>
    <row r="963" spans="1:42" x14ac:dyDescent="0.25">
      <c r="A963" s="37">
        <v>38355</v>
      </c>
      <c r="B963" s="39">
        <v>1186.1899410000001</v>
      </c>
      <c r="C963" s="36">
        <f>IF(ISBLANK(B964), "", GSPC[[#This Row],[Adj Close]]/B964-1)</f>
        <v>-2.123085852683515E-2</v>
      </c>
      <c r="D96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6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63" s="11" t="e">
        <f>IF(ISBLANK(GSPC[[#This Row],[Long Exp.]]), "", (GSPC[[#This Row],[Long Exp.]]/D964-1)+(E964/GSPC[[#This Row],[Short Exp.]]-1))</f>
        <v>#VALUE!</v>
      </c>
      <c r="G963" s="37">
        <v>38355</v>
      </c>
      <c r="H963">
        <v>15.242077999999999</v>
      </c>
      <c r="I963" s="36">
        <f>IF(ISBLANK(H964), "", Long0[[#This Row],[Adj Close]]/H964-1)</f>
        <v>-2.945050573125596E-2</v>
      </c>
      <c r="J963" s="29">
        <v>38355</v>
      </c>
      <c r="K963">
        <v>1.79844</v>
      </c>
      <c r="L963" s="33">
        <f>IF(ISBLANK(K964),"",Long1[[#This Row],[Adj Close]]/K964-1)</f>
        <v>-0.13333371885246381</v>
      </c>
      <c r="M963" s="37">
        <v>38355</v>
      </c>
      <c r="N963">
        <v>11.993180000000001</v>
      </c>
      <c r="O963" s="36">
        <f>IF(ISBLANK(N964),"",Long2[[#This Row],[Adj Close]]/N964-1)</f>
        <v>-7.2916751214493258E-2</v>
      </c>
      <c r="P963" s="29">
        <v>38355</v>
      </c>
      <c r="Q963">
        <v>10.457176</v>
      </c>
      <c r="R963" s="33">
        <f>IF(ISBLANK(Q964),"",Long3[[#This Row],[Adj Close]]/Q964-1)</f>
        <v>-4.0165158205325402E-2</v>
      </c>
      <c r="S963" s="37">
        <v>38355</v>
      </c>
      <c r="T963" s="35">
        <v>7.7417449999999999</v>
      </c>
      <c r="U963" s="36">
        <f>IF(ISBLANK(T964),"",Long4[[#This Row],[Adj Close]]/T964-1)</f>
        <v>-6.2951700117237719E-2</v>
      </c>
      <c r="Y963" s="37">
        <v>38355</v>
      </c>
      <c r="Z963" s="35">
        <v>8.0494450000000004</v>
      </c>
      <c r="AA963" s="36">
        <f>IF(ISBLANK(Z964),"",Long6[[#This Row],[Adj Close]]/Z964-1)</f>
        <v>-8.2222356256134832E-2</v>
      </c>
      <c r="AH963" s="29">
        <v>38355</v>
      </c>
      <c r="AI963" s="44">
        <v>30.378201000000001</v>
      </c>
      <c r="AJ963" s="33">
        <f>IF(ISBLANK(AI964),"",Short0[[#This Row],[Adj Close]]/AI964-1)</f>
        <v>-5.1041526420437133E-2</v>
      </c>
      <c r="AK963" s="37">
        <v>38355</v>
      </c>
      <c r="AL963" s="39">
        <v>23.472034000000001</v>
      </c>
      <c r="AM963" s="36">
        <f>IF(ISBLANK(AL964),"",Short1[[#This Row],[Adj Close]]/AL964-1)</f>
        <v>-7.1692911777376911E-2</v>
      </c>
      <c r="AN963" s="29">
        <v>38355</v>
      </c>
      <c r="AO963" s="44">
        <v>43.940212000000002</v>
      </c>
      <c r="AP963" s="33">
        <f>IF(ISBLANK(AO964),"",Short2[[#This Row],[Adj Close]]/AO964-1)</f>
        <v>-4.9577160129923969E-2</v>
      </c>
    </row>
    <row r="964" spans="1:42" x14ac:dyDescent="0.25">
      <c r="A964" s="37">
        <v>38348</v>
      </c>
      <c r="B964" s="39">
        <v>1211.920044</v>
      </c>
      <c r="C964" s="36">
        <f>IF(ISBLANK(B965), "", GSPC[[#This Row],[Adj Close]]/B965-1)</f>
        <v>1.479212144648745E-3</v>
      </c>
      <c r="D96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6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64" s="11" t="e">
        <f>IF(ISBLANK(GSPC[[#This Row],[Long Exp.]]), "", (GSPC[[#This Row],[Long Exp.]]/D965-1)+(E965/GSPC[[#This Row],[Short Exp.]]-1))</f>
        <v>#VALUE!</v>
      </c>
      <c r="G964" s="37">
        <v>38348</v>
      </c>
      <c r="H964">
        <v>15.704586000000001</v>
      </c>
      <c r="I964" s="36">
        <f>IF(ISBLANK(H965), "", Long0[[#This Row],[Adj Close]]/H965-1)</f>
        <v>-7.2991510335075338E-3</v>
      </c>
      <c r="J964" s="29">
        <v>38348</v>
      </c>
      <c r="K964">
        <v>2.0751240000000002</v>
      </c>
      <c r="L964" s="33">
        <f>IF(ISBLANK(K965),"",Long1[[#This Row],[Adj Close]]/K965-1)</f>
        <v>0.11940325076856606</v>
      </c>
      <c r="M964" s="37">
        <v>38348</v>
      </c>
      <c r="N964">
        <v>12.936465</v>
      </c>
      <c r="O964" s="36">
        <f>IF(ISBLANK(N965),"",Long2[[#This Row],[Adj Close]]/N965-1)</f>
        <v>-6.0903206772418006E-3</v>
      </c>
      <c r="P964" s="29">
        <v>38348</v>
      </c>
      <c r="Q964">
        <v>10.894766000000001</v>
      </c>
      <c r="R964" s="33">
        <f>IF(ISBLANK(Q965),"",Long3[[#This Row],[Adj Close]]/Q965-1)</f>
        <v>-6.155944824825621E-3</v>
      </c>
      <c r="S964" s="37">
        <v>38348</v>
      </c>
      <c r="T964" s="35">
        <v>8.2618419999999997</v>
      </c>
      <c r="U964" s="36">
        <f>IF(ISBLANK(T965),"",Long4[[#This Row],[Adj Close]]/T965-1)</f>
        <v>-3.3898396254700147E-2</v>
      </c>
      <c r="Y964" s="37">
        <v>38348</v>
      </c>
      <c r="Z964" s="35">
        <v>8.7705830000000002</v>
      </c>
      <c r="AA964" s="36">
        <f>IF(ISBLANK(Z965),"",Long6[[#This Row],[Adj Close]]/Z965-1)</f>
        <v>1.2373451630407484E-2</v>
      </c>
      <c r="AH964" s="29">
        <v>38348</v>
      </c>
      <c r="AI964" s="44">
        <v>32.012149999999998</v>
      </c>
      <c r="AJ964" s="33">
        <f>IF(ISBLANK(AI965),"",Short0[[#This Row],[Adj Close]]/AI965-1)</f>
        <v>-1.0309097953465463E-2</v>
      </c>
      <c r="AK964" s="37">
        <v>38348</v>
      </c>
      <c r="AL964" s="39">
        <v>25.284773000000001</v>
      </c>
      <c r="AM964" s="36">
        <f>IF(ISBLANK(AL965),"",Short1[[#This Row],[Adj Close]]/AL965-1)</f>
        <v>2.5720564516881428E-2</v>
      </c>
      <c r="AN964" s="29">
        <v>38348</v>
      </c>
      <c r="AO964" s="44">
        <v>46.232277000000003</v>
      </c>
      <c r="AP964" s="33">
        <f>IF(ISBLANK(AO965),"",Short2[[#This Row],[Adj Close]]/AO965-1)</f>
        <v>3.1108227510552977E-2</v>
      </c>
    </row>
    <row r="965" spans="1:42" x14ac:dyDescent="0.25">
      <c r="A965" s="37">
        <v>38341</v>
      </c>
      <c r="B965" s="39">
        <v>1210.130005</v>
      </c>
      <c r="C965" s="36">
        <f>IF(ISBLANK(B966), "", GSPC[[#This Row],[Adj Close]]/B966-1)</f>
        <v>1.3339519890836149E-2</v>
      </c>
      <c r="D96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6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65" s="11" t="e">
        <f>IF(ISBLANK(GSPC[[#This Row],[Long Exp.]]), "", (GSPC[[#This Row],[Long Exp.]]/D966-1)+(E966/GSPC[[#This Row],[Short Exp.]]-1))</f>
        <v>#VALUE!</v>
      </c>
      <c r="G965" s="37">
        <v>38341</v>
      </c>
      <c r="H965">
        <v>15.820059000000001</v>
      </c>
      <c r="I965" s="36">
        <f>IF(ISBLANK(H966), "", Long0[[#This Row],[Adj Close]]/H966-1)</f>
        <v>-1.0555618481426166E-2</v>
      </c>
      <c r="J965" s="29">
        <v>38341</v>
      </c>
      <c r="K965">
        <v>1.853777</v>
      </c>
      <c r="L965" s="33">
        <f>IF(ISBLANK(K966),"",Long1[[#This Row],[Adj Close]]/K966-1)</f>
        <v>8.9431071091284009E-2</v>
      </c>
      <c r="M965" s="37">
        <v>38341</v>
      </c>
      <c r="N965">
        <v>13.015734999999999</v>
      </c>
      <c r="O965" s="36">
        <f>IF(ISBLANK(N966),"",Long2[[#This Row],[Adj Close]]/N966-1)</f>
        <v>-4.2565438409649436E-2</v>
      </c>
      <c r="P965" s="29">
        <v>38341</v>
      </c>
      <c r="Q965">
        <v>10.962249</v>
      </c>
      <c r="R965" s="33">
        <f>IF(ISBLANK(Q966),"",Long3[[#This Row],[Adj Close]]/Q966-1)</f>
        <v>1.8233980989867726E-2</v>
      </c>
      <c r="S965" s="37">
        <v>38341</v>
      </c>
      <c r="T965" s="35">
        <v>8.5517319999999994</v>
      </c>
      <c r="U965" s="36">
        <f>IF(ISBLANK(T966),"",Long4[[#This Row],[Adj Close]]/T966-1)</f>
        <v>7.043741481262944E-2</v>
      </c>
      <c r="Y965" s="37">
        <v>38341</v>
      </c>
      <c r="Z965" s="35">
        <v>8.6633870000000002</v>
      </c>
      <c r="AA965" s="36">
        <f>IF(ISBLANK(Z966),"",Long6[[#This Row],[Adj Close]]/Z966-1)</f>
        <v>-1.0022064677421394E-2</v>
      </c>
      <c r="AH965" s="29">
        <v>38341</v>
      </c>
      <c r="AI965" s="44">
        <v>32.345604000000002</v>
      </c>
      <c r="AJ965" s="33">
        <f>IF(ISBLANK(AI966),"",Short0[[#This Row],[Adj Close]]/AI966-1)</f>
        <v>-8.4905905923124192E-2</v>
      </c>
      <c r="AK965" s="37">
        <v>38341</v>
      </c>
      <c r="AL965" s="39">
        <v>24.650742000000001</v>
      </c>
      <c r="AM965" s="36">
        <f>IF(ISBLANK(AL966),"",Short1[[#This Row],[Adj Close]]/AL966-1)</f>
        <v>2.4402826452185389E-2</v>
      </c>
      <c r="AN965" s="29">
        <v>38341</v>
      </c>
      <c r="AO965" s="44">
        <v>44.837463</v>
      </c>
      <c r="AP965" s="33">
        <f>IF(ISBLANK(AO966),"",Short2[[#This Row],[Adj Close]]/AO966-1)</f>
        <v>1.6401780697103963E-3</v>
      </c>
    </row>
    <row r="966" spans="1:42" x14ac:dyDescent="0.25">
      <c r="A966" s="37">
        <v>38334</v>
      </c>
      <c r="B966" s="39">
        <v>1194.1999510000001</v>
      </c>
      <c r="C966" s="36">
        <f>IF(ISBLANK(B967), "", GSPC[[#This Row],[Adj Close]]/B967-1)</f>
        <v>5.2188139730640071E-3</v>
      </c>
      <c r="D96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6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66" s="11" t="e">
        <f>IF(ISBLANK(GSPC[[#This Row],[Long Exp.]]), "", (GSPC[[#This Row],[Long Exp.]]/D967-1)+(E967/GSPC[[#This Row],[Short Exp.]]-1))</f>
        <v>#VALUE!</v>
      </c>
      <c r="G966" s="37">
        <v>38334</v>
      </c>
      <c r="H966">
        <v>15.988830999999999</v>
      </c>
      <c r="I966" s="36">
        <f>IF(ISBLANK(H967), "", Long0[[#This Row],[Adj Close]]/H967-1)</f>
        <v>0</v>
      </c>
      <c r="J966" s="29">
        <v>38334</v>
      </c>
      <c r="K966">
        <v>1.7016009999999999</v>
      </c>
      <c r="L966" s="33">
        <f>IF(ISBLANK(K967),"",Long1[[#This Row],[Adj Close]]/K967-1)</f>
        <v>8.8495195936696192E-2</v>
      </c>
      <c r="M966" s="37">
        <v>38334</v>
      </c>
      <c r="N966">
        <v>13.594386</v>
      </c>
      <c r="O966" s="36">
        <f>IF(ISBLANK(N967),"",Long2[[#This Row],[Adj Close]]/N967-1)</f>
        <v>-1.5499468476056766E-2</v>
      </c>
      <c r="P966" s="29">
        <v>38334</v>
      </c>
      <c r="Q966">
        <v>10.765943</v>
      </c>
      <c r="R966" s="33">
        <f>IF(ISBLANK(Q967),"",Long3[[#This Row],[Adj Close]]/Q967-1)</f>
        <v>5.7268073968696598E-2</v>
      </c>
      <c r="S966" s="37">
        <v>38334</v>
      </c>
      <c r="T966" s="35">
        <v>7.989007</v>
      </c>
      <c r="U966" s="36">
        <f>IF(ISBLANK(T967),"",Long4[[#This Row],[Adj Close]]/T967-1)</f>
        <v>-2.3958266647184034E-2</v>
      </c>
      <c r="Y966" s="37">
        <v>38334</v>
      </c>
      <c r="Z966" s="35">
        <v>8.7510910000000006</v>
      </c>
      <c r="AA966" s="36">
        <f>IF(ISBLANK(Z967),"",Long6[[#This Row],[Adj Close]]/Z967-1)</f>
        <v>8.7167003439367674E-2</v>
      </c>
      <c r="AH966" s="29">
        <v>38334</v>
      </c>
      <c r="AI966" s="44">
        <v>35.346752000000002</v>
      </c>
      <c r="AJ966" s="33" t="str">
        <f>IF(ISBLANK(AI967),"",Short0[[#This Row],[Adj Close]]/AI967-1)</f>
        <v/>
      </c>
      <c r="AK966" s="37">
        <v>38334</v>
      </c>
      <c r="AL966" s="39">
        <v>24.063524000000001</v>
      </c>
      <c r="AM966" s="36">
        <f>IF(ISBLANK(AL967),"",Short1[[#This Row],[Adj Close]]/AL967-1)</f>
        <v>-4.7517179891003458E-3</v>
      </c>
      <c r="AN966" s="29">
        <v>38334</v>
      </c>
      <c r="AO966" s="44">
        <v>44.764042000000003</v>
      </c>
      <c r="AP966" s="33">
        <f>IF(ISBLANK(AO967),"",Short2[[#This Row],[Adj Close]]/AO967-1)</f>
        <v>9.5190334403885579E-2</v>
      </c>
    </row>
    <row r="967" spans="1:42" x14ac:dyDescent="0.25">
      <c r="A967" s="37">
        <v>38327</v>
      </c>
      <c r="B967" s="39">
        <v>1188</v>
      </c>
      <c r="C967" s="36">
        <f>IF(ISBLANK(B968), "", GSPC[[#This Row],[Adj Close]]/B968-1)</f>
        <v>-2.661285864237195E-3</v>
      </c>
      <c r="D96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6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67" s="11" t="e">
        <f>IF(ISBLANK(GSPC[[#This Row],[Long Exp.]]), "", (GSPC[[#This Row],[Long Exp.]]/D968-1)+(E968/GSPC[[#This Row],[Short Exp.]]-1))</f>
        <v>#VALUE!</v>
      </c>
      <c r="G967" s="37">
        <v>38327</v>
      </c>
      <c r="H967">
        <v>15.988830999999999</v>
      </c>
      <c r="I967" s="36">
        <f>IF(ISBLANK(H968), "", Long0[[#This Row],[Adj Close]]/H968-1)</f>
        <v>-1.9073753868776411E-2</v>
      </c>
      <c r="J967" s="29">
        <v>38327</v>
      </c>
      <c r="K967">
        <v>1.5632600000000001</v>
      </c>
      <c r="L967" s="33">
        <f>IF(ISBLANK(K968),"",Long1[[#This Row],[Adj Close]]/K968-1)</f>
        <v>2.727307973612092E-2</v>
      </c>
      <c r="M967" s="37">
        <v>38327</v>
      </c>
      <c r="N967">
        <v>13.808408999999999</v>
      </c>
      <c r="O967" s="36">
        <f>IF(ISBLANK(N968),"",Long2[[#This Row],[Adj Close]]/N968-1)</f>
        <v>-5.0681374436255755E-2</v>
      </c>
      <c r="P967" s="29">
        <v>38327</v>
      </c>
      <c r="Q967">
        <v>10.182793999999999</v>
      </c>
      <c r="R967" s="33">
        <f>IF(ISBLANK(Q968),"",Long3[[#This Row],[Adj Close]]/Q968-1)</f>
        <v>-2.6943684193979633E-2</v>
      </c>
      <c r="S967" s="37">
        <v>38327</v>
      </c>
      <c r="T967" s="35">
        <v>8.1851079999999996</v>
      </c>
      <c r="U967" s="36">
        <f>IF(ISBLANK(T968),"",Long4[[#This Row],[Adj Close]]/T968-1)</f>
        <v>-2.6368935762133172E-2</v>
      </c>
      <c r="Y967" s="37">
        <v>38327</v>
      </c>
      <c r="Z967" s="35">
        <v>8.0494450000000004</v>
      </c>
      <c r="AA967" s="36">
        <f>IF(ISBLANK(Z968),"",Long6[[#This Row],[Adj Close]]/Z968-1)</f>
        <v>-0.12034085918134041</v>
      </c>
      <c r="AK967" s="37">
        <v>38327</v>
      </c>
      <c r="AL967" s="39">
        <v>24.178412999999999</v>
      </c>
      <c r="AM967" s="36">
        <f>IF(ISBLANK(AL968),"",Short1[[#This Row],[Adj Close]]/AL968-1)</f>
        <v>-3.516363680564627E-4</v>
      </c>
      <c r="AN967" s="29">
        <v>38327</v>
      </c>
      <c r="AO967" s="44">
        <v>40.873299000000003</v>
      </c>
      <c r="AP967" s="33">
        <f>IF(ISBLANK(AO968),"",Short2[[#This Row],[Adj Close]]/AO968-1)</f>
        <v>8.9584762292693743E-2</v>
      </c>
    </row>
    <row r="968" spans="1:42" x14ac:dyDescent="0.25">
      <c r="A968" s="37">
        <v>38320</v>
      </c>
      <c r="B968" s="39">
        <v>1191.170044</v>
      </c>
      <c r="C968" s="36">
        <f>IF(ISBLANK(B969), "", GSPC[[#This Row],[Adj Close]]/B969-1)</f>
        <v>7.2041769137949352E-3</v>
      </c>
      <c r="D96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6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68" s="11" t="e">
        <f>IF(ISBLANK(GSPC[[#This Row],[Long Exp.]]), "", (GSPC[[#This Row],[Long Exp.]]/D969-1)+(E969/GSPC[[#This Row],[Short Exp.]]-1))</f>
        <v>#VALUE!</v>
      </c>
      <c r="G968" s="37">
        <v>38320</v>
      </c>
      <c r="H968">
        <v>16.299728000000002</v>
      </c>
      <c r="I968" s="36">
        <f>IF(ISBLANK(H969), "", Long0[[#This Row],[Adj Close]]/H969-1)</f>
        <v>-1.3440613066706741E-2</v>
      </c>
      <c r="J968" s="29">
        <v>38320</v>
      </c>
      <c r="K968">
        <v>1.521757</v>
      </c>
      <c r="L968" s="33">
        <f>IF(ISBLANK(K969),"",Long1[[#This Row],[Adj Close]]/K969-1)</f>
        <v>-2.6549006563207689E-2</v>
      </c>
      <c r="M968" s="37">
        <v>38320</v>
      </c>
      <c r="N968">
        <v>14.5456</v>
      </c>
      <c r="O968" s="36">
        <f>IF(ISBLANK(N969),"",Long2[[#This Row],[Adj Close]]/N969-1)</f>
        <v>4.9771477532280617E-2</v>
      </c>
      <c r="P968" s="29">
        <v>38320</v>
      </c>
      <c r="Q968">
        <v>10.464753</v>
      </c>
      <c r="R968" s="33">
        <f>IF(ISBLANK(Q969),"",Long3[[#This Row],[Adj Close]]/Q969-1)</f>
        <v>-3.5339932015901354E-2</v>
      </c>
      <c r="S968" s="37">
        <v>38320</v>
      </c>
      <c r="T968" s="35">
        <v>8.4067860000000003</v>
      </c>
      <c r="U968" s="36">
        <f>IF(ISBLANK(T969),"",Long4[[#This Row],[Adj Close]]/T969-1)</f>
        <v>1.7543787450788884E-2</v>
      </c>
      <c r="Y968" s="37">
        <v>38320</v>
      </c>
      <c r="Z968" s="35">
        <v>9.1506410000000002</v>
      </c>
      <c r="AA968" s="36">
        <f>IF(ISBLANK(Z969),"",Long6[[#This Row],[Adj Close]]/Z969-1)</f>
        <v>-4.9595093553797875E-2</v>
      </c>
      <c r="AK968" s="37">
        <v>38320</v>
      </c>
      <c r="AL968" s="39">
        <v>24.186917999999999</v>
      </c>
      <c r="AM968" s="36">
        <f>IF(ISBLANK(AL969),"",Short1[[#This Row],[Adj Close]]/AL969-1)</f>
        <v>-3.5302573286361993E-2</v>
      </c>
      <c r="AN968" s="29">
        <v>38320</v>
      </c>
      <c r="AO968" s="44">
        <v>37.512729999999998</v>
      </c>
      <c r="AP968" s="33">
        <f>IF(ISBLANK(AO969),"",Short2[[#This Row],[Adj Close]]/AO969-1)</f>
        <v>-1.4992270575874711E-2</v>
      </c>
    </row>
    <row r="969" spans="1:42" x14ac:dyDescent="0.25">
      <c r="A969" s="37">
        <v>38313</v>
      </c>
      <c r="B969" s="39">
        <v>1182.650024</v>
      </c>
      <c r="C969" s="36">
        <f>IF(ISBLANK(B970), "", GSPC[[#This Row],[Adj Close]]/B970-1)</f>
        <v>1.0518360782015623E-2</v>
      </c>
      <c r="D96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6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69" s="11" t="e">
        <f>IF(ISBLANK(GSPC[[#This Row],[Long Exp.]]), "", (GSPC[[#This Row],[Long Exp.]]/D970-1)+(E970/GSPC[[#This Row],[Short Exp.]]-1))</f>
        <v>#VALUE!</v>
      </c>
      <c r="G969" s="37">
        <v>38313</v>
      </c>
      <c r="H969">
        <v>16.521791</v>
      </c>
      <c r="I969" s="36">
        <f>IF(ISBLANK(H970), "", Long0[[#This Row],[Adj Close]]/H970-1)</f>
        <v>-1.4830383153660698E-2</v>
      </c>
      <c r="J969" s="29">
        <v>38313</v>
      </c>
      <c r="K969">
        <v>1.5632600000000001</v>
      </c>
      <c r="L969" s="33">
        <f>IF(ISBLANK(K970),"",Long1[[#This Row],[Adj Close]]/K970-1)</f>
        <v>6.6037652215837239E-2</v>
      </c>
      <c r="M969" s="37">
        <v>38313</v>
      </c>
      <c r="N969">
        <v>13.855968000000001</v>
      </c>
      <c r="O969" s="36">
        <f>IF(ISBLANK(N970),"",Long2[[#This Row],[Adj Close]]/N970-1)</f>
        <v>7.3710105506054946E-2</v>
      </c>
      <c r="P969" s="29">
        <v>38313</v>
      </c>
      <c r="Q969">
        <v>10.848125</v>
      </c>
      <c r="R969" s="33">
        <f>IF(ISBLANK(Q970),"",Long3[[#This Row],[Adj Close]]/Q970-1)</f>
        <v>2.3148660334875393E-2</v>
      </c>
      <c r="S969" s="37">
        <v>38313</v>
      </c>
      <c r="T969" s="35">
        <v>8.2618419999999997</v>
      </c>
      <c r="U969" s="36">
        <f>IF(ISBLANK(T970),"",Long4[[#This Row],[Adj Close]]/T970-1)</f>
        <v>1.253908160630357E-2</v>
      </c>
      <c r="Y969" s="37">
        <v>38313</v>
      </c>
      <c r="Z969" s="35">
        <v>9.6281499999999998</v>
      </c>
      <c r="AA969" s="36">
        <f>IF(ISBLANK(Z970),"",Long6[[#This Row],[Adj Close]]/Z970-1)</f>
        <v>1.7507772537081356E-2</v>
      </c>
      <c r="AK969" s="37">
        <v>38313</v>
      </c>
      <c r="AL969" s="39">
        <v>25.072025</v>
      </c>
      <c r="AM969" s="36">
        <f>IF(ISBLANK(AL970),"",Short1[[#This Row],[Adj Close]]/AL970-1)</f>
        <v>-2.3694998447266968E-2</v>
      </c>
      <c r="AN969" s="29">
        <v>38313</v>
      </c>
      <c r="AO969" s="44">
        <v>38.083691000000002</v>
      </c>
      <c r="AP969" s="33">
        <f>IF(ISBLANK(AO970),"",Short2[[#This Row],[Adj Close]]/AO970-1)</f>
        <v>7.1178454061564533E-3</v>
      </c>
    </row>
    <row r="970" spans="1:42" x14ac:dyDescent="0.25">
      <c r="A970" s="37">
        <v>38306</v>
      </c>
      <c r="B970" s="39">
        <v>1170.339966</v>
      </c>
      <c r="C970" s="36">
        <f>IF(ISBLANK(B971), "", GSPC[[#This Row],[Adj Close]]/B971-1)</f>
        <v>-1.1679131785231944E-2</v>
      </c>
      <c r="D97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7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70" s="11" t="e">
        <f>IF(ISBLANK(GSPC[[#This Row],[Long Exp.]]), "", (GSPC[[#This Row],[Long Exp.]]/D971-1)+(E971/GSPC[[#This Row],[Short Exp.]]-1))</f>
        <v>#VALUE!</v>
      </c>
      <c r="G970" s="37">
        <v>38306</v>
      </c>
      <c r="H970">
        <v>16.770503999999999</v>
      </c>
      <c r="I970" s="36">
        <f>IF(ISBLANK(H971), "", Long0[[#This Row],[Adj Close]]/H971-1)</f>
        <v>9.5127404155233908E-2</v>
      </c>
      <c r="J970" s="29">
        <v>38306</v>
      </c>
      <c r="K970">
        <v>1.466421</v>
      </c>
      <c r="L970" s="33">
        <f>IF(ISBLANK(K971),"",Long1[[#This Row],[Adj Close]]/K971-1)</f>
        <v>-6.1946829062344166E-2</v>
      </c>
      <c r="M970" s="37">
        <v>38306</v>
      </c>
      <c r="N970">
        <v>12.904757</v>
      </c>
      <c r="O970" s="36">
        <f>IF(ISBLANK(N971),"",Long2[[#This Row],[Adj Close]]/N971-1)</f>
        <v>1.8460554780854732E-3</v>
      </c>
      <c r="P970" s="29">
        <v>38306</v>
      </c>
      <c r="Q970">
        <v>10.602687</v>
      </c>
      <c r="R970" s="33">
        <f>IF(ISBLANK(Q971),"",Long3[[#This Row],[Adj Close]]/Q971-1)</f>
        <v>-2.7172088456092203E-2</v>
      </c>
      <c r="S970" s="37">
        <v>38306</v>
      </c>
      <c r="T970" s="35">
        <v>8.1595289999999991</v>
      </c>
      <c r="U970" s="36">
        <f>IF(ISBLANK(T971),"",Long4[[#This Row],[Adj Close]]/T971-1)</f>
        <v>-8.8571399529135064E-2</v>
      </c>
      <c r="Y970" s="37">
        <v>38306</v>
      </c>
      <c r="Z970" s="35">
        <v>9.4624830000000006</v>
      </c>
      <c r="AA970" s="36">
        <f>IF(ISBLANK(Z971),"",Long6[[#This Row],[Adj Close]]/Z971-1)</f>
        <v>-2.9000037044292326E-2</v>
      </c>
      <c r="AK970" s="37">
        <v>38306</v>
      </c>
      <c r="AL970" s="39">
        <v>25.680524999999999</v>
      </c>
      <c r="AM970" s="36">
        <f>IF(ISBLANK(AL971),"",Short1[[#This Row],[Adj Close]]/AL971-1)</f>
        <v>1.03803441604573E-2</v>
      </c>
      <c r="AN970" s="29">
        <v>38306</v>
      </c>
      <c r="AO970" s="44">
        <v>37.814532999999997</v>
      </c>
      <c r="AP970" s="33">
        <f>IF(ISBLANK(AO971),"",Short2[[#This Row],[Adj Close]]/AO971-1)</f>
        <v>1.2963658040423542E-3</v>
      </c>
    </row>
    <row r="971" spans="1:42" x14ac:dyDescent="0.25">
      <c r="A971" s="37">
        <v>38299</v>
      </c>
      <c r="B971" s="39">
        <v>1184.170044</v>
      </c>
      <c r="C971" s="36">
        <f>IF(ISBLANK(B972), "", GSPC[[#This Row],[Adj Close]]/B972-1)</f>
        <v>1.5435141806815267E-2</v>
      </c>
      <c r="D97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7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71" s="11" t="e">
        <f>IF(ISBLANK(GSPC[[#This Row],[Long Exp.]]), "", (GSPC[[#This Row],[Long Exp.]]/D972-1)+(E972/GSPC[[#This Row],[Short Exp.]]-1))</f>
        <v>#VALUE!</v>
      </c>
      <c r="G971" s="37">
        <v>38299</v>
      </c>
      <c r="H971">
        <v>15.313746999999999</v>
      </c>
      <c r="I971" s="36">
        <f>IF(ISBLANK(H972), "", Long0[[#This Row],[Adj Close]]/H972-1)</f>
        <v>2.6801614346011249E-2</v>
      </c>
      <c r="J971" s="29">
        <v>38299</v>
      </c>
      <c r="K971">
        <v>1.5632600000000001</v>
      </c>
      <c r="L971" s="33">
        <f>IF(ISBLANK(K972),"",Long1[[#This Row],[Adj Close]]/K972-1)</f>
        <v>0.11881195204866701</v>
      </c>
      <c r="M971" s="37">
        <v>38299</v>
      </c>
      <c r="N971">
        <v>12.880978000000001</v>
      </c>
      <c r="O971" s="36">
        <f>IF(ISBLANK(N972),"",Long2[[#This Row],[Adj Close]]/N972-1)</f>
        <v>0</v>
      </c>
      <c r="P971" s="29">
        <v>38299</v>
      </c>
      <c r="Q971">
        <v>10.898830999999999</v>
      </c>
      <c r="R971" s="33">
        <f>IF(ISBLANK(Q972),"",Long3[[#This Row],[Adj Close]]/Q972-1)</f>
        <v>3.5659096675367818E-2</v>
      </c>
      <c r="S971" s="37">
        <v>38299</v>
      </c>
      <c r="T971" s="35">
        <v>8.9524609999999996</v>
      </c>
      <c r="U971" s="36">
        <f>IF(ISBLANK(T972),"",Long4[[#This Row],[Adj Close]]/T972-1)</f>
        <v>6.3829577383615499E-2</v>
      </c>
      <c r="Y971" s="37">
        <v>38299</v>
      </c>
      <c r="Z971" s="35">
        <v>9.7450910000000004</v>
      </c>
      <c r="AA971" s="36">
        <f>IF(ISBLANK(Z972),"",Long6[[#This Row],[Adj Close]]/Z972-1)</f>
        <v>6.0361605971783749E-3</v>
      </c>
      <c r="AK971" s="37">
        <v>38299</v>
      </c>
      <c r="AL971" s="39">
        <v>25.416691</v>
      </c>
      <c r="AM971" s="36">
        <f>IF(ISBLANK(AL972),"",Short1[[#This Row],[Adj Close]]/AL972-1)</f>
        <v>-2.7040204778428722E-2</v>
      </c>
      <c r="AN971" s="29">
        <v>38299</v>
      </c>
      <c r="AO971" s="44">
        <v>37.765574999999998</v>
      </c>
      <c r="AP971" s="33">
        <f>IF(ISBLANK(AO972),"",Short2[[#This Row],[Adj Close]]/AO972-1)</f>
        <v>5.8360319499164426E-2</v>
      </c>
    </row>
    <row r="972" spans="1:42" x14ac:dyDescent="0.25">
      <c r="A972" s="37">
        <v>38292</v>
      </c>
      <c r="B972" s="39">
        <v>1166.170044</v>
      </c>
      <c r="C972" s="36">
        <f>IF(ISBLANK(B973), "", GSPC[[#This Row],[Adj Close]]/B973-1)</f>
        <v>3.1826309112979123E-2</v>
      </c>
      <c r="D97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7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72" s="11" t="e">
        <f>IF(ISBLANK(GSPC[[#This Row],[Long Exp.]]), "", (GSPC[[#This Row],[Long Exp.]]/D973-1)+(E973/GSPC[[#This Row],[Short Exp.]]-1))</f>
        <v>#VALUE!</v>
      </c>
      <c r="G972" s="37">
        <v>38292</v>
      </c>
      <c r="H972">
        <v>14.914027000000001</v>
      </c>
      <c r="I972" s="36">
        <f>IF(ISBLANK(H973), "", Long0[[#This Row],[Adj Close]]/H973-1)</f>
        <v>-2.4971128044385393E-2</v>
      </c>
      <c r="J972" s="29">
        <v>38292</v>
      </c>
      <c r="K972">
        <v>1.3972500000000001</v>
      </c>
      <c r="L972" s="33">
        <f>IF(ISBLANK(K973),"",Long1[[#This Row],[Adj Close]]/K973-1)</f>
        <v>-2.8845833055314518E-2</v>
      </c>
      <c r="M972" s="37">
        <v>38292</v>
      </c>
      <c r="N972">
        <v>12.880978000000001</v>
      </c>
      <c r="O972" s="36">
        <f>IF(ISBLANK(N973),"",Long2[[#This Row],[Adj Close]]/N973-1)</f>
        <v>8.045199726686536E-2</v>
      </c>
      <c r="P972" s="29">
        <v>38292</v>
      </c>
      <c r="Q972">
        <v>10.523569999999999</v>
      </c>
      <c r="R972" s="33">
        <f>IF(ISBLANK(Q973),"",Long3[[#This Row],[Adj Close]]/Q973-1)</f>
        <v>-2.3085120099507472E-3</v>
      </c>
      <c r="S972" s="37">
        <v>38292</v>
      </c>
      <c r="T972" s="35">
        <v>8.4153149999999997</v>
      </c>
      <c r="U972" s="36">
        <f>IF(ISBLANK(T973),"",Long4[[#This Row],[Adj Close]]/T973-1)</f>
        <v>-1.2999766717768368E-2</v>
      </c>
      <c r="Y972" s="37">
        <v>38292</v>
      </c>
      <c r="Z972" s="35">
        <v>9.6866210000000006</v>
      </c>
      <c r="AA972" s="36">
        <f>IF(ISBLANK(Z973),"",Long6[[#This Row],[Adj Close]]/Z973-1)</f>
        <v>1.1190127675708483E-2</v>
      </c>
      <c r="AK972" s="37">
        <v>38292</v>
      </c>
      <c r="AL972" s="39">
        <v>26.123063999999999</v>
      </c>
      <c r="AM972" s="36">
        <f>IF(ISBLANK(AL973),"",Short1[[#This Row],[Adj Close]]/AL973-1)</f>
        <v>3.6643222309246992E-2</v>
      </c>
      <c r="AN972" s="29">
        <v>38292</v>
      </c>
      <c r="AO972" s="44">
        <v>35.683098000000001</v>
      </c>
      <c r="AP972" s="33">
        <f>IF(ISBLANK(AO973),"",Short2[[#This Row],[Adj Close]]/AO973-1)</f>
        <v>-2.445568574168655E-2</v>
      </c>
    </row>
    <row r="973" spans="1:42" x14ac:dyDescent="0.25">
      <c r="A973" s="37">
        <v>38285</v>
      </c>
      <c r="B973" s="39">
        <v>1130.1999510000001</v>
      </c>
      <c r="C973" s="36">
        <f>IF(ISBLANK(B974), "", GSPC[[#This Row],[Adj Close]]/B974-1)</f>
        <v>3.144903107898811E-2</v>
      </c>
      <c r="D97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7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73" s="11" t="e">
        <f>IF(ISBLANK(GSPC[[#This Row],[Long Exp.]]), "", (GSPC[[#This Row],[Long Exp.]]/D974-1)+(E974/GSPC[[#This Row],[Short Exp.]]-1))</f>
        <v>#VALUE!</v>
      </c>
      <c r="G973" s="37">
        <v>38285</v>
      </c>
      <c r="H973">
        <v>15.295985</v>
      </c>
      <c r="I973" s="36">
        <f>IF(ISBLANK(H974), "", Long0[[#This Row],[Adj Close]]/H974-1)</f>
        <v>1.5330267425881727E-2</v>
      </c>
      <c r="J973" s="29">
        <v>38285</v>
      </c>
      <c r="K973">
        <v>1.438752</v>
      </c>
      <c r="L973" s="33">
        <f>IF(ISBLANK(K974),"",Long1[[#This Row],[Adj Close]]/K974-1)</f>
        <v>9.7086288474144133E-3</v>
      </c>
      <c r="M973" s="37">
        <v>38285</v>
      </c>
      <c r="N973">
        <v>11.921842</v>
      </c>
      <c r="O973" s="36">
        <f>IF(ISBLANK(N974),"",Long2[[#This Row],[Adj Close]]/N974-1)</f>
        <v>2.6666644239110582E-3</v>
      </c>
      <c r="P973" s="29">
        <v>38285</v>
      </c>
      <c r="Q973">
        <v>10.54792</v>
      </c>
      <c r="R973" s="33">
        <f>IF(ISBLANK(Q974),"",Long3[[#This Row],[Adj Close]]/Q974-1)</f>
        <v>2.0608751099426836E-2</v>
      </c>
      <c r="S973" s="37">
        <v>38285</v>
      </c>
      <c r="T973" s="35">
        <v>8.5261530000000008</v>
      </c>
      <c r="U973" s="36">
        <f>IF(ISBLANK(T974),"",Long4[[#This Row],[Adj Close]]/T974-1)</f>
        <v>5.0419994138155566E-2</v>
      </c>
      <c r="Y973" s="37">
        <v>38285</v>
      </c>
      <c r="Z973" s="35">
        <v>9.5794259999999998</v>
      </c>
      <c r="AA973" s="36">
        <f>IF(ISBLANK(Z974),"",Long6[[#This Row],[Adj Close]]/Z974-1)</f>
        <v>5.6989374854834685E-2</v>
      </c>
      <c r="AK973" s="37">
        <v>38285</v>
      </c>
      <c r="AL973" s="39">
        <v>25.199667000000002</v>
      </c>
      <c r="AM973" s="36">
        <f>IF(ISBLANK(AL974),"",Short1[[#This Row],[Adj Close]]/AL974-1)</f>
        <v>4.0773200628040795E-2</v>
      </c>
      <c r="AN973" s="29">
        <v>38285</v>
      </c>
      <c r="AO973" s="44">
        <v>36.577629000000002</v>
      </c>
      <c r="AP973" s="33">
        <f>IF(ISBLANK(AO974),"",Short2[[#This Row],[Adj Close]]/AO974-1)</f>
        <v>5.9599836374202519E-2</v>
      </c>
    </row>
    <row r="974" spans="1:42" x14ac:dyDescent="0.25">
      <c r="A974" s="37">
        <v>38278</v>
      </c>
      <c r="B974" s="39">
        <v>1095.73999</v>
      </c>
      <c r="C974" s="36">
        <f>IF(ISBLANK(B975), "", GSPC[[#This Row],[Adj Close]]/B975-1)</f>
        <v>-1.124342316452609E-2</v>
      </c>
      <c r="D97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7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74" s="11" t="e">
        <f>IF(ISBLANK(GSPC[[#This Row],[Long Exp.]]), "", (GSPC[[#This Row],[Long Exp.]]/D975-1)+(E975/GSPC[[#This Row],[Short Exp.]]-1))</f>
        <v>#VALUE!</v>
      </c>
      <c r="G974" s="37">
        <v>38278</v>
      </c>
      <c r="H974">
        <v>15.065034000000001</v>
      </c>
      <c r="I974" s="36">
        <f>IF(ISBLANK(H975), "", Long0[[#This Row],[Adj Close]]/H975-1)</f>
        <v>-3.1963260823593354E-2</v>
      </c>
      <c r="J974" s="29">
        <v>38278</v>
      </c>
      <c r="K974">
        <v>1.4249179999999999</v>
      </c>
      <c r="L974" s="33">
        <f>IF(ISBLANK(K975),"",Long1[[#This Row],[Adj Close]]/K975-1)</f>
        <v>2.9999653032782625E-2</v>
      </c>
      <c r="M974" s="37">
        <v>38278</v>
      </c>
      <c r="N974">
        <v>11.890135000000001</v>
      </c>
      <c r="O974" s="36">
        <f>IF(ISBLANK(N975),"",Long2[[#This Row],[Adj Close]]/N975-1)</f>
        <v>-3.100756873105881E-2</v>
      </c>
      <c r="P974" s="29">
        <v>38278</v>
      </c>
      <c r="Q974">
        <v>10.33493</v>
      </c>
      <c r="R974" s="33">
        <f>IF(ISBLANK(Q975),"",Long3[[#This Row],[Adj Close]]/Q975-1)</f>
        <v>3.0125519676178492E-2</v>
      </c>
      <c r="S974" s="37">
        <v>38278</v>
      </c>
      <c r="T974" s="35">
        <v>8.1168990000000001</v>
      </c>
      <c r="U974" s="36">
        <f>IF(ISBLANK(T975),"",Long4[[#This Row],[Adj Close]]/T975-1)</f>
        <v>1.0616020274825777E-2</v>
      </c>
      <c r="Y974" s="37">
        <v>38278</v>
      </c>
      <c r="Z974" s="35">
        <v>9.0629349999999995</v>
      </c>
      <c r="AA974" s="36">
        <f>IF(ISBLANK(Z975),"",Long6[[#This Row],[Adj Close]]/Z975-1)</f>
        <v>5.4053544348311444E-3</v>
      </c>
      <c r="AK974" s="37">
        <v>38278</v>
      </c>
      <c r="AL974" s="39">
        <v>24.212447999999998</v>
      </c>
      <c r="AM974" s="36">
        <f>IF(ISBLANK(AL975),"",Short1[[#This Row],[Adj Close]]/AL975-1)</f>
        <v>3.7043766413475954E-3</v>
      </c>
      <c r="AN974" s="29">
        <v>38278</v>
      </c>
      <c r="AO974" s="44">
        <v>34.520229</v>
      </c>
      <c r="AP974" s="33">
        <f>IF(ISBLANK(AO975),"",Short2[[#This Row],[Adj Close]]/AO975-1)</f>
        <v>-6.3198730677052062E-3</v>
      </c>
    </row>
    <row r="975" spans="1:42" x14ac:dyDescent="0.25">
      <c r="A975" s="37">
        <v>38271</v>
      </c>
      <c r="B975" s="39">
        <v>1108.1999510000001</v>
      </c>
      <c r="C975" s="36">
        <f>IF(ISBLANK(B976), "", GSPC[[#This Row],[Adj Close]]/B976-1)</f>
        <v>-1.2422749223500285E-2</v>
      </c>
      <c r="D97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7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75" s="11" t="e">
        <f>IF(ISBLANK(GSPC[[#This Row],[Long Exp.]]), "", (GSPC[[#This Row],[Long Exp.]]/D976-1)+(E976/GSPC[[#This Row],[Short Exp.]]-1))</f>
        <v>#VALUE!</v>
      </c>
      <c r="G975" s="37">
        <v>38271</v>
      </c>
      <c r="H975">
        <v>15.562461000000001</v>
      </c>
      <c r="I975" s="36">
        <f>IF(ISBLANK(H976), "", Long0[[#This Row],[Adj Close]]/H976-1)</f>
        <v>1.2716695072695572E-2</v>
      </c>
      <c r="J975" s="29">
        <v>38271</v>
      </c>
      <c r="K975">
        <v>1.383416</v>
      </c>
      <c r="L975" s="33">
        <f>IF(ISBLANK(K976),"",Long1[[#This Row],[Adj Close]]/K976-1)</f>
        <v>-8.2568539640286653E-2</v>
      </c>
      <c r="M975" s="37">
        <v>38271</v>
      </c>
      <c r="N975">
        <v>12.270617</v>
      </c>
      <c r="O975" s="36">
        <f>IF(ISBLANK(N976),"",Long2[[#This Row],[Adj Close]]/N976-1)</f>
        <v>-6.0679646395437992E-2</v>
      </c>
      <c r="P975" s="29">
        <v>38271</v>
      </c>
      <c r="Q975">
        <v>10.032690000000001</v>
      </c>
      <c r="R975" s="33">
        <f>IF(ISBLANK(Q976),"",Long3[[#This Row],[Adj Close]]/Q976-1)</f>
        <v>3.1276722615817265E-2</v>
      </c>
      <c r="S975" s="37">
        <v>38271</v>
      </c>
      <c r="T975" s="35">
        <v>8.0316349999999996</v>
      </c>
      <c r="U975" s="36">
        <f>IF(ISBLANK(T976),"",Long4[[#This Row],[Adj Close]]/T976-1)</f>
        <v>-3.3846385179838956E-2</v>
      </c>
      <c r="Y975" s="37">
        <v>38271</v>
      </c>
      <c r="Z975" s="35">
        <v>9.0142100000000003</v>
      </c>
      <c r="AA975" s="36">
        <f>IF(ISBLANK(Z976),"",Long6[[#This Row],[Adj Close]]/Z976-1)</f>
        <v>2.7777742939095296E-2</v>
      </c>
      <c r="AK975" s="37">
        <v>38271</v>
      </c>
      <c r="AL975" s="39">
        <v>24.123087000000002</v>
      </c>
      <c r="AM975" s="36">
        <f>IF(ISBLANK(AL976),"",Short1[[#This Row],[Adj Close]]/AL976-1)</f>
        <v>4.6888119687570784E-2</v>
      </c>
      <c r="AN975" s="29">
        <v>38271</v>
      </c>
      <c r="AO975" s="44">
        <v>34.739780000000003</v>
      </c>
      <c r="AP975" s="33">
        <f>IF(ISBLANK(AO976),"",Short2[[#This Row],[Adj Close]]/AO976-1)</f>
        <v>-2.2425927612235608E-2</v>
      </c>
    </row>
    <row r="976" spans="1:42" x14ac:dyDescent="0.25">
      <c r="A976" s="37">
        <v>38264</v>
      </c>
      <c r="B976" s="39">
        <v>1122.1400149999999</v>
      </c>
      <c r="C976" s="36">
        <f>IF(ISBLANK(B977), "", GSPC[[#This Row],[Adj Close]]/B977-1)</f>
        <v>-8.2721917808219469E-3</v>
      </c>
      <c r="D97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7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76" s="11" t="e">
        <f>IF(ISBLANK(GSPC[[#This Row],[Long Exp.]]), "", (GSPC[[#This Row],[Long Exp.]]/D977-1)+(E977/GSPC[[#This Row],[Short Exp.]]-1))</f>
        <v>#VALUE!</v>
      </c>
      <c r="G976" s="37">
        <v>38264</v>
      </c>
      <c r="H976">
        <v>15.367043000000001</v>
      </c>
      <c r="I976" s="36">
        <f>IF(ISBLANK(H977), "", Long0[[#This Row],[Adj Close]]/H977-1)</f>
        <v>-5.3084780131978593E-2</v>
      </c>
      <c r="J976" s="29">
        <v>38264</v>
      </c>
      <c r="K976">
        <v>1.5079229999999999</v>
      </c>
      <c r="L976" s="33">
        <f>IF(ISBLANK(K977),"",Long1[[#This Row],[Adj Close]]/K977-1)</f>
        <v>6.8627381502447626E-2</v>
      </c>
      <c r="M976" s="37">
        <v>38264</v>
      </c>
      <c r="N976">
        <v>13.063293</v>
      </c>
      <c r="O976" s="36">
        <f>IF(ISBLANK(N977),"",Long2[[#This Row],[Adj Close]]/N977-1)</f>
        <v>-6.8926741722949436E-2</v>
      </c>
      <c r="P976" s="29">
        <v>38264</v>
      </c>
      <c r="Q976">
        <v>9.7284170000000003</v>
      </c>
      <c r="R976" s="33">
        <f>IF(ISBLANK(Q977),"",Long3[[#This Row],[Adj Close]]/Q977-1)</f>
        <v>1.2881935804279099E-2</v>
      </c>
      <c r="S976" s="37">
        <v>38264</v>
      </c>
      <c r="T976" s="35">
        <v>8.3130000000000006</v>
      </c>
      <c r="U976" s="36">
        <f>IF(ISBLANK(T977),"",Long4[[#This Row],[Adj Close]]/T977-1)</f>
        <v>2.9567014619777288E-2</v>
      </c>
      <c r="Y976" s="37">
        <v>38264</v>
      </c>
      <c r="Z976" s="35">
        <v>8.7705830000000002</v>
      </c>
      <c r="AA976" s="36">
        <f>IF(ISBLANK(Z977),"",Long6[[#This Row],[Adj Close]]/Z977-1)</f>
        <v>3.3294981041416705E-2</v>
      </c>
      <c r="AK976" s="37">
        <v>38264</v>
      </c>
      <c r="AL976" s="39">
        <v>23.042660000000001</v>
      </c>
      <c r="AM976" s="36">
        <f>IF(ISBLANK(AL977),"",Short1[[#This Row],[Adj Close]]/AL977-1)</f>
        <v>-8.7686318370506777E-3</v>
      </c>
      <c r="AN976" s="29">
        <v>38264</v>
      </c>
      <c r="AO976" s="44">
        <v>35.536724</v>
      </c>
      <c r="AP976" s="33">
        <f>IF(ISBLANK(AO977),"",Short2[[#This Row],[Adj Close]]/AO977-1)</f>
        <v>-8.1932971208530936E-2</v>
      </c>
    </row>
    <row r="977" spans="1:42" x14ac:dyDescent="0.25">
      <c r="A977" s="37">
        <v>38257</v>
      </c>
      <c r="B977" s="39">
        <v>1131.5</v>
      </c>
      <c r="C977" s="36">
        <f>IF(ISBLANK(B978), "", GSPC[[#This Row],[Adj Close]]/B978-1)</f>
        <v>1.9268374565606594E-2</v>
      </c>
      <c r="D97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7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77" s="11" t="e">
        <f>IF(ISBLANK(GSPC[[#This Row],[Long Exp.]]), "", (GSPC[[#This Row],[Long Exp.]]/D978-1)+(E978/GSPC[[#This Row],[Short Exp.]]-1))</f>
        <v>#VALUE!</v>
      </c>
      <c r="G977" s="37">
        <v>38257</v>
      </c>
      <c r="H977">
        <v>16.228531</v>
      </c>
      <c r="I977" s="36">
        <f>IF(ISBLANK(H978), "", Long0[[#This Row],[Adj Close]]/H978-1)</f>
        <v>-6.5145608684594736E-3</v>
      </c>
      <c r="J977" s="29">
        <v>38257</v>
      </c>
      <c r="K977">
        <v>1.411084</v>
      </c>
      <c r="L977" s="33">
        <f>IF(ISBLANK(K978),"",Long1[[#This Row],[Adj Close]]/K978-1)</f>
        <v>-0.1500000903560571</v>
      </c>
      <c r="M977" s="37">
        <v>38257</v>
      </c>
      <c r="N977">
        <v>14.03036</v>
      </c>
      <c r="O977" s="36">
        <f>IF(ISBLANK(N978),"",Long2[[#This Row],[Adj Close]]/N978-1)</f>
        <v>2.3713350105360131E-2</v>
      </c>
      <c r="P977" s="29">
        <v>38257</v>
      </c>
      <c r="Q977">
        <v>9.6046899999999997</v>
      </c>
      <c r="R977" s="33">
        <f>IF(ISBLANK(Q978),"",Long3[[#This Row],[Adj Close]]/Q978-1)</f>
        <v>2.2678099735681467E-2</v>
      </c>
      <c r="S977" s="37">
        <v>38257</v>
      </c>
      <c r="T977" s="35">
        <v>8.074268</v>
      </c>
      <c r="U977" s="36">
        <f>IF(ISBLANK(T978),"",Long4[[#This Row],[Adj Close]]/T978-1)</f>
        <v>3.1780330933397494E-3</v>
      </c>
      <c r="Y977" s="37">
        <v>38257</v>
      </c>
      <c r="Z977" s="35">
        <v>8.4879759999999997</v>
      </c>
      <c r="AA977" s="36">
        <f>IF(ISBLANK(Z978),"",Long6[[#This Row],[Adj Close]]/Z978-1)</f>
        <v>-2.68155050008273E-2</v>
      </c>
      <c r="AK977" s="37">
        <v>38257</v>
      </c>
      <c r="AL977" s="39">
        <v>23.246500000000001</v>
      </c>
      <c r="AM977" s="36">
        <f>IF(ISBLANK(AL978),"",Short1[[#This Row],[Adj Close]]/AL978-1)</f>
        <v>2.012655072159264E-2</v>
      </c>
      <c r="AN977" s="29">
        <v>38257</v>
      </c>
      <c r="AO977" s="44">
        <v>38.708202</v>
      </c>
      <c r="AP977" s="33">
        <f>IF(ISBLANK(AO978),"",Short2[[#This Row],[Adj Close]]/AO978-1)</f>
        <v>-2.0988560692003499E-4</v>
      </c>
    </row>
    <row r="978" spans="1:42" x14ac:dyDescent="0.25">
      <c r="A978" s="37">
        <v>38250</v>
      </c>
      <c r="B978" s="39">
        <v>1110.1099850000001</v>
      </c>
      <c r="C978" s="36">
        <f>IF(ISBLANK(B979), "", GSPC[[#This Row],[Adj Close]]/B979-1)</f>
        <v>-1.6339606751459068E-2</v>
      </c>
      <c r="D97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7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78" s="11" t="e">
        <f>IF(ISBLANK(GSPC[[#This Row],[Long Exp.]]), "", (GSPC[[#This Row],[Long Exp.]]/D979-1)+(E979/GSPC[[#This Row],[Short Exp.]]-1))</f>
        <v>#VALUE!</v>
      </c>
      <c r="G978" s="37">
        <v>38250</v>
      </c>
      <c r="H978">
        <v>16.334945999999999</v>
      </c>
      <c r="I978" s="36">
        <f>IF(ISBLANK(H979), "", Long0[[#This Row],[Adj Close]]/H979-1)</f>
        <v>-5.4900264310584479E-2</v>
      </c>
      <c r="J978" s="29">
        <v>38250</v>
      </c>
      <c r="K978">
        <v>1.660099</v>
      </c>
      <c r="L978" s="33">
        <f>IF(ISBLANK(K979),"",Long1[[#This Row],[Adj Close]]/K979-1)</f>
        <v>2.5641358313007068E-2</v>
      </c>
      <c r="M978" s="37">
        <v>38250</v>
      </c>
      <c r="N978">
        <v>13.705360000000001</v>
      </c>
      <c r="O978" s="36">
        <f>IF(ISBLANK(N979),"",Long2[[#This Row],[Adj Close]]/N979-1)</f>
        <v>3.2855705068471686E-2</v>
      </c>
      <c r="P978" s="29">
        <v>38250</v>
      </c>
      <c r="Q978">
        <v>9.3917040000000007</v>
      </c>
      <c r="R978" s="33">
        <f>IF(ISBLANK(Q979),"",Long3[[#This Row],[Adj Close]]/Q979-1)</f>
        <v>-1.5521951239965692E-2</v>
      </c>
      <c r="S978" s="37">
        <v>38250</v>
      </c>
      <c r="T978" s="35">
        <v>8.0486889999999995</v>
      </c>
      <c r="U978" s="36">
        <f>IF(ISBLANK(T979),"",Long4[[#This Row],[Adj Close]]/T979-1)</f>
        <v>-3.0800867098867535E-2</v>
      </c>
      <c r="Y978" s="37">
        <v>38250</v>
      </c>
      <c r="Z978" s="35">
        <v>8.721857</v>
      </c>
      <c r="AA978" s="36">
        <f>IF(ISBLANK(Z979),"",Long6[[#This Row],[Adj Close]]/Z979-1)</f>
        <v>-9.955771926485002E-3</v>
      </c>
      <c r="AK978" s="37">
        <v>38250</v>
      </c>
      <c r="AL978" s="39">
        <v>22.787859000000001</v>
      </c>
      <c r="AM978" s="36">
        <f>IF(ISBLANK(AL979),"",Short1[[#This Row],[Adj Close]]/AL979-1)</f>
        <v>5.2450577902585227E-3</v>
      </c>
      <c r="AN978" s="29">
        <v>38250</v>
      </c>
      <c r="AO978" s="44">
        <v>38.716327999999997</v>
      </c>
      <c r="AP978" s="33">
        <f>IF(ISBLANK(AO979),"",Short2[[#This Row],[Adj Close]]/AO979-1)</f>
        <v>1.0516434692573462E-3</v>
      </c>
    </row>
    <row r="979" spans="1:42" x14ac:dyDescent="0.25">
      <c r="A979" s="37">
        <v>38243</v>
      </c>
      <c r="B979" s="39">
        <v>1128.5500489999999</v>
      </c>
      <c r="C979" s="36">
        <f>IF(ISBLANK(B980), "", GSPC[[#This Row],[Adj Close]]/B980-1)</f>
        <v>4.1195145728711857E-3</v>
      </c>
      <c r="D97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7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79" s="11" t="e">
        <f>IF(ISBLANK(GSPC[[#This Row],[Long Exp.]]), "", (GSPC[[#This Row],[Long Exp.]]/D980-1)+(E980/GSPC[[#This Row],[Short Exp.]]-1))</f>
        <v>#VALUE!</v>
      </c>
      <c r="G979" s="37">
        <v>38243</v>
      </c>
      <c r="H979">
        <v>17.283833000000001</v>
      </c>
      <c r="I979" s="36">
        <f>IF(ISBLANK(H980), "", Long0[[#This Row],[Adj Close]]/H980-1)</f>
        <v>6.3284167346451703E-2</v>
      </c>
      <c r="J979" s="29">
        <v>38243</v>
      </c>
      <c r="K979">
        <v>1.6185959999999999</v>
      </c>
      <c r="L979" s="33">
        <f>IF(ISBLANK(K980),"",Long1[[#This Row],[Adj Close]]/K980-1)</f>
        <v>0</v>
      </c>
      <c r="M979" s="37">
        <v>38243</v>
      </c>
      <c r="N979">
        <v>13.269385</v>
      </c>
      <c r="O979" s="36">
        <f>IF(ISBLANK(N980),"",Long2[[#This Row],[Adj Close]]/N980-1)</f>
        <v>2.9953686980039862E-3</v>
      </c>
      <c r="P979" s="29">
        <v>38243</v>
      </c>
      <c r="Q979">
        <v>9.5397800000000004</v>
      </c>
      <c r="R979" s="33">
        <f>IF(ISBLANK(Q980),"",Long3[[#This Row],[Adj Close]]/Q980-1)</f>
        <v>9.205136359029753E-3</v>
      </c>
      <c r="S979" s="37">
        <v>38243</v>
      </c>
      <c r="T979" s="35">
        <v>8.3044740000000008</v>
      </c>
      <c r="U979" s="36">
        <f>IF(ISBLANK(T980),"",Long4[[#This Row],[Adj Close]]/T980-1)</f>
        <v>4.7311725438385466E-2</v>
      </c>
      <c r="Y979" s="37">
        <v>38243</v>
      </c>
      <c r="Z979" s="35">
        <v>8.8095630000000007</v>
      </c>
      <c r="AA979" s="36">
        <f>IF(ISBLANK(Z980),"",Long6[[#This Row],[Adj Close]]/Z980-1)</f>
        <v>-5.4393226844070219E-2</v>
      </c>
      <c r="AK979" s="37">
        <v>38243</v>
      </c>
      <c r="AL979" s="39">
        <v>22.668959000000001</v>
      </c>
      <c r="AM979" s="36">
        <f>IF(ISBLANK(AL980),"",Short1[[#This Row],[Adj Close]]/AL980-1)</f>
        <v>5.8077443343465429E-2</v>
      </c>
      <c r="AN979" s="29">
        <v>38243</v>
      </c>
      <c r="AO979" s="44">
        <v>38.675654999999999</v>
      </c>
      <c r="AP979" s="33">
        <f>IF(ISBLANK(AO980),"",Short2[[#This Row],[Adj Close]]/AO980-1)</f>
        <v>1.7326238886408607E-2</v>
      </c>
    </row>
    <row r="980" spans="1:42" x14ac:dyDescent="0.25">
      <c r="A980" s="37">
        <v>38236</v>
      </c>
      <c r="B980" s="39">
        <v>1123.920044</v>
      </c>
      <c r="C980" s="36">
        <f>IF(ISBLANK(B981), "", GSPC[[#This Row],[Adj Close]]/B981-1)</f>
        <v>9.2400877794236447E-3</v>
      </c>
      <c r="D98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8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80" s="11" t="e">
        <f>IF(ISBLANK(GSPC[[#This Row],[Long Exp.]]), "", (GSPC[[#This Row],[Long Exp.]]/D981-1)+(E981/GSPC[[#This Row],[Short Exp.]]-1))</f>
        <v>#VALUE!</v>
      </c>
      <c r="G980" s="37">
        <v>38236</v>
      </c>
      <c r="H980">
        <v>16.255140000000001</v>
      </c>
      <c r="I980" s="36">
        <f>IF(ISBLANK(H981), "", Long0[[#This Row],[Adj Close]]/H981-1)</f>
        <v>4.3849991282595147E-2</v>
      </c>
      <c r="J980" s="29">
        <v>38236</v>
      </c>
      <c r="K980">
        <v>1.6185959999999999</v>
      </c>
      <c r="L980" s="33">
        <f>IF(ISBLANK(K981),"",Long1[[#This Row],[Adj Close]]/K981-1)</f>
        <v>8.3333054456595335E-2</v>
      </c>
      <c r="M980" s="37">
        <v>38236</v>
      </c>
      <c r="N980">
        <v>13.229756999999999</v>
      </c>
      <c r="O980" s="36">
        <f>IF(ISBLANK(N981),"",Long2[[#This Row],[Adj Close]]/N981-1)</f>
        <v>2.2045375167456527E-2</v>
      </c>
      <c r="P980" s="29">
        <v>38236</v>
      </c>
      <c r="Q980">
        <v>9.4527660000000004</v>
      </c>
      <c r="R980" s="33">
        <f>IF(ISBLANK(Q981),"",Long3[[#This Row],[Adj Close]]/Q981-1)</f>
        <v>-2.347791582941916E-2</v>
      </c>
      <c r="S980" s="37">
        <v>38236</v>
      </c>
      <c r="T980" s="35">
        <v>7.9293240000000003</v>
      </c>
      <c r="U980" s="36">
        <f>IF(ISBLANK(T981),"",Long4[[#This Row],[Adj Close]]/T981-1)</f>
        <v>0.10189599243920955</v>
      </c>
      <c r="Y980" s="37">
        <v>38236</v>
      </c>
      <c r="Z980" s="35">
        <v>9.3163070000000001</v>
      </c>
      <c r="AA980" s="36">
        <f>IF(ISBLANK(Z981),"",Long6[[#This Row],[Adj Close]]/Z981-1)</f>
        <v>8.3900134156725814E-2</v>
      </c>
      <c r="AK980" s="37">
        <v>38236</v>
      </c>
      <c r="AL980" s="39">
        <v>21.424669000000002</v>
      </c>
      <c r="AM980" s="36">
        <f>IF(ISBLANK(AL981),"",Short1[[#This Row],[Adj Close]]/AL981-1)</f>
        <v>2.8333040867858372E-2</v>
      </c>
      <c r="AN980" s="29">
        <v>38236</v>
      </c>
      <c r="AO980" s="44">
        <v>38.016964000000002</v>
      </c>
      <c r="AP980" s="33">
        <f>IF(ISBLANK(AO981),"",Short2[[#This Row],[Adj Close]]/AO981-1)</f>
        <v>6.4581012342619371E-3</v>
      </c>
    </row>
    <row r="981" spans="1:42" x14ac:dyDescent="0.25">
      <c r="A981" s="37">
        <v>38229</v>
      </c>
      <c r="B981" s="39">
        <v>1113.630005</v>
      </c>
      <c r="C981" s="36">
        <f>IF(ISBLANK(B982), "", GSPC[[#This Row],[Adj Close]]/B982-1)</f>
        <v>5.2898931133738003E-3</v>
      </c>
      <c r="D98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8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81" s="11" t="e">
        <f>IF(ISBLANK(GSPC[[#This Row],[Long Exp.]]), "", (GSPC[[#This Row],[Long Exp.]]/D982-1)+(E982/GSPC[[#This Row],[Short Exp.]]-1))</f>
        <v>#VALUE!</v>
      </c>
      <c r="G981" s="37">
        <v>38229</v>
      </c>
      <c r="H981">
        <v>15.572295</v>
      </c>
      <c r="I981" s="36">
        <f>IF(ISBLANK(H982), "", Long0[[#This Row],[Adj Close]]/H982-1)</f>
        <v>8.6154282204498056E-3</v>
      </c>
      <c r="J981" s="29">
        <v>38229</v>
      </c>
      <c r="K981">
        <v>1.494089</v>
      </c>
      <c r="L981" s="33">
        <f>IF(ISBLANK(K982),"",Long1[[#This Row],[Adj Close]]/K982-1)</f>
        <v>-6.0869505093882226E-2</v>
      </c>
      <c r="M981" s="37">
        <v>38229</v>
      </c>
      <c r="N981">
        <v>12.944393</v>
      </c>
      <c r="O981" s="36">
        <f>IF(ISBLANK(N982),"",Long2[[#This Row],[Adj Close]]/N982-1)</f>
        <v>9.4504332859237206E-2</v>
      </c>
      <c r="P981" s="29">
        <v>38229</v>
      </c>
      <c r="Q981">
        <v>9.6800329999999999</v>
      </c>
      <c r="R981" s="33">
        <f>IF(ISBLANK(Q982),"",Long3[[#This Row],[Adj Close]]/Q982-1)</f>
        <v>1.6902693039093641E-2</v>
      </c>
      <c r="S981" s="37">
        <v>38229</v>
      </c>
      <c r="T981" s="35">
        <v>7.1960730000000002</v>
      </c>
      <c r="U981" s="36">
        <f>IF(ISBLANK(T982),"",Long4[[#This Row],[Adj Close]]/T982-1)</f>
        <v>1.5643661169130185E-2</v>
      </c>
      <c r="Y981" s="37">
        <v>38229</v>
      </c>
      <c r="Z981" s="35">
        <v>8.5951710000000006</v>
      </c>
      <c r="AA981" s="36">
        <f>IF(ISBLANK(Z982),"",Long6[[#This Row],[Adj Close]]/Z982-1)</f>
        <v>-1.6722253071780879E-2</v>
      </c>
      <c r="AK981" s="37">
        <v>38229</v>
      </c>
      <c r="AL981" s="39">
        <v>20.834368000000001</v>
      </c>
      <c r="AM981" s="36">
        <f>IF(ISBLANK(AL982),"",Short1[[#This Row],[Adj Close]]/AL982-1)</f>
        <v>1.3008079561884989E-2</v>
      </c>
      <c r="AN981" s="29">
        <v>38229</v>
      </c>
      <c r="AO981" s="44">
        <v>37.773021999999997</v>
      </c>
      <c r="AP981" s="33">
        <f>IF(ISBLANK(AO982),"",Short2[[#This Row],[Adj Close]]/AO982-1)</f>
        <v>2.0654673947456681E-2</v>
      </c>
    </row>
    <row r="982" spans="1:42" x14ac:dyDescent="0.25">
      <c r="A982" s="37">
        <v>38222</v>
      </c>
      <c r="B982" s="39">
        <v>1107.7700199999999</v>
      </c>
      <c r="C982" s="36">
        <f>IF(ISBLANK(B983), "", GSPC[[#This Row],[Adj Close]]/B983-1)</f>
        <v>8.5765413628051679E-3</v>
      </c>
      <c r="D98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8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82" s="11" t="e">
        <f>IF(ISBLANK(GSPC[[#This Row],[Long Exp.]]), "", (GSPC[[#This Row],[Long Exp.]]/D983-1)+(E983/GSPC[[#This Row],[Short Exp.]]-1))</f>
        <v>#VALUE!</v>
      </c>
      <c r="G982" s="37">
        <v>38222</v>
      </c>
      <c r="H982">
        <v>15.439279000000001</v>
      </c>
      <c r="I982" s="36">
        <f>IF(ISBLANK(H983), "", Long0[[#This Row],[Adj Close]]/H983-1)</f>
        <v>3.0787674061200088E-2</v>
      </c>
      <c r="J982" s="29">
        <v>38222</v>
      </c>
      <c r="K982">
        <v>1.5909279999999999</v>
      </c>
      <c r="L982" s="33">
        <f>IF(ISBLANK(K983),"",Long1[[#This Row],[Adj Close]]/K983-1)</f>
        <v>0</v>
      </c>
      <c r="M982" s="37">
        <v>38222</v>
      </c>
      <c r="N982">
        <v>11.826717</v>
      </c>
      <c r="O982" s="36">
        <f>IF(ISBLANK(N983),"",Long2[[#This Row],[Adj Close]]/N983-1)</f>
        <v>3.7552272541246268E-2</v>
      </c>
      <c r="P982" s="29">
        <v>38222</v>
      </c>
      <c r="Q982">
        <v>9.5191339999999993</v>
      </c>
      <c r="R982" s="33">
        <f>IF(ISBLANK(Q983),"",Long3[[#This Row],[Adj Close]]/Q983-1)</f>
        <v>-4.6269191561187917E-3</v>
      </c>
      <c r="S982" s="37">
        <v>38222</v>
      </c>
      <c r="T982" s="35">
        <v>7.0852339999999998</v>
      </c>
      <c r="U982" s="36">
        <f>IF(ISBLANK(T983),"",Long4[[#This Row],[Adj Close]]/T983-1)</f>
        <v>3.6159530246961946E-2</v>
      </c>
      <c r="Y982" s="37">
        <v>38222</v>
      </c>
      <c r="Z982" s="35">
        <v>8.7413460000000001</v>
      </c>
      <c r="AA982" s="36">
        <f>IF(ISBLANK(Z983),"",Long6[[#This Row],[Adj Close]]/Z983-1)</f>
        <v>1.3559429729868899E-2</v>
      </c>
      <c r="AK982" s="37">
        <v>38222</v>
      </c>
      <c r="AL982" s="39">
        <v>20.566832999999999</v>
      </c>
      <c r="AM982" s="36">
        <f>IF(ISBLANK(AL983),"",Short1[[#This Row],[Adj Close]]/AL983-1)</f>
        <v>-6.1559203111013483E-3</v>
      </c>
      <c r="AN982" s="29">
        <v>38222</v>
      </c>
      <c r="AO982" s="44">
        <v>37.008620999999998</v>
      </c>
      <c r="AP982" s="33">
        <f>IF(ISBLANK(AO983),"",Short2[[#This Row],[Adj Close]]/AO983-1)</f>
        <v>9.0912392620210447E-3</v>
      </c>
    </row>
    <row r="983" spans="1:42" x14ac:dyDescent="0.25">
      <c r="A983" s="37">
        <v>38215</v>
      </c>
      <c r="B983" s="39">
        <v>1098.349976</v>
      </c>
      <c r="C983" s="36">
        <f>IF(ISBLANK(B984), "", GSPC[[#This Row],[Adj Close]]/B984-1)</f>
        <v>3.1508194455389216E-2</v>
      </c>
      <c r="D98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8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83" s="11" t="e">
        <f>IF(ISBLANK(GSPC[[#This Row],[Long Exp.]]), "", (GSPC[[#This Row],[Long Exp.]]/D984-1)+(E984/GSPC[[#This Row],[Short Exp.]]-1))</f>
        <v>#VALUE!</v>
      </c>
      <c r="G983" s="37">
        <v>38215</v>
      </c>
      <c r="H983">
        <v>14.978137</v>
      </c>
      <c r="I983" s="36">
        <f>IF(ISBLANK(H984), "", Long0[[#This Row],[Adj Close]]/H984-1)</f>
        <v>5.562503876274949E-2</v>
      </c>
      <c r="J983" s="29">
        <v>38215</v>
      </c>
      <c r="K983">
        <v>1.5909279999999999</v>
      </c>
      <c r="L983" s="33">
        <f>IF(ISBLANK(K984),"",Long1[[#This Row],[Adj Close]]/K984-1)</f>
        <v>-5.7376995758300797E-2</v>
      </c>
      <c r="M983" s="37">
        <v>38215</v>
      </c>
      <c r="N983">
        <v>11.398671</v>
      </c>
      <c r="O983" s="36">
        <f>IF(ISBLANK(N984),"",Long2[[#This Row],[Adj Close]]/N984-1)</f>
        <v>3.0824243689218322E-2</v>
      </c>
      <c r="P983" s="29">
        <v>38215</v>
      </c>
      <c r="Q983">
        <v>9.563383</v>
      </c>
      <c r="R983" s="33">
        <f>IF(ISBLANK(Q984),"",Long3[[#This Row],[Adj Close]]/Q984-1)</f>
        <v>1.7765864054785752E-2</v>
      </c>
      <c r="S983" s="37">
        <v>38215</v>
      </c>
      <c r="T983" s="35">
        <v>6.8379760000000003</v>
      </c>
      <c r="U983" s="36">
        <f>IF(ISBLANK(T984),"",Long4[[#This Row],[Adj Close]]/T984-1)</f>
        <v>-3.1400826244341928E-2</v>
      </c>
      <c r="Y983" s="37">
        <v>38215</v>
      </c>
      <c r="Z983" s="35">
        <v>8.6244040000000002</v>
      </c>
      <c r="AA983" s="36">
        <f>IF(ISBLANK(Z984),"",Long6[[#This Row],[Adj Close]]/Z984-1)</f>
        <v>0.25710206071122066</v>
      </c>
      <c r="AK983" s="37">
        <v>38215</v>
      </c>
      <c r="AL983" s="39">
        <v>20.694224999999999</v>
      </c>
      <c r="AM983" s="36">
        <f>IF(ISBLANK(AL984),"",Short1[[#This Row],[Adj Close]]/AL984-1)</f>
        <v>9.2355620756241263E-2</v>
      </c>
      <c r="AN983" s="29">
        <v>38215</v>
      </c>
      <c r="AO983" s="44">
        <v>36.675198000000002</v>
      </c>
      <c r="AP983" s="33">
        <f>IF(ISBLANK(AO984),"",Short2[[#This Row],[Adj Close]]/AO984-1)</f>
        <v>5.4476961549449143E-2</v>
      </c>
    </row>
    <row r="984" spans="1:42" x14ac:dyDescent="0.25">
      <c r="A984" s="37">
        <v>38208</v>
      </c>
      <c r="B984" s="39">
        <v>1064.8000489999999</v>
      </c>
      <c r="C984" s="36">
        <f>IF(ISBLANK(B985), "", GSPC[[#This Row],[Adj Close]]/B985-1)</f>
        <v>7.8017051479362109E-4</v>
      </c>
      <c r="D98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8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84" s="11" t="e">
        <f>IF(ISBLANK(GSPC[[#This Row],[Long Exp.]]), "", (GSPC[[#This Row],[Long Exp.]]/D985-1)+(E985/GSPC[[#This Row],[Short Exp.]]-1))</f>
        <v>#VALUE!</v>
      </c>
      <c r="G984" s="37">
        <v>38208</v>
      </c>
      <c r="H984">
        <v>14.188879999999999</v>
      </c>
      <c r="I984" s="36">
        <f>IF(ISBLANK(H985), "", Long0[[#This Row],[Adj Close]]/H985-1)</f>
        <v>5.7501624760757597E-2</v>
      </c>
      <c r="J984" s="29">
        <v>38208</v>
      </c>
      <c r="K984">
        <v>1.687767</v>
      </c>
      <c r="L984" s="33">
        <f>IF(ISBLANK(K985),"",Long1[[#This Row],[Adj Close]]/K985-1)</f>
        <v>0.15094301022694023</v>
      </c>
      <c r="M984" s="37">
        <v>38208</v>
      </c>
      <c r="N984">
        <v>11.057822</v>
      </c>
      <c r="O984" s="36">
        <f>IF(ISBLANK(N985),"",Long2[[#This Row],[Adj Close]]/N985-1)</f>
        <v>3.4099169443588817E-2</v>
      </c>
      <c r="P984" s="29">
        <v>38208</v>
      </c>
      <c r="Q984">
        <v>9.3964470000000002</v>
      </c>
      <c r="R984" s="33">
        <f>IF(ISBLANK(Q985),"",Long3[[#This Row],[Adj Close]]/Q985-1)</f>
        <v>7.3299169078115956E-3</v>
      </c>
      <c r="S984" s="37">
        <v>38208</v>
      </c>
      <c r="T984" s="35">
        <v>7.0596550000000002</v>
      </c>
      <c r="U984" s="36">
        <f>IF(ISBLANK(T985),"",Long4[[#This Row],[Adj Close]]/T985-1)</f>
        <v>-6.002433582652178E-3</v>
      </c>
      <c r="Y984" s="37">
        <v>38208</v>
      </c>
      <c r="Z984" s="35">
        <v>6.860544</v>
      </c>
      <c r="AA984" s="36">
        <f>IF(ISBLANK(Z985),"",Long6[[#This Row],[Adj Close]]/Z985-1)</f>
        <v>-8.571416386994235E-2</v>
      </c>
      <c r="AK984" s="37">
        <v>38208</v>
      </c>
      <c r="AL984" s="39">
        <v>18.944586000000001</v>
      </c>
      <c r="AM984" s="36">
        <f>IF(ISBLANK(AL985),"",Short1[[#This Row],[Adj Close]]/AL985-1)</f>
        <v>-6.0163949753750945E-3</v>
      </c>
      <c r="AN984" s="29">
        <v>38208</v>
      </c>
      <c r="AO984" s="44">
        <v>34.780464000000002</v>
      </c>
      <c r="AP984" s="33">
        <f>IF(ISBLANK(AO985),"",Short2[[#This Row],[Adj Close]]/AO985-1)</f>
        <v>1.483187045432599E-2</v>
      </c>
    </row>
    <row r="985" spans="1:42" x14ac:dyDescent="0.25">
      <c r="A985" s="37">
        <v>38201</v>
      </c>
      <c r="B985" s="39">
        <v>1063.969971</v>
      </c>
      <c r="C985" s="36">
        <f>IF(ISBLANK(B986), "", GSPC[[#This Row],[Adj Close]]/B986-1)</f>
        <v>-3.4264605338628296E-2</v>
      </c>
      <c r="D98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8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85" s="11" t="e">
        <f>IF(ISBLANK(GSPC[[#This Row],[Long Exp.]]), "", (GSPC[[#This Row],[Long Exp.]]/D986-1)+(E986/GSPC[[#This Row],[Short Exp.]]-1))</f>
        <v>#VALUE!</v>
      </c>
      <c r="G985" s="37">
        <v>38201</v>
      </c>
      <c r="H985">
        <v>13.41736</v>
      </c>
      <c r="I985" s="36">
        <f>IF(ISBLANK(H986), "", Long0[[#This Row],[Adj Close]]/H986-1)</f>
        <v>2.0917713211767941E-2</v>
      </c>
      <c r="J985" s="29">
        <v>38201</v>
      </c>
      <c r="K985">
        <v>1.466421</v>
      </c>
      <c r="L985" s="33">
        <f>IF(ISBLANK(K986),"",Long1[[#This Row],[Adj Close]]/K986-1)</f>
        <v>-0.10924365153848259</v>
      </c>
      <c r="M985" s="37">
        <v>38201</v>
      </c>
      <c r="N985">
        <v>10.693193000000001</v>
      </c>
      <c r="O985" s="36">
        <f>IF(ISBLANK(N986),"",Long2[[#This Row],[Adj Close]]/N986-1)</f>
        <v>-1.1721877881232023E-2</v>
      </c>
      <c r="P985" s="29">
        <v>38201</v>
      </c>
      <c r="Q985">
        <v>9.3280729999999998</v>
      </c>
      <c r="R985" s="33">
        <f>IF(ISBLANK(Q986),"",Long3[[#This Row],[Adj Close]]/Q986-1)</f>
        <v>6.4739062423901927E-4</v>
      </c>
      <c r="S985" s="37">
        <v>38201</v>
      </c>
      <c r="T985" s="35">
        <v>7.1022860000000003</v>
      </c>
      <c r="U985" s="36">
        <f>IF(ISBLANK(T986),"",Long4[[#This Row],[Adj Close]]/T986-1)</f>
        <v>-4.8000069701496506E-2</v>
      </c>
      <c r="Y985" s="37">
        <v>38201</v>
      </c>
      <c r="Z985" s="35">
        <v>7.5037190000000002</v>
      </c>
      <c r="AA985" s="36">
        <f>IF(ISBLANK(Z986),"",Long6[[#This Row],[Adj Close]]/Z986-1)</f>
        <v>-9.1981133217067579E-2</v>
      </c>
      <c r="AK985" s="37">
        <v>38201</v>
      </c>
      <c r="AL985" s="39">
        <v>19.059253999999999</v>
      </c>
      <c r="AM985" s="36">
        <f>IF(ISBLANK(AL986),"",Short1[[#This Row],[Adj Close]]/AL986-1)</f>
        <v>-6.8105751547855808E-2</v>
      </c>
      <c r="AN985" s="29">
        <v>38201</v>
      </c>
      <c r="AO985" s="44">
        <v>34.272143999999997</v>
      </c>
      <c r="AP985" s="33">
        <f>IF(ISBLANK(AO986),"",Short2[[#This Row],[Adj Close]]/AO986-1)</f>
        <v>-9.6059324910223731E-3</v>
      </c>
    </row>
    <row r="986" spans="1:42" x14ac:dyDescent="0.25">
      <c r="A986" s="37">
        <v>38194</v>
      </c>
      <c r="B986" s="39">
        <v>1101.719971</v>
      </c>
      <c r="C986" s="36">
        <f>IF(ISBLANK(B987), "", GSPC[[#This Row],[Adj Close]]/B987-1)</f>
        <v>1.4288363745286192E-2</v>
      </c>
      <c r="D98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8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86" s="11" t="e">
        <f>IF(ISBLANK(GSPC[[#This Row],[Long Exp.]]), "", (GSPC[[#This Row],[Long Exp.]]/D987-1)+(E987/GSPC[[#This Row],[Short Exp.]]-1))</f>
        <v>#VALUE!</v>
      </c>
      <c r="G986" s="37">
        <v>38194</v>
      </c>
      <c r="H986">
        <v>13.14245</v>
      </c>
      <c r="I986" s="36">
        <f>IF(ISBLANK(H987), "", Long0[[#This Row],[Adj Close]]/H987-1)</f>
        <v>-0.19935163227190844</v>
      </c>
      <c r="J986" s="29">
        <v>38194</v>
      </c>
      <c r="K986">
        <v>1.6462650000000001</v>
      </c>
      <c r="L986" s="33">
        <f>IF(ISBLANK(K987),"",Long1[[#This Row],[Adj Close]]/K987-1)</f>
        <v>3.4782843723914825E-2</v>
      </c>
      <c r="M986" s="37">
        <v>38194</v>
      </c>
      <c r="N986">
        <v>10.820024</v>
      </c>
      <c r="O986" s="36">
        <f>IF(ISBLANK(N987),"",Long2[[#This Row],[Adj Close]]/N987-1)</f>
        <v>0.10795480086911802</v>
      </c>
      <c r="P986" s="29">
        <v>38194</v>
      </c>
      <c r="Q986">
        <v>9.3220379999999992</v>
      </c>
      <c r="R986" s="33">
        <f>IF(ISBLANK(Q987),"",Long3[[#This Row],[Adj Close]]/Q987-1)</f>
        <v>2.885687866712261E-2</v>
      </c>
      <c r="S986" s="37">
        <v>38194</v>
      </c>
      <c r="T986" s="35">
        <v>7.4603849999999996</v>
      </c>
      <c r="U986" s="36">
        <f>IF(ISBLANK(T987),"",Long4[[#This Row],[Adj Close]]/T987-1)</f>
        <v>1.7441955613453075E-2</v>
      </c>
      <c r="Y986" s="37">
        <v>38194</v>
      </c>
      <c r="Z986" s="35">
        <v>8.2638359999999995</v>
      </c>
      <c r="AA986" s="36">
        <f>IF(ISBLANK(Z987),"",Long6[[#This Row],[Adj Close]]/Z987-1)</f>
        <v>2.6634258635222618E-2</v>
      </c>
      <c r="AK986" s="37">
        <v>38194</v>
      </c>
      <c r="AL986" s="39">
        <v>20.452164</v>
      </c>
      <c r="AM986" s="36">
        <f>IF(ISBLANK(AL987),"",Short1[[#This Row],[Adj Close]]/AL987-1)</f>
        <v>2.2288019392326275E-2</v>
      </c>
      <c r="AN986" s="29">
        <v>38194</v>
      </c>
      <c r="AO986" s="44">
        <v>34.604553000000003</v>
      </c>
      <c r="AP986" s="33">
        <f>IF(ISBLANK(AO987),"",Short2[[#This Row],[Adj Close]]/AO987-1)</f>
        <v>1.9345636158985435E-2</v>
      </c>
    </row>
    <row r="987" spans="1:42" x14ac:dyDescent="0.25">
      <c r="A987" s="37">
        <v>38187</v>
      </c>
      <c r="B987" s="39">
        <v>1086.1999510000001</v>
      </c>
      <c r="C987" s="36">
        <f>IF(ISBLANK(B988), "", GSPC[[#This Row],[Adj Close]]/B988-1)</f>
        <v>-1.3791721182436767E-2</v>
      </c>
      <c r="D98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8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87" s="11" t="e">
        <f>IF(ISBLANK(GSPC[[#This Row],[Long Exp.]]), "", (GSPC[[#This Row],[Long Exp.]]/D988-1)+(E988/GSPC[[#This Row],[Short Exp.]]-1))</f>
        <v>#VALUE!</v>
      </c>
      <c r="G987" s="37">
        <v>38187</v>
      </c>
      <c r="H987">
        <v>16.414759</v>
      </c>
      <c r="I987" s="36">
        <f>IF(ISBLANK(H988), "", Long0[[#This Row],[Adj Close]]/H988-1)</f>
        <v>-4.9306861261515067E-2</v>
      </c>
      <c r="J987" s="29">
        <v>38187</v>
      </c>
      <c r="K987">
        <v>1.5909279999999999</v>
      </c>
      <c r="L987" s="33">
        <f>IF(ISBLANK(K988),"",Long1[[#This Row],[Adj Close]]/K988-1)</f>
        <v>-8.730173300044064E-2</v>
      </c>
      <c r="M987" s="37">
        <v>38187</v>
      </c>
      <c r="N987">
        <v>9.7657629999999997</v>
      </c>
      <c r="O987" s="36">
        <f>IF(ISBLANK(N988),"",Long2[[#This Row],[Adj Close]]/N988-1)</f>
        <v>-7.715357242181442E-2</v>
      </c>
      <c r="P987" s="29">
        <v>38187</v>
      </c>
      <c r="Q987">
        <v>9.0605779999999996</v>
      </c>
      <c r="R987" s="33">
        <f>IF(ISBLANK(Q988),"",Long3[[#This Row],[Adj Close]]/Q988-1)</f>
        <v>-2.31998943484506E-2</v>
      </c>
      <c r="S987" s="37">
        <v>38187</v>
      </c>
      <c r="T987" s="35">
        <v>7.3324920000000002</v>
      </c>
      <c r="U987" s="36">
        <f>IF(ISBLANK(T988),"",Long4[[#This Row],[Adj Close]]/T988-1)</f>
        <v>-2.7149362090559737E-2</v>
      </c>
      <c r="Y987" s="37">
        <v>38187</v>
      </c>
      <c r="Z987" s="35">
        <v>8.0494450000000004</v>
      </c>
      <c r="AA987" s="36">
        <f>IF(ISBLANK(Z988),"",Long6[[#This Row],[Adj Close]]/Z988-1)</f>
        <v>-4.6189305018646043E-2</v>
      </c>
      <c r="AK987" s="37">
        <v>38187</v>
      </c>
      <c r="AL987" s="39">
        <v>20.006264000000002</v>
      </c>
      <c r="AM987" s="36">
        <f>IF(ISBLANK(AL988),"",Short1[[#This Row],[Adj Close]]/AL988-1)</f>
        <v>-9.6700194350806123E-3</v>
      </c>
      <c r="AN987" s="29">
        <v>38187</v>
      </c>
      <c r="AO987" s="44">
        <v>33.947811000000002</v>
      </c>
      <c r="AP987" s="33">
        <f>IF(ISBLANK(AO988),"",Short2[[#This Row],[Adj Close]]/AO988-1)</f>
        <v>-2.9889142470722718E-2</v>
      </c>
    </row>
    <row r="988" spans="1:42" x14ac:dyDescent="0.25">
      <c r="A988" s="37">
        <v>38180</v>
      </c>
      <c r="B988" s="39">
        <v>1101.3900149999999</v>
      </c>
      <c r="C988" s="36">
        <f>IF(ISBLANK(B989), "", GSPC[[#This Row],[Adj Close]]/B989-1)</f>
        <v>-1.0262347925091841E-2</v>
      </c>
      <c r="D98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8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88" s="11" t="e">
        <f>IF(ISBLANK(GSPC[[#This Row],[Long Exp.]]), "", (GSPC[[#This Row],[Long Exp.]]/D989-1)+(E989/GSPC[[#This Row],[Short Exp.]]-1))</f>
        <v>#VALUE!</v>
      </c>
      <c r="G988" s="37">
        <v>38180</v>
      </c>
      <c r="H988">
        <v>17.266096000000001</v>
      </c>
      <c r="I988" s="36">
        <f>IF(ISBLANK(H989), "", Long0[[#This Row],[Adj Close]]/H989-1)</f>
        <v>-1.3177600753515151E-2</v>
      </c>
      <c r="J988" s="29">
        <v>38180</v>
      </c>
      <c r="K988">
        <v>1.743104</v>
      </c>
      <c r="L988" s="33">
        <f>IF(ISBLANK(K989),"",Long1[[#This Row],[Adj Close]]/K989-1)</f>
        <v>-0.16000007710382613</v>
      </c>
      <c r="M988" s="37">
        <v>38180</v>
      </c>
      <c r="N988">
        <v>10.582219</v>
      </c>
      <c r="O988" s="36">
        <f>IF(ISBLANK(N989),"",Long2[[#This Row],[Adj Close]]/N989-1)</f>
        <v>-3.2608783094205562E-2</v>
      </c>
      <c r="P988" s="29">
        <v>38180</v>
      </c>
      <c r="Q988">
        <v>9.2757749999999994</v>
      </c>
      <c r="R988" s="33">
        <f>IF(ISBLANK(Q989),"",Long3[[#This Row],[Adj Close]]/Q989-1)</f>
        <v>1.3849502654096346E-2</v>
      </c>
      <c r="S988" s="37">
        <v>38180</v>
      </c>
      <c r="T988" s="35">
        <v>7.5371199999999998</v>
      </c>
      <c r="U988" s="36">
        <f>IF(ISBLANK(T989),"",Long4[[#This Row],[Adj Close]]/T989-1)</f>
        <v>2.7907019878098627E-2</v>
      </c>
      <c r="Y988" s="37">
        <v>38180</v>
      </c>
      <c r="Z988" s="35">
        <v>8.4392479999999992</v>
      </c>
      <c r="AA988" s="36">
        <f>IF(ISBLANK(Z989),"",Long6[[#This Row],[Adj Close]]/Z989-1)</f>
        <v>-0.10905372863623464</v>
      </c>
      <c r="AK988" s="37">
        <v>38180</v>
      </c>
      <c r="AL988" s="39">
        <v>20.201613999999999</v>
      </c>
      <c r="AM988" s="36">
        <f>IF(ISBLANK(AL989),"",Short1[[#This Row],[Adj Close]]/AL989-1)</f>
        <v>-2.580400433935881E-2</v>
      </c>
      <c r="AN988" s="29">
        <v>38180</v>
      </c>
      <c r="AO988" s="44">
        <v>34.993744</v>
      </c>
      <c r="AP988" s="33">
        <f>IF(ISBLANK(AO989),"",Short2[[#This Row],[Adj Close]]/AO989-1)</f>
        <v>1.219470112747123E-2</v>
      </c>
    </row>
    <row r="989" spans="1:42" x14ac:dyDescent="0.25">
      <c r="A989" s="37">
        <v>38173</v>
      </c>
      <c r="B989" s="39">
        <v>1112.8100589999999</v>
      </c>
      <c r="C989" s="36">
        <f>IF(ISBLANK(B990), "", GSPC[[#This Row],[Adj Close]]/B990-1)</f>
        <v>-1.1169512470589948E-2</v>
      </c>
      <c r="D98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8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89" s="11" t="e">
        <f>IF(ISBLANK(GSPC[[#This Row],[Long Exp.]]), "", (GSPC[[#This Row],[Long Exp.]]/D990-1)+(E990/GSPC[[#This Row],[Short Exp.]]-1))</f>
        <v>#VALUE!</v>
      </c>
      <c r="G989" s="37">
        <v>38173</v>
      </c>
      <c r="H989">
        <v>17.496659999999999</v>
      </c>
      <c r="I989" s="36">
        <f>IF(ISBLANK(H990), "", Long0[[#This Row],[Adj Close]]/H990-1)</f>
        <v>-2.2841011629685881E-2</v>
      </c>
      <c r="J989" s="29">
        <v>38173</v>
      </c>
      <c r="K989">
        <v>2.0751240000000002</v>
      </c>
      <c r="L989" s="33">
        <f>IF(ISBLANK(K990),"",Long1[[#This Row],[Adj Close]]/K990-1)</f>
        <v>-2.5973733372135377E-2</v>
      </c>
      <c r="M989" s="37">
        <v>38173</v>
      </c>
      <c r="N989">
        <v>10.938924</v>
      </c>
      <c r="O989" s="36">
        <f>IF(ISBLANK(N990),"",Long2[[#This Row],[Adj Close]]/N990-1)</f>
        <v>1.0248846734608241E-2</v>
      </c>
      <c r="P989" s="29">
        <v>38173</v>
      </c>
      <c r="Q989">
        <v>9.1490650000000002</v>
      </c>
      <c r="R989" s="33">
        <f>IF(ISBLANK(Q990),"",Long3[[#This Row],[Adj Close]]/Q990-1)</f>
        <v>-1.1087330344962454E-2</v>
      </c>
      <c r="S989" s="37">
        <v>38173</v>
      </c>
      <c r="T989" s="35">
        <v>7.3324920000000002</v>
      </c>
      <c r="U989" s="36">
        <f>IF(ISBLANK(T990),"",Long4[[#This Row],[Adj Close]]/T990-1)</f>
        <v>5.2631639392483276E-2</v>
      </c>
      <c r="Y989" s="37">
        <v>38173</v>
      </c>
      <c r="Z989" s="35">
        <v>9.4722299999999997</v>
      </c>
      <c r="AA989" s="36">
        <f>IF(ISBLANK(Z990),"",Long6[[#This Row],[Adj Close]]/Z990-1)</f>
        <v>-9.4128407623137456E-2</v>
      </c>
      <c r="AK989" s="37">
        <v>38173</v>
      </c>
      <c r="AL989" s="39">
        <v>20.736704</v>
      </c>
      <c r="AM989" s="36">
        <f>IF(ISBLANK(AL990),"",Short1[[#This Row],[Adj Close]]/AL990-1)</f>
        <v>-6.5300132874973604E-3</v>
      </c>
      <c r="AN989" s="29">
        <v>38173</v>
      </c>
      <c r="AO989" s="44">
        <v>34.572147000000001</v>
      </c>
      <c r="AP989" s="33">
        <f>IF(ISBLANK(AO990),"",Short2[[#This Row],[Adj Close]]/AO990-1)</f>
        <v>-5.8511727745363173E-2</v>
      </c>
    </row>
    <row r="990" spans="1:42" x14ac:dyDescent="0.25">
      <c r="A990" s="37">
        <v>38166</v>
      </c>
      <c r="B990" s="39">
        <v>1125.380005</v>
      </c>
      <c r="C990" s="36">
        <f>IF(ISBLANK(B991), "", GSPC[[#This Row],[Adj Close]]/B991-1)</f>
        <v>-7.9776174547645518E-3</v>
      </c>
      <c r="D99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9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90" s="11" t="e">
        <f>IF(ISBLANK(GSPC[[#This Row],[Long Exp.]]), "", (GSPC[[#This Row],[Long Exp.]]/D991-1)+(E991/GSPC[[#This Row],[Short Exp.]]-1))</f>
        <v>#VALUE!</v>
      </c>
      <c r="G990" s="37">
        <v>38166</v>
      </c>
      <c r="H990">
        <v>17.905643000000001</v>
      </c>
      <c r="I990" s="36">
        <f>IF(ISBLANK(H991), "", Long0[[#This Row],[Adj Close]]/H991-1)</f>
        <v>-3.9429918776402562E-2</v>
      </c>
      <c r="J990" s="29">
        <v>38166</v>
      </c>
      <c r="K990">
        <v>2.1304599999999998</v>
      </c>
      <c r="L990" s="33">
        <f>IF(ISBLANK(K991),"",Long1[[#This Row],[Adj Close]]/K991-1)</f>
        <v>-7.228920909047365E-2</v>
      </c>
      <c r="M990" s="37">
        <v>38166</v>
      </c>
      <c r="N990">
        <v>10.82795</v>
      </c>
      <c r="O990" s="36">
        <f>IF(ISBLANK(N991),"",Long2[[#This Row],[Adj Close]]/N991-1)</f>
        <v>1.9403207651546905E-2</v>
      </c>
      <c r="P990" s="29">
        <v>38166</v>
      </c>
      <c r="Q990">
        <v>9.2516409999999993</v>
      </c>
      <c r="R990" s="33">
        <f>IF(ISBLANK(Q991),"",Long3[[#This Row],[Adj Close]]/Q991-1)</f>
        <v>5.5045232315104276E-2</v>
      </c>
      <c r="S990" s="37">
        <v>38166</v>
      </c>
      <c r="T990" s="35">
        <v>6.9658670000000003</v>
      </c>
      <c r="U990" s="36">
        <f>IF(ISBLANK(T991),"",Long4[[#This Row],[Adj Close]]/T991-1)</f>
        <v>-4.8894137411342409E-2</v>
      </c>
      <c r="Y990" s="37">
        <v>38166</v>
      </c>
      <c r="Z990" s="35">
        <v>10.456481999999999</v>
      </c>
      <c r="AA990" s="36">
        <f>IF(ISBLANK(Z991),"",Long6[[#This Row],[Adj Close]]/Z991-1)</f>
        <v>-2.4545687423842888E-2</v>
      </c>
      <c r="AK990" s="37">
        <v>38166</v>
      </c>
      <c r="AL990" s="39">
        <v>20.873004999999999</v>
      </c>
      <c r="AM990" s="36">
        <f>IF(ISBLANK(AL991),"",Short1[[#This Row],[Adj Close]]/AL991-1)</f>
        <v>-6.0473481101784077E-2</v>
      </c>
      <c r="AN990" s="29">
        <v>38166</v>
      </c>
      <c r="AO990" s="44">
        <v>36.720740999999997</v>
      </c>
      <c r="AP990" s="33">
        <f>IF(ISBLANK(AO991),"",Short2[[#This Row],[Adj Close]]/AO991-1)</f>
        <v>-1.3289184110342633E-2</v>
      </c>
    </row>
    <row r="991" spans="1:42" x14ac:dyDescent="0.25">
      <c r="A991" s="37">
        <v>38159</v>
      </c>
      <c r="B991" s="39">
        <v>1134.4300539999999</v>
      </c>
      <c r="C991" s="36">
        <f>IF(ISBLANK(B992), "", GSPC[[#This Row],[Adj Close]]/B992-1)</f>
        <v>-5.197846642387427E-4</v>
      </c>
      <c r="D99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9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91" s="11" t="e">
        <f>IF(ISBLANK(GSPC[[#This Row],[Long Exp.]]), "", (GSPC[[#This Row],[Long Exp.]]/D992-1)+(E992/GSPC[[#This Row],[Short Exp.]]-1))</f>
        <v>#VALUE!</v>
      </c>
      <c r="G991" s="37">
        <v>38159</v>
      </c>
      <c r="H991">
        <v>18.640642</v>
      </c>
      <c r="I991" s="36">
        <f>IF(ISBLANK(H992), "", Long0[[#This Row],[Adj Close]]/H992-1)</f>
        <v>-5.942783393236406E-2</v>
      </c>
      <c r="J991" s="29">
        <v>38159</v>
      </c>
      <c r="K991">
        <v>2.2964699999999998</v>
      </c>
      <c r="L991" s="33">
        <f>IF(ISBLANK(K992),"",Long1[[#This Row],[Adj Close]]/K992-1)</f>
        <v>0.16083880735081135</v>
      </c>
      <c r="M991" s="37">
        <v>38159</v>
      </c>
      <c r="N991">
        <v>10.621852000000001</v>
      </c>
      <c r="O991" s="36">
        <f>IF(ISBLANK(N992),"",Long2[[#This Row],[Adj Close]]/N992-1)</f>
        <v>1.5151407995054766E-2</v>
      </c>
      <c r="P991" s="29">
        <v>38159</v>
      </c>
      <c r="Q991">
        <v>8.7689520000000005</v>
      </c>
      <c r="R991" s="33">
        <f>IF(ISBLANK(Q992),"",Long3[[#This Row],[Adj Close]]/Q992-1)</f>
        <v>1.4190064352672227E-2</v>
      </c>
      <c r="S991" s="37">
        <v>38159</v>
      </c>
      <c r="T991" s="35">
        <v>7.3239660000000004</v>
      </c>
      <c r="U991" s="36">
        <f>IF(ISBLANK(T992),"",Long4[[#This Row],[Adj Close]]/T992-1)</f>
        <v>3.6188089101271137E-2</v>
      </c>
      <c r="Y991" s="37">
        <v>38159</v>
      </c>
      <c r="Z991" s="35">
        <v>10.719602</v>
      </c>
      <c r="AA991" s="36">
        <f>IF(ISBLANK(Z992),"",Long6[[#This Row],[Adj Close]]/Z992-1)</f>
        <v>4.761928961543016E-2</v>
      </c>
      <c r="AK991" s="37">
        <v>38159</v>
      </c>
      <c r="AL991" s="39">
        <v>22.216515000000001</v>
      </c>
      <c r="AM991" s="36">
        <f>IF(ISBLANK(AL992),"",Short1[[#This Row],[Adj Close]]/AL992-1)</f>
        <v>1.7468954428788708E-2</v>
      </c>
      <c r="AN991" s="29">
        <v>38159</v>
      </c>
      <c r="AO991" s="44">
        <v>37.215302000000001</v>
      </c>
      <c r="AP991" s="33">
        <f>IF(ISBLANK(AO992),"",Short2[[#This Row],[Adj Close]]/AO992-1)</f>
        <v>3.7522289193574476E-2</v>
      </c>
    </row>
    <row r="992" spans="1:42" x14ac:dyDescent="0.25">
      <c r="A992" s="37">
        <v>38152</v>
      </c>
      <c r="B992" s="39">
        <v>1135.0200199999999</v>
      </c>
      <c r="C992" s="36">
        <f>IF(ISBLANK(B993), "", GSPC[[#This Row],[Adj Close]]/B993-1)</f>
        <v>-1.2758374941699291E-3</v>
      </c>
      <c r="D99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9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92" s="11" t="e">
        <f>IF(ISBLANK(GSPC[[#This Row],[Long Exp.]]), "", (GSPC[[#This Row],[Long Exp.]]/D993-1)+(E993/GSPC[[#This Row],[Short Exp.]]-1))</f>
        <v>#VALUE!</v>
      </c>
      <c r="G992" s="37">
        <v>38152</v>
      </c>
      <c r="H992">
        <v>19.818407000000001</v>
      </c>
      <c r="I992" s="36">
        <f>IF(ISBLANK(H993), "", Long0[[#This Row],[Adj Close]]/H993-1)</f>
        <v>-1.4531165048070616E-2</v>
      </c>
      <c r="J992" s="29">
        <v>38152</v>
      </c>
      <c r="K992">
        <v>1.9782850000000001</v>
      </c>
      <c r="L992" s="33">
        <f>IF(ISBLANK(K993),"",Long1[[#This Row],[Adj Close]]/K993-1)</f>
        <v>-0.12269930216304614</v>
      </c>
      <c r="M992" s="37">
        <v>38152</v>
      </c>
      <c r="N992">
        <v>10.463317999999999</v>
      </c>
      <c r="O992" s="36">
        <f>IF(ISBLANK(N993),"",Long2[[#This Row],[Adj Close]]/N993-1)</f>
        <v>4.7619324149379416E-2</v>
      </c>
      <c r="P992" s="29">
        <v>38152</v>
      </c>
      <c r="Q992">
        <v>8.6462610000000009</v>
      </c>
      <c r="R992" s="33">
        <f>IF(ISBLANK(Q993),"",Long3[[#This Row],[Adj Close]]/Q993-1)</f>
        <v>2.1289571266225105E-2</v>
      </c>
      <c r="S992" s="37">
        <v>38152</v>
      </c>
      <c r="T992" s="35">
        <v>7.0681820000000002</v>
      </c>
      <c r="U992" s="36">
        <f>IF(ISBLANK(T993),"",Long4[[#This Row],[Adj Close]]/T993-1)</f>
        <v>3.2378728930295919E-2</v>
      </c>
      <c r="Y992" s="37">
        <v>38152</v>
      </c>
      <c r="Z992" s="35">
        <v>10.232345</v>
      </c>
      <c r="AA992" s="36">
        <f>IF(ISBLANK(Z993),"",Long6[[#This Row],[Adj Close]]/Z993-1)</f>
        <v>1.1560485066046899E-2</v>
      </c>
      <c r="AK992" s="37">
        <v>38152</v>
      </c>
      <c r="AL992" s="39">
        <v>21.835079</v>
      </c>
      <c r="AM992" s="36">
        <f>IF(ISBLANK(AL993),"",Short1[[#This Row],[Adj Close]]/AL993-1)</f>
        <v>-3.7009528256776947E-2</v>
      </c>
      <c r="AN992" s="29">
        <v>38152</v>
      </c>
      <c r="AO992" s="44">
        <v>35.869399999999999</v>
      </c>
      <c r="AP992" s="33">
        <f>IF(ISBLANK(AO993),"",Short2[[#This Row],[Adj Close]]/AO993-1)</f>
        <v>-1.3541107494264848E-3</v>
      </c>
    </row>
    <row r="993" spans="1:42" x14ac:dyDescent="0.25">
      <c r="A993" s="37">
        <v>38145</v>
      </c>
      <c r="B993" s="39">
        <v>1136.469971</v>
      </c>
      <c r="C993" s="36">
        <f>IF(ISBLANK(B994), "", GSPC[[#This Row],[Adj Close]]/B994-1)</f>
        <v>1.2445408463251706E-2</v>
      </c>
      <c r="D99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9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93" s="11" t="e">
        <f>IF(ISBLANK(GSPC[[#This Row],[Long Exp.]]), "", (GSPC[[#This Row],[Long Exp.]]/D994-1)+(E994/GSPC[[#This Row],[Short Exp.]]-1))</f>
        <v>#VALUE!</v>
      </c>
      <c r="G993" s="37">
        <v>38145</v>
      </c>
      <c r="H993">
        <v>20.110638000000002</v>
      </c>
      <c r="I993" s="36">
        <f>IF(ISBLANK(H994), "", Long0[[#This Row],[Adj Close]]/H994-1)</f>
        <v>8.88467599951559E-3</v>
      </c>
      <c r="J993" s="29">
        <v>38145</v>
      </c>
      <c r="K993">
        <v>2.2549679999999999</v>
      </c>
      <c r="L993" s="33">
        <f>IF(ISBLANK(K994),"",Long1[[#This Row],[Adj Close]]/K994-1)</f>
        <v>-6.8571461615925422E-2</v>
      </c>
      <c r="M993" s="37">
        <v>38145</v>
      </c>
      <c r="N993">
        <v>9.9877099999999999</v>
      </c>
      <c r="O993" s="36">
        <f>IF(ISBLANK(N994),"",Long2[[#This Row],[Adj Close]]/N994-1)</f>
        <v>-1.0212313046787269E-2</v>
      </c>
      <c r="P993" s="29">
        <v>38145</v>
      </c>
      <c r="Q993">
        <v>8.4660229999999999</v>
      </c>
      <c r="R993" s="33">
        <f>IF(ISBLANK(Q994),"",Long3[[#This Row],[Adj Close]]/Q994-1)</f>
        <v>-3.0492526010323928E-3</v>
      </c>
      <c r="S993" s="37">
        <v>38145</v>
      </c>
      <c r="T993" s="35">
        <v>6.8465009999999999</v>
      </c>
      <c r="U993" s="36">
        <f>IF(ISBLANK(T994),"",Long4[[#This Row],[Adj Close]]/T994-1)</f>
        <v>2.8168956975944681E-2</v>
      </c>
      <c r="Y993" s="37">
        <v>38145</v>
      </c>
      <c r="Z993" s="35">
        <v>10.115406</v>
      </c>
      <c r="AA993" s="36">
        <f>IF(ISBLANK(Z994),"",Long6[[#This Row],[Adj Close]]/Z994-1)</f>
        <v>-2.7178755629321816E-2</v>
      </c>
      <c r="AK993" s="37">
        <v>38145</v>
      </c>
      <c r="AL993" s="39">
        <v>22.674242</v>
      </c>
      <c r="AM993" s="36">
        <f>IF(ISBLANK(AL994),"",Short1[[#This Row],[Adj Close]]/AL994-1)</f>
        <v>2.2944821617046696E-2</v>
      </c>
      <c r="AN993" s="29">
        <v>38145</v>
      </c>
      <c r="AO993" s="44">
        <v>35.918036999999998</v>
      </c>
      <c r="AP993" s="33">
        <f>IF(ISBLANK(AO994),"",Short2[[#This Row],[Adj Close]]/AO994-1)</f>
        <v>2.262273109965296E-3</v>
      </c>
    </row>
    <row r="994" spans="1:42" x14ac:dyDescent="0.25">
      <c r="A994" s="37">
        <v>38138</v>
      </c>
      <c r="B994" s="39">
        <v>1122.5</v>
      </c>
      <c r="C994" s="36">
        <f>IF(ISBLANK(B995), "", GSPC[[#This Row],[Adj Close]]/B995-1)</f>
        <v>1.6239657282237641E-3</v>
      </c>
      <c r="D99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9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94" s="11" t="e">
        <f>IF(ISBLANK(GSPC[[#This Row],[Long Exp.]]), "", (GSPC[[#This Row],[Long Exp.]]/D995-1)+(E995/GSPC[[#This Row],[Short Exp.]]-1))</f>
        <v>#VALUE!</v>
      </c>
      <c r="G994" s="37">
        <v>38138</v>
      </c>
      <c r="H994">
        <v>19.933534999999999</v>
      </c>
      <c r="I994" s="36">
        <f>IF(ISBLANK(H995), "", Long0[[#This Row],[Adj Close]]/H995-1)</f>
        <v>8.9647296494548279E-3</v>
      </c>
      <c r="J994" s="29">
        <v>38138</v>
      </c>
      <c r="K994">
        <v>2.4209779999999999</v>
      </c>
      <c r="L994" s="33">
        <f>IF(ISBLANK(K995),"",Long1[[#This Row],[Adj Close]]/K995-1)</f>
        <v>-0.10256403602973108</v>
      </c>
      <c r="M994" s="37">
        <v>38138</v>
      </c>
      <c r="N994">
        <v>10.09076</v>
      </c>
      <c r="O994" s="36">
        <f>IF(ISBLANK(N995),"",Long2[[#This Row],[Adj Close]]/N995-1)</f>
        <v>2.2489632492820322E-2</v>
      </c>
      <c r="P994" s="29">
        <v>38138</v>
      </c>
      <c r="Q994">
        <v>8.4919170000000008</v>
      </c>
      <c r="R994" s="33">
        <f>IF(ISBLANK(Q995),"",Long3[[#This Row],[Adj Close]]/Q995-1)</f>
        <v>-1.2051300307695634E-2</v>
      </c>
      <c r="S994" s="37">
        <v>38138</v>
      </c>
      <c r="T994" s="35">
        <v>6.6589260000000001</v>
      </c>
      <c r="U994" s="36">
        <f>IF(ISBLANK(T995),"",Long4[[#This Row],[Adj Close]]/T995-1)</f>
        <v>3.8563917932731062E-2</v>
      </c>
      <c r="Y994" s="37">
        <v>38138</v>
      </c>
      <c r="Z994" s="35">
        <v>10.398011</v>
      </c>
      <c r="AA994" s="36">
        <f>IF(ISBLANK(Z995),"",Long6[[#This Row],[Adj Close]]/Z995-1)</f>
        <v>-7.6989864564073418E-2</v>
      </c>
      <c r="AK994" s="37">
        <v>38138</v>
      </c>
      <c r="AL994" s="39">
        <v>22.165655000000001</v>
      </c>
      <c r="AM994" s="36">
        <f>IF(ISBLANK(AL995),"",Short1[[#This Row],[Adj Close]]/AL995-1)</f>
        <v>-8.7188128518659314E-3</v>
      </c>
      <c r="AN994" s="29">
        <v>38138</v>
      </c>
      <c r="AO994" s="44">
        <v>35.836964000000002</v>
      </c>
      <c r="AP994" s="33">
        <f>IF(ISBLANK(AO995),"",Short2[[#This Row],[Adj Close]]/AO995-1)</f>
        <v>-3.7036861880094363E-2</v>
      </c>
    </row>
    <row r="995" spans="1:42" x14ac:dyDescent="0.25">
      <c r="A995" s="37">
        <v>38131</v>
      </c>
      <c r="B995" s="39">
        <v>1120.6800539999999</v>
      </c>
      <c r="C995" s="36">
        <f>IF(ISBLANK(B996), "", GSPC[[#This Row],[Adj Close]]/B996-1)</f>
        <v>2.4799730729741398E-2</v>
      </c>
      <c r="D99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9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95" s="11" t="e">
        <f>IF(ISBLANK(GSPC[[#This Row],[Long Exp.]]), "", (GSPC[[#This Row],[Long Exp.]]/D996-1)+(E996/GSPC[[#This Row],[Short Exp.]]-1))</f>
        <v>#VALUE!</v>
      </c>
      <c r="G995" s="37">
        <v>38131</v>
      </c>
      <c r="H995">
        <v>19.756423999999999</v>
      </c>
      <c r="I995" s="36">
        <f>IF(ISBLANK(H996), "", Long0[[#This Row],[Adj Close]]/H996-1)</f>
        <v>-1.7613265178359927E-2</v>
      </c>
      <c r="J995" s="29">
        <v>38131</v>
      </c>
      <c r="K995">
        <v>2.6976610000000001</v>
      </c>
      <c r="L995" s="33">
        <f>IF(ISBLANK(K996),"",Long1[[#This Row],[Adj Close]]/K996-1)</f>
        <v>-2.9850762371316786E-2</v>
      </c>
      <c r="M995" s="37">
        <v>38131</v>
      </c>
      <c r="N995">
        <v>9.8688140000000004</v>
      </c>
      <c r="O995" s="36">
        <f>IF(ISBLANK(N996),"",Long2[[#This Row],[Adj Close]]/N996-1)</f>
        <v>6.9587696464170623E-2</v>
      </c>
      <c r="P995" s="29">
        <v>38131</v>
      </c>
      <c r="Q995">
        <v>8.595504</v>
      </c>
      <c r="R995" s="33">
        <f>IF(ISBLANK(Q996),"",Long3[[#This Row],[Adj Close]]/Q996-1)</f>
        <v>6.0978820549565826E-2</v>
      </c>
      <c r="S995" s="37">
        <v>38131</v>
      </c>
      <c r="T995" s="35">
        <v>6.4116669999999996</v>
      </c>
      <c r="U995" s="36">
        <f>IF(ISBLANK(T996),"",Long4[[#This Row],[Adj Close]]/T996-1)</f>
        <v>4.5897071336103323E-2</v>
      </c>
      <c r="Y995" s="37">
        <v>38131</v>
      </c>
      <c r="Z995" s="35">
        <v>11.265326999999999</v>
      </c>
      <c r="AA995" s="36">
        <f>IF(ISBLANK(Z996),"",Long6[[#This Row],[Adj Close]]/Z996-1)</f>
        <v>8.6466320955692177E-2</v>
      </c>
      <c r="AK995" s="37">
        <v>38131</v>
      </c>
      <c r="AL995" s="39">
        <v>22.360613000000001</v>
      </c>
      <c r="AM995" s="36">
        <f>IF(ISBLANK(AL996),"",Short1[[#This Row],[Adj Close]]/AL996-1)</f>
        <v>3.0670502843715308E-2</v>
      </c>
      <c r="AN995" s="29">
        <v>38131</v>
      </c>
      <c r="AO995" s="44">
        <v>37.215302000000001</v>
      </c>
      <c r="AP995" s="33">
        <f>IF(ISBLANK(AO996),"",Short2[[#This Row],[Adj Close]]/AO996-1)</f>
        <v>8.5362522868911661E-2</v>
      </c>
    </row>
    <row r="996" spans="1:42" x14ac:dyDescent="0.25">
      <c r="A996" s="37">
        <v>38124</v>
      </c>
      <c r="B996" s="39">
        <v>1093.5600589999999</v>
      </c>
      <c r="C996" s="36">
        <f>IF(ISBLANK(B997), "", GSPC[[#This Row],[Adj Close]]/B997-1)</f>
        <v>-1.9529908694868592E-3</v>
      </c>
      <c r="D99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9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96" s="11" t="e">
        <f>IF(ISBLANK(GSPC[[#This Row],[Long Exp.]]), "", (GSPC[[#This Row],[Long Exp.]]/D997-1)+(E997/GSPC[[#This Row],[Short Exp.]]-1))</f>
        <v>#VALUE!</v>
      </c>
      <c r="G996" s="37">
        <v>38124</v>
      </c>
      <c r="H996">
        <v>20.110638000000002</v>
      </c>
      <c r="I996" s="36">
        <f>IF(ISBLANK(H997), "", Long0[[#This Row],[Adj Close]]/H997-1)</f>
        <v>-6.1182359191157887E-2</v>
      </c>
      <c r="J996" s="29">
        <v>38124</v>
      </c>
      <c r="K996">
        <v>2.7806660000000001</v>
      </c>
      <c r="L996" s="33">
        <f>IF(ISBLANK(K997),"",Long1[[#This Row],[Adj Close]]/K997-1)</f>
        <v>-0.10666643107156681</v>
      </c>
      <c r="M996" s="37">
        <v>38124</v>
      </c>
      <c r="N996">
        <v>9.2267460000000003</v>
      </c>
      <c r="O996" s="36">
        <f>IF(ISBLANK(N997),"",Long2[[#This Row],[Adj Close]]/N997-1)</f>
        <v>4.3141962690991242E-3</v>
      </c>
      <c r="P996" s="29">
        <v>38124</v>
      </c>
      <c r="Q996">
        <v>8.1014850000000003</v>
      </c>
      <c r="R996" s="33">
        <f>IF(ISBLANK(Q997),"",Long3[[#This Row],[Adj Close]]/Q997-1)</f>
        <v>-1.2144493599199113E-2</v>
      </c>
      <c r="S996" s="37">
        <v>38124</v>
      </c>
      <c r="T996" s="35">
        <v>6.1303039999999998</v>
      </c>
      <c r="U996" s="36">
        <f>IF(ISBLANK(T997),"",Long4[[#This Row],[Adj Close]]/T997-1)</f>
        <v>8.9393934278150677E-2</v>
      </c>
      <c r="Y996" s="37">
        <v>38124</v>
      </c>
      <c r="Z996" s="35">
        <v>10.368777</v>
      </c>
      <c r="AA996" s="36">
        <f>IF(ISBLANK(Z997),"",Long6[[#This Row],[Adj Close]]/Z997-1)</f>
        <v>-2.5641066602516194E-2</v>
      </c>
      <c r="AK996" s="37">
        <v>38124</v>
      </c>
      <c r="AL996" s="39">
        <v>21.695209999999999</v>
      </c>
      <c r="AM996" s="36">
        <f>IF(ISBLANK(AL997),"",Short1[[#This Row],[Adj Close]]/AL997-1)</f>
        <v>-1.9530450728522109E-4</v>
      </c>
      <c r="AN996" s="29">
        <v>38124</v>
      </c>
      <c r="AO996" s="44">
        <v>34.288361000000002</v>
      </c>
      <c r="AP996" s="33">
        <f>IF(ISBLANK(AO997),"",Short2[[#This Row],[Adj Close]]/AO997-1)</f>
        <v>-4.3645300791137487E-2</v>
      </c>
    </row>
    <row r="997" spans="1:42" x14ac:dyDescent="0.25">
      <c r="A997" s="37">
        <v>38117</v>
      </c>
      <c r="B997" s="39">
        <v>1095.6999510000001</v>
      </c>
      <c r="C997" s="36">
        <f>IF(ISBLANK(B998), "", GSPC[[#This Row],[Adj Close]]/B998-1)</f>
        <v>-2.7304998032169348E-3</v>
      </c>
      <c r="D99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9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97" s="11" t="e">
        <f>IF(ISBLANK(GSPC[[#This Row],[Long Exp.]]), "", (GSPC[[#This Row],[Long Exp.]]/D998-1)+(E998/GSPC[[#This Row],[Short Exp.]]-1))</f>
        <v>#VALUE!</v>
      </c>
      <c r="G997" s="37">
        <v>38117</v>
      </c>
      <c r="H997">
        <v>21.421240000000001</v>
      </c>
      <c r="I997" s="36">
        <f>IF(ISBLANK(H998), "", Long0[[#This Row],[Adj Close]]/H998-1)</f>
        <v>8.0875975551415458E-2</v>
      </c>
      <c r="J997" s="29">
        <v>38117</v>
      </c>
      <c r="K997">
        <v>3.1126849999999999</v>
      </c>
      <c r="L997" s="33">
        <f>IF(ISBLANK(K998),"",Long1[[#This Row],[Adj Close]]/K998-1)</f>
        <v>-0.11417335159237274</v>
      </c>
      <c r="M997" s="37">
        <v>38117</v>
      </c>
      <c r="N997">
        <v>9.1871109999999998</v>
      </c>
      <c r="O997" s="36">
        <f>IF(ISBLANK(N998),"",Long2[[#This Row],[Adj Close]]/N998-1)</f>
        <v>-3.0936148461277568E-2</v>
      </c>
      <c r="P997" s="29">
        <v>38117</v>
      </c>
      <c r="Q997">
        <v>8.2010830000000006</v>
      </c>
      <c r="R997" s="33">
        <f>IF(ISBLANK(Q998),"",Long3[[#This Row],[Adj Close]]/Q998-1)</f>
        <v>-1.6977418220018858E-3</v>
      </c>
      <c r="S997" s="37">
        <v>38117</v>
      </c>
      <c r="T997" s="35">
        <v>5.6272609999999998</v>
      </c>
      <c r="U997" s="36">
        <f>IF(ISBLANK(T998),"",Long4[[#This Row],[Adj Close]]/T998-1)</f>
        <v>3.4482879063769234E-2</v>
      </c>
      <c r="Y997" s="37">
        <v>38117</v>
      </c>
      <c r="Z997" s="35">
        <v>10.641640000000001</v>
      </c>
      <c r="AA997" s="36">
        <f>IF(ISBLANK(Z998),"",Long6[[#This Row],[Adj Close]]/Z998-1)</f>
        <v>-9.0757781025330386E-2</v>
      </c>
      <c r="AK997" s="37">
        <v>38117</v>
      </c>
      <c r="AL997" s="39">
        <v>21.699448</v>
      </c>
      <c r="AM997" s="36">
        <f>IF(ISBLANK(AL998),"",Short1[[#This Row],[Adj Close]]/AL998-1)</f>
        <v>-1.7274534059662838E-2</v>
      </c>
      <c r="AN997" s="29">
        <v>38117</v>
      </c>
      <c r="AO997" s="44">
        <v>35.853183999999999</v>
      </c>
      <c r="AP997" s="33">
        <f>IF(ISBLANK(AO998),"",Short2[[#This Row],[Adj Close]]/AO998-1)</f>
        <v>-3.6502069569608331E-3</v>
      </c>
    </row>
    <row r="998" spans="1:42" x14ac:dyDescent="0.25">
      <c r="A998" s="37">
        <v>38110</v>
      </c>
      <c r="B998" s="39">
        <v>1098.6999510000001</v>
      </c>
      <c r="C998" s="36">
        <f>IF(ISBLANK(B999), "", GSPC[[#This Row],[Adj Close]]/B999-1)</f>
        <v>-7.7667277336135321E-3</v>
      </c>
      <c r="D99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9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98" s="11" t="e">
        <f>IF(ISBLANK(GSPC[[#This Row],[Long Exp.]]), "", (GSPC[[#This Row],[Long Exp.]]/D999-1)+(E999/GSPC[[#This Row],[Short Exp.]]-1))</f>
        <v>#VALUE!</v>
      </c>
      <c r="G998" s="37">
        <v>38110</v>
      </c>
      <c r="H998">
        <v>19.818407000000001</v>
      </c>
      <c r="I998" s="36">
        <f>IF(ISBLANK(H999), "", Long0[[#This Row],[Adj Close]]/H999-1)</f>
        <v>-2.3134208883115015E-2</v>
      </c>
      <c r="J998" s="29">
        <v>38110</v>
      </c>
      <c r="K998">
        <v>3.5138760000000002</v>
      </c>
      <c r="L998" s="33">
        <f>IF(ISBLANK(K999),"",Long1[[#This Row],[Adj Close]]/K999-1)</f>
        <v>-3.9215241615664365E-3</v>
      </c>
      <c r="M998" s="37">
        <v>38110</v>
      </c>
      <c r="N998">
        <v>9.4803979999999992</v>
      </c>
      <c r="O998" s="36">
        <f>IF(ISBLANK(N999),"",Long2[[#This Row],[Adj Close]]/N999-1)</f>
        <v>-4.8528527841365632E-2</v>
      </c>
      <c r="P998" s="29">
        <v>38110</v>
      </c>
      <c r="Q998">
        <v>8.2150300000000005</v>
      </c>
      <c r="R998" s="33">
        <f>IF(ISBLANK(Q999),"",Long3[[#This Row],[Adj Close]]/Q999-1)</f>
        <v>-3.7573170238801579E-2</v>
      </c>
      <c r="S998" s="37">
        <v>38110</v>
      </c>
      <c r="T998" s="35">
        <v>5.4396849999999999</v>
      </c>
      <c r="U998" s="36">
        <f>IF(ISBLANK(T999),"",Long4[[#This Row],[Adj Close]]/T999-1)</f>
        <v>4.9342194100966408E-2</v>
      </c>
      <c r="Y998" s="37">
        <v>38110</v>
      </c>
      <c r="Z998" s="35">
        <v>11.703856</v>
      </c>
      <c r="AA998" s="36">
        <f>IF(ISBLANK(Z999),"",Long6[[#This Row],[Adj Close]]/Z999-1)</f>
        <v>-5.0592583855754492E-2</v>
      </c>
      <c r="AK998" s="37">
        <v>38110</v>
      </c>
      <c r="AL998" s="39">
        <v>22.080884999999999</v>
      </c>
      <c r="AM998" s="36">
        <f>IF(ISBLANK(AL999),"",Short1[[#This Row],[Adj Close]]/AL999-1)</f>
        <v>-3.9631656090570289E-2</v>
      </c>
      <c r="AN998" s="29">
        <v>38110</v>
      </c>
      <c r="AO998" s="44">
        <v>35.984535000000001</v>
      </c>
      <c r="AP998" s="33">
        <f>IF(ISBLANK(AO999),"",Short2[[#This Row],[Adj Close]]/AO999-1)</f>
        <v>-5.0160363562714583E-2</v>
      </c>
    </row>
    <row r="999" spans="1:42" x14ac:dyDescent="0.25">
      <c r="A999" s="37">
        <v>38103</v>
      </c>
      <c r="B999" s="39">
        <v>1107.3000489999999</v>
      </c>
      <c r="C999" s="36">
        <f>IF(ISBLANK(B1000), "", GSPC[[#This Row],[Adj Close]]/B1000-1)</f>
        <v>-2.9195097054780295E-2</v>
      </c>
      <c r="D99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99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999" s="11" t="e">
        <f>IF(ISBLANK(GSPC[[#This Row],[Long Exp.]]), "", (GSPC[[#This Row],[Long Exp.]]/D1000-1)+(E1000/GSPC[[#This Row],[Short Exp.]]-1))</f>
        <v>#VALUE!</v>
      </c>
      <c r="G999" s="37">
        <v>38103</v>
      </c>
      <c r="H999">
        <v>20.287748000000001</v>
      </c>
      <c r="I999" s="36">
        <f>IF(ISBLANK(H1000), "", Long0[[#This Row],[Adj Close]]/H1000-1)</f>
        <v>-5.7589310640872249E-2</v>
      </c>
      <c r="J999" s="29">
        <v>38103</v>
      </c>
      <c r="K999">
        <v>3.5277099999999999</v>
      </c>
      <c r="L999" s="33">
        <f>IF(ISBLANK(K1000),"",Long1[[#This Row],[Adj Close]]/K1000-1)</f>
        <v>-1.9230828042406833E-2</v>
      </c>
      <c r="M999" s="37">
        <v>38103</v>
      </c>
      <c r="N999">
        <v>9.9639330000000008</v>
      </c>
      <c r="O999" s="36">
        <f>IF(ISBLANK(N1000),"",Long2[[#This Row],[Adj Close]]/N1000-1)</f>
        <v>-6.8198525922051556E-2</v>
      </c>
      <c r="P999" s="29">
        <v>38103</v>
      </c>
      <c r="Q999">
        <v>8.5357450000000004</v>
      </c>
      <c r="R999" s="33">
        <f>IF(ISBLANK(Q1000),"",Long3[[#This Row],[Adj Close]]/Q1000-1)</f>
        <v>-2.7683041629531502E-2</v>
      </c>
      <c r="S999" s="37">
        <v>38103</v>
      </c>
      <c r="T999" s="35">
        <v>5.1839000000000004</v>
      </c>
      <c r="U999" s="36">
        <f>IF(ISBLANK(T1000),"",Long4[[#This Row],[Adj Close]]/T1000-1)</f>
        <v>4.9583944239242062E-3</v>
      </c>
      <c r="Y999" s="37">
        <v>38103</v>
      </c>
      <c r="Z999" s="35">
        <v>12.327538000000001</v>
      </c>
      <c r="AA999" s="36">
        <f>IF(ISBLANK(Z1000),"",Long6[[#This Row],[Adj Close]]/Z1000-1)</f>
        <v>-4.5283361967644931E-2</v>
      </c>
      <c r="AK999" s="37">
        <v>38103</v>
      </c>
      <c r="AL999" s="39">
        <v>22.992100000000001</v>
      </c>
      <c r="AM999" s="36">
        <f>IF(ISBLANK(AL1000),"",Short1[[#This Row],[Adj Close]]/AL1000-1)</f>
        <v>-2.0674655624372651E-2</v>
      </c>
      <c r="AN999" s="29">
        <v>38103</v>
      </c>
      <c r="AO999" s="44">
        <v>37.884853</v>
      </c>
      <c r="AP999" s="33">
        <f>IF(ISBLANK(AO1000),"",Short2[[#This Row],[Adj Close]]/AO1000-1)</f>
        <v>-3.0421888528974983E-2</v>
      </c>
    </row>
    <row r="1000" spans="1:42" x14ac:dyDescent="0.25">
      <c r="A1000" s="37">
        <v>38096</v>
      </c>
      <c r="B1000" s="39">
        <v>1140.599976</v>
      </c>
      <c r="C1000" s="36">
        <f>IF(ISBLANK(B1001), "", GSPC[[#This Row],[Adj Close]]/B1001-1)</f>
        <v>5.2793392259806726E-3</v>
      </c>
      <c r="D100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0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00" s="11" t="e">
        <f>IF(ISBLANK(GSPC[[#This Row],[Long Exp.]]), "", (GSPC[[#This Row],[Long Exp.]]/D1001-1)+(E1001/GSPC[[#This Row],[Short Exp.]]-1))</f>
        <v>#VALUE!</v>
      </c>
      <c r="G1000" s="37">
        <v>38096</v>
      </c>
      <c r="H1000">
        <v>21.527501999999998</v>
      </c>
      <c r="I1000" s="36">
        <f>IF(ISBLANK(H1001), "", Long0[[#This Row],[Adj Close]]/H1001-1)</f>
        <v>6.7163663406573537E-2</v>
      </c>
      <c r="J1000" s="29">
        <v>38096</v>
      </c>
      <c r="K1000">
        <v>3.5968810000000002</v>
      </c>
      <c r="L1000" s="33">
        <f>IF(ISBLANK(K1001),"",Long1[[#This Row],[Adj Close]]/K1001-1)</f>
        <v>0.1063829983571345</v>
      </c>
      <c r="M1000" s="37">
        <v>38096</v>
      </c>
      <c r="N1000">
        <v>10.693193000000001</v>
      </c>
      <c r="O1000" s="36">
        <f>IF(ISBLANK(N1001),"",Long2[[#This Row],[Adj Close]]/N1001-1)</f>
        <v>-2.599267389925175E-2</v>
      </c>
      <c r="P1000" s="29">
        <v>38096</v>
      </c>
      <c r="Q1000">
        <v>8.7787679999999995</v>
      </c>
      <c r="R1000" s="33">
        <f>IF(ISBLANK(Q1001),"",Long3[[#This Row],[Adj Close]]/Q1001-1)</f>
        <v>1.5910190085983711E-3</v>
      </c>
      <c r="S1000" s="37">
        <v>38096</v>
      </c>
      <c r="T1000" s="35">
        <v>5.1583230000000002</v>
      </c>
      <c r="U1000" s="36">
        <f>IF(ISBLANK(T1001),"",Long4[[#This Row],[Adj Close]]/T1001-1)</f>
        <v>1.6557937440628834E-3</v>
      </c>
      <c r="Y1000" s="37">
        <v>38096</v>
      </c>
      <c r="Z1000" s="35">
        <v>12.912248</v>
      </c>
      <c r="AA1000" s="36">
        <f>IF(ISBLANK(Z1001),"",Long6[[#This Row],[Adj Close]]/Z1001-1)</f>
        <v>-1.6332288028707453E-2</v>
      </c>
      <c r="AK1000" s="37">
        <v>38096</v>
      </c>
      <c r="AL1000" s="39">
        <v>23.477488999999998</v>
      </c>
      <c r="AM1000" s="36">
        <f>IF(ISBLANK(AL1001),"",Short1[[#This Row],[Adj Close]]/AL1001-1)</f>
        <v>4.7169458703569145E-2</v>
      </c>
      <c r="AN1000" s="29">
        <v>38096</v>
      </c>
      <c r="AO1000" s="44">
        <v>39.073543999999998</v>
      </c>
      <c r="AP1000" s="33">
        <f>IF(ISBLANK(AO1001),"",Short2[[#This Row],[Adj Close]]/AO1001-1)</f>
        <v>-1.8086354776822855E-2</v>
      </c>
    </row>
    <row r="1001" spans="1:42" x14ac:dyDescent="0.25">
      <c r="A1001" s="37">
        <v>38089</v>
      </c>
      <c r="B1001" s="39">
        <v>1134.6099850000001</v>
      </c>
      <c r="C1001" s="36">
        <f>IF(ISBLANK(B1002), "", GSPC[[#This Row],[Adj Close]]/B1002-1)</f>
        <v>-4.1340108338628889E-3</v>
      </c>
      <c r="D100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0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01" s="11" t="e">
        <f>IF(ISBLANK(GSPC[[#This Row],[Long Exp.]]), "", (GSPC[[#This Row],[Long Exp.]]/D1002-1)+(E1002/GSPC[[#This Row],[Short Exp.]]-1))</f>
        <v>#VALUE!</v>
      </c>
      <c r="G1001" s="37">
        <v>38089</v>
      </c>
      <c r="H1001">
        <v>20.172633999999999</v>
      </c>
      <c r="I1001" s="36">
        <f>IF(ISBLANK(H1002), "", Long0[[#This Row],[Adj Close]]/H1002-1)</f>
        <v>-2.3574428134732428E-2</v>
      </c>
      <c r="J1001" s="29">
        <v>38089</v>
      </c>
      <c r="K1001">
        <v>3.2510270000000001</v>
      </c>
      <c r="L1001" s="33">
        <f>IF(ISBLANK(K1002),"",Long1[[#This Row],[Adj Close]]/K1002-1)</f>
        <v>6.8181691235298603E-2</v>
      </c>
      <c r="M1001" s="37">
        <v>38089</v>
      </c>
      <c r="N1001">
        <v>10.978555</v>
      </c>
      <c r="O1001" s="36">
        <f>IF(ISBLANK(N1002),"",Long2[[#This Row],[Adj Close]]/N1002-1)</f>
        <v>-4.4827499503427681E-2</v>
      </c>
      <c r="P1001" s="29">
        <v>38089</v>
      </c>
      <c r="Q1001">
        <v>8.7648229999999998</v>
      </c>
      <c r="R1001" s="33">
        <f>IF(ISBLANK(Q1002),"",Long3[[#This Row],[Adj Close]]/Q1002-1)</f>
        <v>-4.1394755596114607E-2</v>
      </c>
      <c r="S1001" s="37">
        <v>38089</v>
      </c>
      <c r="T1001" s="35">
        <v>5.1497960000000003</v>
      </c>
      <c r="U1001" s="36">
        <f>IF(ISBLANK(T1002),"",Long4[[#This Row],[Adj Close]]/T1002-1)</f>
        <v>-4.5813865929869912E-2</v>
      </c>
      <c r="Y1001" s="37">
        <v>38089</v>
      </c>
      <c r="Z1001" s="35">
        <v>13.126636</v>
      </c>
      <c r="AA1001" s="36">
        <f>IF(ISBLANK(Z1002),"",Long6[[#This Row],[Adj Close]]/Z1002-1)</f>
        <v>-7.4862650964479083E-2</v>
      </c>
      <c r="AK1001" s="37">
        <v>38089</v>
      </c>
      <c r="AL1001" s="39">
        <v>22.419951999999999</v>
      </c>
      <c r="AM1001" s="36">
        <f>IF(ISBLANK(AL1002),"",Short1[[#This Row],[Adj Close]]/AL1002-1)</f>
        <v>1.0293980405932546E-2</v>
      </c>
      <c r="AN1001" s="29">
        <v>38089</v>
      </c>
      <c r="AO1001" s="44">
        <v>39.793258999999999</v>
      </c>
      <c r="AP1001" s="33">
        <f>IF(ISBLANK(AO1002),"",Short2[[#This Row],[Adj Close]]/AO1002-1)</f>
        <v>-2.4964810703563933E-2</v>
      </c>
    </row>
    <row r="1002" spans="1:42" x14ac:dyDescent="0.25">
      <c r="A1002" s="37">
        <v>38082</v>
      </c>
      <c r="B1002" s="39">
        <v>1139.3199460000001</v>
      </c>
      <c r="C1002" s="36">
        <f>IF(ISBLANK(B1003), "", GSPC[[#This Row],[Adj Close]]/B1003-1)</f>
        <v>-2.1808469634438943E-3</v>
      </c>
      <c r="D100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0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02" s="11" t="e">
        <f>IF(ISBLANK(GSPC[[#This Row],[Long Exp.]]), "", (GSPC[[#This Row],[Long Exp.]]/D1003-1)+(E1003/GSPC[[#This Row],[Short Exp.]]-1))</f>
        <v>#VALUE!</v>
      </c>
      <c r="G1002" s="37">
        <v>38082</v>
      </c>
      <c r="H1002">
        <v>20.659673999999999</v>
      </c>
      <c r="I1002" s="36">
        <f>IF(ISBLANK(H1003), "", Long0[[#This Row],[Adj Close]]/H1003-1)</f>
        <v>8.6285816352904554E-4</v>
      </c>
      <c r="J1002" s="29">
        <v>38082</v>
      </c>
      <c r="K1002">
        <v>3.0435150000000002</v>
      </c>
      <c r="L1002" s="33">
        <f>IF(ISBLANK(K1003),"",Long1[[#This Row],[Adj Close]]/K1003-1)</f>
        <v>4.7619195139153581E-2</v>
      </c>
      <c r="M1002" s="37">
        <v>38082</v>
      </c>
      <c r="N1002">
        <v>11.493793</v>
      </c>
      <c r="O1002" s="36">
        <f>IF(ISBLANK(N1003),"",Long2[[#This Row],[Adj Close]]/N1003-1)</f>
        <v>-5.4871379413490295E-3</v>
      </c>
      <c r="P1002" s="29">
        <v>38082</v>
      </c>
      <c r="Q1002">
        <v>9.1433079999999993</v>
      </c>
      <c r="R1002" s="33">
        <f>IF(ISBLANK(Q1003),"",Long3[[#This Row],[Adj Close]]/Q1003-1)</f>
        <v>-4.3378394521352837E-3</v>
      </c>
      <c r="S1002" s="37">
        <v>38082</v>
      </c>
      <c r="T1002" s="35">
        <v>5.3970560000000001</v>
      </c>
      <c r="U1002" s="36">
        <f>IF(ISBLANK(T1003),"",Long4[[#This Row],[Adj Close]]/T1003-1)</f>
        <v>-1.2480456116949368E-2</v>
      </c>
      <c r="Y1002" s="37">
        <v>38082</v>
      </c>
      <c r="Z1002" s="35">
        <v>14.188851</v>
      </c>
      <c r="AA1002" s="36">
        <f>IF(ISBLANK(Z1003),"",Long6[[#This Row],[Adj Close]]/Z1003-1)</f>
        <v>-1.1541036176974773E-2</v>
      </c>
      <c r="AK1002" s="37">
        <v>38082</v>
      </c>
      <c r="AL1002" s="39">
        <v>22.191513</v>
      </c>
      <c r="AM1002" s="36">
        <f>IF(ISBLANK(AL1003),"",Short1[[#This Row],[Adj Close]]/AL1003-1)</f>
        <v>-2.7076896852586962E-2</v>
      </c>
      <c r="AN1002" s="29">
        <v>38082</v>
      </c>
      <c r="AO1002" s="44">
        <v>40.812125999999999</v>
      </c>
      <c r="AP1002" s="33">
        <f>IF(ISBLANK(AO1003),"",Short2[[#This Row],[Adj Close]]/AO1003-1)</f>
        <v>-3.351235591624091E-2</v>
      </c>
    </row>
    <row r="1003" spans="1:42" x14ac:dyDescent="0.25">
      <c r="A1003" s="37">
        <v>38075</v>
      </c>
      <c r="B1003" s="39">
        <v>1141.8100589999999</v>
      </c>
      <c r="C1003" s="36">
        <f>IF(ISBLANK(B1004), "", GSPC[[#This Row],[Adj Close]]/B1004-1)</f>
        <v>3.0458637802050825E-2</v>
      </c>
      <c r="D100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0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03" s="11" t="e">
        <f>IF(ISBLANK(GSPC[[#This Row],[Long Exp.]]), "", (GSPC[[#This Row],[Long Exp.]]/D1004-1)+(E1004/GSPC[[#This Row],[Short Exp.]]-1))</f>
        <v>#VALUE!</v>
      </c>
      <c r="G1003" s="37">
        <v>38075</v>
      </c>
      <c r="H1003">
        <v>20.641863000000001</v>
      </c>
      <c r="I1003" s="36">
        <f>IF(ISBLANK(H1004), "", Long0[[#This Row],[Adj Close]]/H1004-1)</f>
        <v>3.8707786703133795E-3</v>
      </c>
      <c r="J1003" s="29">
        <v>38075</v>
      </c>
      <c r="K1003">
        <v>2.905173</v>
      </c>
      <c r="L1003" s="33">
        <f>IF(ISBLANK(K1004),"",Long1[[#This Row],[Adj Close]]/K1004-1)</f>
        <v>-0.1025641659301747</v>
      </c>
      <c r="M1003" s="37">
        <v>38075</v>
      </c>
      <c r="N1003">
        <v>11.557209</v>
      </c>
      <c r="O1003" s="36">
        <f>IF(ISBLANK(N1004),"",Long2[[#This Row],[Adj Close]]/N1004-1)</f>
        <v>0.11128003356183847</v>
      </c>
      <c r="P1003" s="29">
        <v>38075</v>
      </c>
      <c r="Q1003">
        <v>9.1831429999999994</v>
      </c>
      <c r="R1003" s="33">
        <f>IF(ISBLANK(Q1004),"",Long3[[#This Row],[Adj Close]]/Q1004-1)</f>
        <v>3.6421002711265915E-2</v>
      </c>
      <c r="S1003" s="37">
        <v>38075</v>
      </c>
      <c r="T1003" s="35">
        <v>5.4652649999999996</v>
      </c>
      <c r="U1003" s="36">
        <f>IF(ISBLANK(T1004),"",Long4[[#This Row],[Adj Close]]/T1004-1)</f>
        <v>4.2276618435024504E-2</v>
      </c>
      <c r="Y1003" s="37">
        <v>38075</v>
      </c>
      <c r="Z1003" s="35">
        <v>14.354517</v>
      </c>
      <c r="AA1003" s="36">
        <f>IF(ISBLANK(Z1004),"",Long6[[#This Row],[Adj Close]]/Z1004-1)</f>
        <v>0.13046812957026122</v>
      </c>
      <c r="AK1003" s="37">
        <v>38075</v>
      </c>
      <c r="AL1003" s="39">
        <v>22.809113</v>
      </c>
      <c r="AM1003" s="36">
        <f>IF(ISBLANK(AL1004),"",Short1[[#This Row],[Adj Close]]/AL1004-1)</f>
        <v>0.11890338886877916</v>
      </c>
      <c r="AN1003" s="29">
        <v>38075</v>
      </c>
      <c r="AO1003" s="44">
        <v>42.227260999999999</v>
      </c>
      <c r="AP1003" s="33">
        <f>IF(ISBLANK(AO1004),"",Short2[[#This Row],[Adj Close]]/AO1004-1)</f>
        <v>-2.8103509017876394E-2</v>
      </c>
    </row>
    <row r="1004" spans="1:42" x14ac:dyDescent="0.25">
      <c r="A1004" s="37">
        <v>38068</v>
      </c>
      <c r="B1004" s="39">
        <v>1108.0600589999999</v>
      </c>
      <c r="C1004" s="36">
        <f>IF(ISBLANK(B1005), "", GSPC[[#This Row],[Adj Close]]/B1005-1)</f>
        <v>-1.5498296554767865E-3</v>
      </c>
      <c r="D100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0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04" s="11" t="e">
        <f>IF(ISBLANK(GSPC[[#This Row],[Long Exp.]]), "", (GSPC[[#This Row],[Long Exp.]]/D1005-1)+(E1005/GSPC[[#This Row],[Short Exp.]]-1))</f>
        <v>#VALUE!</v>
      </c>
      <c r="G1004" s="37">
        <v>38068</v>
      </c>
      <c r="H1004">
        <v>20.562270999999999</v>
      </c>
      <c r="I1004" s="36">
        <f>IF(ISBLANK(H1005), "", Long0[[#This Row],[Adj Close]]/H1005-1)</f>
        <v>3.425292708783978E-2</v>
      </c>
      <c r="J1004" s="29">
        <v>38068</v>
      </c>
      <c r="K1004">
        <v>3.237193</v>
      </c>
      <c r="L1004" s="33">
        <f>IF(ISBLANK(K1005),"",Long1[[#This Row],[Adj Close]]/K1005-1)</f>
        <v>-7.1428612406373881E-2</v>
      </c>
      <c r="M1004" s="37">
        <v>38068</v>
      </c>
      <c r="N1004">
        <v>10.399907000000001</v>
      </c>
      <c r="O1004" s="36">
        <f>IF(ISBLANK(N1005),"",Long2[[#This Row],[Adj Close]]/N1005-1)</f>
        <v>4.0444541909180787E-2</v>
      </c>
      <c r="P1004" s="29">
        <v>38068</v>
      </c>
      <c r="Q1004">
        <v>8.8604369999999992</v>
      </c>
      <c r="R1004" s="33">
        <f>IF(ISBLANK(Q1005),"",Long3[[#This Row],[Adj Close]]/Q1005-1)</f>
        <v>-2.9244910305996408E-2</v>
      </c>
      <c r="S1004" s="37">
        <v>38068</v>
      </c>
      <c r="T1004" s="35">
        <v>5.2435840000000002</v>
      </c>
      <c r="U1004" s="36">
        <f>IF(ISBLANK(T1005),"",Long4[[#This Row],[Adj Close]]/T1005-1)</f>
        <v>-3.9062707598805702E-2</v>
      </c>
      <c r="Y1004" s="37">
        <v>38068</v>
      </c>
      <c r="Z1004" s="35">
        <v>12.697851999999999</v>
      </c>
      <c r="AA1004" s="36">
        <f>IF(ISBLANK(Z1005),"",Long6[[#This Row],[Adj Close]]/Z1005-1)</f>
        <v>9.9577907145806943E-2</v>
      </c>
      <c r="AK1004" s="37">
        <v>38068</v>
      </c>
      <c r="AL1004" s="39">
        <v>20.385238999999999</v>
      </c>
      <c r="AM1004" s="36">
        <f>IF(ISBLANK(AL1005),"",Short1[[#This Row],[Adj Close]]/AL1005-1)</f>
        <v>2.0326303383374267E-2</v>
      </c>
      <c r="AN1004" s="29">
        <v>38068</v>
      </c>
      <c r="AO1004" s="44">
        <v>43.448310999999997</v>
      </c>
      <c r="AP1004" s="33">
        <f>IF(ISBLANK(AO1005),"",Short2[[#This Row],[Adj Close]]/AO1005-1)</f>
        <v>9.9626166807864625E-3</v>
      </c>
    </row>
    <row r="1005" spans="1:42" x14ac:dyDescent="0.25">
      <c r="A1005" s="37">
        <v>38061</v>
      </c>
      <c r="B1005" s="39">
        <v>1109.780029</v>
      </c>
      <c r="C1005" s="36">
        <f>IF(ISBLANK(B1006), "", GSPC[[#This Row],[Adj Close]]/B1006-1)</f>
        <v>-9.6289544784918801E-3</v>
      </c>
      <c r="D100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0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05" s="11" t="e">
        <f>IF(ISBLANK(GSPC[[#This Row],[Long Exp.]]), "", (GSPC[[#This Row],[Long Exp.]]/D1006-1)+(E1006/GSPC[[#This Row],[Short Exp.]]-1))</f>
        <v>#VALUE!</v>
      </c>
      <c r="G1005" s="37">
        <v>38061</v>
      </c>
      <c r="H1005">
        <v>19.881278999999999</v>
      </c>
      <c r="I1005" s="36">
        <f>IF(ISBLANK(H1006), "", Long0[[#This Row],[Adj Close]]/H1006-1)</f>
        <v>-3.436431624787839E-2</v>
      </c>
      <c r="J1005" s="29">
        <v>38061</v>
      </c>
      <c r="K1005">
        <v>3.486208</v>
      </c>
      <c r="L1005" s="33">
        <f>IF(ISBLANK(K1006),"",Long1[[#This Row],[Adj Close]]/K1006-1)</f>
        <v>3.2787108647105878E-2</v>
      </c>
      <c r="M1005" s="37">
        <v>38061</v>
      </c>
      <c r="N1005">
        <v>9.9956379999999996</v>
      </c>
      <c r="O1005" s="36">
        <f>IF(ISBLANK(N1006),"",Long2[[#This Row],[Adj Close]]/N1006-1)</f>
        <v>2.9387630176526347E-2</v>
      </c>
      <c r="P1005" s="29">
        <v>38061</v>
      </c>
      <c r="Q1005">
        <v>9.1273660000000003</v>
      </c>
      <c r="R1005" s="33">
        <f>IF(ISBLANK(Q1006),"",Long3[[#This Row],[Adj Close]]/Q1006-1)</f>
        <v>2.2651030492198521E-2</v>
      </c>
      <c r="S1005" s="37">
        <v>38061</v>
      </c>
      <c r="T1005" s="35">
        <v>5.4567389999999998</v>
      </c>
      <c r="U1005" s="36">
        <f>IF(ISBLANK(T1006),"",Long4[[#This Row],[Adj Close]]/T1006-1)</f>
        <v>-3.7593837766222049E-2</v>
      </c>
      <c r="Y1005" s="37">
        <v>38061</v>
      </c>
      <c r="Z1005" s="35">
        <v>11.547933</v>
      </c>
      <c r="AA1005" s="36">
        <f>IF(ISBLANK(Z1006),"",Long6[[#This Row],[Adj Close]]/Z1006-1)</f>
        <v>-0.11830353836585306</v>
      </c>
      <c r="AK1005" s="37">
        <v>38061</v>
      </c>
      <c r="AL1005" s="39">
        <v>19.979137000000001</v>
      </c>
      <c r="AM1005" s="36">
        <f>IF(ISBLANK(AL1006),"",Short1[[#This Row],[Adj Close]]/AL1006-1)</f>
        <v>-4.1987915867369718E-2</v>
      </c>
      <c r="AN1005" s="29">
        <v>38061</v>
      </c>
      <c r="AO1005" s="44">
        <v>43.019722000000002</v>
      </c>
      <c r="AP1005" s="33">
        <f>IF(ISBLANK(AO1006),"",Short2[[#This Row],[Adj Close]]/AO1006-1)</f>
        <v>-4.282095614438497E-2</v>
      </c>
    </row>
    <row r="1006" spans="1:42" x14ac:dyDescent="0.25">
      <c r="A1006" s="37">
        <v>38054</v>
      </c>
      <c r="B1006" s="39">
        <v>1120.5699460000001</v>
      </c>
      <c r="C1006" s="36">
        <f>IF(ISBLANK(B1007), "", GSPC[[#This Row],[Adj Close]]/B1007-1)</f>
        <v>-3.1369430588438885E-2</v>
      </c>
      <c r="D100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0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06" s="11" t="e">
        <f>IF(ISBLANK(GSPC[[#This Row],[Long Exp.]]), "", (GSPC[[#This Row],[Long Exp.]]/D1007-1)+(E1007/GSPC[[#This Row],[Short Exp.]]-1))</f>
        <v>#VALUE!</v>
      </c>
      <c r="G1006" s="37">
        <v>38054</v>
      </c>
      <c r="H1006">
        <v>20.588799000000002</v>
      </c>
      <c r="I1006" s="36">
        <f>IF(ISBLANK(H1007), "", Long0[[#This Row],[Adj Close]]/H1007-1)</f>
        <v>-3.6423807121135798E-2</v>
      </c>
      <c r="J1006" s="29">
        <v>38054</v>
      </c>
      <c r="K1006">
        <v>3.375534</v>
      </c>
      <c r="L1006" s="33">
        <f>IF(ISBLANK(K1007),"",Long1[[#This Row],[Adj Close]]/K1007-1)</f>
        <v>4.7210068751262435E-2</v>
      </c>
      <c r="M1006" s="37">
        <v>38054</v>
      </c>
      <c r="N1006">
        <v>9.7102760000000004</v>
      </c>
      <c r="O1006" s="36">
        <f>IF(ISBLANK(N1007),"",Long2[[#This Row],[Adj Close]]/N1007-1)</f>
        <v>-2.7005686594313016E-2</v>
      </c>
      <c r="P1006" s="29">
        <v>38054</v>
      </c>
      <c r="Q1006">
        <v>8.9252009999999995</v>
      </c>
      <c r="R1006" s="33">
        <f>IF(ISBLANK(Q1007),"",Long3[[#This Row],[Adj Close]]/Q1007-1)</f>
        <v>-3.6863294645425926E-2</v>
      </c>
      <c r="S1006" s="37">
        <v>38054</v>
      </c>
      <c r="T1006" s="35">
        <v>5.6698919999999999</v>
      </c>
      <c r="U1006" s="36">
        <f>IF(ISBLANK(T1007),"",Long4[[#This Row],[Adj Close]]/T1007-1)</f>
        <v>-0.15070254115538706</v>
      </c>
      <c r="Y1006" s="37">
        <v>38054</v>
      </c>
      <c r="Z1006" s="35">
        <v>13.097402000000001</v>
      </c>
      <c r="AA1006" s="36">
        <f>IF(ISBLANK(Z1007),"",Long6[[#This Row],[Adj Close]]/Z1007-1)</f>
        <v>-0.10400005144470337</v>
      </c>
      <c r="AK1006" s="37">
        <v>38054</v>
      </c>
      <c r="AL1006" s="39">
        <v>20.854786000000001</v>
      </c>
      <c r="AM1006" s="36">
        <f>IF(ISBLANK(AL1007),"",Short1[[#This Row],[Adj Close]]/AL1007-1)</f>
        <v>-6.9811300220446459E-2</v>
      </c>
      <c r="AN1006" s="29">
        <v>38054</v>
      </c>
      <c r="AO1006" s="44">
        <v>44.944279000000002</v>
      </c>
      <c r="AP1006" s="33">
        <f>IF(ISBLANK(AO1007),"",Short2[[#This Row],[Adj Close]]/AO1007-1)</f>
        <v>5.0629193569033948E-3</v>
      </c>
    </row>
    <row r="1007" spans="1:42" x14ac:dyDescent="0.25">
      <c r="A1007" s="37">
        <v>38047</v>
      </c>
      <c r="B1007" s="39">
        <v>1156.8599850000001</v>
      </c>
      <c r="C1007" s="36">
        <f>IF(ISBLANK(B1008), "", GSPC[[#This Row],[Adj Close]]/B1008-1)</f>
        <v>1.041106487174237E-2</v>
      </c>
      <c r="D100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0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07" s="11" t="e">
        <f>IF(ISBLANK(GSPC[[#This Row],[Long Exp.]]), "", (GSPC[[#This Row],[Long Exp.]]/D1008-1)+(E1008/GSPC[[#This Row],[Short Exp.]]-1))</f>
        <v>#VALUE!</v>
      </c>
      <c r="G1007" s="37">
        <v>38047</v>
      </c>
      <c r="H1007">
        <v>21.367069000000001</v>
      </c>
      <c r="I1007" s="36">
        <f>IF(ISBLANK(H1008), "", Long0[[#This Row],[Adj Close]]/H1008-1)</f>
        <v>2.8085054745941918E-2</v>
      </c>
      <c r="J1007" s="29">
        <v>38047</v>
      </c>
      <c r="K1007">
        <v>3.2233589999999999</v>
      </c>
      <c r="L1007" s="33">
        <f>IF(ISBLANK(K1008),"",Long1[[#This Row],[Adj Close]]/K1008-1)</f>
        <v>-8.5105414381363431E-3</v>
      </c>
      <c r="M1007" s="37">
        <v>38047</v>
      </c>
      <c r="N1007">
        <v>9.979787</v>
      </c>
      <c r="O1007" s="36">
        <f>IF(ISBLANK(N1008),"",Long2[[#This Row],[Adj Close]]/N1008-1)</f>
        <v>0.1141598335467735</v>
      </c>
      <c r="P1007" s="29">
        <v>38047</v>
      </c>
      <c r="Q1007">
        <v>9.2668060000000008</v>
      </c>
      <c r="R1007" s="33">
        <f>IF(ISBLANK(Q1008),"",Long3[[#This Row],[Adj Close]]/Q1008-1)</f>
        <v>8.5963771182382409E-3</v>
      </c>
      <c r="S1007" s="37">
        <v>38047</v>
      </c>
      <c r="T1007" s="35">
        <v>6.6759789999999999</v>
      </c>
      <c r="U1007" s="36">
        <f>IF(ISBLANK(T1008),"",Long4[[#This Row],[Adj Close]]/T1008-1)</f>
        <v>1.0322850317989296E-2</v>
      </c>
      <c r="Y1007" s="37">
        <v>38047</v>
      </c>
      <c r="Z1007" s="35">
        <v>14.617637</v>
      </c>
      <c r="AA1007" s="36">
        <f>IF(ISBLANK(Z1008),"",Long6[[#This Row],[Adj Close]]/Z1008-1)</f>
        <v>-3.983958687679201E-3</v>
      </c>
      <c r="AK1007" s="37">
        <v>38047</v>
      </c>
      <c r="AL1007" s="39">
        <v>22.419951999999999</v>
      </c>
      <c r="AM1007" s="36">
        <f>IF(ISBLANK(AL1008),"",Short1[[#This Row],[Adj Close]]/AL1008-1)</f>
        <v>-4.6943721516974346E-3</v>
      </c>
      <c r="AN1007" s="29">
        <v>38047</v>
      </c>
      <c r="AO1007" s="44">
        <v>44.717875999999997</v>
      </c>
      <c r="AP1007" s="33">
        <f>IF(ISBLANK(AO1008),"",Short2[[#This Row],[Adj Close]]/AO1008-1)</f>
        <v>0.11830162527553734</v>
      </c>
    </row>
    <row r="1008" spans="1:42" x14ac:dyDescent="0.25">
      <c r="A1008" s="37">
        <v>38040</v>
      </c>
      <c r="B1008" s="39">
        <v>1144.9399410000001</v>
      </c>
      <c r="C1008" s="36">
        <f>IF(ISBLANK(B1009), "", GSPC[[#This Row],[Adj Close]]/B1009-1)</f>
        <v>7.2541627193301039E-4</v>
      </c>
      <c r="D100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0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08" s="11" t="e">
        <f>IF(ISBLANK(GSPC[[#This Row],[Long Exp.]]), "", (GSPC[[#This Row],[Long Exp.]]/D1009-1)+(E1009/GSPC[[#This Row],[Short Exp.]]-1))</f>
        <v>#VALUE!</v>
      </c>
      <c r="G1008" s="37">
        <v>38040</v>
      </c>
      <c r="H1008">
        <v>20.783366999999998</v>
      </c>
      <c r="I1008" s="36">
        <f>IF(ISBLANK(H1009), "", Long0[[#This Row],[Adj Close]]/H1009-1)</f>
        <v>-8.4387372380428927E-3</v>
      </c>
      <c r="J1008" s="29">
        <v>38040</v>
      </c>
      <c r="K1008">
        <v>3.2510270000000001</v>
      </c>
      <c r="L1008" s="33">
        <f>IF(ISBLANK(K1009),"",Long1[[#This Row],[Adj Close]]/K1009-1)</f>
        <v>4.4444587229353516E-2</v>
      </c>
      <c r="M1008" s="37">
        <v>38040</v>
      </c>
      <c r="N1008">
        <v>8.9572310000000002</v>
      </c>
      <c r="O1008" s="36">
        <f>IF(ISBLANK(N1009),"",Long2[[#This Row],[Adj Close]]/N1009-1)</f>
        <v>3.0081585601631655E-2</v>
      </c>
      <c r="P1008" s="29">
        <v>38040</v>
      </c>
      <c r="Q1008">
        <v>9.1878240000000009</v>
      </c>
      <c r="R1008" s="33">
        <f>IF(ISBLANK(Q1009),"",Long3[[#This Row],[Adj Close]]/Q1009-1)</f>
        <v>3.3999751511190279E-2</v>
      </c>
      <c r="S1008" s="37">
        <v>38040</v>
      </c>
      <c r="T1008" s="35">
        <v>6.6077680000000001</v>
      </c>
      <c r="U1008" s="36">
        <f>IF(ISBLANK(T1009),"",Long4[[#This Row],[Adj Close]]/T1009-1)</f>
        <v>-0.10817039348369262</v>
      </c>
      <c r="Y1008" s="37">
        <v>38040</v>
      </c>
      <c r="Z1008" s="35">
        <v>14.676106000000001</v>
      </c>
      <c r="AA1008" s="36">
        <f>IF(ISBLANK(Z1009),"",Long6[[#This Row],[Adj Close]]/Z1009-1)</f>
        <v>3.0095616552273219E-2</v>
      </c>
      <c r="AK1008" s="37">
        <v>38040</v>
      </c>
      <c r="AL1008" s="39">
        <v>22.525696</v>
      </c>
      <c r="AM1008" s="36">
        <f>IF(ISBLANK(AL1009),"",Short1[[#This Row],[Adj Close]]/AL1009-1)</f>
        <v>1.3706234895006109E-2</v>
      </c>
      <c r="AN1008" s="29">
        <v>38040</v>
      </c>
      <c r="AO1008" s="44">
        <v>39.987312000000003</v>
      </c>
      <c r="AP1008" s="33">
        <f>IF(ISBLANK(AO1009),"",Short2[[#This Row],[Adj Close]]/AO1009-1)</f>
        <v>6.918881349577588E-2</v>
      </c>
    </row>
    <row r="1009" spans="1:42" x14ac:dyDescent="0.25">
      <c r="A1009" s="37">
        <v>38033</v>
      </c>
      <c r="B1009" s="39">
        <v>1144.1099850000001</v>
      </c>
      <c r="C1009" s="36">
        <f>IF(ISBLANK(B1010), "", GSPC[[#This Row],[Adj Close]]/B1010-1)</f>
        <v>-1.4837310832159778E-3</v>
      </c>
      <c r="D100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0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09" s="11" t="e">
        <f>IF(ISBLANK(GSPC[[#This Row],[Long Exp.]]), "", (GSPC[[#This Row],[Long Exp.]]/D1010-1)+(E1010/GSPC[[#This Row],[Short Exp.]]-1))</f>
        <v>#VALUE!</v>
      </c>
      <c r="G1009" s="37">
        <v>38033</v>
      </c>
      <c r="H1009">
        <v>20.960245</v>
      </c>
      <c r="I1009" s="36">
        <f>IF(ISBLANK(H1010), "", Long0[[#This Row],[Adj Close]]/H1010-1)</f>
        <v>-2.5092504662966197E-2</v>
      </c>
      <c r="J1009" s="29">
        <v>38033</v>
      </c>
      <c r="K1009">
        <v>3.1126849999999999</v>
      </c>
      <c r="L1009" s="33">
        <f>IF(ISBLANK(K1010),"",Long1[[#This Row],[Adj Close]]/K1010-1)</f>
        <v>-7.7868864600386223E-2</v>
      </c>
      <c r="M1009" s="37">
        <v>38033</v>
      </c>
      <c r="N1009">
        <v>8.6956520000000008</v>
      </c>
      <c r="O1009" s="36">
        <f>IF(ISBLANK(N1010),"",Long2[[#This Row],[Adj Close]]/N1010-1)</f>
        <v>-4.1084174035631249E-2</v>
      </c>
      <c r="P1009" s="29">
        <v>38033</v>
      </c>
      <c r="Q1009">
        <v>8.8857119999999998</v>
      </c>
      <c r="R1009" s="33">
        <f>IF(ISBLANK(Q1010),"",Long3[[#This Row],[Adj Close]]/Q1010-1)</f>
        <v>-3.9836341338227443E-3</v>
      </c>
      <c r="S1009" s="37">
        <v>38033</v>
      </c>
      <c r="T1009" s="35">
        <v>7.4092269999999996</v>
      </c>
      <c r="U1009" s="36">
        <f>IF(ISBLANK(T1010),"",Long4[[#This Row],[Adj Close]]/T1010-1)</f>
        <v>-8.5263225992197822E-2</v>
      </c>
      <c r="Y1009" s="37">
        <v>38033</v>
      </c>
      <c r="Z1009" s="35">
        <v>14.247324000000001</v>
      </c>
      <c r="AA1009" s="36">
        <f>IF(ISBLANK(Z1010),"",Long6[[#This Row],[Adj Close]]/Z1010-1)</f>
        <v>-2.0476924479975178E-3</v>
      </c>
      <c r="AK1009" s="37">
        <v>38033</v>
      </c>
      <c r="AL1009" s="39">
        <v>22.221128</v>
      </c>
      <c r="AM1009" s="36">
        <f>IF(ISBLANK(AL1010),"",Short1[[#This Row],[Adj Close]]/AL1010-1)</f>
        <v>-2.0875875923511367E-2</v>
      </c>
      <c r="AN1009" s="29">
        <v>38033</v>
      </c>
      <c r="AO1009" s="44">
        <v>37.399673</v>
      </c>
      <c r="AP1009" s="33">
        <f>IF(ISBLANK(AO1010),"",Short2[[#This Row],[Adj Close]]/AO1010-1)</f>
        <v>-1.2384959336443679E-2</v>
      </c>
    </row>
    <row r="1010" spans="1:42" x14ac:dyDescent="0.25">
      <c r="A1010" s="37">
        <v>38026</v>
      </c>
      <c r="B1010" s="39">
        <v>1145.8100589999999</v>
      </c>
      <c r="C1010" s="36">
        <f>IF(ISBLANK(B1011), "", GSPC[[#This Row],[Adj Close]]/B1011-1)</f>
        <v>2.6690197183221187E-3</v>
      </c>
      <c r="D101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1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10" s="11" t="e">
        <f>IF(ISBLANK(GSPC[[#This Row],[Long Exp.]]), "", (GSPC[[#This Row],[Long Exp.]]/D1011-1)+(E1011/GSPC[[#This Row],[Short Exp.]]-1))</f>
        <v>#VALUE!</v>
      </c>
      <c r="G1010" s="37">
        <v>38026</v>
      </c>
      <c r="H1010">
        <v>21.499727</v>
      </c>
      <c r="I1010" s="36">
        <f>IF(ISBLANK(H1011), "", Long0[[#This Row],[Adj Close]]/H1011-1)</f>
        <v>-2.6821678288600381E-2</v>
      </c>
      <c r="J1010" s="29">
        <v>38026</v>
      </c>
      <c r="K1010">
        <v>3.375534</v>
      </c>
      <c r="L1010" s="33">
        <f>IF(ISBLANK(K1011),"",Long1[[#This Row],[Adj Close]]/K1011-1)</f>
        <v>-6.1538594131971602E-2</v>
      </c>
      <c r="M1010" s="37">
        <v>38026</v>
      </c>
      <c r="N1010">
        <v>9.0682120000000008</v>
      </c>
      <c r="O1010" s="36">
        <f>IF(ISBLANK(N1011),"",Long2[[#This Row],[Adj Close]]/N1011-1)</f>
        <v>3.8112776158674144E-2</v>
      </c>
      <c r="P1010" s="29">
        <v>38026</v>
      </c>
      <c r="Q1010">
        <v>8.9212509999999998</v>
      </c>
      <c r="R1010" s="33">
        <f>IF(ISBLANK(Q1011),"",Long3[[#This Row],[Adj Close]]/Q1011-1)</f>
        <v>-5.940677242776915E-3</v>
      </c>
      <c r="S1010" s="37">
        <v>38026</v>
      </c>
      <c r="T1010" s="35">
        <v>8.0998459999999994</v>
      </c>
      <c r="U1010" s="36">
        <f>IF(ISBLANK(T1011),"",Long4[[#This Row],[Adj Close]]/T1011-1)</f>
        <v>-8.3895711419400665E-2</v>
      </c>
      <c r="Y1010" s="37">
        <v>38026</v>
      </c>
      <c r="Z1010" s="35">
        <v>14.276558</v>
      </c>
      <c r="AA1010" s="36">
        <f>IF(ISBLANK(Z1011),"",Long6[[#This Row],[Adj Close]]/Z1011-1)</f>
        <v>-0.12953050505622044</v>
      </c>
      <c r="AK1010" s="37">
        <v>38026</v>
      </c>
      <c r="AL1010" s="39">
        <v>22.694904000000001</v>
      </c>
      <c r="AM1010" s="36">
        <f>IF(ISBLANK(AL1011),"",Short1[[#This Row],[Adj Close]]/AL1011-1)</f>
        <v>2.0932281785879248E-2</v>
      </c>
      <c r="AN1010" s="29">
        <v>38026</v>
      </c>
      <c r="AO1010" s="44">
        <v>37.868675000000003</v>
      </c>
      <c r="AP1010" s="33">
        <f>IF(ISBLANK(AO1011),"",Short2[[#This Row],[Adj Close]]/AO1011-1)</f>
        <v>4.3353904774961816E-2</v>
      </c>
    </row>
    <row r="1011" spans="1:42" x14ac:dyDescent="0.25">
      <c r="A1011" s="37">
        <v>38019</v>
      </c>
      <c r="B1011" s="39">
        <v>1142.76001</v>
      </c>
      <c r="C1011" s="36">
        <f>IF(ISBLANK(B1012), "", GSPC[[#This Row],[Adj Close]]/B1012-1)</f>
        <v>1.0281758019494935E-2</v>
      </c>
      <c r="D101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1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11" s="11" t="e">
        <f>IF(ISBLANK(GSPC[[#This Row],[Long Exp.]]), "", (GSPC[[#This Row],[Long Exp.]]/D1012-1)+(E1012/GSPC[[#This Row],[Short Exp.]]-1))</f>
        <v>#VALUE!</v>
      </c>
      <c r="G1011" s="37">
        <v>38019</v>
      </c>
      <c r="H1011">
        <v>22.092279000000001</v>
      </c>
      <c r="I1011" s="36">
        <f>IF(ISBLANK(H1012), "", Long0[[#This Row],[Adj Close]]/H1012-1)</f>
        <v>2.4190516315864663E-2</v>
      </c>
      <c r="J1011" s="29">
        <v>38019</v>
      </c>
      <c r="K1011">
        <v>3.5968810000000002</v>
      </c>
      <c r="L1011" s="33">
        <f>IF(ISBLANK(K1012),"",Long1[[#This Row],[Adj Close]]/K1012-1)</f>
        <v>-5.1094838518540353E-2</v>
      </c>
      <c r="M1011" s="37">
        <v>38019</v>
      </c>
      <c r="N1011">
        <v>8.7352860000000003</v>
      </c>
      <c r="O1011" s="36">
        <f>IF(ISBLANK(N1012),"",Long2[[#This Row],[Adj Close]]/N1012-1)</f>
        <v>-2.5641357409484367E-2</v>
      </c>
      <c r="P1011" s="29">
        <v>38019</v>
      </c>
      <c r="Q1011">
        <v>8.9745659999999994</v>
      </c>
      <c r="R1011" s="33">
        <f>IF(ISBLANK(Q1012),"",Long3[[#This Row],[Adj Close]]/Q1012-1)</f>
        <v>-5.9059243561393471E-3</v>
      </c>
      <c r="S1011" s="37">
        <v>38019</v>
      </c>
      <c r="T1011" s="35">
        <v>8.8416200000000007</v>
      </c>
      <c r="U1011" s="36">
        <f>IF(ISBLANK(T1012),"",Long4[[#This Row],[Adj Close]]/T1012-1)</f>
        <v>-3.8426152407138314E-3</v>
      </c>
      <c r="Y1011" s="37">
        <v>38019</v>
      </c>
      <c r="Z1011" s="35">
        <v>16.400986</v>
      </c>
      <c r="AA1011" s="36">
        <f>IF(ISBLANK(Z1012),"",Long6[[#This Row],[Adj Close]]/Z1012-1)</f>
        <v>4.081633171106902E-2</v>
      </c>
      <c r="AK1011" s="37">
        <v>38019</v>
      </c>
      <c r="AL1011" s="39">
        <v>22.229588</v>
      </c>
      <c r="AM1011" s="36">
        <f>IF(ISBLANK(AL1012),"",Short1[[#This Row],[Adj Close]]/AL1012-1)</f>
        <v>4.2865718628019245E-2</v>
      </c>
      <c r="AN1011" s="29">
        <v>38019</v>
      </c>
      <c r="AO1011" s="44">
        <v>36.295138999999999</v>
      </c>
      <c r="AP1011" s="33">
        <f>IF(ISBLANK(AO1012),"",Short2[[#This Row],[Adj Close]]/AO1012-1)</f>
        <v>2.0634940765578147E-2</v>
      </c>
    </row>
    <row r="1012" spans="1:42" x14ac:dyDescent="0.25">
      <c r="A1012" s="37">
        <v>38012</v>
      </c>
      <c r="B1012" s="39">
        <v>1131.130005</v>
      </c>
      <c r="C1012" s="36">
        <f>IF(ISBLANK(B1013), "", GSPC[[#This Row],[Adj Close]]/B1013-1)</f>
        <v>-9.1279782337427839E-3</v>
      </c>
      <c r="D101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1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12" s="11" t="e">
        <f>IF(ISBLANK(GSPC[[#This Row],[Long Exp.]]), "", (GSPC[[#This Row],[Long Exp.]]/D1013-1)+(E1013/GSPC[[#This Row],[Short Exp.]]-1))</f>
        <v>#VALUE!</v>
      </c>
      <c r="G1012" s="37">
        <v>38012</v>
      </c>
      <c r="H1012">
        <v>21.570478000000001</v>
      </c>
      <c r="I1012" s="36">
        <f>IF(ISBLANK(H1013), "", Long0[[#This Row],[Adj Close]]/H1013-1)</f>
        <v>-5.2815538925915728E-2</v>
      </c>
      <c r="J1012" s="29">
        <v>38012</v>
      </c>
      <c r="K1012">
        <v>3.790559</v>
      </c>
      <c r="L1012" s="33">
        <f>IF(ISBLANK(K1013),"",Long1[[#This Row],[Adj Close]]/K1013-1)</f>
        <v>0.36999969640368491</v>
      </c>
      <c r="M1012" s="37">
        <v>38012</v>
      </c>
      <c r="N1012">
        <v>8.9651650000000007</v>
      </c>
      <c r="O1012" s="36">
        <f>IF(ISBLANK(N1013),"",Long2[[#This Row],[Adj Close]]/N1013-1)</f>
        <v>4.7222621648175478E-2</v>
      </c>
      <c r="P1012" s="29">
        <v>38012</v>
      </c>
      <c r="Q1012">
        <v>9.0278840000000002</v>
      </c>
      <c r="R1012" s="33">
        <f>IF(ISBLANK(Q1013),"",Long3[[#This Row],[Adj Close]]/Q1013-1)</f>
        <v>7.2706731071230379E-3</v>
      </c>
      <c r="S1012" s="37">
        <v>38012</v>
      </c>
      <c r="T1012" s="35">
        <v>8.8757260000000002</v>
      </c>
      <c r="U1012" s="36">
        <f>IF(ISBLANK(T1013),"",Long4[[#This Row],[Adj Close]]/T1013-1)</f>
        <v>-9.8701434008661271E-2</v>
      </c>
      <c r="Y1012" s="37">
        <v>38012</v>
      </c>
      <c r="Z1012" s="35">
        <v>15.757809999999999</v>
      </c>
      <c r="AA1012" s="36">
        <f>IF(ISBLANK(Z1013),"",Long6[[#This Row],[Adj Close]]/Z1013-1)</f>
        <v>-9.1573158528333143E-2</v>
      </c>
      <c r="AK1012" s="37">
        <v>38012</v>
      </c>
      <c r="AL1012" s="39">
        <v>21.315867999999998</v>
      </c>
      <c r="AM1012" s="36">
        <f>IF(ISBLANK(AL1013),"",Short1[[#This Row],[Adj Close]]/AL1013-1)</f>
        <v>-4.1103775742492465E-2</v>
      </c>
      <c r="AN1012" s="29">
        <v>38012</v>
      </c>
      <c r="AO1012" s="44">
        <v>35.561332999999998</v>
      </c>
      <c r="AP1012" s="33">
        <f>IF(ISBLANK(AO1013),"",Short2[[#This Row],[Adj Close]]/AO1013-1)</f>
        <v>-5.5674931307971853E-2</v>
      </c>
    </row>
    <row r="1013" spans="1:42" x14ac:dyDescent="0.25">
      <c r="A1013" s="37">
        <v>38005</v>
      </c>
      <c r="B1013" s="39">
        <v>1141.5500489999999</v>
      </c>
      <c r="C1013" s="36">
        <f>IF(ISBLANK(B1014), "", GSPC[[#This Row],[Adj Close]]/B1014-1)</f>
        <v>1.5090786050546701E-3</v>
      </c>
      <c r="D101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1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13" s="11" t="e">
        <f>IF(ISBLANK(GSPC[[#This Row],[Long Exp.]]), "", (GSPC[[#This Row],[Long Exp.]]/D1014-1)+(E1014/GSPC[[#This Row],[Short Exp.]]-1))</f>
        <v>#VALUE!</v>
      </c>
      <c r="G1013" s="37">
        <v>38005</v>
      </c>
      <c r="H1013">
        <v>22.773260000000001</v>
      </c>
      <c r="I1013" s="36">
        <f>IF(ISBLANK(H1014), "", Long0[[#This Row],[Adj Close]]/H1014-1)</f>
        <v>4.6322381693477244E-2</v>
      </c>
      <c r="J1013" s="29">
        <v>38005</v>
      </c>
      <c r="K1013">
        <v>2.766832</v>
      </c>
      <c r="L1013" s="33">
        <f>IF(ISBLANK(K1014),"",Long1[[#This Row],[Adj Close]]/K1014-1)</f>
        <v>-0.15611790666713432</v>
      </c>
      <c r="M1013" s="37">
        <v>38005</v>
      </c>
      <c r="N1013">
        <v>8.5608970000000006</v>
      </c>
      <c r="O1013" s="36">
        <f>IF(ISBLANK(N1014),"",Long2[[#This Row],[Adj Close]]/N1014-1)</f>
        <v>-4.6080886419892497E-3</v>
      </c>
      <c r="P1013" s="29">
        <v>38005</v>
      </c>
      <c r="Q1013">
        <v>8.9627189999999999</v>
      </c>
      <c r="R1013" s="33">
        <f>IF(ISBLANK(Q1014),"",Long3[[#This Row],[Adj Close]]/Q1014-1)</f>
        <v>2.6458798521110882E-2</v>
      </c>
      <c r="S1013" s="37">
        <v>38005</v>
      </c>
      <c r="T1013" s="35">
        <v>9.847709</v>
      </c>
      <c r="U1013" s="36">
        <f>IF(ISBLANK(T1014),"",Long4[[#This Row],[Adj Close]]/T1014-1)</f>
        <v>-1.7021266826322212E-2</v>
      </c>
      <c r="Y1013" s="37">
        <v>38005</v>
      </c>
      <c r="Z1013" s="35">
        <v>17.346261999999999</v>
      </c>
      <c r="AA1013" s="36">
        <f>IF(ISBLANK(Z1014),"",Long6[[#This Row],[Adj Close]]/Z1014-1)</f>
        <v>4.7058868978612001E-2</v>
      </c>
      <c r="AK1013" s="37">
        <v>38005</v>
      </c>
      <c r="AL1013" s="39">
        <v>22.229588</v>
      </c>
      <c r="AM1013" s="36">
        <f>IF(ISBLANK(AL1014),"",Short1[[#This Row],[Adj Close]]/AL1014-1)</f>
        <v>-2.4503581384480166E-2</v>
      </c>
      <c r="AN1013" s="29">
        <v>38005</v>
      </c>
      <c r="AO1013" s="44">
        <v>37.657935999999999</v>
      </c>
      <c r="AP1013" s="33">
        <f>IF(ISBLANK(AO1014),"",Short2[[#This Row],[Adj Close]]/AO1014-1)</f>
        <v>2.8520868237179808E-2</v>
      </c>
    </row>
    <row r="1014" spans="1:42" x14ac:dyDescent="0.25">
      <c r="A1014" s="37">
        <v>37998</v>
      </c>
      <c r="B1014" s="39">
        <v>1139.829956</v>
      </c>
      <c r="C1014" s="36">
        <f>IF(ISBLANK(B1015), "", GSPC[[#This Row],[Adj Close]]/B1015-1)</f>
        <v>1.6018015831093191E-2</v>
      </c>
      <c r="D101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1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14" s="11" t="e">
        <f>IF(ISBLANK(GSPC[[#This Row],[Long Exp.]]), "", (GSPC[[#This Row],[Long Exp.]]/D1015-1)+(E1015/GSPC[[#This Row],[Short Exp.]]-1))</f>
        <v>#VALUE!</v>
      </c>
      <c r="G1014" s="37">
        <v>37998</v>
      </c>
      <c r="H1014">
        <v>21.765051</v>
      </c>
      <c r="I1014" s="36">
        <f>IF(ISBLANK(H1015), "", Long0[[#This Row],[Adj Close]]/H1015-1)</f>
        <v>-4.8523678057030839E-3</v>
      </c>
      <c r="J1014" s="29">
        <v>37998</v>
      </c>
      <c r="K1014">
        <v>3.2786949999999999</v>
      </c>
      <c r="L1014" s="33">
        <f>IF(ISBLANK(K1015),"",Long1[[#This Row],[Adj Close]]/K1015-1)</f>
        <v>0.14492726294326408</v>
      </c>
      <c r="M1014" s="37">
        <v>37998</v>
      </c>
      <c r="N1014">
        <v>8.6005289999999999</v>
      </c>
      <c r="O1014" s="36">
        <f>IF(ISBLANK(N1015),"",Long2[[#This Row],[Adj Close]]/N1015-1)</f>
        <v>-2.7573223547533443E-3</v>
      </c>
      <c r="P1014" s="29">
        <v>37998</v>
      </c>
      <c r="Q1014">
        <v>8.7316889999999994</v>
      </c>
      <c r="R1014" s="33">
        <f>IF(ISBLANK(Q1015),"",Long3[[#This Row],[Adj Close]]/Q1015-1)</f>
        <v>1.7720886050130114E-2</v>
      </c>
      <c r="S1014" s="37">
        <v>37998</v>
      </c>
      <c r="T1014" s="35">
        <v>10.018231999999999</v>
      </c>
      <c r="U1014" s="36">
        <f>IF(ISBLANK(T1015),"",Long4[[#This Row],[Adj Close]]/T1015-1)</f>
        <v>0</v>
      </c>
      <c r="Y1014" s="37">
        <v>37998</v>
      </c>
      <c r="Z1014" s="35">
        <v>16.566654</v>
      </c>
      <c r="AA1014" s="36">
        <f>IF(ISBLANK(Z1015),"",Long6[[#This Row],[Adj Close]]/Z1015-1)</f>
        <v>0.12956782406547207</v>
      </c>
      <c r="AK1014" s="37">
        <v>37998</v>
      </c>
      <c r="AL1014" s="39">
        <v>22.787974999999999</v>
      </c>
      <c r="AM1014" s="36">
        <f>IF(ISBLANK(AL1015),"",Short1[[#This Row],[Adj Close]]/AL1015-1)</f>
        <v>-4.4082765941344526E-4</v>
      </c>
      <c r="AN1014" s="29">
        <v>37998</v>
      </c>
      <c r="AO1014" s="44">
        <v>36.613681999999997</v>
      </c>
      <c r="AP1014" s="33">
        <f>IF(ISBLANK(AO1015),"",Short2[[#This Row],[Adj Close]]/AO1015-1)</f>
        <v>-1.4968127025286715E-2</v>
      </c>
    </row>
    <row r="1015" spans="1:42" x14ac:dyDescent="0.25">
      <c r="A1015" s="37">
        <v>37991</v>
      </c>
      <c r="B1015" s="39">
        <v>1121.8599850000001</v>
      </c>
      <c r="C1015" s="36">
        <f>IF(ISBLANK(B1016), "", GSPC[[#This Row],[Adj Close]]/B1016-1)</f>
        <v>1.2070587869345228E-2</v>
      </c>
      <c r="D101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1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15" s="11" t="e">
        <f>IF(ISBLANK(GSPC[[#This Row],[Long Exp.]]), "", (GSPC[[#This Row],[Long Exp.]]/D1016-1)+(E1016/GSPC[[#This Row],[Short Exp.]]-1))</f>
        <v>#VALUE!</v>
      </c>
      <c r="G1015" s="37">
        <v>37991</v>
      </c>
      <c r="H1015">
        <v>21.871178</v>
      </c>
      <c r="I1015" s="36">
        <f>IF(ISBLANK(H1016), "", Long0[[#This Row],[Adj Close]]/H1016-1)</f>
        <v>-1.4349700526264719E-2</v>
      </c>
      <c r="J1015" s="29">
        <v>37991</v>
      </c>
      <c r="K1015">
        <v>2.8636710000000001</v>
      </c>
      <c r="L1015" s="33">
        <f>IF(ISBLANK(K1016),"",Long1[[#This Row],[Adj Close]]/K1016-1)</f>
        <v>0.58015257066394454</v>
      </c>
      <c r="M1015" s="37">
        <v>37991</v>
      </c>
      <c r="N1015">
        <v>8.6243090000000002</v>
      </c>
      <c r="O1015" s="36">
        <f>IF(ISBLANK(N1016),"",Long2[[#This Row],[Adj Close]]/N1016-1)</f>
        <v>6.1463213506586234E-2</v>
      </c>
      <c r="P1015" s="29">
        <v>37991</v>
      </c>
      <c r="Q1015">
        <v>8.5796500000000009</v>
      </c>
      <c r="R1015" s="33">
        <f>IF(ISBLANK(Q1016),"",Long3[[#This Row],[Adj Close]]/Q1016-1)</f>
        <v>-6.8567876525731375E-3</v>
      </c>
      <c r="S1015" s="37">
        <v>37991</v>
      </c>
      <c r="T1015" s="35">
        <v>10.018231999999999</v>
      </c>
      <c r="U1015" s="36">
        <f>IF(ISBLANK(T1016),"",Long4[[#This Row],[Adj Close]]/T1016-1)</f>
        <v>2.2628265268406222E-2</v>
      </c>
      <c r="Y1015" s="37">
        <v>37991</v>
      </c>
      <c r="Z1015" s="35">
        <v>14.666365000000001</v>
      </c>
      <c r="AA1015" s="36">
        <f>IF(ISBLANK(Z1016),"",Long6[[#This Row],[Adj Close]]/Z1016-1)</f>
        <v>0.10256418352327779</v>
      </c>
      <c r="AK1015" s="37">
        <v>37991</v>
      </c>
      <c r="AL1015" s="39">
        <v>22.798024999999999</v>
      </c>
      <c r="AM1015" s="36">
        <f>IF(ISBLANK(AL1016),"",Short1[[#This Row],[Adj Close]]/AL1016-1)</f>
        <v>6.257377196263425E-2</v>
      </c>
      <c r="AN1015" s="29">
        <v>37991</v>
      </c>
      <c r="AO1015" s="44">
        <v>37.170048000000001</v>
      </c>
      <c r="AP1015" s="33">
        <f>IF(ISBLANK(AO1016),"",Short2[[#This Row],[Adj Close]]/AO1016-1)</f>
        <v>-1.7060288953755109E-2</v>
      </c>
    </row>
    <row r="1016" spans="1:42" x14ac:dyDescent="0.25">
      <c r="A1016" s="37">
        <v>37984</v>
      </c>
      <c r="B1016" s="39">
        <v>1108.4799800000001</v>
      </c>
      <c r="C1016" s="36">
        <f>IF(ISBLANK(B1017), "", GSPC[[#This Row],[Adj Close]]/B1017-1)</f>
        <v>1.1488347213383543E-2</v>
      </c>
      <c r="D101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1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16" s="11" t="e">
        <f>IF(ISBLANK(GSPC[[#This Row],[Long Exp.]]), "", (GSPC[[#This Row],[Long Exp.]]/D1017-1)+(E1017/GSPC[[#This Row],[Short Exp.]]-1))</f>
        <v>#VALUE!</v>
      </c>
      <c r="G1016" s="37">
        <v>37984</v>
      </c>
      <c r="H1016">
        <v>22.189592000000001</v>
      </c>
      <c r="I1016" s="36">
        <f>IF(ISBLANK(H1017), "", Long0[[#This Row],[Adj Close]]/H1017-1)</f>
        <v>-1.1926042601472231E-3</v>
      </c>
      <c r="J1016" s="29">
        <v>37984</v>
      </c>
      <c r="K1016">
        <v>1.8122750000000001</v>
      </c>
      <c r="L1016" s="33">
        <f>IF(ISBLANK(K1017),"",Long1[[#This Row],[Adj Close]]/K1017-1)</f>
        <v>-4.3795639694398703E-2</v>
      </c>
      <c r="M1016" s="37">
        <v>37984</v>
      </c>
      <c r="N1016">
        <v>8.1249249999999993</v>
      </c>
      <c r="O1016" s="36">
        <f>IF(ISBLANK(N1017),"",Long2[[#This Row],[Adj Close]]/N1017-1)</f>
        <v>3.4308949216425688E-2</v>
      </c>
      <c r="P1016" s="29">
        <v>37984</v>
      </c>
      <c r="Q1016">
        <v>8.6388850000000001</v>
      </c>
      <c r="R1016" s="33">
        <f>IF(ISBLANK(Q1017),"",Long3[[#This Row],[Adj Close]]/Q1017-1)</f>
        <v>1.6496908991663783E-2</v>
      </c>
      <c r="S1016" s="37">
        <v>37984</v>
      </c>
      <c r="T1016" s="35">
        <v>9.7965529999999994</v>
      </c>
      <c r="U1016" s="36">
        <f>IF(ISBLANK(T1017),"",Long4[[#This Row],[Adj Close]]/T1017-1)</f>
        <v>0.19314656617649639</v>
      </c>
      <c r="Y1016" s="37">
        <v>37984</v>
      </c>
      <c r="Z1016" s="35">
        <v>13.302051000000001</v>
      </c>
      <c r="AA1016" s="36">
        <f>IF(ISBLANK(Z1017),"",Long6[[#This Row],[Adj Close]]/Z1017-1)</f>
        <v>-3.6016759996776559E-2</v>
      </c>
      <c r="AK1016" s="37">
        <v>37984</v>
      </c>
      <c r="AL1016" s="39">
        <v>21.455475</v>
      </c>
      <c r="AM1016" s="36">
        <f>IF(ISBLANK(AL1017),"",Short1[[#This Row],[Adj Close]]/AL1017-1)</f>
        <v>5.1429573972643361E-3</v>
      </c>
      <c r="AN1016" s="29">
        <v>37984</v>
      </c>
      <c r="AO1016" s="44">
        <v>37.815185999999997</v>
      </c>
      <c r="AP1016" s="33">
        <f>IF(ISBLANK(AO1017),"",Short2[[#This Row],[Adj Close]]/AO1017-1)</f>
        <v>-5.6438498656937952E-2</v>
      </c>
    </row>
    <row r="1017" spans="1:42" x14ac:dyDescent="0.25">
      <c r="A1017" s="37">
        <v>37977</v>
      </c>
      <c r="B1017" s="39">
        <v>1095.8900149999999</v>
      </c>
      <c r="C1017" s="36">
        <f>IF(ISBLANK(B1018), "", GSPC[[#This Row],[Adj Close]]/B1018-1)</f>
        <v>6.6411742639576055E-3</v>
      </c>
      <c r="D101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1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17" s="11" t="e">
        <f>IF(ISBLANK(GSPC[[#This Row],[Long Exp.]]), "", (GSPC[[#This Row],[Long Exp.]]/D1018-1)+(E1018/GSPC[[#This Row],[Short Exp.]]-1))</f>
        <v>#VALUE!</v>
      </c>
      <c r="G1017" s="37">
        <v>37977</v>
      </c>
      <c r="H1017">
        <v>22.216087000000002</v>
      </c>
      <c r="I1017" s="36">
        <f>IF(ISBLANK(H1018), "", Long0[[#This Row],[Adj Close]]/H1018-1)</f>
        <v>-1.0621746267155729E-2</v>
      </c>
      <c r="J1017" s="29">
        <v>37977</v>
      </c>
      <c r="K1017">
        <v>1.8952800000000001</v>
      </c>
      <c r="L1017" s="33">
        <f>IF(ISBLANK(K1018),"",Long1[[#This Row],[Adj Close]]/K1018-1)</f>
        <v>3.7878899890422701E-2</v>
      </c>
      <c r="M1017" s="37">
        <v>37977</v>
      </c>
      <c r="N1017">
        <v>7.8554139999999997</v>
      </c>
      <c r="O1017" s="36">
        <f>IF(ISBLANK(N1018),"",Long2[[#This Row],[Adj Close]]/N1018-1)</f>
        <v>2.694292132410725E-2</v>
      </c>
      <c r="P1017" s="29">
        <v>37977</v>
      </c>
      <c r="Q1017">
        <v>8.4986829999999998</v>
      </c>
      <c r="R1017" s="33">
        <f>IF(ISBLANK(Q1018),"",Long3[[#This Row],[Adj Close]]/Q1018-1)</f>
        <v>7.2541835970851842E-3</v>
      </c>
      <c r="S1017" s="37">
        <v>37977</v>
      </c>
      <c r="T1017" s="35">
        <v>8.2106870000000001</v>
      </c>
      <c r="U1017" s="36">
        <f>IF(ISBLANK(T1018),"",Long4[[#This Row],[Adj Close]]/T1018-1)</f>
        <v>-1.3319789346379785E-2</v>
      </c>
      <c r="Y1017" s="37">
        <v>37977</v>
      </c>
      <c r="Z1017" s="35">
        <v>13.799048000000001</v>
      </c>
      <c r="AA1017" s="36">
        <f>IF(ISBLANK(Z1018),"",Long6[[#This Row],[Adj Close]]/Z1018-1)</f>
        <v>2.6086860824617419E-2</v>
      </c>
      <c r="AK1017" s="37">
        <v>37977</v>
      </c>
      <c r="AL1017" s="39">
        <v>21.345694999999999</v>
      </c>
      <c r="AM1017" s="36">
        <f>IF(ISBLANK(AL1018),"",Short1[[#This Row],[Adj Close]]/AL1018-1)</f>
        <v>-2.0534382161779385E-2</v>
      </c>
      <c r="AN1017" s="29">
        <v>37977</v>
      </c>
      <c r="AO1017" s="44">
        <v>40.077075999999998</v>
      </c>
      <c r="AP1017" s="33">
        <f>IF(ISBLANK(AO1018),"",Short2[[#This Row],[Adj Close]]/AO1018-1)</f>
        <v>3.9205352339524824E-2</v>
      </c>
    </row>
    <row r="1018" spans="1:42" x14ac:dyDescent="0.25">
      <c r="A1018" s="37">
        <v>37970</v>
      </c>
      <c r="B1018" s="39">
        <v>1088.660034</v>
      </c>
      <c r="C1018" s="36">
        <f>IF(ISBLANK(B1019), "", GSPC[[#This Row],[Adj Close]]/B1019-1)</f>
        <v>1.3517808476765536E-2</v>
      </c>
      <c r="D101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1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18" s="11" t="e">
        <f>IF(ISBLANK(GSPC[[#This Row],[Long Exp.]]), "", (GSPC[[#This Row],[Long Exp.]]/D1019-1)+(E1019/GSPC[[#This Row],[Short Exp.]]-1))</f>
        <v>#VALUE!</v>
      </c>
      <c r="G1018" s="37">
        <v>37970</v>
      </c>
      <c r="H1018">
        <v>22.454594</v>
      </c>
      <c r="I1018" s="36">
        <f>IF(ISBLANK(H1019), "", Long0[[#This Row],[Adj Close]]/H1019-1)</f>
        <v>8.7300867105775115E-3</v>
      </c>
      <c r="J1018" s="29">
        <v>37970</v>
      </c>
      <c r="K1018">
        <v>1.826109</v>
      </c>
      <c r="L1018" s="33">
        <f>IF(ISBLANK(K1019),"",Long1[[#This Row],[Adj Close]]/K1019-1)</f>
        <v>0</v>
      </c>
      <c r="M1018" s="37">
        <v>37970</v>
      </c>
      <c r="N1018">
        <v>7.6493190000000002</v>
      </c>
      <c r="O1018" s="36">
        <f>IF(ISBLANK(N1019),"",Long2[[#This Row],[Adj Close]]/N1019-1)</f>
        <v>7.2222206647528431E-2</v>
      </c>
      <c r="P1018" s="29">
        <v>37970</v>
      </c>
      <c r="Q1018">
        <v>8.4374760000000002</v>
      </c>
      <c r="R1018" s="33">
        <f>IF(ISBLANK(Q1019),"",Long3[[#This Row],[Adj Close]]/Q1019-1)</f>
        <v>4.2345474855034926E-2</v>
      </c>
      <c r="S1018" s="37">
        <v>37970</v>
      </c>
      <c r="T1018" s="35">
        <v>8.3215280000000007</v>
      </c>
      <c r="U1018" s="36">
        <f>IF(ISBLANK(T1019),"",Long4[[#This Row],[Adj Close]]/T1019-1)</f>
        <v>-6.6028420295336621E-2</v>
      </c>
      <c r="Y1018" s="37">
        <v>37970</v>
      </c>
      <c r="Z1018" s="35">
        <v>13.448226</v>
      </c>
      <c r="AA1018" s="36">
        <f>IF(ISBLANK(Z1019),"",Long6[[#This Row],[Adj Close]]/Z1019-1)</f>
        <v>3.6364792444851801E-3</v>
      </c>
      <c r="AK1018" s="37">
        <v>37970</v>
      </c>
      <c r="AL1018" s="39">
        <v>21.793205</v>
      </c>
      <c r="AM1018" s="36">
        <f>IF(ISBLANK(AL1019),"",Short1[[#This Row],[Adj Close]]/AL1019-1)</f>
        <v>-3.6760375347432261E-2</v>
      </c>
      <c r="AN1018" s="29">
        <v>37970</v>
      </c>
      <c r="AO1018" s="44">
        <v>38.565117000000001</v>
      </c>
      <c r="AP1018" s="33">
        <f>IF(ISBLANK(AO1019),"",Short2[[#This Row],[Adj Close]]/AO1019-1)</f>
        <v>3.1266851795864303E-2</v>
      </c>
    </row>
    <row r="1019" spans="1:42" x14ac:dyDescent="0.25">
      <c r="A1019" s="37">
        <v>37963</v>
      </c>
      <c r="B1019" s="39">
        <v>1074.1400149999999</v>
      </c>
      <c r="C1019" s="36">
        <f>IF(ISBLANK(B1020), "", GSPC[[#This Row],[Adj Close]]/B1020-1)</f>
        <v>1.1907691945360233E-2</v>
      </c>
      <c r="D101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1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19" s="11" t="e">
        <f>IF(ISBLANK(GSPC[[#This Row],[Long Exp.]]), "", (GSPC[[#This Row],[Long Exp.]]/D1020-1)+(E1020/GSPC[[#This Row],[Short Exp.]]-1))</f>
        <v>#VALUE!</v>
      </c>
      <c r="G1019" s="37">
        <v>37963</v>
      </c>
      <c r="H1019">
        <v>22.260259999999999</v>
      </c>
      <c r="I1019" s="36">
        <f>IF(ISBLANK(H1020), "", Long0[[#This Row],[Adj Close]]/H1020-1)</f>
        <v>-9.8231865563850329E-3</v>
      </c>
      <c r="J1019" s="29">
        <v>37963</v>
      </c>
      <c r="K1019">
        <v>1.826109</v>
      </c>
      <c r="L1019" s="33">
        <f>IF(ISBLANK(K1020),"",Long1[[#This Row],[Adj Close]]/K1020-1)</f>
        <v>1.5385000333622445E-2</v>
      </c>
      <c r="M1019" s="37">
        <v>37963</v>
      </c>
      <c r="N1019">
        <v>7.13408</v>
      </c>
      <c r="O1019" s="36">
        <f>IF(ISBLANK(N1020),"",Long2[[#This Row],[Adj Close]]/N1020-1)</f>
        <v>0.15236877454853959</v>
      </c>
      <c r="P1019" s="29">
        <v>37963</v>
      </c>
      <c r="Q1019">
        <v>8.0947019999999998</v>
      </c>
      <c r="R1019" s="33">
        <f>IF(ISBLANK(Q1020),"",Long3[[#This Row],[Adj Close]]/Q1020-1)</f>
        <v>2.8322792689607024E-2</v>
      </c>
      <c r="S1019" s="37">
        <v>37963</v>
      </c>
      <c r="T1019" s="35">
        <v>8.9098299999999995</v>
      </c>
      <c r="U1019" s="36">
        <f>IF(ISBLANK(T1020),"",Long4[[#This Row],[Adj Close]]/T1020-1)</f>
        <v>-2.3364611473108865E-2</v>
      </c>
      <c r="Y1019" s="37">
        <v>37963</v>
      </c>
      <c r="Z1019" s="35">
        <v>13.399499</v>
      </c>
      <c r="AA1019" s="36">
        <f>IF(ISBLANK(Z1020),"",Long6[[#This Row],[Adj Close]]/Z1020-1)</f>
        <v>-3.1007894326736785E-2</v>
      </c>
      <c r="AK1019" s="37">
        <v>37963</v>
      </c>
      <c r="AL1019" s="39">
        <v>22.624904999999998</v>
      </c>
      <c r="AM1019" s="36">
        <f>IF(ISBLANK(AL1020),"",Short1[[#This Row],[Adj Close]]/AL1020-1)</f>
        <v>-9.244390767038646E-3</v>
      </c>
      <c r="AN1019" s="29">
        <v>37963</v>
      </c>
      <c r="AO1019" s="44">
        <v>37.395865999999998</v>
      </c>
      <c r="AP1019" s="33">
        <f>IF(ISBLANK(AO1020),"",Short2[[#This Row],[Adj Close]]/AO1020-1)</f>
        <v>-4.1937371696044612E-2</v>
      </c>
    </row>
    <row r="1020" spans="1:42" x14ac:dyDescent="0.25">
      <c r="A1020" s="37">
        <v>37956</v>
      </c>
      <c r="B1020" s="39">
        <v>1061.5</v>
      </c>
      <c r="C1020" s="36">
        <f>IF(ISBLANK(B1021), "", GSPC[[#This Row],[Adj Close]]/B1021-1)</f>
        <v>3.1185495679539876E-3</v>
      </c>
      <c r="D102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2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20" s="11" t="e">
        <f>IF(ISBLANK(GSPC[[#This Row],[Long Exp.]]), "", (GSPC[[#This Row],[Long Exp.]]/D1021-1)+(E1021/GSPC[[#This Row],[Short Exp.]]-1))</f>
        <v>#VALUE!</v>
      </c>
      <c r="G1020" s="37">
        <v>37956</v>
      </c>
      <c r="H1020">
        <v>22.481096000000001</v>
      </c>
      <c r="I1020" s="36">
        <f>IF(ISBLANK(H1021), "", Long0[[#This Row],[Adj Close]]/H1021-1)</f>
        <v>5.1343856833636625E-3</v>
      </c>
      <c r="J1020" s="29">
        <v>37956</v>
      </c>
      <c r="K1020">
        <v>1.79844</v>
      </c>
      <c r="L1020" s="33">
        <f>IF(ISBLANK(K1021),"",Long1[[#This Row],[Adj Close]]/K1021-1)</f>
        <v>0</v>
      </c>
      <c r="M1020" s="37">
        <v>37956</v>
      </c>
      <c r="N1020">
        <v>6.1907959999999997</v>
      </c>
      <c r="O1020" s="36">
        <f>IF(ISBLANK(N1021),"",Long2[[#This Row],[Adj Close]]/N1021-1)</f>
        <v>7.4277706207034333E-2</v>
      </c>
      <c r="P1020" s="29">
        <v>37956</v>
      </c>
      <c r="Q1020">
        <v>7.8717519999999999</v>
      </c>
      <c r="R1020" s="33">
        <f>IF(ISBLANK(Q1021),"",Long3[[#This Row],[Adj Close]]/Q1021-1)</f>
        <v>-1.5410955048942077E-2</v>
      </c>
      <c r="S1020" s="37">
        <v>37956</v>
      </c>
      <c r="T1020" s="35">
        <v>9.1229849999999999</v>
      </c>
      <c r="U1020" s="36">
        <f>IF(ISBLANK(T1021),"",Long4[[#This Row],[Adj Close]]/T1021-1)</f>
        <v>5.5226624835377214E-2</v>
      </c>
      <c r="Y1020" s="37">
        <v>37956</v>
      </c>
      <c r="Z1020" s="35">
        <v>13.828284999999999</v>
      </c>
      <c r="AA1020" s="36">
        <f>IF(ISBLANK(Z1021),"",Long6[[#This Row],[Adj Close]]/Z1021-1)</f>
        <v>-4.380060818504472E-2</v>
      </c>
      <c r="AK1020" s="37">
        <v>37956</v>
      </c>
      <c r="AL1020" s="39">
        <v>22.836010000000002</v>
      </c>
      <c r="AM1020" s="36">
        <f>IF(ISBLANK(AL1021),"",Short1[[#This Row],[Adj Close]]/AL1021-1)</f>
        <v>-0.12758091964223806</v>
      </c>
      <c r="AN1020" s="29">
        <v>37956</v>
      </c>
      <c r="AO1020" s="44">
        <v>39.032798999999997</v>
      </c>
      <c r="AP1020" s="33">
        <f>IF(ISBLANK(AO1021),"",Short2[[#This Row],[Adj Close]]/AO1021-1)</f>
        <v>-1.1133889684960985E-2</v>
      </c>
    </row>
    <row r="1021" spans="1:42" x14ac:dyDescent="0.25">
      <c r="A1021" s="37">
        <v>37949</v>
      </c>
      <c r="B1021" s="39">
        <v>1058.1999510000001</v>
      </c>
      <c r="C1021" s="36">
        <f>IF(ISBLANK(B1022), "", GSPC[[#This Row],[Adj Close]]/B1022-1)</f>
        <v>2.2138862296164463E-2</v>
      </c>
      <c r="D102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2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21" s="11" t="e">
        <f>IF(ISBLANK(GSPC[[#This Row],[Long Exp.]]), "", (GSPC[[#This Row],[Long Exp.]]/D1022-1)+(E1022/GSPC[[#This Row],[Short Exp.]]-1))</f>
        <v>#VALUE!</v>
      </c>
      <c r="G1021" s="37">
        <v>37949</v>
      </c>
      <c r="H1021">
        <v>22.366258999999999</v>
      </c>
      <c r="I1021" s="36">
        <f>IF(ISBLANK(H1022), "", Long0[[#This Row],[Adj Close]]/H1022-1)</f>
        <v>9.5155610820301995E-2</v>
      </c>
      <c r="J1021" s="29">
        <v>37949</v>
      </c>
      <c r="K1021">
        <v>1.79844</v>
      </c>
      <c r="L1021" s="33">
        <f>IF(ISBLANK(K1022),"",Long1[[#This Row],[Adj Close]]/K1022-1)</f>
        <v>0</v>
      </c>
      <c r="M1021" s="37">
        <v>37949</v>
      </c>
      <c r="N1021">
        <v>5.7627519999999999</v>
      </c>
      <c r="O1021" s="36">
        <f>IF(ISBLANK(N1022),"",Long2[[#This Row],[Adj Close]]/N1022-1)</f>
        <v>4.0057377975246222E-2</v>
      </c>
      <c r="P1021" s="29">
        <v>37949</v>
      </c>
      <c r="Q1021">
        <v>7.9949620000000001</v>
      </c>
      <c r="R1021" s="33">
        <f>IF(ISBLANK(Q1022),"",Long3[[#This Row],[Adj Close]]/Q1022-1)</f>
        <v>2.6877737390343714E-2</v>
      </c>
      <c r="S1021" s="37">
        <v>37949</v>
      </c>
      <c r="T1021" s="35">
        <v>8.6455219999999997</v>
      </c>
      <c r="U1021" s="36">
        <f>IF(ISBLANK(T1022),"",Long4[[#This Row],[Adj Close]]/T1022-1)</f>
        <v>1.4000335203930625E-2</v>
      </c>
      <c r="Y1021" s="37">
        <v>37949</v>
      </c>
      <c r="Z1021" s="35">
        <v>14.461717</v>
      </c>
      <c r="AA1021" s="36">
        <f>IF(ISBLANK(Z1022),"",Long6[[#This Row],[Adj Close]]/Z1022-1)</f>
        <v>9.5239298571672126E-3</v>
      </c>
      <c r="AK1021" s="37">
        <v>37949</v>
      </c>
      <c r="AL1021" s="39">
        <v>26.175505000000001</v>
      </c>
      <c r="AM1021" s="36">
        <f>IF(ISBLANK(AL1022),"",Short1[[#This Row],[Adj Close]]/AL1022-1)</f>
        <v>6.4560797937895043E-2</v>
      </c>
      <c r="AN1021" s="29">
        <v>37949</v>
      </c>
      <c r="AO1021" s="44">
        <v>39.472279</v>
      </c>
      <c r="AP1021" s="33">
        <f>IF(ISBLANK(AO1022),"",Short2[[#This Row],[Adj Close]]/AO1022-1)</f>
        <v>4.9303295661523583E-2</v>
      </c>
    </row>
    <row r="1022" spans="1:42" x14ac:dyDescent="0.25">
      <c r="A1022" s="37">
        <v>37942</v>
      </c>
      <c r="B1022" s="39">
        <v>1035.280029</v>
      </c>
      <c r="C1022" s="36">
        <f>IF(ISBLANK(B1023), "", GSPC[[#This Row],[Adj Close]]/B1023-1)</f>
        <v>-1.4347548288038414E-2</v>
      </c>
      <c r="D102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2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22" s="11" t="e">
        <f>IF(ISBLANK(GSPC[[#This Row],[Long Exp.]]), "", (GSPC[[#This Row],[Long Exp.]]/D1023-1)+(E1023/GSPC[[#This Row],[Short Exp.]]-1))</f>
        <v>#VALUE!</v>
      </c>
      <c r="G1022" s="37">
        <v>37942</v>
      </c>
      <c r="H1022">
        <v>20.422905</v>
      </c>
      <c r="I1022" s="36">
        <f>IF(ISBLANK(H1023), "", Long0[[#This Row],[Adj Close]]/H1023-1)</f>
        <v>1.7333604217393273E-3</v>
      </c>
      <c r="J1022" s="29">
        <v>37942</v>
      </c>
      <c r="K1022">
        <v>1.79844</v>
      </c>
      <c r="L1022" s="33">
        <f>IF(ISBLANK(K1023),"",Long1[[#This Row],[Adj Close]]/K1023-1)</f>
        <v>0</v>
      </c>
      <c r="M1022" s="37">
        <v>37942</v>
      </c>
      <c r="N1022">
        <v>5.5408020000000002</v>
      </c>
      <c r="O1022" s="36">
        <f>IF(ISBLANK(N1023),"",Long2[[#This Row],[Adj Close]]/N1023-1)</f>
        <v>-5.7951565656797488E-2</v>
      </c>
      <c r="P1022" s="29">
        <v>37942</v>
      </c>
      <c r="Q1022">
        <v>7.7857000000000003</v>
      </c>
      <c r="R1022" s="33">
        <f>IF(ISBLANK(Q1023),"",Long3[[#This Row],[Adj Close]]/Q1023-1)</f>
        <v>-2.7838770849172967E-2</v>
      </c>
      <c r="S1022" s="37">
        <v>37942</v>
      </c>
      <c r="T1022" s="35">
        <v>8.5261530000000008</v>
      </c>
      <c r="U1022" s="36">
        <f>IF(ISBLANK(T1023),"",Long4[[#This Row],[Adj Close]]/T1023-1)</f>
        <v>8.577645631642894E-2</v>
      </c>
      <c r="Y1022" s="37">
        <v>37942</v>
      </c>
      <c r="Z1022" s="35">
        <v>14.325284</v>
      </c>
      <c r="AA1022" s="36">
        <f>IF(ISBLANK(Z1023),"",Long6[[#This Row],[Adj Close]]/Z1023-1)</f>
        <v>5.0750576782782275E-2</v>
      </c>
      <c r="AK1022" s="37">
        <v>37942</v>
      </c>
      <c r="AL1022" s="39">
        <v>24.588079</v>
      </c>
      <c r="AM1022" s="36">
        <f>IF(ISBLANK(AL1023),"",Short1[[#This Row],[Adj Close]]/AL1023-1)</f>
        <v>2.0241657244219446E-2</v>
      </c>
      <c r="AN1022" s="29">
        <v>37942</v>
      </c>
      <c r="AO1022" s="44">
        <v>37.617607</v>
      </c>
      <c r="AP1022" s="33">
        <f>IF(ISBLANK(AO1023),"",Short2[[#This Row],[Adj Close]]/AO1023-1)</f>
        <v>1.6117672507076852E-2</v>
      </c>
    </row>
    <row r="1023" spans="1:42" x14ac:dyDescent="0.25">
      <c r="A1023" s="37">
        <v>37935</v>
      </c>
      <c r="B1023" s="39">
        <v>1050.349976</v>
      </c>
      <c r="C1023" s="36">
        <f>IF(ISBLANK(B1024), "", GSPC[[#This Row],[Adj Close]]/B1024-1)</f>
        <v>-2.7154936868282187E-3</v>
      </c>
      <c r="D102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2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23" s="11" t="e">
        <f>IF(ISBLANK(GSPC[[#This Row],[Long Exp.]]), "", (GSPC[[#This Row],[Long Exp.]]/D1024-1)+(E1024/GSPC[[#This Row],[Short Exp.]]-1))</f>
        <v>#VALUE!</v>
      </c>
      <c r="G1023" s="37">
        <v>37935</v>
      </c>
      <c r="H1023">
        <v>20.387566</v>
      </c>
      <c r="I1023" s="36">
        <f>IF(ISBLANK(H1024), "", Long0[[#This Row],[Adj Close]]/H1024-1)</f>
        <v>-5.9877981664279156E-2</v>
      </c>
      <c r="J1023" s="29">
        <v>37935</v>
      </c>
      <c r="K1023">
        <v>1.79844</v>
      </c>
      <c r="L1023" s="33">
        <f>IF(ISBLANK(K1024),"",Long1[[#This Row],[Adj Close]]/K1024-1)</f>
        <v>-7.142879270873026E-2</v>
      </c>
      <c r="M1023" s="37">
        <v>37935</v>
      </c>
      <c r="N1023">
        <v>5.881653</v>
      </c>
      <c r="O1023" s="36">
        <f>IF(ISBLANK(N1024),"",Long2[[#This Row],[Adj Close]]/N1024-1)</f>
        <v>9.523932123446599E-3</v>
      </c>
      <c r="P1023" s="29">
        <v>37935</v>
      </c>
      <c r="Q1023">
        <v>8.0086510000000004</v>
      </c>
      <c r="R1023" s="33">
        <f>IF(ISBLANK(Q1024),"",Long3[[#This Row],[Adj Close]]/Q1024-1)</f>
        <v>1.9163760627462612E-2</v>
      </c>
      <c r="S1023" s="37">
        <v>37935</v>
      </c>
      <c r="T1023" s="35">
        <v>7.8525859999999996</v>
      </c>
      <c r="U1023" s="36">
        <f>IF(ISBLANK(T1024),"",Long4[[#This Row],[Adj Close]]/T1024-1)</f>
        <v>0.10035815021906735</v>
      </c>
      <c r="Y1023" s="37">
        <v>37935</v>
      </c>
      <c r="Z1023" s="35">
        <v>13.633381999999999</v>
      </c>
      <c r="AA1023" s="36">
        <f>IF(ISBLANK(Z1024),"",Long6[[#This Row],[Adj Close]]/Z1024-1)</f>
        <v>3.2472403360738644E-2</v>
      </c>
      <c r="AK1023" s="37">
        <v>37935</v>
      </c>
      <c r="AL1023" s="39">
        <v>24.100249999999999</v>
      </c>
      <c r="AM1023" s="36">
        <f>IF(ISBLANK(AL1024),"",Short1[[#This Row],[Adj Close]]/AL1024-1)</f>
        <v>-1.3071789969440806E-2</v>
      </c>
      <c r="AN1023" s="29">
        <v>37935</v>
      </c>
      <c r="AO1023" s="44">
        <v>37.020916</v>
      </c>
      <c r="AP1023" s="33">
        <f>IF(ISBLANK(AO1024),"",Short2[[#This Row],[Adj Close]]/AO1024-1)</f>
        <v>1.1877402961458339E-2</v>
      </c>
    </row>
    <row r="1024" spans="1:42" x14ac:dyDescent="0.25">
      <c r="A1024" s="37">
        <v>37928</v>
      </c>
      <c r="B1024" s="39">
        <v>1053.209961</v>
      </c>
      <c r="C1024" s="36">
        <f>IF(ISBLANK(B1025), "", GSPC[[#This Row],[Adj Close]]/B1025-1)</f>
        <v>2.379343579859805E-3</v>
      </c>
      <c r="D102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2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24" s="11" t="e">
        <f>IF(ISBLANK(GSPC[[#This Row],[Long Exp.]]), "", (GSPC[[#This Row],[Long Exp.]]/D1025-1)+(E1025/GSPC[[#This Row],[Short Exp.]]-1))</f>
        <v>#VALUE!</v>
      </c>
      <c r="G1024" s="37">
        <v>37928</v>
      </c>
      <c r="H1024">
        <v>21.686084999999999</v>
      </c>
      <c r="I1024" s="36">
        <f>IF(ISBLANK(H1025), "", Long0[[#This Row],[Adj Close]]/H1025-1)</f>
        <v>1.656312632577861E-2</v>
      </c>
      <c r="J1024" s="29">
        <v>37928</v>
      </c>
      <c r="K1024">
        <v>1.936782</v>
      </c>
      <c r="L1024" s="33">
        <f>IF(ISBLANK(K1025),"",Long1[[#This Row],[Adj Close]]/K1025-1)</f>
        <v>-9.6774043111625518E-2</v>
      </c>
      <c r="M1024" s="37">
        <v>37928</v>
      </c>
      <c r="N1024">
        <v>5.8261649999999996</v>
      </c>
      <c r="O1024" s="36">
        <f>IF(ISBLANK(N1025),"",Long2[[#This Row],[Adj Close]]/N1025-1)</f>
        <v>5.1502111066231704E-2</v>
      </c>
      <c r="P1024" s="29">
        <v>37928</v>
      </c>
      <c r="Q1024">
        <v>7.8580610000000002</v>
      </c>
      <c r="R1024" s="33">
        <f>IF(ISBLANK(Q1025),"",Long3[[#This Row],[Adj Close]]/Q1025-1)</f>
        <v>6.5125647862183111E-3</v>
      </c>
      <c r="S1024" s="37">
        <v>37928</v>
      </c>
      <c r="T1024" s="35">
        <v>7.1363909999999997</v>
      </c>
      <c r="U1024" s="36">
        <f>IF(ISBLANK(T1025),"",Long4[[#This Row],[Adj Close]]/T1025-1)</f>
        <v>0.27203656762163386</v>
      </c>
      <c r="Y1024" s="37">
        <v>37928</v>
      </c>
      <c r="Z1024" s="35">
        <v>13.204597</v>
      </c>
      <c r="AA1024" s="36">
        <f>IF(ISBLANK(Z1025),"",Long6[[#This Row],[Adj Close]]/Z1025-1)</f>
        <v>0.17519512349893285</v>
      </c>
      <c r="AK1024" s="37">
        <v>37928</v>
      </c>
      <c r="AL1024" s="39">
        <v>24.419456</v>
      </c>
      <c r="AM1024" s="36">
        <f>IF(ISBLANK(AL1025),"",Short1[[#This Row],[Adj Close]]/AL1025-1)</f>
        <v>-2.9159437782324549E-3</v>
      </c>
      <c r="AN1024" s="29">
        <v>37928</v>
      </c>
      <c r="AO1024" s="44">
        <v>36.586365000000001</v>
      </c>
      <c r="AP1024" s="33">
        <f>IF(ISBLANK(AO1025),"",Short2[[#This Row],[Adj Close]]/AO1025-1)</f>
        <v>-9.3626560794676239E-3</v>
      </c>
    </row>
    <row r="1025" spans="1:42" x14ac:dyDescent="0.25">
      <c r="A1025" s="37">
        <v>37921</v>
      </c>
      <c r="B1025" s="39">
        <v>1050.709961</v>
      </c>
      <c r="C1025" s="36">
        <f>IF(ISBLANK(B1026), "", GSPC[[#This Row],[Adj Close]]/B1026-1)</f>
        <v>2.1187398586492989E-2</v>
      </c>
      <c r="D102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2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25" s="11" t="e">
        <f>IF(ISBLANK(GSPC[[#This Row],[Long Exp.]]), "", (GSPC[[#This Row],[Long Exp.]]/D1026-1)+(E1026/GSPC[[#This Row],[Short Exp.]]-1))</f>
        <v>#VALUE!</v>
      </c>
      <c r="G1025" s="37">
        <v>37921</v>
      </c>
      <c r="H1025">
        <v>21.332747999999999</v>
      </c>
      <c r="I1025" s="36">
        <f>IF(ISBLANK(H1026), "", Long0[[#This Row],[Adj Close]]/H1026-1)</f>
        <v>-0.11861307648572972</v>
      </c>
      <c r="J1025" s="29">
        <v>37921</v>
      </c>
      <c r="K1025">
        <v>2.1442939999999999</v>
      </c>
      <c r="L1025" s="33">
        <f>IF(ISBLANK(K1026),"",Long1[[#This Row],[Adj Close]]/K1026-1)</f>
        <v>0.10714267274272471</v>
      </c>
      <c r="M1025" s="37">
        <v>37921</v>
      </c>
      <c r="N1025">
        <v>5.5408020000000002</v>
      </c>
      <c r="O1025" s="36">
        <f>IF(ISBLANK(N1026),"",Long2[[#This Row],[Adj Close]]/N1026-1)</f>
        <v>0.18474567790786245</v>
      </c>
      <c r="P1025" s="29">
        <v>37921</v>
      </c>
      <c r="Q1025">
        <v>7.8072160000000004</v>
      </c>
      <c r="R1025" s="33">
        <f>IF(ISBLANK(Q1026),"",Long3[[#This Row],[Adj Close]]/Q1026-1)</f>
        <v>-1.0901572416484151E-2</v>
      </c>
      <c r="S1025" s="37">
        <v>37921</v>
      </c>
      <c r="T1025" s="35">
        <v>5.6102090000000002</v>
      </c>
      <c r="U1025" s="36">
        <f>IF(ISBLANK(T1026),"",Long4[[#This Row],[Adj Close]]/T1026-1)</f>
        <v>8.223711877158113E-2</v>
      </c>
      <c r="Y1025" s="37">
        <v>37921</v>
      </c>
      <c r="Z1025" s="35">
        <v>11.236089</v>
      </c>
      <c r="AA1025" s="36">
        <f>IF(ISBLANK(Z1026),"",Long6[[#This Row],[Adj Close]]/Z1026-1)</f>
        <v>4.6279433359809774E-2</v>
      </c>
      <c r="AK1025" s="37">
        <v>37921</v>
      </c>
      <c r="AL1025" s="39">
        <v>24.490870000000001</v>
      </c>
      <c r="AM1025" s="36">
        <f>IF(ISBLANK(AL1026),"",Short1[[#This Row],[Adj Close]]/AL1026-1)</f>
        <v>8.7061862275441992E-2</v>
      </c>
      <c r="AN1025" s="29">
        <v>37921</v>
      </c>
      <c r="AO1025" s="44">
        <v>36.932147999999998</v>
      </c>
      <c r="AP1025" s="33">
        <f>IF(ISBLANK(AO1026),"",Short2[[#This Row],[Adj Close]]/AO1026-1)</f>
        <v>7.3390125437508891E-2</v>
      </c>
    </row>
    <row r="1026" spans="1:42" x14ac:dyDescent="0.25">
      <c r="A1026" s="37">
        <v>37914</v>
      </c>
      <c r="B1026" s="39">
        <v>1028.910034</v>
      </c>
      <c r="C1026" s="36">
        <f>IF(ISBLANK(B1027), "", GSPC[[#This Row],[Adj Close]]/B1027-1)</f>
        <v>-1.0016080264854343E-2</v>
      </c>
      <c r="D102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2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26" s="11" t="e">
        <f>IF(ISBLANK(GSPC[[#This Row],[Long Exp.]]), "", (GSPC[[#This Row],[Long Exp.]]/D1027-1)+(E1027/GSPC[[#This Row],[Short Exp.]]-1))</f>
        <v>#VALUE!</v>
      </c>
      <c r="G1026" s="37">
        <v>37914</v>
      </c>
      <c r="H1026">
        <v>24.203613000000001</v>
      </c>
      <c r="I1026" s="36">
        <f>IF(ISBLANK(H1027), "", Long0[[#This Row],[Adj Close]]/H1027-1)</f>
        <v>1.4439054935410311E-2</v>
      </c>
      <c r="J1026" s="29">
        <v>37914</v>
      </c>
      <c r="K1026">
        <v>1.936782</v>
      </c>
      <c r="L1026" s="33">
        <f>IF(ISBLANK(K1027),"",Long1[[#This Row],[Adj Close]]/K1027-1)</f>
        <v>0.10236217783439128</v>
      </c>
      <c r="M1026" s="37">
        <v>37914</v>
      </c>
      <c r="N1026">
        <v>4.6767859999999999</v>
      </c>
      <c r="O1026" s="36">
        <f>IF(ISBLANK(N1027),"",Long2[[#This Row],[Adj Close]]/N1027-1)</f>
        <v>-9.923661769733394E-2</v>
      </c>
      <c r="P1026" s="29">
        <v>37914</v>
      </c>
      <c r="Q1026">
        <v>7.8932650000000004</v>
      </c>
      <c r="R1026" s="33">
        <f>IF(ISBLANK(Q1027),"",Long3[[#This Row],[Adj Close]]/Q1027-1)</f>
        <v>-1.1753144649166547E-2</v>
      </c>
      <c r="S1026" s="37">
        <v>37914</v>
      </c>
      <c r="T1026" s="35">
        <v>5.1839000000000004</v>
      </c>
      <c r="U1026" s="36">
        <f>IF(ISBLANK(T1027),"",Long4[[#This Row],[Adj Close]]/T1027-1)</f>
        <v>-1.1382291196250449E-2</v>
      </c>
      <c r="Y1026" s="37">
        <v>37914</v>
      </c>
      <c r="Z1026" s="35">
        <v>10.739089999999999</v>
      </c>
      <c r="AA1026" s="36">
        <f>IF(ISBLANK(Z1027),"",Long6[[#This Row],[Adj Close]]/Z1027-1)</f>
        <v>-7.7824233002899201E-2</v>
      </c>
      <c r="AK1026" s="37">
        <v>37914</v>
      </c>
      <c r="AL1026" s="39">
        <v>22.529416999999999</v>
      </c>
      <c r="AM1026" s="36">
        <f>IF(ISBLANK(AL1027),"",Short1[[#This Row],[Adj Close]]/AL1027-1)</f>
        <v>1.8803493089593282E-2</v>
      </c>
      <c r="AN1026" s="29">
        <v>37914</v>
      </c>
      <c r="AO1026" s="44">
        <v>34.407012999999999</v>
      </c>
      <c r="AP1026" s="33">
        <f>IF(ISBLANK(AO1027),"",Short2[[#This Row],[Adj Close]]/AO1027-1)</f>
        <v>2.6634389574528239E-2</v>
      </c>
    </row>
    <row r="1027" spans="1:42" x14ac:dyDescent="0.25">
      <c r="A1027" s="37">
        <v>37907</v>
      </c>
      <c r="B1027" s="39">
        <v>1039.3199460000001</v>
      </c>
      <c r="C1027" s="36">
        <f>IF(ISBLANK(B1028), "", GSPC[[#This Row],[Adj Close]]/B1028-1)</f>
        <v>1.2136937444773288E-3</v>
      </c>
      <c r="D102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2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27" s="11" t="e">
        <f>IF(ISBLANK(GSPC[[#This Row],[Long Exp.]]), "", (GSPC[[#This Row],[Long Exp.]]/D1028-1)+(E1028/GSPC[[#This Row],[Short Exp.]]-1))</f>
        <v>#VALUE!</v>
      </c>
      <c r="G1027" s="37">
        <v>37907</v>
      </c>
      <c r="H1027">
        <v>23.859110000000001</v>
      </c>
      <c r="I1027" s="36">
        <f>IF(ISBLANK(H1028), "", Long0[[#This Row],[Adj Close]]/H1028-1)</f>
        <v>-3.570159064652223E-2</v>
      </c>
      <c r="J1027" s="29">
        <v>37907</v>
      </c>
      <c r="K1027">
        <v>1.7569380000000001</v>
      </c>
      <c r="L1027" s="33">
        <f>IF(ISBLANK(K1028),"",Long1[[#This Row],[Adj Close]]/K1028-1)</f>
        <v>-2.3076666444251659E-2</v>
      </c>
      <c r="M1027" s="37">
        <v>37907</v>
      </c>
      <c r="N1027">
        <v>5.1920250000000001</v>
      </c>
      <c r="O1027" s="36">
        <f>IF(ISBLANK(N1028),"",Long2[[#This Row],[Adj Close]]/N1028-1)</f>
        <v>4.1335526438503356E-2</v>
      </c>
      <c r="P1027" s="29">
        <v>37907</v>
      </c>
      <c r="Q1027">
        <v>7.987139</v>
      </c>
      <c r="R1027" s="33">
        <f>IF(ISBLANK(Q1028),"",Long3[[#This Row],[Adj Close]]/Q1028-1)</f>
        <v>1.1141350720560217E-2</v>
      </c>
      <c r="S1027" s="37">
        <v>37907</v>
      </c>
      <c r="T1027" s="35">
        <v>5.2435840000000002</v>
      </c>
      <c r="U1027" s="36">
        <f>IF(ISBLANK(T1028),"",Long4[[#This Row],[Adj Close]]/T1028-1)</f>
        <v>-3.6050065399007458E-2</v>
      </c>
      <c r="Y1027" s="37">
        <v>37907</v>
      </c>
      <c r="Z1027" s="35">
        <v>11.645383000000001</v>
      </c>
      <c r="AA1027" s="36">
        <f>IF(ISBLANK(Z1028),"",Long6[[#This Row],[Adj Close]]/Z1028-1)</f>
        <v>-4.399992381804263E-2</v>
      </c>
      <c r="AK1027" s="37">
        <v>37907</v>
      </c>
      <c r="AL1027" s="39">
        <v>22.113603999999999</v>
      </c>
      <c r="AM1027" s="36">
        <f>IF(ISBLANK(AL1028),"",Short1[[#This Row],[Adj Close]]/AL1028-1)</f>
        <v>0</v>
      </c>
      <c r="AN1027" s="29">
        <v>37907</v>
      </c>
      <c r="AO1027" s="44">
        <v>33.514378000000001</v>
      </c>
      <c r="AP1027" s="33">
        <f>IF(ISBLANK(AO1028),"",Short2[[#This Row],[Adj Close]]/AO1028-1)</f>
        <v>-1.6286765992189589E-2</v>
      </c>
    </row>
    <row r="1028" spans="1:42" x14ac:dyDescent="0.25">
      <c r="A1028" s="37">
        <v>37900</v>
      </c>
      <c r="B1028" s="39">
        <v>1038.0600589999999</v>
      </c>
      <c r="C1028" s="36">
        <f>IF(ISBLANK(B1029), "", GSPC[[#This Row],[Adj Close]]/B1029-1)</f>
        <v>7.9721155423904122E-3</v>
      </c>
      <c r="D102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2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28" s="11" t="e">
        <f>IF(ISBLANK(GSPC[[#This Row],[Long Exp.]]), "", (GSPC[[#This Row],[Long Exp.]]/D1029-1)+(E1029/GSPC[[#This Row],[Short Exp.]]-1))</f>
        <v>#VALUE!</v>
      </c>
      <c r="G1028" s="37">
        <v>37900</v>
      </c>
      <c r="H1028">
        <v>24.742455</v>
      </c>
      <c r="I1028" s="36">
        <f>IF(ISBLANK(H1029), "", Long0[[#This Row],[Adj Close]]/H1029-1)</f>
        <v>2.0272231153894982E-3</v>
      </c>
      <c r="J1028" s="29">
        <v>37900</v>
      </c>
      <c r="K1028">
        <v>1.79844</v>
      </c>
      <c r="L1028" s="33" t="str">
        <f>IF(ISBLANK(K1029),"",Long1[[#This Row],[Adj Close]]/K1029-1)</f>
        <v/>
      </c>
      <c r="M1028" s="37">
        <v>37900</v>
      </c>
      <c r="N1028">
        <v>4.9859289999999996</v>
      </c>
      <c r="O1028" s="36">
        <f>IF(ISBLANK(N1029),"",Long2[[#This Row],[Adj Close]]/N1029-1)</f>
        <v>-3.3794235161476616E-2</v>
      </c>
      <c r="P1028" s="29">
        <v>37900</v>
      </c>
      <c r="Q1028">
        <v>7.8991319999999998</v>
      </c>
      <c r="R1028" s="33">
        <f>IF(ISBLANK(Q1029),"",Long3[[#This Row],[Adj Close]]/Q1029-1)</f>
        <v>-4.130069254824309E-2</v>
      </c>
      <c r="S1028" s="37">
        <v>37900</v>
      </c>
      <c r="T1028" s="35">
        <v>5.4396849999999999</v>
      </c>
      <c r="U1028" s="36">
        <f>IF(ISBLANK(T1029),"",Long4[[#This Row],[Adj Close]]/T1029-1)</f>
        <v>-2.891934958107234E-2</v>
      </c>
      <c r="Y1028" s="37">
        <v>37900</v>
      </c>
      <c r="Z1028" s="35">
        <v>12.181362</v>
      </c>
      <c r="AA1028" s="36">
        <f>IF(ISBLANK(Z1029),"",Long6[[#This Row],[Adj Close]]/Z1029-1)</f>
        <v>0.10619431336215945</v>
      </c>
      <c r="AK1028" s="37">
        <v>37900</v>
      </c>
      <c r="AL1028" s="39">
        <v>22.113603999999999</v>
      </c>
      <c r="AM1028" s="36">
        <f>IF(ISBLANK(AL1029),"",Short1[[#This Row],[Adj Close]]/AL1029-1)</f>
        <v>3.2352992803557301E-2</v>
      </c>
      <c r="AN1028" s="29">
        <v>37900</v>
      </c>
      <c r="AO1028" s="44">
        <v>34.069256000000003</v>
      </c>
      <c r="AP1028" s="33">
        <f>IF(ISBLANK(AO1029),"",Short2[[#This Row],[Adj Close]]/AO1029-1)</f>
        <v>3.1405921434639161E-2</v>
      </c>
    </row>
    <row r="1029" spans="1:42" x14ac:dyDescent="0.25">
      <c r="A1029" s="37">
        <v>37893</v>
      </c>
      <c r="B1029" s="39">
        <v>1029.849976</v>
      </c>
      <c r="C1029" s="36">
        <f>IF(ISBLANK(B1030), "", GSPC[[#This Row],[Adj Close]]/B1030-1)</f>
        <v>3.3104279274216442E-2</v>
      </c>
      <c r="D102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2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29" s="11" t="e">
        <f>IF(ISBLANK(GSPC[[#This Row],[Long Exp.]]), "", (GSPC[[#This Row],[Long Exp.]]/D1030-1)+(E1030/GSPC[[#This Row],[Short Exp.]]-1))</f>
        <v>#VALUE!</v>
      </c>
      <c r="G1029" s="37">
        <v>37893</v>
      </c>
      <c r="H1029">
        <v>24.692398000000001</v>
      </c>
      <c r="I1029" s="36">
        <f>IF(ISBLANK(H1030), "", Long0[[#This Row],[Adj Close]]/H1030-1)</f>
        <v>0.11703685822930798</v>
      </c>
      <c r="M1029" s="37">
        <v>37893</v>
      </c>
      <c r="N1029">
        <v>5.1603180000000002</v>
      </c>
      <c r="O1029" s="36">
        <f>IF(ISBLANK(N1030),"",Long2[[#This Row],[Adj Close]]/N1030-1)</f>
        <v>1.2442067750174646E-2</v>
      </c>
      <c r="P1029" s="29">
        <v>37893</v>
      </c>
      <c r="Q1029">
        <v>8.2394259999999999</v>
      </c>
      <c r="R1029" s="33">
        <f>IF(ISBLANK(Q1030),"",Long3[[#This Row],[Adj Close]]/Q1030-1)</f>
        <v>2.8815714406833282E-2</v>
      </c>
      <c r="S1029" s="37">
        <v>37893</v>
      </c>
      <c r="T1029" s="35">
        <v>5.6016820000000003</v>
      </c>
      <c r="U1029" s="36">
        <f>IF(ISBLANK(T1030),"",Long4[[#This Row],[Adj Close]]/T1030-1)</f>
        <v>7.0032461913506872E-2</v>
      </c>
      <c r="Y1029" s="37">
        <v>37893</v>
      </c>
      <c r="Z1029" s="35">
        <v>11.011955</v>
      </c>
      <c r="AA1029" s="36">
        <f>IF(ISBLANK(Z1030),"",Long6[[#This Row],[Adj Close]]/Z1030-1)</f>
        <v>0.1002922700754949</v>
      </c>
      <c r="AK1029" s="37">
        <v>37893</v>
      </c>
      <c r="AL1029" s="39">
        <v>21.420584000000002</v>
      </c>
      <c r="AM1029" s="36">
        <f>IF(ISBLANK(AL1030),"",Short1[[#This Row],[Adj Close]]/AL1030-1)</f>
        <v>6.0070456636901914E-2</v>
      </c>
      <c r="AN1029" s="29">
        <v>37893</v>
      </c>
      <c r="AO1029" s="44">
        <v>33.031860000000002</v>
      </c>
      <c r="AP1029" s="33">
        <f>IF(ISBLANK(AO1030),"",Short2[[#This Row],[Adj Close]]/AO1030-1)</f>
        <v>8.448816501966494E-2</v>
      </c>
    </row>
    <row r="1030" spans="1:42" x14ac:dyDescent="0.25">
      <c r="A1030" s="37">
        <v>37886</v>
      </c>
      <c r="B1030" s="39">
        <v>996.84997599999997</v>
      </c>
      <c r="C1030" s="36">
        <f>IF(ISBLANK(B1031), "", GSPC[[#This Row],[Adj Close]]/B1031-1)</f>
        <v>-3.8068195633174207E-2</v>
      </c>
      <c r="D103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3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30" s="11" t="e">
        <f>IF(ISBLANK(GSPC[[#This Row],[Long Exp.]]), "", (GSPC[[#This Row],[Long Exp.]]/D1031-1)+(E1031/GSPC[[#This Row],[Short Exp.]]-1))</f>
        <v>#VALUE!</v>
      </c>
      <c r="G1030" s="37">
        <v>37886</v>
      </c>
      <c r="H1030">
        <v>22.105267000000001</v>
      </c>
      <c r="I1030" s="36">
        <f>IF(ISBLANK(H1031), "", Long0[[#This Row],[Adj Close]]/H1031-1)</f>
        <v>-6.7047161641865749E-2</v>
      </c>
      <c r="M1030" s="37">
        <v>37886</v>
      </c>
      <c r="N1030">
        <v>5.096902</v>
      </c>
      <c r="O1030" s="36">
        <f>IF(ISBLANK(N1031),"",Long2[[#This Row],[Adj Close]]/N1031-1)</f>
        <v>-0.18089186632643917</v>
      </c>
      <c r="P1030" s="29">
        <v>37886</v>
      </c>
      <c r="Q1030">
        <v>8.0086510000000004</v>
      </c>
      <c r="R1030" s="33">
        <f>IF(ISBLANK(Q1031),"",Long3[[#This Row],[Adj Close]]/Q1031-1)</f>
        <v>-1.2539409519934375E-2</v>
      </c>
      <c r="S1030" s="37">
        <v>37886</v>
      </c>
      <c r="T1030" s="35">
        <v>5.2350580000000004</v>
      </c>
      <c r="U1030" s="36">
        <f>IF(ISBLANK(T1031),"",Long4[[#This Row],[Adj Close]]/T1031-1)</f>
        <v>4.5996564933388884E-2</v>
      </c>
      <c r="Y1030" s="37">
        <v>37886</v>
      </c>
      <c r="Z1030" s="35">
        <v>10.008209000000001</v>
      </c>
      <c r="AA1030" s="36">
        <f>IF(ISBLANK(Z1031),"",Long6[[#This Row],[Adj Close]]/Z1031-1)</f>
        <v>-2.8382332111361208E-2</v>
      </c>
      <c r="AK1030" s="37">
        <v>37886</v>
      </c>
      <c r="AL1030" s="39">
        <v>20.206755000000001</v>
      </c>
      <c r="AM1030" s="36">
        <f>IF(ISBLANK(AL1031),"",Short1[[#This Row],[Adj Close]]/AL1031-1)</f>
        <v>-6.4735336608411576E-2</v>
      </c>
      <c r="AN1030" s="29">
        <v>37886</v>
      </c>
      <c r="AO1030" s="44">
        <v>30.458479000000001</v>
      </c>
      <c r="AP1030" s="33">
        <f>IF(ISBLANK(AO1031),"",Short2[[#This Row],[Adj Close]]/AO1031-1)</f>
        <v>1.0134918446601526E-2</v>
      </c>
    </row>
    <row r="1031" spans="1:42" x14ac:dyDescent="0.25">
      <c r="A1031" s="37">
        <v>37879</v>
      </c>
      <c r="B1031" s="39">
        <v>1036.3000489999999</v>
      </c>
      <c r="C1031" s="36">
        <f>IF(ISBLANK(B1032), "", GSPC[[#This Row],[Adj Close]]/B1032-1)</f>
        <v>1.7346871693613597E-2</v>
      </c>
      <c r="D103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3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31" s="11" t="e">
        <f>IF(ISBLANK(GSPC[[#This Row],[Long Exp.]]), "", (GSPC[[#This Row],[Long Exp.]]/D1032-1)+(E1032/GSPC[[#This Row],[Short Exp.]]-1))</f>
        <v>#VALUE!</v>
      </c>
      <c r="G1031" s="37">
        <v>37879</v>
      </c>
      <c r="H1031">
        <v>23.693874000000001</v>
      </c>
      <c r="I1031" s="36">
        <f>IF(ISBLANK(H1032), "", Long0[[#This Row],[Adj Close]]/H1032-1)</f>
        <v>3.2563893226730034E-2</v>
      </c>
      <c r="M1031" s="37">
        <v>37879</v>
      </c>
      <c r="N1031">
        <v>6.2225020000000004</v>
      </c>
      <c r="O1031" s="36">
        <f>IF(ISBLANK(N1032),"",Long2[[#This Row],[Adj Close]]/N1032-1)</f>
        <v>1.1584158979198511E-2</v>
      </c>
      <c r="P1031" s="29">
        <v>37879</v>
      </c>
      <c r="Q1031">
        <v>8.1103500000000004</v>
      </c>
      <c r="R1031" s="33">
        <f>IF(ISBLANK(Q1032),"",Long3[[#This Row],[Adj Close]]/Q1032-1)</f>
        <v>2.7385286805471365E-2</v>
      </c>
      <c r="S1031" s="37">
        <v>37879</v>
      </c>
      <c r="T1031" s="35">
        <v>5.0048519999999996</v>
      </c>
      <c r="U1031" s="36">
        <f>IF(ISBLANK(T1032),"",Long4[[#This Row],[Adj Close]]/T1032-1)</f>
        <v>5.136893450731872E-3</v>
      </c>
      <c r="Y1031" s="37">
        <v>37879</v>
      </c>
      <c r="Z1031" s="35">
        <v>10.300563</v>
      </c>
      <c r="AA1031" s="36">
        <f>IF(ISBLANK(Z1032),"",Long6[[#This Row],[Adj Close]]/Z1032-1)</f>
        <v>0.15267214525292339</v>
      </c>
      <c r="AK1031" s="37">
        <v>37879</v>
      </c>
      <c r="AL1031" s="39">
        <v>21.605387</v>
      </c>
      <c r="AM1031" s="36">
        <f>IF(ISBLANK(AL1032),"",Short1[[#This Row],[Adj Close]]/AL1032-1)</f>
        <v>9.8153414773953784E-3</v>
      </c>
      <c r="AN1031" s="29">
        <v>37879</v>
      </c>
      <c r="AO1031" s="44">
        <v>30.152882000000002</v>
      </c>
      <c r="AP1031" s="33">
        <f>IF(ISBLANK(AO1032),"",Short2[[#This Row],[Adj Close]]/AO1032-1)</f>
        <v>5.8134568096365191E-2</v>
      </c>
    </row>
    <row r="1032" spans="1:42" x14ac:dyDescent="0.25">
      <c r="A1032" s="37">
        <v>37872</v>
      </c>
      <c r="B1032" s="39">
        <v>1018.630005</v>
      </c>
      <c r="C1032" s="36">
        <f>IF(ISBLANK(B1033), "", GSPC[[#This Row],[Adj Close]]/B1033-1)</f>
        <v>-2.7022096941098361E-3</v>
      </c>
      <c r="D103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3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32" s="11" t="e">
        <f>IF(ISBLANK(GSPC[[#This Row],[Long Exp.]]), "", (GSPC[[#This Row],[Long Exp.]]/D1033-1)+(E1033/GSPC[[#This Row],[Short Exp.]]-1))</f>
        <v>#VALUE!</v>
      </c>
      <c r="G1032" s="37">
        <v>37872</v>
      </c>
      <c r="H1032">
        <v>22.946642000000001</v>
      </c>
      <c r="I1032" s="36">
        <f>IF(ISBLANK(H1033), "", Long0[[#This Row],[Adj Close]]/H1033-1)</f>
        <v>6.7323254125738252E-2</v>
      </c>
      <c r="M1032" s="37">
        <v>37872</v>
      </c>
      <c r="N1032">
        <v>6.1512450000000003</v>
      </c>
      <c r="O1032" s="36">
        <f>IF(ISBLANK(N1033),"",Long2[[#This Row],[Adj Close]]/N1033-1)</f>
        <v>-2.628267228933967E-2</v>
      </c>
      <c r="P1032" s="29">
        <v>37872</v>
      </c>
      <c r="Q1032">
        <v>7.8941660000000002</v>
      </c>
      <c r="R1032" s="33">
        <f>IF(ISBLANK(Q1033),"",Long3[[#This Row],[Adj Close]]/Q1033-1)</f>
        <v>9.8232163419176288E-4</v>
      </c>
      <c r="S1032" s="37">
        <v>37872</v>
      </c>
      <c r="T1032" s="35">
        <v>4.9792740000000002</v>
      </c>
      <c r="U1032" s="36">
        <f>IF(ISBLANK(T1033),"",Long4[[#This Row],[Adj Close]]/T1033-1)</f>
        <v>3.3628334015253891E-2</v>
      </c>
      <c r="Y1032" s="37">
        <v>37872</v>
      </c>
      <c r="Z1032" s="35">
        <v>8.9362469999999998</v>
      </c>
      <c r="AA1032" s="36">
        <f>IF(ISBLANK(Z1033),"",Long6[[#This Row],[Adj Close]]/Z1033-1)</f>
        <v>5.6451315444144168E-2</v>
      </c>
      <c r="AK1032" s="37">
        <v>37872</v>
      </c>
      <c r="AL1032" s="39">
        <v>21.395384</v>
      </c>
      <c r="AM1032" s="36">
        <f>IF(ISBLANK(AL1033),"",Short1[[#This Row],[Adj Close]]/AL1033-1)</f>
        <v>-3.0083684663856025E-2</v>
      </c>
      <c r="AN1032" s="29">
        <v>37872</v>
      </c>
      <c r="AO1032" s="44">
        <v>28.496264</v>
      </c>
      <c r="AP1032" s="33">
        <f>IF(ISBLANK(AO1033),"",Short2[[#This Row],[Adj Close]]/AO1033-1)</f>
        <v>3.8246859818464873E-3</v>
      </c>
    </row>
    <row r="1033" spans="1:42" x14ac:dyDescent="0.25">
      <c r="A1033" s="37">
        <v>37865</v>
      </c>
      <c r="B1033" s="39">
        <v>1021.3900149999999</v>
      </c>
      <c r="C1033" s="36">
        <f>IF(ISBLANK(B1034), "", GSPC[[#This Row],[Adj Close]]/B1034-1)</f>
        <v>1.3273682669083797E-2</v>
      </c>
      <c r="D103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3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33" s="11" t="e">
        <f>IF(ISBLANK(GSPC[[#This Row],[Long Exp.]]), "", (GSPC[[#This Row],[Long Exp.]]/D1034-1)+(E1034/GSPC[[#This Row],[Short Exp.]]-1))</f>
        <v>#VALUE!</v>
      </c>
      <c r="G1033" s="37">
        <v>37865</v>
      </c>
      <c r="H1033">
        <v>21.499243</v>
      </c>
      <c r="I1033" s="36">
        <f>IF(ISBLANK(H1034), "", Long0[[#This Row],[Adj Close]]/H1034-1)</f>
        <v>3.8465485746699279E-3</v>
      </c>
      <c r="M1033" s="37">
        <v>37865</v>
      </c>
      <c r="N1033">
        <v>6.3172800000000002</v>
      </c>
      <c r="O1033" s="36">
        <f>IF(ISBLANK(N1034),"",Long2[[#This Row],[Adj Close]]/N1034-1)</f>
        <v>2.0434271890955369E-2</v>
      </c>
      <c r="P1033" s="29">
        <v>37865</v>
      </c>
      <c r="Q1033">
        <v>7.8864190000000001</v>
      </c>
      <c r="R1033" s="33">
        <f>IF(ISBLANK(Q1034),"",Long3[[#This Row],[Adj Close]]/Q1034-1)</f>
        <v>2.6216179183492283E-2</v>
      </c>
      <c r="S1033" s="37">
        <v>37865</v>
      </c>
      <c r="T1033" s="35">
        <v>4.8172769999999998</v>
      </c>
      <c r="U1033" s="36">
        <f>IF(ISBLANK(T1034),"",Long4[[#This Row],[Adj Close]]/T1034-1)</f>
        <v>8.2375327845149782E-2</v>
      </c>
      <c r="Y1033" s="37">
        <v>37865</v>
      </c>
      <c r="Z1033" s="35">
        <v>8.4587400000000006</v>
      </c>
      <c r="AA1033" s="36">
        <f>IF(ISBLANK(Z1034),"",Long6[[#This Row],[Adj Close]]/Z1034-1)</f>
        <v>2.2379547622728424E-2</v>
      </c>
      <c r="AK1033" s="37">
        <v>37865</v>
      </c>
      <c r="AL1033" s="39">
        <v>22.059000000000001</v>
      </c>
      <c r="AM1033" s="36">
        <f>IF(ISBLANK(AL1034),"",Short1[[#This Row],[Adj Close]]/AL1034-1)</f>
        <v>9.8057683764027903E-3</v>
      </c>
      <c r="AN1033" s="29">
        <v>37865</v>
      </c>
      <c r="AO1033" s="44">
        <v>28.387689999999999</v>
      </c>
      <c r="AP1033" s="33">
        <f>IF(ISBLANK(AO1034),"",Short2[[#This Row],[Adj Close]]/AO1034-1)</f>
        <v>4.9813701150336565E-2</v>
      </c>
    </row>
    <row r="1034" spans="1:42" x14ac:dyDescent="0.25">
      <c r="A1034" s="37">
        <v>37858</v>
      </c>
      <c r="B1034" s="39">
        <v>1008.01001</v>
      </c>
      <c r="C1034" s="36">
        <f>IF(ISBLANK(B1035), "", GSPC[[#This Row],[Adj Close]]/B1035-1)</f>
        <v>1.5054490192041747E-2</v>
      </c>
      <c r="D103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3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34" s="11" t="e">
        <f>IF(ISBLANK(GSPC[[#This Row],[Long Exp.]]), "", (GSPC[[#This Row],[Long Exp.]]/D1035-1)+(E1035/GSPC[[#This Row],[Short Exp.]]-1))</f>
        <v>#VALUE!</v>
      </c>
      <c r="G1034" s="37">
        <v>37858</v>
      </c>
      <c r="H1034">
        <v>21.416861999999998</v>
      </c>
      <c r="I1034" s="36">
        <f>IF(ISBLANK(H1035), "", Long0[[#This Row],[Adj Close]]/H1035-1)</f>
        <v>-2.3343192080861552E-2</v>
      </c>
      <c r="M1034" s="37">
        <v>37858</v>
      </c>
      <c r="N1034">
        <v>6.1907759999999996</v>
      </c>
      <c r="O1034" s="36">
        <f>IF(ISBLANK(N1035),"",Long2[[#This Row],[Adj Close]]/N1035-1)</f>
        <v>1.1628015282655779E-2</v>
      </c>
      <c r="P1034" s="29">
        <v>37858</v>
      </c>
      <c r="Q1034">
        <v>7.6849489999999996</v>
      </c>
      <c r="R1034" s="33">
        <f>IF(ISBLANK(Q1035),"",Long3[[#This Row],[Adj Close]]/Q1035-1)</f>
        <v>2.058175803911011E-2</v>
      </c>
      <c r="S1034" s="37">
        <v>37858</v>
      </c>
      <c r="T1034" s="35">
        <v>4.450653</v>
      </c>
      <c r="U1034" s="36">
        <f>IF(ISBLANK(T1035),"",Long4[[#This Row],[Adj Close]]/T1035-1)</f>
        <v>0.13232119518938412</v>
      </c>
      <c r="Y1034" s="37">
        <v>37858</v>
      </c>
      <c r="Z1034" s="35">
        <v>8.2735810000000001</v>
      </c>
      <c r="AA1034" s="36">
        <f>IF(ISBLANK(Z1035),"",Long6[[#This Row],[Adj Close]]/Z1035-1)</f>
        <v>-5.6666928526872162E-2</v>
      </c>
      <c r="AK1034" s="37">
        <v>37858</v>
      </c>
      <c r="AL1034" s="39">
        <v>21.844795000000001</v>
      </c>
      <c r="AM1034" s="36">
        <f>IF(ISBLANK(AL1035),"",Short1[[#This Row],[Adj Close]]/AL1035-1)</f>
        <v>3.853789037291766E-2</v>
      </c>
      <c r="AN1034" s="29">
        <v>37858</v>
      </c>
      <c r="AO1034" s="44">
        <v>27.040693000000001</v>
      </c>
      <c r="AP1034" s="33">
        <f>IF(ISBLANK(AO1035),"",Short2[[#This Row],[Adj Close]]/AO1035-1)</f>
        <v>-1.1029011473854156E-2</v>
      </c>
    </row>
    <row r="1035" spans="1:42" x14ac:dyDescent="0.25">
      <c r="A1035" s="37">
        <v>37851</v>
      </c>
      <c r="B1035" s="39">
        <v>993.05999799999995</v>
      </c>
      <c r="C1035" s="36">
        <f>IF(ISBLANK(B1036), "", GSPC[[#This Row],[Adj Close]]/B1036-1)</f>
        <v>2.4125238888963452E-3</v>
      </c>
      <c r="D103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3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35" s="11" t="e">
        <f>IF(ISBLANK(GSPC[[#This Row],[Long Exp.]]), "", (GSPC[[#This Row],[Long Exp.]]/D1036-1)+(E1036/GSPC[[#This Row],[Short Exp.]]-1))</f>
        <v>#VALUE!</v>
      </c>
      <c r="G1035" s="37">
        <v>37851</v>
      </c>
      <c r="H1035">
        <v>21.928749</v>
      </c>
      <c r="I1035" s="36">
        <f>IF(ISBLANK(H1036), "", Long0[[#This Row],[Adj Close]]/H1036-1)</f>
        <v>6.7602364224195854E-2</v>
      </c>
      <c r="M1035" s="37">
        <v>37851</v>
      </c>
      <c r="N1035">
        <v>6.1196169999999999</v>
      </c>
      <c r="O1035" s="36">
        <f>IF(ISBLANK(N1036),"",Long2[[#This Row],[Adj Close]]/N1036-1)</f>
        <v>6.3186597450972215E-2</v>
      </c>
      <c r="P1035" s="29">
        <v>37851</v>
      </c>
      <c r="Q1035">
        <v>7.5299690000000004</v>
      </c>
      <c r="R1035" s="33">
        <f>IF(ISBLANK(Q1036),"",Long3[[#This Row],[Adj Close]]/Q1036-1)</f>
        <v>-2.1646135876111083E-2</v>
      </c>
      <c r="S1035" s="37">
        <v>37851</v>
      </c>
      <c r="T1035" s="35">
        <v>3.9305569999999999</v>
      </c>
      <c r="U1035" s="36">
        <f>IF(ISBLANK(T1036),"",Long4[[#This Row],[Adj Close]]/T1036-1)</f>
        <v>0.21635860225851666</v>
      </c>
      <c r="Y1035" s="37">
        <v>37851</v>
      </c>
      <c r="Z1035" s="35">
        <v>8.7705830000000002</v>
      </c>
      <c r="AA1035" s="36">
        <f>IF(ISBLANK(Z1036),"",Long6[[#This Row],[Adj Close]]/Z1036-1)</f>
        <v>2.8571753591229987E-2</v>
      </c>
      <c r="AK1035" s="37">
        <v>37851</v>
      </c>
      <c r="AL1035" s="39">
        <v>21.034182000000001</v>
      </c>
      <c r="AM1035" s="36">
        <f>IF(ISBLANK(AL1036),"",Short1[[#This Row],[Adj Close]]/AL1036-1)</f>
        <v>1.5409823466780326E-2</v>
      </c>
      <c r="AN1035" s="29">
        <v>37851</v>
      </c>
      <c r="AO1035" s="44">
        <v>27.342251000000001</v>
      </c>
      <c r="AP1035" s="33">
        <f>IF(ISBLANK(AO1036),"",Short2[[#This Row],[Adj Close]]/AO1036-1)</f>
        <v>3.0614650718809644E-2</v>
      </c>
    </row>
    <row r="1036" spans="1:42" x14ac:dyDescent="0.25">
      <c r="A1036" s="37">
        <v>37844</v>
      </c>
      <c r="B1036" s="39">
        <v>990.669983</v>
      </c>
      <c r="C1036" s="36">
        <f>IF(ISBLANK(B1037), "", GSPC[[#This Row],[Adj Close]]/B1037-1)</f>
        <v>1.3379796886982875E-2</v>
      </c>
      <c r="D103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3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36" s="11" t="e">
        <f>IF(ISBLANK(GSPC[[#This Row],[Long Exp.]]), "", (GSPC[[#This Row],[Long Exp.]]/D1037-1)+(E1037/GSPC[[#This Row],[Short Exp.]]-1))</f>
        <v>#VALUE!</v>
      </c>
      <c r="G1036" s="37">
        <v>37844</v>
      </c>
      <c r="H1036">
        <v>20.540184</v>
      </c>
      <c r="I1036" s="36">
        <f>IF(ISBLANK(H1037), "", Long0[[#This Row],[Adj Close]]/H1037-1)</f>
        <v>2.2553881610130722E-2</v>
      </c>
      <c r="M1036" s="37">
        <v>37844</v>
      </c>
      <c r="N1036">
        <v>5.7559199999999997</v>
      </c>
      <c r="O1036" s="36">
        <f>IF(ISBLANK(N1037),"",Long2[[#This Row],[Adj Close]]/N1037-1)</f>
        <v>6.1224625252150222E-2</v>
      </c>
      <c r="P1036" s="29">
        <v>37844</v>
      </c>
      <c r="Q1036">
        <v>7.6965700000000004</v>
      </c>
      <c r="R1036" s="33">
        <f>IF(ISBLANK(Q1037),"",Long3[[#This Row],[Adj Close]]/Q1037-1)</f>
        <v>9.9136362097556052E-3</v>
      </c>
      <c r="S1036" s="37">
        <v>37844</v>
      </c>
      <c r="T1036" s="35">
        <v>3.2314129999999999</v>
      </c>
      <c r="U1036" s="36">
        <f>IF(ISBLANK(T1037),"",Long4[[#This Row],[Adj Close]]/T1037-1)</f>
        <v>-1.0443675534379415E-2</v>
      </c>
      <c r="Y1036" s="37">
        <v>37844</v>
      </c>
      <c r="Z1036" s="35">
        <v>8.5269530000000007</v>
      </c>
      <c r="AA1036" s="36">
        <f>IF(ISBLANK(Z1037),"",Long6[[#This Row],[Adj Close]]/Z1037-1)</f>
        <v>5.1682324819062764E-2</v>
      </c>
      <c r="AK1036" s="37">
        <v>37844</v>
      </c>
      <c r="AL1036" s="39">
        <v>20.714967999999999</v>
      </c>
      <c r="AM1036" s="36">
        <f>IF(ISBLANK(AL1037),"",Short1[[#This Row],[Adj Close]]/AL1037-1)</f>
        <v>2.9645229385081295E-2</v>
      </c>
      <c r="AN1036" s="29">
        <v>37844</v>
      </c>
      <c r="AO1036" s="44">
        <v>26.530042999999999</v>
      </c>
      <c r="AP1036" s="33">
        <f>IF(ISBLANK(AO1037),"",Short2[[#This Row],[Adj Close]]/AO1037-1)</f>
        <v>-2.3386523403751247E-2</v>
      </c>
    </row>
    <row r="1037" spans="1:42" x14ac:dyDescent="0.25">
      <c r="A1037" s="37">
        <v>37837</v>
      </c>
      <c r="B1037" s="39">
        <v>977.59002699999996</v>
      </c>
      <c r="C1037" s="36">
        <f>IF(ISBLANK(B1038), "", GSPC[[#This Row],[Adj Close]]/B1038-1)</f>
        <v>-2.6118420010364796E-3</v>
      </c>
      <c r="D103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3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37" s="11" t="e">
        <f>IF(ISBLANK(GSPC[[#This Row],[Long Exp.]]), "", (GSPC[[#This Row],[Long Exp.]]/D1038-1)+(E1038/GSPC[[#This Row],[Short Exp.]]-1))</f>
        <v>#VALUE!</v>
      </c>
      <c r="G1037" s="37">
        <v>37837</v>
      </c>
      <c r="H1037">
        <v>20.087140999999999</v>
      </c>
      <c r="I1037" s="36">
        <f>IF(ISBLANK(H1038), "", Long0[[#This Row],[Adj Close]]/H1038-1)</f>
        <v>1.7585972923801263E-2</v>
      </c>
      <c r="M1037" s="37">
        <v>37837</v>
      </c>
      <c r="N1037">
        <v>5.4238470000000003</v>
      </c>
      <c r="O1037" s="36">
        <f>IF(ISBLANK(N1038),"",Long2[[#This Row],[Adj Close]]/N1038-1)</f>
        <v>-4.0559441796454432E-2</v>
      </c>
      <c r="P1037" s="29">
        <v>37837</v>
      </c>
      <c r="Q1037">
        <v>7.6210180000000003</v>
      </c>
      <c r="R1037" s="33">
        <f>IF(ISBLANK(Q1038),"",Long3[[#This Row],[Adj Close]]/Q1038-1)</f>
        <v>-4.8067160566568345E-3</v>
      </c>
      <c r="S1037" s="37">
        <v>37837</v>
      </c>
      <c r="T1037" s="35">
        <v>3.265517</v>
      </c>
      <c r="U1037" s="36">
        <f>IF(ISBLANK(T1038),"",Long4[[#This Row],[Adj Close]]/T1038-1)</f>
        <v>-6.1274549964627223E-2</v>
      </c>
      <c r="Y1037" s="37">
        <v>37837</v>
      </c>
      <c r="Z1037" s="35">
        <v>8.1079170000000005</v>
      </c>
      <c r="AA1037" s="36">
        <f>IF(ISBLANK(Z1038),"",Long6[[#This Row],[Adj Close]]/Z1038-1)</f>
        <v>3.6189075914745406E-3</v>
      </c>
      <c r="AK1037" s="37">
        <v>37837</v>
      </c>
      <c r="AL1037" s="39">
        <v>20.118549000000002</v>
      </c>
      <c r="AM1037" s="36">
        <f>IF(ISBLANK(AL1038),"",Short1[[#This Row],[Adj Close]]/AL1038-1)</f>
        <v>0.11785279661712922</v>
      </c>
      <c r="AN1037" s="29">
        <v>37837</v>
      </c>
      <c r="AO1037" s="44">
        <v>27.165346</v>
      </c>
      <c r="AP1037" s="33">
        <f>IF(ISBLANK(AO1038),"",Short2[[#This Row],[Adj Close]]/AO1038-1)</f>
        <v>6.9201129776771841E-2</v>
      </c>
    </row>
    <row r="1038" spans="1:42" x14ac:dyDescent="0.25">
      <c r="A1038" s="37">
        <v>37830</v>
      </c>
      <c r="B1038" s="39">
        <v>980.15002400000003</v>
      </c>
      <c r="C1038" s="36">
        <f>IF(ISBLANK(B1039), "", GSPC[[#This Row],[Adj Close]]/B1039-1)</f>
        <v>-1.8554461018425505E-2</v>
      </c>
      <c r="D103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3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38" s="11" t="e">
        <f>IF(ISBLANK(GSPC[[#This Row],[Long Exp.]]), "", (GSPC[[#This Row],[Long Exp.]]/D1039-1)+(E1039/GSPC[[#This Row],[Short Exp.]]-1))</f>
        <v>#VALUE!</v>
      </c>
      <c r="G1038" s="37">
        <v>37830</v>
      </c>
      <c r="H1038">
        <v>19.739993999999999</v>
      </c>
      <c r="I1038" s="36">
        <f>IF(ISBLANK(H1039), "", Long0[[#This Row],[Adj Close]]/H1039-1)</f>
        <v>2.8825682165317001E-2</v>
      </c>
      <c r="M1038" s="37">
        <v>37830</v>
      </c>
      <c r="N1038">
        <v>5.6531349999999998</v>
      </c>
      <c r="O1038" s="36">
        <f>IF(ISBLANK(N1039),"",Long2[[#This Row],[Adj Close]]/N1039-1)</f>
        <v>-4.0268704763789964E-2</v>
      </c>
      <c r="P1038" s="29">
        <v>37830</v>
      </c>
      <c r="Q1038">
        <v>7.6578270000000002</v>
      </c>
      <c r="R1038" s="33">
        <f>IF(ISBLANK(Q1039),"",Long3[[#This Row],[Adj Close]]/Q1039-1)</f>
        <v>-3.913450889981307E-2</v>
      </c>
      <c r="S1038" s="37">
        <v>37830</v>
      </c>
      <c r="T1038" s="35">
        <v>3.4786709999999998</v>
      </c>
      <c r="U1038" s="36">
        <f>IF(ISBLANK(T1039),"",Long4[[#This Row],[Adj Close]]/T1039-1)</f>
        <v>5.9740404542905301E-2</v>
      </c>
      <c r="Y1038" s="37">
        <v>37830</v>
      </c>
      <c r="Z1038" s="35">
        <v>8.0786809999999996</v>
      </c>
      <c r="AA1038" s="36">
        <f>IF(ISBLANK(Z1039),"",Long6[[#This Row],[Adj Close]]/Z1039-1)</f>
        <v>-4.0509121521069891E-2</v>
      </c>
      <c r="AK1038" s="37">
        <v>37830</v>
      </c>
      <c r="AL1038" s="39">
        <v>17.997494</v>
      </c>
      <c r="AM1038" s="36">
        <f>IF(ISBLANK(AL1039),"",Short1[[#This Row],[Adj Close]]/AL1039-1)</f>
        <v>-4.8770578344802251E-3</v>
      </c>
      <c r="AN1038" s="29">
        <v>37830</v>
      </c>
      <c r="AO1038" s="44">
        <v>25.407143000000001</v>
      </c>
      <c r="AP1038" s="33">
        <f>IF(ISBLANK(AO1039),"",Short2[[#This Row],[Adj Close]]/AO1039-1)</f>
        <v>-6.7846810160533511E-2</v>
      </c>
    </row>
    <row r="1039" spans="1:42" x14ac:dyDescent="0.25">
      <c r="A1039" s="37">
        <v>37823</v>
      </c>
      <c r="B1039" s="39">
        <v>998.67999299999997</v>
      </c>
      <c r="C1039" s="36">
        <f>IF(ISBLANK(B1040), "", GSPC[[#This Row],[Adj Close]]/B1040-1)</f>
        <v>5.396031452329364E-3</v>
      </c>
      <c r="D103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3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39" s="11" t="e">
        <f>IF(ISBLANK(GSPC[[#This Row],[Long Exp.]]), "", (GSPC[[#This Row],[Long Exp.]]/D1040-1)+(E1040/GSPC[[#This Row],[Short Exp.]]-1))</f>
        <v>#VALUE!</v>
      </c>
      <c r="G1039" s="37">
        <v>37823</v>
      </c>
      <c r="H1039">
        <v>19.186917999999999</v>
      </c>
      <c r="I1039" s="36">
        <f>IF(ISBLANK(H1040), "", Long0[[#This Row],[Adj Close]]/H1040-1)</f>
        <v>4.3112759560508529E-3</v>
      </c>
      <c r="M1039" s="37">
        <v>37823</v>
      </c>
      <c r="N1039">
        <v>5.8903309999999998</v>
      </c>
      <c r="O1039" s="36">
        <f>IF(ISBLANK(N1040),"",Long2[[#This Row],[Adj Close]]/N1040-1)</f>
        <v>9.8820168503651384E-2</v>
      </c>
      <c r="P1039" s="29">
        <v>37823</v>
      </c>
      <c r="Q1039">
        <v>7.9697180000000003</v>
      </c>
      <c r="R1039" s="33">
        <f>IF(ISBLANK(Q1040),"",Long3[[#This Row],[Adj Close]]/Q1040-1)</f>
        <v>-6.7603751413111146E-3</v>
      </c>
      <c r="S1039" s="37">
        <v>37823</v>
      </c>
      <c r="T1039" s="35">
        <v>3.2825690000000001</v>
      </c>
      <c r="U1039" s="36">
        <f>IF(ISBLANK(T1040),"",Long4[[#This Row],[Adj Close]]/T1040-1)</f>
        <v>2.6041197381954095E-3</v>
      </c>
      <c r="Y1039" s="37">
        <v>37823</v>
      </c>
      <c r="Z1039" s="35">
        <v>8.4197579999999999</v>
      </c>
      <c r="AA1039" s="36">
        <f>IF(ISBLANK(Z1040),"",Long6[[#This Row],[Adj Close]]/Z1040-1)</f>
        <v>-3.1389964290393979E-2</v>
      </c>
      <c r="AK1039" s="37">
        <v>37823</v>
      </c>
      <c r="AL1039" s="39">
        <v>18.085699000000002</v>
      </c>
      <c r="AM1039" s="36">
        <f>IF(ISBLANK(AL1040),"",Short1[[#This Row],[Adj Close]]/AL1040-1)</f>
        <v>-3.0616384088551274E-2</v>
      </c>
      <c r="AN1039" s="29">
        <v>37823</v>
      </c>
      <c r="AO1039" s="44">
        <v>27.256402999999999</v>
      </c>
      <c r="AP1039" s="33">
        <f>IF(ISBLANK(AO1040),"",Short2[[#This Row],[Adj Close]]/AO1040-1)</f>
        <v>-8.0469075948361724E-3</v>
      </c>
    </row>
    <row r="1040" spans="1:42" x14ac:dyDescent="0.25">
      <c r="A1040" s="37">
        <v>37816</v>
      </c>
      <c r="B1040" s="39">
        <v>993.32000700000003</v>
      </c>
      <c r="C1040" s="36">
        <f>IF(ISBLANK(B1041), "", GSPC[[#This Row],[Adj Close]]/B1041-1)</f>
        <v>-4.8289898486836291E-3</v>
      </c>
      <c r="D104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4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40" s="11" t="e">
        <f>IF(ISBLANK(GSPC[[#This Row],[Long Exp.]]), "", (GSPC[[#This Row],[Long Exp.]]/D1041-1)+(E1041/GSPC[[#This Row],[Short Exp.]]-1))</f>
        <v>#VALUE!</v>
      </c>
      <c r="G1040" s="37">
        <v>37816</v>
      </c>
      <c r="H1040">
        <v>19.104552999999999</v>
      </c>
      <c r="I1040" s="36">
        <f>IF(ISBLANK(H1041), "", Long0[[#This Row],[Adj Close]]/H1041-1)</f>
        <v>-3.7640496189158545E-2</v>
      </c>
      <c r="M1040" s="37">
        <v>37816</v>
      </c>
      <c r="N1040">
        <v>5.3605960000000001</v>
      </c>
      <c r="O1040" s="36">
        <f>IF(ISBLANK(N1041),"",Long2[[#This Row],[Adj Close]]/N1041-1)</f>
        <v>-5.0420098104080324E-2</v>
      </c>
      <c r="P1040" s="29">
        <v>37816</v>
      </c>
      <c r="Q1040">
        <v>8.0239630000000002</v>
      </c>
      <c r="R1040" s="33">
        <f>IF(ISBLANK(Q1041),"",Long3[[#This Row],[Adj Close]]/Q1041-1)</f>
        <v>-4.3266821205208972E-3</v>
      </c>
      <c r="S1040" s="37">
        <v>37816</v>
      </c>
      <c r="T1040" s="35">
        <v>3.2740429999999998</v>
      </c>
      <c r="U1040" s="36">
        <f>IF(ISBLANK(T1041),"",Long4[[#This Row],[Adj Close]]/T1041-1)</f>
        <v>-7.4698857152223908E-2</v>
      </c>
      <c r="Y1040" s="37">
        <v>37816</v>
      </c>
      <c r="Z1040" s="35">
        <v>8.6926190000000005</v>
      </c>
      <c r="AA1040" s="36">
        <f>IF(ISBLANK(Z1041),"",Long6[[#This Row],[Adj Close]]/Z1041-1)</f>
        <v>-2.1930069829355081E-2</v>
      </c>
      <c r="AK1040" s="37">
        <v>37816</v>
      </c>
      <c r="AL1040" s="39">
        <v>18.656905999999999</v>
      </c>
      <c r="AM1040" s="36">
        <f>IF(ISBLANK(AL1041),"",Short1[[#This Row],[Adj Close]]/AL1041-1)</f>
        <v>-2.1586099939266412E-2</v>
      </c>
      <c r="AN1040" s="29">
        <v>37816</v>
      </c>
      <c r="AO1040" s="44">
        <v>27.477512000000001</v>
      </c>
      <c r="AP1040" s="33">
        <f>IF(ISBLANK(AO1041),"",Short2[[#This Row],[Adj Close]]/AO1041-1)</f>
        <v>-6.1255322554443437E-2</v>
      </c>
    </row>
    <row r="1041" spans="1:42" x14ac:dyDescent="0.25">
      <c r="A1041" s="37">
        <v>37809</v>
      </c>
      <c r="B1041" s="39">
        <v>998.14001499999995</v>
      </c>
      <c r="C1041" s="36">
        <f>IF(ISBLANK(B1042), "", GSPC[[#This Row],[Adj Close]]/B1042-1)</f>
        <v>1.262047565035429E-2</v>
      </c>
      <c r="D104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4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41" s="11" t="e">
        <f>IF(ISBLANK(GSPC[[#This Row],[Long Exp.]]), "", (GSPC[[#This Row],[Long Exp.]]/D1042-1)+(E1042/GSPC[[#This Row],[Short Exp.]]-1))</f>
        <v>#VALUE!</v>
      </c>
      <c r="G1041" s="37">
        <v>37809</v>
      </c>
      <c r="H1041">
        <v>19.851783999999999</v>
      </c>
      <c r="I1041" s="36">
        <f>IF(ISBLANK(H1042), "", Long0[[#This Row],[Adj Close]]/H1042-1)</f>
        <v>-4.4192794169454985E-2</v>
      </c>
      <c r="M1041" s="37">
        <v>37809</v>
      </c>
      <c r="N1041">
        <v>5.6452289999999996</v>
      </c>
      <c r="O1041" s="36">
        <f>IF(ISBLANK(N1042),"",Long2[[#This Row],[Adj Close]]/N1042-1)</f>
        <v>1.7094054051716601E-2</v>
      </c>
      <c r="P1041" s="29">
        <v>37809</v>
      </c>
      <c r="Q1041">
        <v>8.0588309999999996</v>
      </c>
      <c r="R1041" s="33">
        <f>IF(ISBLANK(Q1042),"",Long3[[#This Row],[Adj Close]]/Q1042-1)</f>
        <v>-1.3516418275851594E-2</v>
      </c>
      <c r="S1041" s="37">
        <v>37809</v>
      </c>
      <c r="T1041" s="35">
        <v>3.538354</v>
      </c>
      <c r="U1041" s="36">
        <f>IF(ISBLANK(T1042),"",Long4[[#This Row],[Adj Close]]/T1042-1)</f>
        <v>4.7979819669543122E-2</v>
      </c>
      <c r="Y1041" s="37">
        <v>37809</v>
      </c>
      <c r="Z1041" s="35">
        <v>8.8875229999999998</v>
      </c>
      <c r="AA1041" s="36">
        <f>IF(ISBLANK(Z1042),"",Long6[[#This Row],[Adj Close]]/Z1042-1)</f>
        <v>6.6223402869662884E-3</v>
      </c>
      <c r="AK1041" s="37">
        <v>37809</v>
      </c>
      <c r="AL1041" s="39">
        <v>19.068521</v>
      </c>
      <c r="AM1041" s="36">
        <f>IF(ISBLANK(AL1042),"",Short1[[#This Row],[Adj Close]]/AL1042-1)</f>
        <v>2.1832088230550051E-2</v>
      </c>
      <c r="AN1041" s="29">
        <v>37809</v>
      </c>
      <c r="AO1041" s="44">
        <v>29.270485000000001</v>
      </c>
      <c r="AP1041" s="33">
        <f>IF(ISBLANK(AO1042),"",Short2[[#This Row],[Adj Close]]/AO1042-1)</f>
        <v>-1.1941937039701478E-2</v>
      </c>
    </row>
    <row r="1042" spans="1:42" x14ac:dyDescent="0.25">
      <c r="A1042" s="37">
        <v>37802</v>
      </c>
      <c r="B1042" s="39">
        <v>985.70001200000002</v>
      </c>
      <c r="C1042" s="36">
        <f>IF(ISBLANK(B1043), "", GSPC[[#This Row],[Adj Close]]/B1043-1)</f>
        <v>9.710968103110007E-3</v>
      </c>
      <c r="D104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4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42" s="11" t="e">
        <f>IF(ISBLANK(GSPC[[#This Row],[Long Exp.]]), "", (GSPC[[#This Row],[Long Exp.]]/D1043-1)+(E1043/GSPC[[#This Row],[Short Exp.]]-1))</f>
        <v>#VALUE!</v>
      </c>
      <c r="G1042" s="37">
        <v>37802</v>
      </c>
      <c r="H1042">
        <v>20.769653000000002</v>
      </c>
      <c r="I1042" s="36">
        <f>IF(ISBLANK(H1043), "", Long0[[#This Row],[Adj Close]]/H1043-1)</f>
        <v>9.6729659421579406E-4</v>
      </c>
      <c r="M1042" s="37">
        <v>37802</v>
      </c>
      <c r="N1042">
        <v>5.550351</v>
      </c>
      <c r="O1042" s="36">
        <f>IF(ISBLANK(N1043),"",Long2[[#This Row],[Adj Close]]/N1043-1)</f>
        <v>5.0898518213191801E-2</v>
      </c>
      <c r="P1042" s="29">
        <v>37802</v>
      </c>
      <c r="Q1042">
        <v>8.1692499999999999</v>
      </c>
      <c r="R1042" s="33">
        <f>IF(ISBLANK(Q1043),"",Long3[[#This Row],[Adj Close]]/Q1043-1)</f>
        <v>-1.7016678559009124E-2</v>
      </c>
      <c r="S1042" s="37">
        <v>37802</v>
      </c>
      <c r="T1042" s="35">
        <v>3.3763570000000001</v>
      </c>
      <c r="U1042" s="36">
        <f>IF(ISBLANK(T1043),"",Long4[[#This Row],[Adj Close]]/T1043-1)</f>
        <v>-1.9801914087289929E-2</v>
      </c>
      <c r="Y1042" s="37">
        <v>37802</v>
      </c>
      <c r="Z1042" s="35">
        <v>8.8290539999999993</v>
      </c>
      <c r="AA1042" s="36">
        <f>IF(ISBLANK(Z1043),"",Long6[[#This Row],[Adj Close]]/Z1043-1)</f>
        <v>-2.054045778831437E-2</v>
      </c>
      <c r="AK1042" s="37">
        <v>37802</v>
      </c>
      <c r="AL1042" s="39">
        <v>18.661110000000001</v>
      </c>
      <c r="AM1042" s="36">
        <f>IF(ISBLANK(AL1043),"",Short1[[#This Row],[Adj Close]]/AL1043-1)</f>
        <v>2.1379160791531682E-2</v>
      </c>
      <c r="AN1042" s="29">
        <v>37802</v>
      </c>
      <c r="AO1042" s="44">
        <v>29.624255999999999</v>
      </c>
      <c r="AP1042" s="33">
        <f>IF(ISBLANK(AO1043),"",Short2[[#This Row],[Adj Close]]/AO1043-1)</f>
        <v>-1.3557294612988047E-3</v>
      </c>
    </row>
    <row r="1043" spans="1:42" x14ac:dyDescent="0.25">
      <c r="A1043" s="37">
        <v>37795</v>
      </c>
      <c r="B1043" s="39">
        <v>976.21997099999999</v>
      </c>
      <c r="C1043" s="36">
        <f>IF(ISBLANK(B1044), "", GSPC[[#This Row],[Adj Close]]/B1044-1)</f>
        <v>-1.9554310037151579E-2</v>
      </c>
      <c r="D104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4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43" s="11" t="e">
        <f>IF(ISBLANK(GSPC[[#This Row],[Long Exp.]]), "", (GSPC[[#This Row],[Long Exp.]]/D1044-1)+(E1044/GSPC[[#This Row],[Short Exp.]]-1))</f>
        <v>#VALUE!</v>
      </c>
      <c r="G1043" s="37">
        <v>37795</v>
      </c>
      <c r="H1043">
        <v>20.749582</v>
      </c>
      <c r="I1043" s="36">
        <f>IF(ISBLANK(H1044), "", Long0[[#This Row],[Adj Close]]/H1044-1)</f>
        <v>3.9152239020046276E-2</v>
      </c>
      <c r="M1043" s="37">
        <v>37795</v>
      </c>
      <c r="N1043">
        <v>5.2815289999999999</v>
      </c>
      <c r="O1043" s="36">
        <f>IF(ISBLANK(N1044),"",Long2[[#This Row],[Adj Close]]/N1044-1)</f>
        <v>-0.13917541231828912</v>
      </c>
      <c r="P1043" s="29">
        <v>37795</v>
      </c>
      <c r="Q1043">
        <v>8.31067</v>
      </c>
      <c r="R1043" s="33">
        <f>IF(ISBLANK(Q1044),"",Long3[[#This Row],[Adj Close]]/Q1044-1)</f>
        <v>-1.3339617691020988E-2</v>
      </c>
      <c r="S1043" s="37">
        <v>37795</v>
      </c>
      <c r="T1043" s="35">
        <v>3.444566</v>
      </c>
      <c r="U1043" s="36">
        <f>IF(ISBLANK(T1044),"",Long4[[#This Row],[Adj Close]]/T1044-1)</f>
        <v>-0.11208795174511521</v>
      </c>
      <c r="Y1043" s="37">
        <v>37795</v>
      </c>
      <c r="Z1043" s="35">
        <v>9.0142100000000003</v>
      </c>
      <c r="AA1043" s="36">
        <f>IF(ISBLANK(Z1044),"",Long6[[#This Row],[Adj Close]]/Z1044-1)</f>
        <v>7.8088944691043993E-2</v>
      </c>
      <c r="AK1043" s="37">
        <v>37795</v>
      </c>
      <c r="AL1043" s="39">
        <v>18.270502</v>
      </c>
      <c r="AM1043" s="36">
        <f>IF(ISBLANK(AL1044),"",Short1[[#This Row],[Adj Close]]/AL1044-1)</f>
        <v>-1.2485739675151875E-2</v>
      </c>
      <c r="AN1043" s="29">
        <v>37795</v>
      </c>
      <c r="AO1043" s="44">
        <v>29.664473000000001</v>
      </c>
      <c r="AP1043" s="33">
        <f>IF(ISBLANK(AO1044),"",Short2[[#This Row],[Adj Close]]/AO1044-1)</f>
        <v>1.9019418970986912E-3</v>
      </c>
    </row>
    <row r="1044" spans="1:42" x14ac:dyDescent="0.25">
      <c r="A1044" s="37">
        <v>37788</v>
      </c>
      <c r="B1044" s="39">
        <v>995.69000200000005</v>
      </c>
      <c r="C1044" s="36">
        <f>IF(ISBLANK(B1045), "", GSPC[[#This Row],[Adj Close]]/B1045-1)</f>
        <v>7.1615875900747916E-3</v>
      </c>
      <c r="D104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4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44" s="11" t="e">
        <f>IF(ISBLANK(GSPC[[#This Row],[Long Exp.]]), "", (GSPC[[#This Row],[Long Exp.]]/D1045-1)+(E1045/GSPC[[#This Row],[Short Exp.]]-1))</f>
        <v>#VALUE!</v>
      </c>
      <c r="G1044" s="37">
        <v>37788</v>
      </c>
      <c r="H1044">
        <v>19.967797999999998</v>
      </c>
      <c r="I1044" s="36">
        <f>IF(ISBLANK(H1045), "", Long0[[#This Row],[Adj Close]]/H1045-1)</f>
        <v>8.8385233906596028E-4</v>
      </c>
      <c r="M1044" s="37">
        <v>37788</v>
      </c>
      <c r="N1044">
        <v>6.1354300000000004</v>
      </c>
      <c r="O1044" s="36">
        <f>IF(ISBLANK(N1045),"",Long2[[#This Row],[Adj Close]]/N1045-1)</f>
        <v>8.6830136192325824E-2</v>
      </c>
      <c r="P1044" s="29">
        <v>37788</v>
      </c>
      <c r="Q1044">
        <v>8.4230300000000007</v>
      </c>
      <c r="R1044" s="33">
        <f>IF(ISBLANK(Q1045),"",Long3[[#This Row],[Adj Close]]/Q1045-1)</f>
        <v>4.1569302258266383E-3</v>
      </c>
      <c r="S1044" s="37">
        <v>37788</v>
      </c>
      <c r="T1044" s="35">
        <v>3.8794</v>
      </c>
      <c r="U1044" s="36">
        <f>IF(ISBLANK(T1045),"",Long4[[#This Row],[Adj Close]]/T1045-1)</f>
        <v>-1.5151495919227931E-2</v>
      </c>
      <c r="Y1044" s="37">
        <v>37788</v>
      </c>
      <c r="Z1044" s="35">
        <v>8.3612859999999998</v>
      </c>
      <c r="AA1044" s="36">
        <f>IF(ISBLANK(Z1045),"",Long6[[#This Row],[Adj Close]]/Z1045-1)</f>
        <v>-8.5288037987527598E-2</v>
      </c>
      <c r="AK1044" s="37">
        <v>37788</v>
      </c>
      <c r="AL1044" s="39">
        <v>18.501507</v>
      </c>
      <c r="AM1044" s="36">
        <f>IF(ISBLANK(AL1045),"",Short1[[#This Row],[Adj Close]]/AL1045-1)</f>
        <v>5.4837263555393534E-2</v>
      </c>
      <c r="AN1044" s="29">
        <v>37788</v>
      </c>
      <c r="AO1044" s="44">
        <v>29.608160000000002</v>
      </c>
      <c r="AP1044" s="33">
        <f>IF(ISBLANK(AO1045),"",Short2[[#This Row],[Adj Close]]/AO1045-1)</f>
        <v>-2.1912955876844942E-2</v>
      </c>
    </row>
    <row r="1045" spans="1:42" x14ac:dyDescent="0.25">
      <c r="A1045" s="37">
        <v>37781</v>
      </c>
      <c r="B1045" s="39">
        <v>988.60998500000005</v>
      </c>
      <c r="C1045" s="36">
        <f>IF(ISBLANK(B1046), "", GSPC[[#This Row],[Adj Close]]/B1046-1)</f>
        <v>8.605076044738702E-4</v>
      </c>
      <c r="D104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4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45" s="11" t="e">
        <f>IF(ISBLANK(GSPC[[#This Row],[Long Exp.]]), "", (GSPC[[#This Row],[Long Exp.]]/D1046-1)+(E1046/GSPC[[#This Row],[Short Exp.]]-1))</f>
        <v>#VALUE!</v>
      </c>
      <c r="G1045" s="37">
        <v>37781</v>
      </c>
      <c r="H1045">
        <v>19.950164999999998</v>
      </c>
      <c r="I1045" s="36">
        <f>IF(ISBLANK(H1046), "", Long0[[#This Row],[Adj Close]]/H1046-1)</f>
        <v>0.10951303625324704</v>
      </c>
      <c r="M1045" s="37">
        <v>37781</v>
      </c>
      <c r="N1045">
        <v>5.6452520000000002</v>
      </c>
      <c r="O1045" s="36">
        <f>IF(ISBLANK(N1046),"",Long2[[#This Row],[Adj Close]]/N1046-1)</f>
        <v>-2.849372137239059E-2</v>
      </c>
      <c r="P1045" s="29">
        <v>37781</v>
      </c>
      <c r="Q1045">
        <v>8.3881610000000002</v>
      </c>
      <c r="R1045" s="33">
        <f>IF(ISBLANK(Q1046),"",Long3[[#This Row],[Adj Close]]/Q1046-1)</f>
        <v>5.2014918559454504E-2</v>
      </c>
      <c r="S1045" s="37">
        <v>37781</v>
      </c>
      <c r="T1045" s="35">
        <v>3.9390830000000001</v>
      </c>
      <c r="U1045" s="36">
        <f>IF(ISBLANK(T1046),"",Long4[[#This Row],[Adj Close]]/T1046-1)</f>
        <v>-7.5999817971811878E-2</v>
      </c>
      <c r="Y1045" s="37">
        <v>37781</v>
      </c>
      <c r="Z1045" s="35">
        <v>9.1408950000000004</v>
      </c>
      <c r="AA1045" s="36">
        <f>IF(ISBLANK(Z1046),"",Long6[[#This Row],[Adj Close]]/Z1046-1)</f>
        <v>-1.0650619994817534E-3</v>
      </c>
      <c r="AK1045" s="37">
        <v>37781</v>
      </c>
      <c r="AL1045" s="39">
        <v>17.539679</v>
      </c>
      <c r="AM1045" s="36">
        <f>IF(ISBLANK(AL1046),"",Short1[[#This Row],[Adj Close]]/AL1046-1)</f>
        <v>-2.6272779494370679E-3</v>
      </c>
      <c r="AN1045" s="29">
        <v>37781</v>
      </c>
      <c r="AO1045" s="44">
        <v>30.271498000000001</v>
      </c>
      <c r="AP1045" s="33">
        <f>IF(ISBLANK(AO1046),"",Short2[[#This Row],[Adj Close]]/AO1046-1)</f>
        <v>8.8150572744352562E-2</v>
      </c>
    </row>
    <row r="1046" spans="1:42" x14ac:dyDescent="0.25">
      <c r="A1046" s="37">
        <v>37774</v>
      </c>
      <c r="B1046" s="39">
        <v>987.76000999999997</v>
      </c>
      <c r="C1046" s="36">
        <f>IF(ISBLANK(B1047), "", GSPC[[#This Row],[Adj Close]]/B1047-1)</f>
        <v>2.5083263963669111E-2</v>
      </c>
      <c r="D104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4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46" s="11" t="e">
        <f>IF(ISBLANK(GSPC[[#This Row],[Long Exp.]]), "", (GSPC[[#This Row],[Long Exp.]]/D1047-1)+(E1047/GSPC[[#This Row],[Short Exp.]]-1))</f>
        <v>#VALUE!</v>
      </c>
      <c r="G1046" s="37">
        <v>37774</v>
      </c>
      <c r="H1046">
        <v>17.981010000000001</v>
      </c>
      <c r="I1046" s="36">
        <f>IF(ISBLANK(H1047), "", Long0[[#This Row],[Adj Close]]/H1047-1)</f>
        <v>5.9210487173522619E-2</v>
      </c>
      <c r="M1046" s="37">
        <v>37774</v>
      </c>
      <c r="N1046">
        <v>5.8108240000000002</v>
      </c>
      <c r="O1046" s="36">
        <f>IF(ISBLANK(N1047),"",Long2[[#This Row],[Adj Close]]/N1047-1)</f>
        <v>-0.15675048142574577</v>
      </c>
      <c r="P1046" s="29">
        <v>37774</v>
      </c>
      <c r="Q1046">
        <v>7.9734239999999996</v>
      </c>
      <c r="R1046" s="33">
        <f>IF(ISBLANK(Q1047),"",Long3[[#This Row],[Adj Close]]/Q1047-1)</f>
        <v>2.7200624558361364E-2</v>
      </c>
      <c r="S1046" s="37">
        <v>37774</v>
      </c>
      <c r="T1046" s="35">
        <v>4.2630759999999999</v>
      </c>
      <c r="U1046" s="36">
        <f>IF(ISBLANK(T1047),"",Long4[[#This Row],[Adj Close]]/T1047-1)</f>
        <v>0.10619460530211433</v>
      </c>
      <c r="Y1046" s="37">
        <v>37774</v>
      </c>
      <c r="Z1046" s="35">
        <v>9.1506410000000002</v>
      </c>
      <c r="AA1046" s="36">
        <f>IF(ISBLANK(Z1047),"",Long6[[#This Row],[Adj Close]]/Z1047-1)</f>
        <v>-8.300755659075465E-2</v>
      </c>
      <c r="AK1046" s="37">
        <v>37774</v>
      </c>
      <c r="AL1046" s="39">
        <v>17.585882000000002</v>
      </c>
      <c r="AM1046" s="36">
        <f>IF(ISBLANK(AL1047),"",Short1[[#This Row],[Adj Close]]/AL1047-1)</f>
        <v>8.1912111923100994E-2</v>
      </c>
      <c r="AN1046" s="29">
        <v>37774</v>
      </c>
      <c r="AO1046" s="44">
        <v>27.819217999999999</v>
      </c>
      <c r="AP1046" s="33">
        <f>IF(ISBLANK(AO1047),"",Short2[[#This Row],[Adj Close]]/AO1047-1)</f>
        <v>3.2065300480977443E-2</v>
      </c>
    </row>
    <row r="1047" spans="1:42" x14ac:dyDescent="0.25">
      <c r="A1047" s="37">
        <v>37767</v>
      </c>
      <c r="B1047" s="39">
        <v>963.59002699999996</v>
      </c>
      <c r="C1047" s="36">
        <f>IF(ISBLANK(B1048), "", GSPC[[#This Row],[Adj Close]]/B1048-1)</f>
        <v>3.2543298411688237E-2</v>
      </c>
      <c r="D104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4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47" s="11" t="e">
        <f>IF(ISBLANK(GSPC[[#This Row],[Long Exp.]]), "", (GSPC[[#This Row],[Long Exp.]]/D1048-1)+(E1048/GSPC[[#This Row],[Short Exp.]]-1))</f>
        <v>#VALUE!</v>
      </c>
      <c r="G1047" s="37">
        <v>37767</v>
      </c>
      <c r="H1047">
        <v>16.975860999999998</v>
      </c>
      <c r="I1047" s="36">
        <f>IF(ISBLANK(H1048), "", Long0[[#This Row],[Adj Close]]/H1048-1)</f>
        <v>-2.7624575527323003E-3</v>
      </c>
      <c r="M1047" s="37">
        <v>37767</v>
      </c>
      <c r="N1047">
        <v>6.8909900000000004</v>
      </c>
      <c r="O1047" s="36">
        <f>IF(ISBLANK(N1048),"",Long2[[#This Row],[Adj Close]]/N1048-1)</f>
        <v>-6.6239628652541516E-2</v>
      </c>
      <c r="P1047" s="29">
        <v>37767</v>
      </c>
      <c r="Q1047">
        <v>7.7622850000000003</v>
      </c>
      <c r="R1047" s="33">
        <f>IF(ISBLANK(Q1048),"",Long3[[#This Row],[Adj Close]]/Q1048-1)</f>
        <v>-2.9587736920254626E-3</v>
      </c>
      <c r="S1047" s="37">
        <v>37767</v>
      </c>
      <c r="T1047" s="35">
        <v>3.8538209999999999</v>
      </c>
      <c r="U1047" s="36">
        <f>IF(ISBLANK(T1048),"",Long4[[#This Row],[Adj Close]]/T1048-1)</f>
        <v>8.1339655189829774E-2</v>
      </c>
      <c r="Y1047" s="37">
        <v>37767</v>
      </c>
      <c r="Z1047" s="35">
        <v>9.9789709999999996</v>
      </c>
      <c r="AA1047" s="36">
        <f>IF(ISBLANK(Z1048),"",Long6[[#This Row],[Adj Close]]/Z1048-1)</f>
        <v>7.0009995653038226E-2</v>
      </c>
      <c r="AK1047" s="37">
        <v>37767</v>
      </c>
      <c r="AL1047" s="39">
        <v>16.254446000000002</v>
      </c>
      <c r="AM1047" s="36">
        <f>IF(ISBLANK(AL1048),"",Short1[[#This Row],[Adj Close]]/AL1048-1)</f>
        <v>9.291146611119383E-2</v>
      </c>
      <c r="AN1047" s="29">
        <v>37767</v>
      </c>
      <c r="AO1047" s="44">
        <v>26.954901</v>
      </c>
      <c r="AP1047" s="33">
        <f>IF(ISBLANK(AO1048),"",Short2[[#This Row],[Adj Close]]/AO1048-1)</f>
        <v>6.0749970101734219E-2</v>
      </c>
    </row>
    <row r="1048" spans="1:42" x14ac:dyDescent="0.25">
      <c r="A1048" s="37">
        <v>37760</v>
      </c>
      <c r="B1048" s="39">
        <v>933.21997099999999</v>
      </c>
      <c r="C1048" s="36">
        <f>IF(ISBLANK(B1049), "", GSPC[[#This Row],[Adj Close]]/B1049-1)</f>
        <v>-1.1733577402099904E-2</v>
      </c>
      <c r="D104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4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48" s="11" t="e">
        <f>IF(ISBLANK(GSPC[[#This Row],[Long Exp.]]), "", (GSPC[[#This Row],[Long Exp.]]/D1049-1)+(E1049/GSPC[[#This Row],[Short Exp.]]-1))</f>
        <v>#VALUE!</v>
      </c>
      <c r="G1048" s="37">
        <v>37760</v>
      </c>
      <c r="H1048">
        <v>17.022886</v>
      </c>
      <c r="I1048" s="36">
        <f>IF(ISBLANK(H1049), "", Long0[[#This Row],[Adj Close]]/H1049-1)</f>
        <v>3.428561603048319E-2</v>
      </c>
      <c r="M1048" s="37">
        <v>37760</v>
      </c>
      <c r="N1048">
        <v>7.3798269999999997</v>
      </c>
      <c r="O1048" s="36">
        <f>IF(ISBLANK(N1049),"",Long2[[#This Row],[Adj Close]]/N1049-1)</f>
        <v>-3.9999401611616081E-2</v>
      </c>
      <c r="P1048" s="29">
        <v>37760</v>
      </c>
      <c r="Q1048">
        <v>7.7853199999999996</v>
      </c>
      <c r="R1048" s="33">
        <f>IF(ISBLANK(Q1049),"",Long3[[#This Row],[Adj Close]]/Q1049-1)</f>
        <v>3.3639225746423307E-2</v>
      </c>
      <c r="S1048" s="37">
        <v>37760</v>
      </c>
      <c r="T1048" s="35">
        <v>3.5639319999999999</v>
      </c>
      <c r="U1048" s="36">
        <f>IF(ISBLANK(T1049),"",Long4[[#This Row],[Adj Close]]/T1049-1)</f>
        <v>-1.6470568755234782E-2</v>
      </c>
      <c r="Y1048" s="37">
        <v>37760</v>
      </c>
      <c r="Z1048" s="35">
        <v>9.3260539999999992</v>
      </c>
      <c r="AA1048" s="36">
        <f>IF(ISBLANK(Z1049),"",Long6[[#This Row],[Adj Close]]/Z1049-1)</f>
        <v>-0.1056071756626823</v>
      </c>
      <c r="AK1048" s="37">
        <v>37760</v>
      </c>
      <c r="AL1048" s="39">
        <v>14.87261</v>
      </c>
      <c r="AM1048" s="36">
        <f>IF(ISBLANK(AL1049),"",Short1[[#This Row],[Adj Close]]/AL1049-1)</f>
        <v>-3.4623415692269455E-2</v>
      </c>
      <c r="AN1048" s="29">
        <v>37760</v>
      </c>
      <c r="AO1048" s="44">
        <v>25.411173000000002</v>
      </c>
      <c r="AP1048" s="33">
        <f>IF(ISBLANK(AO1049),"",Short2[[#This Row],[Adj Close]]/AO1049-1)</f>
        <v>5.3500033207972253E-2</v>
      </c>
    </row>
    <row r="1049" spans="1:42" x14ac:dyDescent="0.25">
      <c r="A1049" s="37">
        <v>37753</v>
      </c>
      <c r="B1049" s="39">
        <v>944.29998799999998</v>
      </c>
      <c r="C1049" s="36">
        <f>IF(ISBLANK(B1050), "", GSPC[[#This Row],[Adj Close]]/B1050-1)</f>
        <v>1.1666915198044414E-2</v>
      </c>
      <c r="D104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4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49" s="11" t="e">
        <f>IF(ISBLANK(GSPC[[#This Row],[Long Exp.]]), "", (GSPC[[#This Row],[Long Exp.]]/D1050-1)+(E1050/GSPC[[#This Row],[Short Exp.]]-1))</f>
        <v>#VALUE!</v>
      </c>
      <c r="G1049" s="37">
        <v>37753</v>
      </c>
      <c r="H1049">
        <v>16.458593</v>
      </c>
      <c r="I1049" s="36">
        <f>IF(ISBLANK(H1050), "", Long0[[#This Row],[Adj Close]]/H1050-1)</f>
        <v>1.5228307725104528E-2</v>
      </c>
      <c r="M1049" s="37">
        <v>37753</v>
      </c>
      <c r="N1049">
        <v>7.6873149999999999</v>
      </c>
      <c r="O1049" s="36">
        <f>IF(ISBLANK(N1050),"",Long2[[#This Row],[Adj Close]]/N1050-1)</f>
        <v>-2.9850652088562635E-2</v>
      </c>
      <c r="P1049" s="29">
        <v>37753</v>
      </c>
      <c r="Q1049">
        <v>7.5319510000000003</v>
      </c>
      <c r="R1049" s="33">
        <f>IF(ISBLANK(Q1050),"",Long3[[#This Row],[Adj Close]]/Q1050-1)</f>
        <v>6.4857932720107758E-2</v>
      </c>
      <c r="S1049" s="37">
        <v>37753</v>
      </c>
      <c r="T1049" s="35">
        <v>3.623615</v>
      </c>
      <c r="U1049" s="36">
        <f>IF(ISBLANK(T1050),"",Long4[[#This Row],[Adj Close]]/T1050-1)</f>
        <v>-1.6203684849827593E-2</v>
      </c>
      <c r="Y1049" s="37">
        <v>37753</v>
      </c>
      <c r="Z1049" s="35">
        <v>10.427246</v>
      </c>
      <c r="AA1049" s="36">
        <f>IF(ISBLANK(Z1050),"",Long6[[#This Row],[Adj Close]]/Z1050-1)</f>
        <v>7.6458550406792947E-2</v>
      </c>
      <c r="AK1049" s="37">
        <v>37753</v>
      </c>
      <c r="AL1049" s="39">
        <v>15.406019000000001</v>
      </c>
      <c r="AM1049" s="36">
        <f>IF(ISBLANK(AL1050),"",Short1[[#This Row],[Adj Close]]/AL1050-1)</f>
        <v>2.3151513968166171E-2</v>
      </c>
      <c r="AN1049" s="29">
        <v>37753</v>
      </c>
      <c r="AO1049" s="44">
        <v>24.120714</v>
      </c>
      <c r="AP1049" s="33">
        <f>IF(ISBLANK(AO1050),"",Short2[[#This Row],[Adj Close]]/AO1050-1)</f>
        <v>2.9159333981246593E-2</v>
      </c>
    </row>
    <row r="1050" spans="1:42" x14ac:dyDescent="0.25">
      <c r="A1050" s="37">
        <v>37746</v>
      </c>
      <c r="B1050" s="39">
        <v>933.40997300000004</v>
      </c>
      <c r="C1050" s="36">
        <f>IF(ISBLANK(B1051), "", GSPC[[#This Row],[Adj Close]]/B1051-1)</f>
        <v>3.5802898020977914E-3</v>
      </c>
      <c r="D105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5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50" s="11" t="e">
        <f>IF(ISBLANK(GSPC[[#This Row],[Long Exp.]]), "", (GSPC[[#This Row],[Long Exp.]]/D1051-1)+(E1051/GSPC[[#This Row],[Short Exp.]]-1))</f>
        <v>#VALUE!</v>
      </c>
      <c r="G1050" s="37">
        <v>37746</v>
      </c>
      <c r="H1050">
        <v>16.211715999999999</v>
      </c>
      <c r="I1050" s="36">
        <f>IF(ISBLANK(H1051), "", Long0[[#This Row],[Adj Close]]/H1051-1)</f>
        <v>-4.7651731909618689E-2</v>
      </c>
      <c r="M1050" s="37">
        <v>37746</v>
      </c>
      <c r="N1050">
        <v>7.9238470000000003</v>
      </c>
      <c r="O1050" s="36">
        <f>IF(ISBLANK(N1051),"",Long2[[#This Row],[Adj Close]]/N1051-1)</f>
        <v>8.8840311834276653E-2</v>
      </c>
      <c r="P1050" s="29">
        <v>37746</v>
      </c>
      <c r="Q1050">
        <v>7.0731979999999997</v>
      </c>
      <c r="R1050" s="33">
        <f>IF(ISBLANK(Q1051),"",Long3[[#This Row],[Adj Close]]/Q1051-1)</f>
        <v>3.5112194503741589E-2</v>
      </c>
      <c r="S1050" s="37">
        <v>37746</v>
      </c>
      <c r="T1050" s="35">
        <v>3.6832980000000002</v>
      </c>
      <c r="U1050" s="36">
        <f>IF(ISBLANK(T1051),"",Long4[[#This Row],[Adj Close]]/T1051-1)</f>
        <v>6.6666628053929644E-2</v>
      </c>
      <c r="Y1050" s="37">
        <v>37746</v>
      </c>
      <c r="Z1050" s="35">
        <v>9.6866210000000006</v>
      </c>
      <c r="AA1050" s="36">
        <f>IF(ISBLANK(Z1051),"",Long6[[#This Row],[Adj Close]]/Z1051-1)</f>
        <v>6.0729215892980637E-3</v>
      </c>
      <c r="AK1050" s="37">
        <v>37746</v>
      </c>
      <c r="AL1050" s="39">
        <v>15.057416999999999</v>
      </c>
      <c r="AM1050" s="36">
        <f>IF(ISBLANK(AL1051),"",Short1[[#This Row],[Adj Close]]/AL1051-1)</f>
        <v>4.7021484728108742E-2</v>
      </c>
      <c r="AN1050" s="29">
        <v>37746</v>
      </c>
      <c r="AO1050" s="44">
        <v>23.437297999999998</v>
      </c>
      <c r="AP1050" s="33">
        <f>IF(ISBLANK(AO1051),"",Short2[[#This Row],[Adj Close]]/AO1051-1)</f>
        <v>8.4507997687843561E-2</v>
      </c>
    </row>
    <row r="1051" spans="1:42" x14ac:dyDescent="0.25">
      <c r="A1051" s="37">
        <v>37739</v>
      </c>
      <c r="B1051" s="39">
        <v>930.080017</v>
      </c>
      <c r="C1051" s="36">
        <f>IF(ISBLANK(B1052), "", GSPC[[#This Row],[Adj Close]]/B1052-1)</f>
        <v>3.4790466360611338E-2</v>
      </c>
      <c r="D105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5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51" s="11" t="e">
        <f>IF(ISBLANK(GSPC[[#This Row],[Long Exp.]]), "", (GSPC[[#This Row],[Long Exp.]]/D1052-1)+(E1052/GSPC[[#This Row],[Short Exp.]]-1))</f>
        <v>#VALUE!</v>
      </c>
      <c r="G1051" s="37">
        <v>37739</v>
      </c>
      <c r="H1051">
        <v>17.022886</v>
      </c>
      <c r="I1051" s="36">
        <f>IF(ISBLANK(H1052), "", Long0[[#This Row],[Adj Close]]/H1052-1)</f>
        <v>7.818321586274446E-2</v>
      </c>
      <c r="M1051" s="37">
        <v>37739</v>
      </c>
      <c r="N1051">
        <v>7.2773269999999997</v>
      </c>
      <c r="O1051" s="36">
        <f>IF(ISBLANK(N1052),"",Long2[[#This Row],[Adj Close]]/N1052-1)</f>
        <v>1.2061163185269619E-2</v>
      </c>
      <c r="P1051" s="29">
        <v>37739</v>
      </c>
      <c r="Q1051">
        <v>6.8332670000000002</v>
      </c>
      <c r="R1051" s="33">
        <f>IF(ISBLANK(Q1052),"",Long3[[#This Row],[Adj Close]]/Q1052-1)</f>
        <v>-2.8384206208258655E-2</v>
      </c>
      <c r="S1051" s="37">
        <v>37739</v>
      </c>
      <c r="T1051" s="35">
        <v>3.4530919999999998</v>
      </c>
      <c r="U1051" s="36">
        <f>IF(ISBLANK(T1052),"",Long4[[#This Row],[Adj Close]]/T1052-1)</f>
        <v>-2.4096514933214741E-2</v>
      </c>
      <c r="Y1051" s="37">
        <v>37739</v>
      </c>
      <c r="Z1051" s="35">
        <v>9.6281499999999998</v>
      </c>
      <c r="AA1051" s="36">
        <f>IF(ISBLANK(Z1052),"",Long6[[#This Row],[Adj Close]]/Z1052-1)</f>
        <v>0.13824872262299093</v>
      </c>
      <c r="AK1051" s="37">
        <v>37739</v>
      </c>
      <c r="AL1051" s="39">
        <v>14.381192</v>
      </c>
      <c r="AM1051" s="36">
        <f>IF(ISBLANK(AL1052),"",Short1[[#This Row],[Adj Close]]/AL1052-1)</f>
        <v>4.3902250649626495E-2</v>
      </c>
      <c r="AN1051" s="29">
        <v>37739</v>
      </c>
      <c r="AO1051" s="44">
        <v>21.610996</v>
      </c>
      <c r="AP1051" s="33">
        <f>IF(ISBLANK(AO1052),"",Short2[[#This Row],[Adj Close]]/AO1052-1)</f>
        <v>0.11360998507079079</v>
      </c>
    </row>
    <row r="1052" spans="1:42" x14ac:dyDescent="0.25">
      <c r="A1052" s="37">
        <v>37732</v>
      </c>
      <c r="B1052" s="39">
        <v>898.80999799999995</v>
      </c>
      <c r="C1052" s="36">
        <f>IF(ISBLANK(B1053), "", GSPC[[#This Row],[Adj Close]]/B1053-1)</f>
        <v>5.8528401491770854E-3</v>
      </c>
      <c r="D105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5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52" s="11" t="e">
        <f>IF(ISBLANK(GSPC[[#This Row],[Long Exp.]]), "", (GSPC[[#This Row],[Long Exp.]]/D1053-1)+(E1053/GSPC[[#This Row],[Short Exp.]]-1))</f>
        <v>#VALUE!</v>
      </c>
      <c r="G1052" s="37">
        <v>37732</v>
      </c>
      <c r="H1052">
        <v>15.788491</v>
      </c>
      <c r="I1052" s="36">
        <f>IF(ISBLANK(H1053), "", Long0[[#This Row],[Adj Close]]/H1053-1)</f>
        <v>2.4408890720615695E-2</v>
      </c>
      <c r="M1052" s="37">
        <v>37732</v>
      </c>
      <c r="N1052">
        <v>7.1905999999999999</v>
      </c>
      <c r="O1052" s="36">
        <f>IF(ISBLANK(N1053),"",Long2[[#This Row],[Adj Close]]/N1053-1)</f>
        <v>-7.6164259313722393E-3</v>
      </c>
      <c r="P1052" s="29">
        <v>37732</v>
      </c>
      <c r="Q1052">
        <v>7.0328900000000001</v>
      </c>
      <c r="R1052" s="33">
        <f>IF(ISBLANK(Q1053),"",Long3[[#This Row],[Adj Close]]/Q1053-1)</f>
        <v>1.2154681184278315E-2</v>
      </c>
      <c r="S1052" s="37">
        <v>37732</v>
      </c>
      <c r="T1052" s="35">
        <v>3.538354</v>
      </c>
      <c r="U1052" s="36">
        <f>IF(ISBLANK(T1053),"",Long4[[#This Row],[Adj Close]]/T1053-1)</f>
        <v>5.3299731134782702E-2</v>
      </c>
      <c r="Y1052" s="37">
        <v>37732</v>
      </c>
      <c r="Z1052" s="35">
        <v>8.4587400000000006</v>
      </c>
      <c r="AA1052" s="36">
        <f>IF(ISBLANK(Z1053),"",Long6[[#This Row],[Adj Close]]/Z1053-1)</f>
        <v>-2.7995375050876903E-2</v>
      </c>
      <c r="AK1052" s="37">
        <v>37732</v>
      </c>
      <c r="AL1052" s="39">
        <v>13.776377999999999</v>
      </c>
      <c r="AM1052" s="36">
        <f>IF(ISBLANK(AL1053),"",Short1[[#This Row],[Adj Close]]/AL1053-1)</f>
        <v>1.4223923543042805E-2</v>
      </c>
      <c r="AN1052" s="29">
        <v>37732</v>
      </c>
      <c r="AO1052" s="44">
        <v>19.406251999999999</v>
      </c>
      <c r="AP1052" s="33">
        <f>IF(ISBLANK(AO1053),"",Short2[[#This Row],[Adj Close]]/AO1053-1)</f>
        <v>-9.3285319724909166E-2</v>
      </c>
    </row>
    <row r="1053" spans="1:42" x14ac:dyDescent="0.25">
      <c r="A1053" s="37">
        <v>37725</v>
      </c>
      <c r="B1053" s="39">
        <v>893.580017</v>
      </c>
      <c r="C1053" s="36">
        <f>IF(ISBLANK(B1054), "", GSPC[[#This Row],[Adj Close]]/B1054-1)</f>
        <v>2.9114395196790044E-2</v>
      </c>
      <c r="D105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5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53" s="11" t="e">
        <f>IF(ISBLANK(GSPC[[#This Row],[Long Exp.]]), "", (GSPC[[#This Row],[Long Exp.]]/D1054-1)+(E1054/GSPC[[#This Row],[Short Exp.]]-1))</f>
        <v>#VALUE!</v>
      </c>
      <c r="G1053" s="37">
        <v>37725</v>
      </c>
      <c r="H1053">
        <v>15.412293999999999</v>
      </c>
      <c r="I1053" s="36">
        <f>IF(ISBLANK(H1054), "", Long0[[#This Row],[Adj Close]]/H1054-1)</f>
        <v>-2.4190645147606493E-2</v>
      </c>
      <c r="M1053" s="37">
        <v>37725</v>
      </c>
      <c r="N1053">
        <v>7.245787</v>
      </c>
      <c r="O1053" s="36">
        <f>IF(ISBLANK(N1054),"",Long2[[#This Row],[Adj Close]]/N1054-1)</f>
        <v>-1.7112725128972106E-2</v>
      </c>
      <c r="P1053" s="29">
        <v>37725</v>
      </c>
      <c r="Q1053">
        <v>6.9484339999999998</v>
      </c>
      <c r="R1053" s="33">
        <f>IF(ISBLANK(Q1054),"",Long3[[#This Row],[Adj Close]]/Q1054-1)</f>
        <v>2.8993806726811844E-2</v>
      </c>
      <c r="S1053" s="37">
        <v>37725</v>
      </c>
      <c r="T1053" s="35">
        <v>3.3593039999999998</v>
      </c>
      <c r="U1053" s="36">
        <f>IF(ISBLANK(T1054),"",Long4[[#This Row],[Adj Close]]/T1054-1)</f>
        <v>5.0666701696146177E-2</v>
      </c>
      <c r="Y1053" s="37">
        <v>37725</v>
      </c>
      <c r="Z1053" s="35">
        <v>8.7023659999999996</v>
      </c>
      <c r="AA1053" s="36">
        <f>IF(ISBLANK(Z1054),"",Long6[[#This Row],[Adj Close]]/Z1054-1)</f>
        <v>7.9806665410129929E-2</v>
      </c>
      <c r="AK1053" s="37">
        <v>37725</v>
      </c>
      <c r="AL1053" s="39">
        <v>13.583171999999999</v>
      </c>
      <c r="AM1053" s="36">
        <f>IF(ISBLANK(AL1054),"",Short1[[#This Row],[Adj Close]]/AL1054-1)</f>
        <v>7.5847943257917327E-2</v>
      </c>
      <c r="AN1053" s="29">
        <v>37725</v>
      </c>
      <c r="AO1053" s="44">
        <v>21.402820999999999</v>
      </c>
      <c r="AP1053" s="33">
        <f>IF(ISBLANK(AO1054),"",Short2[[#This Row],[Adj Close]]/AO1054-1)</f>
        <v>3.2639307840732767E-2</v>
      </c>
    </row>
    <row r="1054" spans="1:42" x14ac:dyDescent="0.25">
      <c r="A1054" s="37">
        <v>37718</v>
      </c>
      <c r="B1054" s="39">
        <v>868.29998799999998</v>
      </c>
      <c r="C1054" s="36">
        <f>IF(ISBLANK(B1055), "", GSPC[[#This Row],[Adj Close]]/B1055-1)</f>
        <v>-1.2004310505892235E-2</v>
      </c>
      <c r="D105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5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54" s="11" t="e">
        <f>IF(ISBLANK(GSPC[[#This Row],[Long Exp.]]), "", (GSPC[[#This Row],[Long Exp.]]/D1055-1)+(E1055/GSPC[[#This Row],[Short Exp.]]-1))</f>
        <v>#VALUE!</v>
      </c>
      <c r="G1054" s="37">
        <v>37718</v>
      </c>
      <c r="H1054">
        <v>15.794370000000001</v>
      </c>
      <c r="I1054" s="36">
        <f>IF(ISBLANK(H1055), "", Long0[[#This Row],[Adj Close]]/H1055-1)</f>
        <v>-0.10013403666403553</v>
      </c>
      <c r="M1054" s="37">
        <v>37718</v>
      </c>
      <c r="N1054">
        <v>7.3719409999999996</v>
      </c>
      <c r="O1054" s="36">
        <f>IF(ISBLANK(N1055),"",Long2[[#This Row],[Adj Close]]/N1055-1)</f>
        <v>-2.9076059434402057E-2</v>
      </c>
      <c r="P1054" s="29">
        <v>37718</v>
      </c>
      <c r="Q1054">
        <v>6.7526489999999999</v>
      </c>
      <c r="R1054" s="33">
        <f>IF(ISBLANK(Q1055),"",Long3[[#This Row],[Adj Close]]/Q1055-1)</f>
        <v>-2.2506110197211271E-2</v>
      </c>
      <c r="S1054" s="37">
        <v>37718</v>
      </c>
      <c r="T1054" s="35">
        <v>3.1973069999999999</v>
      </c>
      <c r="U1054" s="36">
        <f>IF(ISBLANK(T1055),"",Long4[[#This Row],[Adj Close]]/T1055-1)</f>
        <v>-0.25</v>
      </c>
      <c r="Y1054" s="37">
        <v>37718</v>
      </c>
      <c r="Z1054" s="35">
        <v>8.0591889999999999</v>
      </c>
      <c r="AA1054" s="36">
        <f>IF(ISBLANK(Z1055),"",Long6[[#This Row],[Adj Close]]/Z1055-1)</f>
        <v>-3.8372557402466478E-2</v>
      </c>
      <c r="AK1054" s="37">
        <v>37718</v>
      </c>
      <c r="AL1054" s="39">
        <v>12.62555</v>
      </c>
      <c r="AM1054" s="36">
        <f>IF(ISBLANK(AL1055),"",Short1[[#This Row],[Adj Close]]/AL1055-1)</f>
        <v>1.6571200363292515E-2</v>
      </c>
      <c r="AN1054" s="29">
        <v>37718</v>
      </c>
      <c r="AO1054" s="44">
        <v>20.726327999999999</v>
      </c>
      <c r="AP1054" s="33">
        <f>IF(ISBLANK(AO1055),"",Short2[[#This Row],[Adj Close]]/AO1055-1)</f>
        <v>6.0346074117161308E-3</v>
      </c>
    </row>
    <row r="1055" spans="1:42" x14ac:dyDescent="0.25">
      <c r="A1055" s="37">
        <v>37711</v>
      </c>
      <c r="B1055" s="39">
        <v>878.84997599999997</v>
      </c>
      <c r="C1055" s="36">
        <f>IF(ISBLANK(B1056), "", GSPC[[#This Row],[Adj Close]]/B1056-1)</f>
        <v>1.7776463231036432E-2</v>
      </c>
      <c r="D105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5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55" s="11" t="e">
        <f>IF(ISBLANK(GSPC[[#This Row],[Long Exp.]]), "", (GSPC[[#This Row],[Long Exp.]]/D1056-1)+(E1056/GSPC[[#This Row],[Short Exp.]]-1))</f>
        <v>#VALUE!</v>
      </c>
      <c r="G1055" s="37">
        <v>37711</v>
      </c>
      <c r="H1055">
        <v>17.551914</v>
      </c>
      <c r="I1055" s="36">
        <f>IF(ISBLANK(H1056), "", Long0[[#This Row],[Adj Close]]/H1056-1)</f>
        <v>2.9411568057446491E-2</v>
      </c>
      <c r="M1055" s="37">
        <v>37711</v>
      </c>
      <c r="N1055">
        <v>7.5927069999999999</v>
      </c>
      <c r="O1055" s="36">
        <f>IF(ISBLANK(N1056),"",Long2[[#This Row],[Adj Close]]/N1056-1)</f>
        <v>-8.2386118723369872E-3</v>
      </c>
      <c r="P1055" s="29">
        <v>37711</v>
      </c>
      <c r="Q1055">
        <v>6.9081239999999999</v>
      </c>
      <c r="R1055" s="33">
        <f>IF(ISBLANK(Q1056),"",Long3[[#This Row],[Adj Close]]/Q1056-1)</f>
        <v>1.8104635048905138E-2</v>
      </c>
      <c r="S1055" s="37">
        <v>37711</v>
      </c>
      <c r="T1055" s="35">
        <v>4.2630759999999999</v>
      </c>
      <c r="U1055" s="36">
        <f>IF(ISBLANK(T1056),"",Long4[[#This Row],[Adj Close]]/T1056-1)</f>
        <v>-0.10071951703402637</v>
      </c>
      <c r="Y1055" s="37">
        <v>37711</v>
      </c>
      <c r="Z1055" s="35">
        <v>8.3807810000000007</v>
      </c>
      <c r="AA1055" s="36">
        <f>IF(ISBLANK(Z1056),"",Long6[[#This Row],[Adj Close]]/Z1056-1)</f>
        <v>1.7751675460250027E-2</v>
      </c>
      <c r="AK1055" s="37">
        <v>37711</v>
      </c>
      <c r="AL1055" s="39">
        <v>12.419740000000001</v>
      </c>
      <c r="AM1055" s="36">
        <f>IF(ISBLANK(AL1056),"",Short1[[#This Row],[Adj Close]]/AL1056-1)</f>
        <v>9.9256729348919492E-2</v>
      </c>
      <c r="AN1055" s="29">
        <v>37711</v>
      </c>
      <c r="AO1055" s="44">
        <v>20.602003</v>
      </c>
      <c r="AP1055" s="33">
        <f>IF(ISBLANK(AO1056),"",Short2[[#This Row],[Adj Close]]/AO1056-1)</f>
        <v>4.4687328099722201E-2</v>
      </c>
    </row>
    <row r="1056" spans="1:42" x14ac:dyDescent="0.25">
      <c r="A1056" s="37">
        <v>37704</v>
      </c>
      <c r="B1056" s="39">
        <v>863.5</v>
      </c>
      <c r="C1056" s="36">
        <f>IF(ISBLANK(B1057), "", GSPC[[#This Row],[Adj Close]]/B1057-1)</f>
        <v>-3.6046371128300336E-2</v>
      </c>
      <c r="D105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5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56" s="11" t="e">
        <f>IF(ISBLANK(GSPC[[#This Row],[Long Exp.]]), "", (GSPC[[#This Row],[Long Exp.]]/D1057-1)+(E1057/GSPC[[#This Row],[Short Exp.]]-1))</f>
        <v>#VALUE!</v>
      </c>
      <c r="G1056" s="37">
        <v>37704</v>
      </c>
      <c r="H1056">
        <v>17.050433999999999</v>
      </c>
      <c r="I1056" s="36">
        <f>IF(ISBLANK(H1057), "", Long0[[#This Row],[Adj Close]]/H1057-1)</f>
        <v>6.2373323550948268E-3</v>
      </c>
      <c r="M1056" s="37">
        <v>37704</v>
      </c>
      <c r="N1056">
        <v>7.65578</v>
      </c>
      <c r="O1056" s="36">
        <f>IF(ISBLANK(N1057),"",Long2[[#This Row],[Adj Close]]/N1057-1)</f>
        <v>-4.7105056574784476E-2</v>
      </c>
      <c r="P1056" s="29">
        <v>37704</v>
      </c>
      <c r="Q1056">
        <v>6.7852790000000001</v>
      </c>
      <c r="R1056" s="33">
        <f>IF(ISBLANK(Q1057),"",Long3[[#This Row],[Adj Close]]/Q1057-1)</f>
        <v>-3.2832317837145575E-2</v>
      </c>
      <c r="S1056" s="37">
        <v>37704</v>
      </c>
      <c r="T1056" s="35">
        <v>4.7405410000000003</v>
      </c>
      <c r="U1056" s="36">
        <f>IF(ISBLANK(T1057),"",Long4[[#This Row],[Adj Close]]/T1057-1)</f>
        <v>-5.2810952251934551E-2</v>
      </c>
      <c r="Y1056" s="37">
        <v>37704</v>
      </c>
      <c r="Z1056" s="35">
        <v>8.2346029999999999</v>
      </c>
      <c r="AA1056" s="36">
        <f>IF(ISBLANK(Z1057),"",Long6[[#This Row],[Adj Close]]/Z1057-1)</f>
        <v>-1.1817796099290456E-3</v>
      </c>
      <c r="AK1056" s="37">
        <v>37704</v>
      </c>
      <c r="AL1056" s="39">
        <v>11.298306999999999</v>
      </c>
      <c r="AM1056" s="36">
        <f>IF(ISBLANK(AL1057),"",Short1[[#This Row],[Adj Close]]/AL1057-1)</f>
        <v>-0.1361598493604026</v>
      </c>
      <c r="AN1056" s="29">
        <v>37704</v>
      </c>
      <c r="AO1056" s="44">
        <v>19.720735999999999</v>
      </c>
      <c r="AP1056" s="33">
        <f>IF(ISBLANK(AO1057),"",Short2[[#This Row],[Adj Close]]/AO1057-1)</f>
        <v>-3.5413906689560903E-2</v>
      </c>
    </row>
    <row r="1057" spans="1:42" x14ac:dyDescent="0.25">
      <c r="A1057" s="37">
        <v>37697</v>
      </c>
      <c r="B1057" s="39">
        <v>895.78997800000002</v>
      </c>
      <c r="C1057" s="36">
        <f>IF(ISBLANK(B1058), "", GSPC[[#This Row],[Adj Close]]/B1058-1)</f>
        <v>7.5029650052692354E-2</v>
      </c>
      <c r="D105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5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57" s="11" t="e">
        <f>IF(ISBLANK(GSPC[[#This Row],[Long Exp.]]), "", (GSPC[[#This Row],[Long Exp.]]/D1058-1)+(E1058/GSPC[[#This Row],[Short Exp.]]-1))</f>
        <v>#VALUE!</v>
      </c>
      <c r="G1057" s="37">
        <v>37697</v>
      </c>
      <c r="H1057">
        <v>16.944744</v>
      </c>
      <c r="I1057" s="36">
        <f>IF(ISBLANK(H1058), "", Long0[[#This Row],[Adj Close]]/H1058-1)</f>
        <v>4.3761011398449012E-2</v>
      </c>
      <c r="M1057" s="37">
        <v>37697</v>
      </c>
      <c r="N1057">
        <v>8.0342330000000004</v>
      </c>
      <c r="O1057" s="36">
        <f>IF(ISBLANK(N1058),"",Long2[[#This Row],[Adj Close]]/N1058-1)</f>
        <v>0.23368917953603341</v>
      </c>
      <c r="P1057" s="29">
        <v>37697</v>
      </c>
      <c r="Q1057">
        <v>7.0156179999999999</v>
      </c>
      <c r="R1057" s="33">
        <f>IF(ISBLANK(Q1058),"",Long3[[#This Row],[Adj Close]]/Q1058-1)</f>
        <v>3.6879815006785277E-2</v>
      </c>
      <c r="S1057" s="37">
        <v>37697</v>
      </c>
      <c r="T1057" s="35">
        <v>5.0048519999999996</v>
      </c>
      <c r="U1057" s="36">
        <f>IF(ISBLANK(T1058),"",Long4[[#This Row],[Adj Close]]/T1058-1)</f>
        <v>0.23578942118158785</v>
      </c>
      <c r="Y1057" s="37">
        <v>37697</v>
      </c>
      <c r="Z1057" s="35">
        <v>8.2443460000000002</v>
      </c>
      <c r="AA1057" s="36">
        <f>IF(ISBLANK(Z1058),"",Long6[[#This Row],[Adj Close]]/Z1058-1)</f>
        <v>0.14789659283669621</v>
      </c>
      <c r="AK1057" s="37">
        <v>37697</v>
      </c>
      <c r="AL1057" s="39">
        <v>13.079164</v>
      </c>
      <c r="AM1057" s="36">
        <f>IF(ISBLANK(AL1058),"",Short1[[#This Row],[Adj Close]]/AL1058-1)</f>
        <v>9.8025987436537454E-2</v>
      </c>
      <c r="AN1057" s="29">
        <v>37697</v>
      </c>
      <c r="AO1057" s="44">
        <v>20.444765</v>
      </c>
      <c r="AP1057" s="33">
        <f>IF(ISBLANK(AO1058),"",Short2[[#This Row],[Adj Close]]/AO1058-1)</f>
        <v>9.7565898866340151E-2</v>
      </c>
    </row>
    <row r="1058" spans="1:42" x14ac:dyDescent="0.25">
      <c r="A1058" s="37">
        <v>37690</v>
      </c>
      <c r="B1058" s="39">
        <v>833.27002000000005</v>
      </c>
      <c r="C1058" s="36">
        <f>IF(ISBLANK(B1059), "", GSPC[[#This Row],[Adj Close]]/B1059-1)</f>
        <v>5.2841811588237864E-3</v>
      </c>
      <c r="D105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5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58" s="11" t="e">
        <f>IF(ISBLANK(GSPC[[#This Row],[Long Exp.]]), "", (GSPC[[#This Row],[Long Exp.]]/D1059-1)+(E1059/GSPC[[#This Row],[Short Exp.]]-1))</f>
        <v>#VALUE!</v>
      </c>
      <c r="G1058" s="37">
        <v>37690</v>
      </c>
      <c r="H1058">
        <v>16.234314000000001</v>
      </c>
      <c r="I1058" s="36">
        <f>IF(ISBLANK(H1059), "", Long0[[#This Row],[Adj Close]]/H1059-1)</f>
        <v>-8.9606925053872244E-3</v>
      </c>
      <c r="M1058" s="37">
        <v>37690</v>
      </c>
      <c r="N1058">
        <v>6.5123639999999998</v>
      </c>
      <c r="O1058" s="36">
        <f>IF(ISBLANK(N1059),"",Long2[[#This Row],[Adj Close]]/N1059-1)</f>
        <v>-4.9368753072737914E-2</v>
      </c>
      <c r="P1058" s="29">
        <v>37690</v>
      </c>
      <c r="Q1058">
        <v>6.7660859999999996</v>
      </c>
      <c r="R1058" s="33">
        <f>IF(ISBLANK(Q1059),"",Long3[[#This Row],[Adj Close]]/Q1059-1)</f>
        <v>1.5822670783954162E-2</v>
      </c>
      <c r="S1058" s="37">
        <v>37690</v>
      </c>
      <c r="T1058" s="35">
        <v>4.0499229999999997</v>
      </c>
      <c r="U1058" s="36">
        <f>IF(ISBLANK(T1059),"",Long4[[#This Row],[Adj Close]]/T1059-1)</f>
        <v>1.9313462970657946E-2</v>
      </c>
      <c r="Y1058" s="37">
        <v>37690</v>
      </c>
      <c r="Z1058" s="35">
        <v>7.1821330000000003</v>
      </c>
      <c r="AA1058" s="36">
        <f>IF(ISBLANK(Z1059),"",Long6[[#This Row],[Adj Close]]/Z1059-1)</f>
        <v>5.1355465161283975E-2</v>
      </c>
      <c r="AK1058" s="37">
        <v>37690</v>
      </c>
      <c r="AL1058" s="39">
        <v>11.911524999999999</v>
      </c>
      <c r="AM1058" s="36">
        <f>IF(ISBLANK(AL1059),"",Short1[[#This Row],[Adj Close]]/AL1059-1)</f>
        <v>9.6121246435871832E-3</v>
      </c>
      <c r="AN1058" s="29">
        <v>37690</v>
      </c>
      <c r="AO1058" s="44">
        <v>18.627369000000002</v>
      </c>
      <c r="AP1058" s="33">
        <f>IF(ISBLANK(AO1059),"",Short2[[#This Row],[Adj Close]]/AO1059-1)</f>
        <v>1.961556541754983E-2</v>
      </c>
    </row>
    <row r="1059" spans="1:42" x14ac:dyDescent="0.25">
      <c r="A1059" s="37">
        <v>37683</v>
      </c>
      <c r="B1059" s="39">
        <v>828.89001499999995</v>
      </c>
      <c r="C1059" s="36">
        <f>IF(ISBLANK(B1060), "", GSPC[[#This Row],[Adj Close]]/B1060-1)</f>
        <v>-1.457529412137315E-2</v>
      </c>
      <c r="D105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5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59" s="11" t="e">
        <f>IF(ISBLANK(GSPC[[#This Row],[Long Exp.]]), "", (GSPC[[#This Row],[Long Exp.]]/D1060-1)+(E1060/GSPC[[#This Row],[Short Exp.]]-1))</f>
        <v>#VALUE!</v>
      </c>
      <c r="G1059" s="37">
        <v>37683</v>
      </c>
      <c r="H1059">
        <v>16.3811</v>
      </c>
      <c r="I1059" s="36">
        <f>IF(ISBLANK(H1060), "", Long0[[#This Row],[Adj Close]]/H1060-1)</f>
        <v>-2.2766986083477936E-2</v>
      </c>
      <c r="M1059" s="37">
        <v>37683</v>
      </c>
      <c r="N1059">
        <v>6.850568</v>
      </c>
      <c r="O1059" s="36">
        <f>IF(ISBLANK(N1060),"",Long2[[#This Row],[Adj Close]]/N1060-1)</f>
        <v>-1.1350772525623332E-2</v>
      </c>
      <c r="P1059" s="29">
        <v>37683</v>
      </c>
      <c r="Q1059">
        <v>6.6606959999999997</v>
      </c>
      <c r="R1059" s="33">
        <f>IF(ISBLANK(Q1060),"",Long3[[#This Row],[Adj Close]]/Q1060-1)</f>
        <v>-2.5593808248152161E-3</v>
      </c>
      <c r="S1059" s="37">
        <v>37683</v>
      </c>
      <c r="T1059" s="35">
        <v>3.9731869999999998</v>
      </c>
      <c r="U1059" s="36">
        <f>IF(ISBLANK(T1060),"",Long4[[#This Row],[Adj Close]]/T1060-1)</f>
        <v>-8.806265240319644E-2</v>
      </c>
      <c r="Y1059" s="37">
        <v>37683</v>
      </c>
      <c r="Z1059" s="35">
        <v>6.8313079999999999</v>
      </c>
      <c r="AA1059" s="36">
        <f>IF(ISBLANK(Z1060),"",Long6[[#This Row],[Adj Close]]/Z1060-1)</f>
        <v>-3.9726350514582842E-2</v>
      </c>
      <c r="AK1059" s="37">
        <v>37683</v>
      </c>
      <c r="AL1059" s="39">
        <v>11.798120000000001</v>
      </c>
      <c r="AM1059" s="36">
        <f>IF(ISBLANK(AL1060),"",Short1[[#This Row],[Adj Close]]/AL1060-1)</f>
        <v>-3.3711479895375152E-2</v>
      </c>
      <c r="AN1059" s="29">
        <v>37683</v>
      </c>
      <c r="AO1059" s="44">
        <v>18.269012</v>
      </c>
      <c r="AP1059" s="33">
        <f>IF(ISBLANK(AO1060),"",Short2[[#This Row],[Adj Close]]/AO1060-1)</f>
        <v>-7.4643016768152548E-2</v>
      </c>
    </row>
    <row r="1060" spans="1:42" x14ac:dyDescent="0.25">
      <c r="A1060" s="37">
        <v>37676</v>
      </c>
      <c r="B1060" s="39">
        <v>841.15002400000003</v>
      </c>
      <c r="C1060" s="36">
        <f>IF(ISBLANK(B1061), "", GSPC[[#This Row],[Adj Close]]/B1061-1)</f>
        <v>-8.2765944807079439E-3</v>
      </c>
      <c r="D106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6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60" s="11" t="e">
        <f>IF(ISBLANK(GSPC[[#This Row],[Long Exp.]]), "", (GSPC[[#This Row],[Long Exp.]]/D1061-1)+(E1061/GSPC[[#This Row],[Short Exp.]]-1))</f>
        <v>#VALUE!</v>
      </c>
      <c r="G1060" s="37">
        <v>37676</v>
      </c>
      <c r="H1060">
        <v>16.762737000000001</v>
      </c>
      <c r="I1060" s="36">
        <f>IF(ISBLANK(H1061), "", Long0[[#This Row],[Adj Close]]/H1061-1)</f>
        <v>3.2549758493028991E-2</v>
      </c>
      <c r="M1060" s="37">
        <v>37676</v>
      </c>
      <c r="N1060">
        <v>6.9292199999999999</v>
      </c>
      <c r="O1060" s="36">
        <f>IF(ISBLANK(N1061),"",Long2[[#This Row],[Adj Close]]/N1061-1)</f>
        <v>6.0168504677429846E-2</v>
      </c>
      <c r="P1060" s="29">
        <v>37676</v>
      </c>
      <c r="Q1060">
        <v>6.6777870000000004</v>
      </c>
      <c r="R1060" s="33">
        <f>IF(ISBLANK(Q1061),"",Long3[[#This Row],[Adj Close]]/Q1061-1)</f>
        <v>7.736792122681635E-3</v>
      </c>
      <c r="S1060" s="37">
        <v>37676</v>
      </c>
      <c r="T1060" s="35">
        <v>4.3568639999999998</v>
      </c>
      <c r="U1060" s="36">
        <f>IF(ISBLANK(T1061),"",Long4[[#This Row],[Adj Close]]/T1061-1)</f>
        <v>-9.3971614244866108E-2</v>
      </c>
      <c r="Y1060" s="37">
        <v>37676</v>
      </c>
      <c r="Z1060" s="35">
        <v>7.113918</v>
      </c>
      <c r="AA1060" s="36">
        <f>IF(ISBLANK(Z1061),"",Long6[[#This Row],[Adj Close]]/Z1061-1)</f>
        <v>5.3391295695113028E-2</v>
      </c>
      <c r="AK1060" s="37">
        <v>37676</v>
      </c>
      <c r="AL1060" s="39">
        <v>12.209728</v>
      </c>
      <c r="AM1060" s="36">
        <f>IF(ISBLANK(AL1061),"",Short1[[#This Row],[Adj Close]]/AL1061-1)</f>
        <v>1.0076084993550172E-2</v>
      </c>
      <c r="AN1060" s="29">
        <v>37676</v>
      </c>
      <c r="AO1060" s="44">
        <v>19.742664000000001</v>
      </c>
      <c r="AP1060" s="33">
        <f>IF(ISBLANK(AO1061),"",Short2[[#This Row],[Adj Close]]/AO1061-1)</f>
        <v>-6.9895684598866303E-3</v>
      </c>
    </row>
    <row r="1061" spans="1:42" x14ac:dyDescent="0.25">
      <c r="A1061" s="37">
        <v>37669</v>
      </c>
      <c r="B1061" s="39">
        <v>848.169983</v>
      </c>
      <c r="C1061" s="36">
        <f>IF(ISBLANK(B1062), "", GSPC[[#This Row],[Adj Close]]/B1062-1)</f>
        <v>1.5906248441598603E-2</v>
      </c>
      <c r="D106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6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61" s="11" t="e">
        <f>IF(ISBLANK(GSPC[[#This Row],[Long Exp.]]), "", (GSPC[[#This Row],[Long Exp.]]/D1062-1)+(E1062/GSPC[[#This Row],[Short Exp.]]-1))</f>
        <v>#VALUE!</v>
      </c>
      <c r="G1061" s="37">
        <v>37669</v>
      </c>
      <c r="H1061">
        <v>16.234314000000001</v>
      </c>
      <c r="I1061" s="36">
        <f>IF(ISBLANK(H1062), "", Long0[[#This Row],[Adj Close]]/H1062-1)</f>
        <v>3.8692698017679827E-2</v>
      </c>
      <c r="M1061" s="37">
        <v>37669</v>
      </c>
      <c r="N1061">
        <v>6.5359610000000004</v>
      </c>
      <c r="O1061" s="36">
        <f>IF(ISBLANK(N1062),"",Long2[[#This Row],[Adj Close]]/N1062-1)</f>
        <v>1.2180149319143796E-2</v>
      </c>
      <c r="P1061" s="29">
        <v>37669</v>
      </c>
      <c r="Q1061">
        <v>6.626519</v>
      </c>
      <c r="R1061" s="33">
        <f>IF(ISBLANK(Q1062),"",Long3[[#This Row],[Adj Close]]/Q1062-1)</f>
        <v>5.9823519458057639E-2</v>
      </c>
      <c r="S1061" s="37">
        <v>37669</v>
      </c>
      <c r="T1061" s="35">
        <v>4.8087499999999999</v>
      </c>
      <c r="U1061" s="36">
        <f>IF(ISBLANK(T1062),"",Long4[[#This Row],[Adj Close]]/T1062-1)</f>
        <v>7.8393820565135552E-2</v>
      </c>
      <c r="Y1061" s="37">
        <v>37669</v>
      </c>
      <c r="Z1061" s="35">
        <v>6.7533479999999999</v>
      </c>
      <c r="AA1061" s="36">
        <f>IF(ISBLANK(Z1062),"",Long6[[#This Row],[Adj Close]]/Z1062-1)</f>
        <v>8.6206896551724199E-2</v>
      </c>
      <c r="AK1061" s="37">
        <v>37669</v>
      </c>
      <c r="AL1061" s="39">
        <v>12.087929000000001</v>
      </c>
      <c r="AM1061" s="36">
        <f>IF(ISBLANK(AL1062),"",Short1[[#This Row],[Adj Close]]/AL1062-1)</f>
        <v>5.5759319698516441E-2</v>
      </c>
      <c r="AN1061" s="29">
        <v>37669</v>
      </c>
      <c r="AO1061" s="44">
        <v>19.881627999999999</v>
      </c>
      <c r="AP1061" s="33">
        <f>IF(ISBLANK(AO1062),"",Short2[[#This Row],[Adj Close]]/AO1062-1)</f>
        <v>4.6583248669505695E-2</v>
      </c>
    </row>
    <row r="1062" spans="1:42" x14ac:dyDescent="0.25">
      <c r="A1062" s="37">
        <v>37662</v>
      </c>
      <c r="B1062" s="39">
        <v>834.89001499999995</v>
      </c>
      <c r="C1062" s="36">
        <f>IF(ISBLANK(B1063), "", GSPC[[#This Row],[Adj Close]]/B1063-1)</f>
        <v>6.2674167309055839E-3</v>
      </c>
      <c r="D106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6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62" s="11" t="e">
        <f>IF(ISBLANK(GSPC[[#This Row],[Long Exp.]]), "", (GSPC[[#This Row],[Long Exp.]]/D1063-1)+(E1063/GSPC[[#This Row],[Short Exp.]]-1))</f>
        <v>#VALUE!</v>
      </c>
      <c r="G1062" s="37">
        <v>37662</v>
      </c>
      <c r="H1062">
        <v>15.629564</v>
      </c>
      <c r="I1062" s="36">
        <f>IF(ISBLANK(H1063), "", Long0[[#This Row],[Adj Close]]/H1063-1)</f>
        <v>1.9142348554189059E-2</v>
      </c>
      <c r="M1062" s="37">
        <v>37662</v>
      </c>
      <c r="N1062">
        <v>6.4573099999999997</v>
      </c>
      <c r="O1062" s="36">
        <f>IF(ISBLANK(N1063),"",Long2[[#This Row],[Adj Close]]/N1063-1)</f>
        <v>-7.7527669984188585E-2</v>
      </c>
      <c r="P1062" s="29">
        <v>37662</v>
      </c>
      <c r="Q1062">
        <v>6.2524740000000003</v>
      </c>
      <c r="R1062" s="33">
        <f>IF(ISBLANK(Q1063),"",Long3[[#This Row],[Adj Close]]/Q1063-1)</f>
        <v>-1.9356362596080645E-2</v>
      </c>
      <c r="S1062" s="37">
        <v>37662</v>
      </c>
      <c r="T1062" s="35">
        <v>4.4591779999999996</v>
      </c>
      <c r="U1062" s="36">
        <f>IF(ISBLANK(T1063),"",Long4[[#This Row],[Adj Close]]/T1063-1)</f>
        <v>5.2313888997705504E-2</v>
      </c>
      <c r="Y1062" s="37">
        <v>37662</v>
      </c>
      <c r="Z1062" s="35">
        <v>6.2173679999999996</v>
      </c>
      <c r="AA1062" s="36">
        <f>IF(ISBLANK(Z1063),"",Long6[[#This Row],[Adj Close]]/Z1063-1)</f>
        <v>-3.3333333333333326E-2</v>
      </c>
      <c r="AK1062" s="37">
        <v>37662</v>
      </c>
      <c r="AL1062" s="39">
        <v>11.449512</v>
      </c>
      <c r="AM1062" s="36">
        <f>IF(ISBLANK(AL1063),"",Short1[[#This Row],[Adj Close]]/AL1063-1)</f>
        <v>3.218452459566179E-2</v>
      </c>
      <c r="AN1062" s="29">
        <v>37662</v>
      </c>
      <c r="AO1062" s="44">
        <v>18.996700000000001</v>
      </c>
      <c r="AP1062" s="33">
        <f>IF(ISBLANK(AO1063),"",Short2[[#This Row],[Adj Close]]/AO1063-1)</f>
        <v>-8.5368843203610378E-3</v>
      </c>
    </row>
    <row r="1063" spans="1:42" x14ac:dyDescent="0.25">
      <c r="A1063" s="37">
        <v>37655</v>
      </c>
      <c r="B1063" s="39">
        <v>829.69000200000005</v>
      </c>
      <c r="C1063" s="36">
        <f>IF(ISBLANK(B1064), "", GSPC[[#This Row],[Adj Close]]/B1064-1)</f>
        <v>-3.0396178140990826E-2</v>
      </c>
      <c r="D106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6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63" s="11" t="e">
        <f>IF(ISBLANK(GSPC[[#This Row],[Long Exp.]]), "", (GSPC[[#This Row],[Long Exp.]]/D1064-1)+(E1064/GSPC[[#This Row],[Short Exp.]]-1))</f>
        <v>#VALUE!</v>
      </c>
      <c r="G1063" s="37">
        <v>37655</v>
      </c>
      <c r="H1063">
        <v>15.335997000000001</v>
      </c>
      <c r="I1063" s="36">
        <f>IF(ISBLANK(H1064), "", Long0[[#This Row],[Adj Close]]/H1064-1)</f>
        <v>-2.2454921114340332E-2</v>
      </c>
      <c r="M1063" s="37">
        <v>37655</v>
      </c>
      <c r="N1063">
        <v>7.0000039999999997</v>
      </c>
      <c r="O1063" s="36">
        <f>IF(ISBLANK(N1064),"",Long2[[#This Row],[Adj Close]]/N1064-1)</f>
        <v>-8.904821860227552E-2</v>
      </c>
      <c r="P1063" s="29">
        <v>37655</v>
      </c>
      <c r="Q1063">
        <v>6.3758879999999998</v>
      </c>
      <c r="R1063" s="33">
        <f>IF(ISBLANK(Q1064),"",Long3[[#This Row],[Adj Close]]/Q1064-1)</f>
        <v>-4.0571333555538658E-2</v>
      </c>
      <c r="S1063" s="37">
        <v>37655</v>
      </c>
      <c r="T1063" s="35">
        <v>4.2374980000000004</v>
      </c>
      <c r="U1063" s="36">
        <f>IF(ISBLANK(T1064),"",Long4[[#This Row],[Adj Close]]/T1064-1)</f>
        <v>-0.14897272172609899</v>
      </c>
      <c r="Y1063" s="37">
        <v>37655</v>
      </c>
      <c r="Z1063" s="35">
        <v>6.4317599999999997</v>
      </c>
      <c r="AA1063" s="36">
        <f>IF(ISBLANK(Z1064),"",Long6[[#This Row],[Adj Close]]/Z1064-1)</f>
        <v>1.07196539036023E-2</v>
      </c>
      <c r="AK1063" s="37">
        <v>37655</v>
      </c>
      <c r="AL1063" s="39">
        <v>11.092504999999999</v>
      </c>
      <c r="AM1063" s="36">
        <f>IF(ISBLANK(AL1064),"",Short1[[#This Row],[Adj Close]]/AL1064-1)</f>
        <v>1.2265448596512796E-2</v>
      </c>
      <c r="AN1063" s="29">
        <v>37655</v>
      </c>
      <c r="AO1063" s="44">
        <v>19.160269</v>
      </c>
      <c r="AP1063" s="33">
        <f>IF(ISBLANK(AO1064),"",Short2[[#This Row],[Adj Close]]/AO1064-1)</f>
        <v>-2.6921296864115152E-2</v>
      </c>
    </row>
    <row r="1064" spans="1:42" x14ac:dyDescent="0.25">
      <c r="A1064" s="37">
        <v>37648</v>
      </c>
      <c r="B1064" s="39">
        <v>855.70001200000002</v>
      </c>
      <c r="C1064" s="36">
        <f>IF(ISBLANK(B1065), "", GSPC[[#This Row],[Adj Close]]/B1065-1)</f>
        <v>-6.617148643125681E-3</v>
      </c>
      <c r="D106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6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64" s="11" t="e">
        <f>IF(ISBLANK(GSPC[[#This Row],[Long Exp.]]), "", (GSPC[[#This Row],[Long Exp.]]/D1065-1)+(E1065/GSPC[[#This Row],[Short Exp.]]-1))</f>
        <v>#VALUE!</v>
      </c>
      <c r="G1064" s="37">
        <v>37648</v>
      </c>
      <c r="H1064">
        <v>15.688276</v>
      </c>
      <c r="I1064" s="36">
        <f>IF(ISBLANK(H1065), "", Long0[[#This Row],[Adj Close]]/H1065-1)</f>
        <v>1.8551424353014045E-2</v>
      </c>
      <c r="M1064" s="37">
        <v>37648</v>
      </c>
      <c r="N1064">
        <v>7.6842750000000004</v>
      </c>
      <c r="O1064" s="36">
        <f>IF(ISBLANK(N1065),"",Long2[[#This Row],[Adj Close]]/N1065-1)</f>
        <v>-6.5071789429192117E-2</v>
      </c>
      <c r="P1064" s="29">
        <v>37648</v>
      </c>
      <c r="Q1064">
        <v>6.645505</v>
      </c>
      <c r="R1064" s="33">
        <f>IF(ISBLANK(Q1065),"",Long3[[#This Row],[Adj Close]]/Q1065-1)</f>
        <v>-1.4084830922833969E-2</v>
      </c>
      <c r="S1064" s="37">
        <v>37648</v>
      </c>
      <c r="T1064" s="35">
        <v>4.9792740000000002</v>
      </c>
      <c r="U1064" s="36">
        <f>IF(ISBLANK(T1065),"",Long4[[#This Row],[Adj Close]]/T1065-1)</f>
        <v>-3.4710699582015336E-2</v>
      </c>
      <c r="Y1064" s="37">
        <v>37648</v>
      </c>
      <c r="Z1064" s="35">
        <v>6.3635450000000002</v>
      </c>
      <c r="AA1064" s="36">
        <f>IF(ISBLANK(Z1065),"",Long6[[#This Row],[Adj Close]]/Z1065-1)</f>
        <v>-1.8045248759854027E-2</v>
      </c>
      <c r="AK1064" s="37">
        <v>37648</v>
      </c>
      <c r="AL1064" s="39">
        <v>10.958099000000001</v>
      </c>
      <c r="AM1064" s="36">
        <f>IF(ISBLANK(AL1065),"",Short1[[#This Row],[Adj Close]]/AL1065-1)</f>
        <v>-3.4776363984852399E-2</v>
      </c>
      <c r="AN1064" s="29">
        <v>37648</v>
      </c>
      <c r="AO1064" s="44">
        <v>19.690359000000001</v>
      </c>
      <c r="AP1064" s="33">
        <f>IF(ISBLANK(AO1065),"",Short2[[#This Row],[Adj Close]]/AO1065-1)</f>
        <v>-3.1295330333338978E-2</v>
      </c>
    </row>
    <row r="1065" spans="1:42" x14ac:dyDescent="0.25">
      <c r="A1065" s="37">
        <v>37641</v>
      </c>
      <c r="B1065" s="39">
        <v>861.40002400000003</v>
      </c>
      <c r="C1065" s="36">
        <f>IF(ISBLANK(B1066), "", GSPC[[#This Row],[Adj Close]]/B1066-1)</f>
        <v>-4.4778109629216467E-2</v>
      </c>
      <c r="D106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6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65" s="11" t="e">
        <f>IF(ISBLANK(GSPC[[#This Row],[Long Exp.]]), "", (GSPC[[#This Row],[Long Exp.]]/D1066-1)+(E1066/GSPC[[#This Row],[Short Exp.]]-1))</f>
        <v>#VALUE!</v>
      </c>
      <c r="G1065" s="37">
        <v>37641</v>
      </c>
      <c r="H1065">
        <v>15.402537000000001</v>
      </c>
      <c r="I1065" s="36">
        <f>IF(ISBLANK(H1066), "", Long0[[#This Row],[Adj Close]]/H1066-1)</f>
        <v>-2.281548766242536E-3</v>
      </c>
      <c r="M1065" s="37">
        <v>37641</v>
      </c>
      <c r="N1065">
        <v>8.2191069999999993</v>
      </c>
      <c r="O1065" s="36">
        <f>IF(ISBLANK(N1066),"",Long2[[#This Row],[Adj Close]]/N1066-1)</f>
        <v>-5.2583960325006007E-2</v>
      </c>
      <c r="P1065" s="29">
        <v>37641</v>
      </c>
      <c r="Q1065">
        <v>6.740443</v>
      </c>
      <c r="R1065" s="33">
        <f>IF(ISBLANK(Q1066),"",Long3[[#This Row],[Adj Close]]/Q1066-1)</f>
        <v>-2.7397171325859171E-2</v>
      </c>
      <c r="S1065" s="37">
        <v>37641</v>
      </c>
      <c r="T1065" s="35">
        <v>5.1583230000000002</v>
      </c>
      <c r="U1065" s="36">
        <f>IF(ISBLANK(T1066),"",Long4[[#This Row],[Adj Close]]/T1066-1)</f>
        <v>-0.10766973669256119</v>
      </c>
      <c r="Y1065" s="37">
        <v>37641</v>
      </c>
      <c r="Z1065" s="35">
        <v>6.4804870000000001</v>
      </c>
      <c r="AA1065" s="36">
        <f>IF(ISBLANK(Z1066),"",Long6[[#This Row],[Adj Close]]/Z1066-1)</f>
        <v>-0.10738224804864738</v>
      </c>
      <c r="AK1065" s="37">
        <v>37641</v>
      </c>
      <c r="AL1065" s="39">
        <v>11.352912</v>
      </c>
      <c r="AM1065" s="36">
        <f>IF(ISBLANK(AL1066),"",Short1[[#This Row],[Adj Close]]/AL1066-1)</f>
        <v>-2.4187412478739678E-2</v>
      </c>
      <c r="AN1065" s="29">
        <v>37641</v>
      </c>
      <c r="AO1065" s="44">
        <v>20.326483</v>
      </c>
      <c r="AP1065" s="33">
        <f>IF(ISBLANK(AO1066),"",Short2[[#This Row],[Adj Close]]/AO1066-1)</f>
        <v>-2.4560939282400995E-2</v>
      </c>
    </row>
    <row r="1066" spans="1:42" x14ac:dyDescent="0.25">
      <c r="A1066" s="37">
        <v>37634</v>
      </c>
      <c r="B1066" s="39">
        <v>901.78002900000001</v>
      </c>
      <c r="C1066" s="36">
        <f>IF(ISBLANK(B1067), "", GSPC[[#This Row],[Adj Close]]/B1067-1)</f>
        <v>-2.7803807589048102E-2</v>
      </c>
      <c r="D106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6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66" s="11" t="e">
        <f>IF(ISBLANK(GSPC[[#This Row],[Long Exp.]]), "", (GSPC[[#This Row],[Long Exp.]]/D1067-1)+(E1067/GSPC[[#This Row],[Short Exp.]]-1))</f>
        <v>#VALUE!</v>
      </c>
      <c r="G1066" s="37">
        <v>37634</v>
      </c>
      <c r="H1066">
        <v>15.437759</v>
      </c>
      <c r="I1066" s="36">
        <f>IF(ISBLANK(H1067), "", Long0[[#This Row],[Adj Close]]/H1067-1)</f>
        <v>3.1110528986393327E-2</v>
      </c>
      <c r="M1066" s="37">
        <v>37634</v>
      </c>
      <c r="N1066">
        <v>8.6752880000000001</v>
      </c>
      <c r="O1066" s="36">
        <f>IF(ISBLANK(N1067),"",Long2[[#This Row],[Adj Close]]/N1067-1)</f>
        <v>-1.3416857854635422E-2</v>
      </c>
      <c r="P1066" s="29">
        <v>37634</v>
      </c>
      <c r="Q1066">
        <v>6.9303140000000001</v>
      </c>
      <c r="R1066" s="33">
        <f>IF(ISBLANK(Q1067),"",Long3[[#This Row],[Adj Close]]/Q1067-1)</f>
        <v>-3.1830652640908008E-2</v>
      </c>
      <c r="S1066" s="37">
        <v>37634</v>
      </c>
      <c r="T1066" s="35">
        <v>5.7807329999999997</v>
      </c>
      <c r="U1066" s="36">
        <f>IF(ISBLANK(T1067),"",Long4[[#This Row],[Adj Close]]/T1067-1)</f>
        <v>-5.5710122124650763E-2</v>
      </c>
      <c r="Y1066" s="37">
        <v>37634</v>
      </c>
      <c r="Z1066" s="35">
        <v>7.2600920000000002</v>
      </c>
      <c r="AA1066" s="36">
        <f>IF(ISBLANK(Z1067),"",Long6[[#This Row],[Adj Close]]/Z1067-1)</f>
        <v>-2.9948167019430594E-2</v>
      </c>
      <c r="AK1066" s="37">
        <v>37634</v>
      </c>
      <c r="AL1066" s="39">
        <v>11.634316</v>
      </c>
      <c r="AM1066" s="36">
        <f>IF(ISBLANK(AL1067),"",Short1[[#This Row],[Adj Close]]/AL1067-1)</f>
        <v>1.0948692315078334E-2</v>
      </c>
      <c r="AN1066" s="29">
        <v>37634</v>
      </c>
      <c r="AO1066" s="44">
        <v>20.838291000000002</v>
      </c>
      <c r="AP1066" s="33">
        <f>IF(ISBLANK(AO1067),"",Short2[[#This Row],[Adj Close]]/AO1067-1)</f>
        <v>5.6459295507522711E-3</v>
      </c>
    </row>
    <row r="1067" spans="1:42" x14ac:dyDescent="0.25">
      <c r="A1067" s="37">
        <v>37627</v>
      </c>
      <c r="B1067" s="39">
        <v>927.57000700000003</v>
      </c>
      <c r="C1067" s="36">
        <f>IF(ISBLANK(B1068), "", GSPC[[#This Row],[Adj Close]]/B1068-1)</f>
        <v>2.0889487487187663E-2</v>
      </c>
      <c r="D106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6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67" s="11" t="e">
        <f>IF(ISBLANK(GSPC[[#This Row],[Long Exp.]]), "", (GSPC[[#This Row],[Long Exp.]]/D1068-1)+(E1068/GSPC[[#This Row],[Short Exp.]]-1))</f>
        <v>#VALUE!</v>
      </c>
      <c r="G1067" s="37">
        <v>37627</v>
      </c>
      <c r="H1067">
        <v>14.971973</v>
      </c>
      <c r="I1067" s="36">
        <f>IF(ISBLANK(H1068), "", Long0[[#This Row],[Adj Close]]/H1068-1)</f>
        <v>4.1099659674115552E-2</v>
      </c>
      <c r="M1067" s="37">
        <v>37627</v>
      </c>
      <c r="N1067">
        <v>8.7932659999999991</v>
      </c>
      <c r="O1067" s="36">
        <f>IF(ISBLANK(N1068),"",Long2[[#This Row],[Adj Close]]/N1068-1)</f>
        <v>4.9765472320480786E-2</v>
      </c>
      <c r="P1067" s="29">
        <v>37627</v>
      </c>
      <c r="Q1067">
        <v>7.1581630000000001</v>
      </c>
      <c r="R1067" s="33">
        <f>IF(ISBLANK(Q1068),"",Long3[[#This Row],[Adj Close]]/Q1068-1)</f>
        <v>4.7222392902808608E-2</v>
      </c>
      <c r="S1067" s="37">
        <v>37627</v>
      </c>
      <c r="T1067" s="35">
        <v>6.1217779999999999</v>
      </c>
      <c r="U1067" s="36">
        <f>IF(ISBLANK(T1068),"",Long4[[#This Row],[Adj Close]]/T1068-1)</f>
        <v>-4.9006819219458264E-2</v>
      </c>
      <c r="Y1067" s="37">
        <v>37627</v>
      </c>
      <c r="Z1067" s="35">
        <v>7.4842310000000003</v>
      </c>
      <c r="AA1067" s="36">
        <f>IF(ISBLANK(Z1068),"",Long6[[#This Row],[Adj Close]]/Z1068-1)</f>
        <v>-4.1198372803465277E-2</v>
      </c>
      <c r="AK1067" s="37">
        <v>37627</v>
      </c>
      <c r="AL1067" s="39">
        <v>11.508315</v>
      </c>
      <c r="AM1067" s="36">
        <f>IF(ISBLANK(AL1068),"",Short1[[#This Row],[Adj Close]]/AL1068-1)</f>
        <v>0.14836538533499311</v>
      </c>
      <c r="AN1067" s="29">
        <v>37627</v>
      </c>
      <c r="AO1067" s="44">
        <v>20.721299999999999</v>
      </c>
      <c r="AP1067" s="33">
        <f>IF(ISBLANK(AO1068),"",Short2[[#This Row],[Adj Close]]/AO1068-1)</f>
        <v>6.4612203625958875E-2</v>
      </c>
    </row>
    <row r="1068" spans="1:42" x14ac:dyDescent="0.25">
      <c r="A1068" s="37">
        <v>37620</v>
      </c>
      <c r="B1068" s="39">
        <v>908.59002699999996</v>
      </c>
      <c r="C1068" s="36">
        <f>IF(ISBLANK(B1069), "", GSPC[[#This Row],[Adj Close]]/B1069-1)</f>
        <v>3.7914098800618579E-2</v>
      </c>
      <c r="D106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6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68" s="11" t="e">
        <f>IF(ISBLANK(GSPC[[#This Row],[Long Exp.]]), "", (GSPC[[#This Row],[Long Exp.]]/D1069-1)+(E1069/GSPC[[#This Row],[Short Exp.]]-1))</f>
        <v>#VALUE!</v>
      </c>
      <c r="G1068" s="37">
        <v>37620</v>
      </c>
      <c r="H1068">
        <v>14.380922</v>
      </c>
      <c r="I1068" s="36">
        <f>IF(ISBLANK(H1069), "", Long0[[#This Row],[Adj Close]]/H1069-1)</f>
        <v>9.4397530929587692E-2</v>
      </c>
      <c r="M1068" s="37">
        <v>37620</v>
      </c>
      <c r="N1068">
        <v>8.3764099999999999</v>
      </c>
      <c r="O1068" s="36">
        <f>IF(ISBLANK(N1069),"",Long2[[#This Row],[Adj Close]]/N1069-1)</f>
        <v>1.6221379833942784E-2</v>
      </c>
      <c r="P1068" s="29">
        <v>37620</v>
      </c>
      <c r="Q1068">
        <v>6.8353799999999998</v>
      </c>
      <c r="R1068" s="33">
        <f>IF(ISBLANK(Q1069),"",Long3[[#This Row],[Adj Close]]/Q1069-1)</f>
        <v>4.1064235956161488E-2</v>
      </c>
      <c r="S1068" s="37">
        <v>37620</v>
      </c>
      <c r="T1068" s="35">
        <v>6.4372470000000002</v>
      </c>
      <c r="U1068" s="36">
        <f>IF(ISBLANK(T1069),"",Long4[[#This Row],[Adj Close]]/T1069-1)</f>
        <v>-7.8840676024697354E-3</v>
      </c>
      <c r="Y1068" s="37">
        <v>37620</v>
      </c>
      <c r="Z1068" s="35">
        <v>7.8058180000000004</v>
      </c>
      <c r="AA1068" s="36">
        <f>IF(ISBLANK(Z1069),"",Long6[[#This Row],[Adj Close]]/Z1069-1)</f>
        <v>-5.0947530497197913E-2</v>
      </c>
      <c r="AK1068" s="37">
        <v>37620</v>
      </c>
      <c r="AL1068" s="39">
        <v>10.021475000000001</v>
      </c>
      <c r="AM1068" s="36">
        <f>IF(ISBLANK(AL1069),"",Short1[[#This Row],[Adj Close]]/AL1069-1)</f>
        <v>3.2453521188865242E-2</v>
      </c>
      <c r="AN1068" s="29">
        <v>37620</v>
      </c>
      <c r="AO1068" s="44">
        <v>19.463706999999999</v>
      </c>
      <c r="AP1068" s="33">
        <f>IF(ISBLANK(AO1069),"",Short2[[#This Row],[Adj Close]]/AO1069-1)</f>
        <v>1.6030863498291081E-2</v>
      </c>
    </row>
    <row r="1069" spans="1:42" x14ac:dyDescent="0.25">
      <c r="A1069" s="37">
        <v>37613</v>
      </c>
      <c r="B1069" s="39">
        <v>875.40002400000003</v>
      </c>
      <c r="C1069" s="36">
        <f>IF(ISBLANK(B1070), "", GSPC[[#This Row],[Adj Close]]/B1070-1)</f>
        <v>-2.2729286608809351E-2</v>
      </c>
      <c r="D106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6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69" s="11" t="e">
        <f>IF(ISBLANK(GSPC[[#This Row],[Long Exp.]]), "", (GSPC[[#This Row],[Long Exp.]]/D1070-1)+(E1070/GSPC[[#This Row],[Short Exp.]]-1))</f>
        <v>#VALUE!</v>
      </c>
      <c r="G1069" s="37">
        <v>37613</v>
      </c>
      <c r="H1069">
        <v>13.140492</v>
      </c>
      <c r="I1069" s="36">
        <f>IF(ISBLANK(H1070), "", Long0[[#This Row],[Adj Close]]/H1070-1)</f>
        <v>-2.2674442733321087E-2</v>
      </c>
      <c r="M1069" s="37">
        <v>37613</v>
      </c>
      <c r="N1069">
        <v>8.2427019999999995</v>
      </c>
      <c r="O1069" s="36">
        <f>IF(ISBLANK(N1070),"",Long2[[#This Row],[Adj Close]]/N1070-1)</f>
        <v>-4.6406280549247225E-2</v>
      </c>
      <c r="P1069" s="29">
        <v>37613</v>
      </c>
      <c r="Q1069">
        <v>6.5657620000000003</v>
      </c>
      <c r="R1069" s="33">
        <f>IF(ISBLANK(Q1070),"",Long3[[#This Row],[Adj Close]]/Q1070-1)</f>
        <v>-9.1687656822533325E-3</v>
      </c>
      <c r="S1069" s="37">
        <v>37613</v>
      </c>
      <c r="T1069" s="35">
        <v>6.4884019999999998</v>
      </c>
      <c r="U1069" s="36">
        <f>IF(ISBLANK(T1070),"",Long4[[#This Row],[Adj Close]]/T1070-1)</f>
        <v>-1.1688406245230598E-2</v>
      </c>
      <c r="Y1069" s="37">
        <v>37613</v>
      </c>
      <c r="Z1069" s="35">
        <v>8.2248540000000006</v>
      </c>
      <c r="AA1069" s="36">
        <f>IF(ISBLANK(Z1070),"",Long6[[#This Row],[Adj Close]]/Z1070-1)</f>
        <v>3.1784675448721433E-2</v>
      </c>
      <c r="AK1069" s="37">
        <v>37613</v>
      </c>
      <c r="AL1069" s="39">
        <v>9.7064660000000007</v>
      </c>
      <c r="AM1069" s="36">
        <f>IF(ISBLANK(AL1070),"",Short1[[#This Row],[Adj Close]]/AL1070-1)</f>
        <v>-6.6262457693551879E-2</v>
      </c>
      <c r="AN1069" s="29">
        <v>37613</v>
      </c>
      <c r="AO1069" s="44">
        <v>19.156610000000001</v>
      </c>
      <c r="AP1069" s="33">
        <f>IF(ISBLANK(AO1070),"",Short2[[#This Row],[Adj Close]]/AO1070-1)</f>
        <v>-2.728748487484256E-2</v>
      </c>
    </row>
    <row r="1070" spans="1:42" x14ac:dyDescent="0.25">
      <c r="A1070" s="37">
        <v>37606</v>
      </c>
      <c r="B1070" s="39">
        <v>895.76000999999997</v>
      </c>
      <c r="C1070" s="36">
        <f>IF(ISBLANK(B1071), "", GSPC[[#This Row],[Adj Close]]/B1071-1)</f>
        <v>7.0603387835665998E-3</v>
      </c>
      <c r="D107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7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70" s="11" t="e">
        <f>IF(ISBLANK(GSPC[[#This Row],[Long Exp.]]), "", (GSPC[[#This Row],[Long Exp.]]/D1071-1)+(E1071/GSPC[[#This Row],[Short Exp.]]-1))</f>
        <v>#VALUE!</v>
      </c>
      <c r="G1070" s="37">
        <v>37606</v>
      </c>
      <c r="H1070">
        <v>13.445358000000001</v>
      </c>
      <c r="I1070" s="36">
        <f>IF(ISBLANK(H1071), "", Long0[[#This Row],[Adj Close]]/H1071-1)</f>
        <v>4.5592855971922086E-2</v>
      </c>
      <c r="M1070" s="37">
        <v>37606</v>
      </c>
      <c r="N1070">
        <v>8.6438299999999995</v>
      </c>
      <c r="O1070" s="36">
        <f>IF(ISBLANK(N1071),"",Long2[[#This Row],[Adj Close]]/N1071-1)</f>
        <v>-1.0877245781355405E-2</v>
      </c>
      <c r="P1070" s="29">
        <v>37606</v>
      </c>
      <c r="Q1070">
        <v>6.626519</v>
      </c>
      <c r="R1070" s="33">
        <f>IF(ISBLANK(Q1071),"",Long3[[#This Row],[Adj Close]]/Q1071-1)</f>
        <v>3.0105610977646968E-2</v>
      </c>
      <c r="S1070" s="37">
        <v>37606</v>
      </c>
      <c r="T1070" s="35">
        <v>6.5651380000000001</v>
      </c>
      <c r="U1070" s="36">
        <f>IF(ISBLANK(T1071),"",Long4[[#This Row],[Adj Close]]/T1071-1)</f>
        <v>6.7961076605767223E-2</v>
      </c>
      <c r="Y1070" s="37">
        <v>37606</v>
      </c>
      <c r="Z1070" s="35">
        <v>7.9714830000000001</v>
      </c>
      <c r="AA1070" s="36">
        <f>IF(ISBLANK(Z1071),"",Long6[[#This Row],[Adj Close]]/Z1071-1)</f>
        <v>-0.13985289149347602</v>
      </c>
      <c r="AK1070" s="37">
        <v>37606</v>
      </c>
      <c r="AL1070" s="39">
        <v>10.395282999999999</v>
      </c>
      <c r="AM1070" s="36">
        <f>IF(ISBLANK(AL1071),"",Short1[[#This Row],[Adj Close]]/AL1071-1)</f>
        <v>-4.0697762408852811E-2</v>
      </c>
      <c r="AN1070" s="29">
        <v>37606</v>
      </c>
      <c r="AO1070" s="44">
        <v>19.694009999999999</v>
      </c>
      <c r="AP1070" s="33">
        <f>IF(ISBLANK(AO1071),"",Short2[[#This Row],[Adj Close]]/AO1071-1)</f>
        <v>7.3534514929339378E-2</v>
      </c>
    </row>
    <row r="1071" spans="1:42" x14ac:dyDescent="0.25">
      <c r="A1071" s="37">
        <v>37599</v>
      </c>
      <c r="B1071" s="39">
        <v>889.47997999999995</v>
      </c>
      <c r="C1071" s="36">
        <f>IF(ISBLANK(B1072), "", GSPC[[#This Row],[Adj Close]]/B1072-1)</f>
        <v>-2.4938886573317887E-2</v>
      </c>
      <c r="D107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7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71" s="11" t="e">
        <f>IF(ISBLANK(GSPC[[#This Row],[Long Exp.]]), "", (GSPC[[#This Row],[Long Exp.]]/D1072-1)+(E1072/GSPC[[#This Row],[Short Exp.]]-1))</f>
        <v>#VALUE!</v>
      </c>
      <c r="G1071" s="37">
        <v>37599</v>
      </c>
      <c r="H1071">
        <v>12.859076</v>
      </c>
      <c r="I1071" s="36">
        <f>IF(ISBLANK(H1072), "", Long0[[#This Row],[Adj Close]]/H1072-1)</f>
        <v>-3.9361292825788041E-3</v>
      </c>
      <c r="M1071" s="37">
        <v>37599</v>
      </c>
      <c r="N1071">
        <v>8.7388849999999998</v>
      </c>
      <c r="O1071" s="36">
        <f>IF(ISBLANK(N1072),"",Long2[[#This Row],[Adj Close]]/N1072-1)</f>
        <v>-5.9171657515028508E-2</v>
      </c>
      <c r="P1071" s="29">
        <v>37599</v>
      </c>
      <c r="Q1071">
        <v>6.4328539999999998</v>
      </c>
      <c r="R1071" s="33">
        <f>IF(ISBLANK(Q1072),"",Long3[[#This Row],[Adj Close]]/Q1072-1)</f>
        <v>7.2514674677892188E-2</v>
      </c>
      <c r="S1071" s="37">
        <v>37599</v>
      </c>
      <c r="T1071" s="35">
        <v>6.1473570000000004</v>
      </c>
      <c r="U1071" s="36">
        <f>IF(ISBLANK(T1072),"",Long4[[#This Row],[Adj Close]]/T1072-1)</f>
        <v>-0.17694065440062146</v>
      </c>
      <c r="Y1071" s="37">
        <v>37599</v>
      </c>
      <c r="Z1071" s="35">
        <v>9.2675809999999998</v>
      </c>
      <c r="AA1071" s="36">
        <f>IF(ISBLANK(Z1072),"",Long6[[#This Row],[Adj Close]]/Z1072-1)</f>
        <v>-2.3614160552565933E-2</v>
      </c>
      <c r="AK1071" s="37">
        <v>37599</v>
      </c>
      <c r="AL1071" s="39">
        <v>10.836296000000001</v>
      </c>
      <c r="AM1071" s="36">
        <f>IF(ISBLANK(AL1072),"",Short1[[#This Row],[Adj Close]]/AL1072-1)</f>
        <v>-3.007543293650683E-2</v>
      </c>
      <c r="AN1071" s="29">
        <v>37599</v>
      </c>
      <c r="AO1071" s="44">
        <v>18.345018</v>
      </c>
      <c r="AP1071" s="33">
        <f>IF(ISBLANK(AO1072),"",Short2[[#This Row],[Adj Close]]/AO1072-1)</f>
        <v>1.4762750693033233E-2</v>
      </c>
    </row>
    <row r="1072" spans="1:42" x14ac:dyDescent="0.25">
      <c r="A1072" s="37">
        <v>37592</v>
      </c>
      <c r="B1072" s="39">
        <v>912.22997999999995</v>
      </c>
      <c r="C1072" s="36">
        <f>IF(ISBLANK(B1073), "", GSPC[[#This Row],[Adj Close]]/B1073-1)</f>
        <v>-2.5717997299437134E-2</v>
      </c>
      <c r="D107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7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72" s="11" t="e">
        <f>IF(ISBLANK(GSPC[[#This Row],[Long Exp.]]), "", (GSPC[[#This Row],[Long Exp.]]/D1073-1)+(E1073/GSPC[[#This Row],[Short Exp.]]-1))</f>
        <v>#VALUE!</v>
      </c>
      <c r="G1072" s="37">
        <v>37592</v>
      </c>
      <c r="H1072">
        <v>12.909891</v>
      </c>
      <c r="I1072" s="36">
        <f>IF(ISBLANK(H1073), "", Long0[[#This Row],[Adj Close]]/H1073-1)</f>
        <v>-2.0753154134451557E-2</v>
      </c>
      <c r="M1072" s="37">
        <v>37592</v>
      </c>
      <c r="N1072">
        <v>9.2885010000000001</v>
      </c>
      <c r="O1072" s="36">
        <f>IF(ISBLANK(N1073),"",Long2[[#This Row],[Adj Close]]/N1073-1)</f>
        <v>-9.3486306750303227E-2</v>
      </c>
      <c r="P1072" s="29">
        <v>37592</v>
      </c>
      <c r="Q1072">
        <v>5.9979170000000002</v>
      </c>
      <c r="R1072" s="33">
        <f>IF(ISBLANK(Q1073),"",Long3[[#This Row],[Adj Close]]/Q1073-1)</f>
        <v>-4.054036976658959E-2</v>
      </c>
      <c r="S1072" s="37">
        <v>37592</v>
      </c>
      <c r="T1072" s="35">
        <v>7.4689110000000003</v>
      </c>
      <c r="U1072" s="36">
        <f>IF(ISBLANK(T1073),"",Long4[[#This Row],[Adj Close]]/T1073-1)</f>
        <v>1.8604725378493336E-2</v>
      </c>
      <c r="Y1072" s="37">
        <v>37592</v>
      </c>
      <c r="Z1072" s="35">
        <v>9.4917200000000008</v>
      </c>
      <c r="AA1072" s="36">
        <f>IF(ISBLANK(Z1073),"",Long6[[#This Row],[Adj Close]]/Z1073-1)</f>
        <v>-0.16034473942938199</v>
      </c>
      <c r="AK1072" s="37">
        <v>37592</v>
      </c>
      <c r="AL1072" s="39">
        <v>11.172307999999999</v>
      </c>
      <c r="AM1072" s="36">
        <f>IF(ISBLANK(AL1073),"",Short1[[#This Row],[Adj Close]]/AL1073-1)</f>
        <v>-3.9017216617456274E-2</v>
      </c>
      <c r="AN1072" s="29">
        <v>37592</v>
      </c>
      <c r="AO1072" s="44">
        <v>18.078135</v>
      </c>
      <c r="AP1072" s="33">
        <f>IF(ISBLANK(AO1073),"",Short2[[#This Row],[Adj Close]]/AO1073-1)</f>
        <v>-6.73328736240838E-2</v>
      </c>
    </row>
    <row r="1073" spans="1:42" x14ac:dyDescent="0.25">
      <c r="A1073" s="37">
        <v>37585</v>
      </c>
      <c r="B1073" s="39">
        <v>936.30999799999995</v>
      </c>
      <c r="C1073" s="36">
        <f>IF(ISBLANK(B1074), "", GSPC[[#This Row],[Adj Close]]/B1074-1)</f>
        <v>6.1898985269772666E-3</v>
      </c>
      <c r="D107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7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73" s="11" t="e">
        <f>IF(ISBLANK(GSPC[[#This Row],[Long Exp.]]), "", (GSPC[[#This Row],[Long Exp.]]/D1074-1)+(E1074/GSPC[[#This Row],[Short Exp.]]-1))</f>
        <v>#VALUE!</v>
      </c>
      <c r="G1073" s="37">
        <v>37585</v>
      </c>
      <c r="H1073">
        <v>13.183490000000001</v>
      </c>
      <c r="I1073" s="36">
        <f>IF(ISBLANK(H1074), "", Long0[[#This Row],[Adj Close]]/H1074-1)</f>
        <v>-1.7191098943476701E-2</v>
      </c>
      <c r="M1073" s="37">
        <v>37585</v>
      </c>
      <c r="N1073">
        <v>10.246399</v>
      </c>
      <c r="O1073" s="36">
        <f>IF(ISBLANK(N1074),"",Long2[[#This Row],[Adj Close]]/N1074-1)</f>
        <v>8.7499664348646977E-2</v>
      </c>
      <c r="P1073" s="29">
        <v>37585</v>
      </c>
      <c r="Q1073">
        <v>6.2513490000000003</v>
      </c>
      <c r="R1073" s="33">
        <f>IF(ISBLANK(Q1074),"",Long3[[#This Row],[Adj Close]]/Q1074-1)</f>
        <v>-3.478293092467144E-2</v>
      </c>
      <c r="S1073" s="37">
        <v>37585</v>
      </c>
      <c r="T1073" s="35">
        <v>7.3324920000000002</v>
      </c>
      <c r="U1073" s="36">
        <f>IF(ISBLANK(T1074),"",Long4[[#This Row],[Adj Close]]/T1074-1)</f>
        <v>0.12565449607544132</v>
      </c>
      <c r="Y1073" s="37">
        <v>37585</v>
      </c>
      <c r="Z1073" s="35">
        <v>11.304306</v>
      </c>
      <c r="AA1073" s="36">
        <f>IF(ISBLANK(Z1074),"",Long6[[#This Row],[Adj Close]]/Z1074-1)</f>
        <v>7.8066742197960615E-2</v>
      </c>
      <c r="AK1073" s="37">
        <v>37585</v>
      </c>
      <c r="AL1073" s="39">
        <v>11.625919</v>
      </c>
      <c r="AM1073" s="36">
        <f>IF(ISBLANK(AL1074),"",Short1[[#This Row],[Adj Close]]/AL1074-1)</f>
        <v>8.8478080580146168E-2</v>
      </c>
      <c r="AN1073" s="29">
        <v>37585</v>
      </c>
      <c r="AO1073" s="44">
        <v>19.383265999999999</v>
      </c>
      <c r="AP1073" s="33">
        <f>IF(ISBLANK(AO1074),"",Short2[[#This Row],[Adj Close]]/AO1074-1)</f>
        <v>2.2683747585303671E-3</v>
      </c>
    </row>
    <row r="1074" spans="1:42" x14ac:dyDescent="0.25">
      <c r="A1074" s="37">
        <v>37578</v>
      </c>
      <c r="B1074" s="39">
        <v>930.54998799999998</v>
      </c>
      <c r="C1074" s="36">
        <f>IF(ISBLANK(B1075), "", GSPC[[#This Row],[Adj Close]]/B1075-1)</f>
        <v>2.2773452856963639E-2</v>
      </c>
      <c r="D107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7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74" s="11" t="e">
        <f>IF(ISBLANK(GSPC[[#This Row],[Long Exp.]]), "", (GSPC[[#This Row],[Long Exp.]]/D1075-1)+(E1075/GSPC[[#This Row],[Short Exp.]]-1))</f>
        <v>#VALUE!</v>
      </c>
      <c r="G1074" s="37">
        <v>37578</v>
      </c>
      <c r="H1074">
        <v>13.414092999999999</v>
      </c>
      <c r="I1074" s="36">
        <f>IF(ISBLANK(H1075), "", Long0[[#This Row],[Adj Close]]/H1075-1)</f>
        <v>1.7793585395468936E-2</v>
      </c>
      <c r="M1074" s="37">
        <v>37578</v>
      </c>
      <c r="N1074">
        <v>9.4219790000000003</v>
      </c>
      <c r="O1074" s="36">
        <f>IF(ISBLANK(N1075),"",Long2[[#This Row],[Adj Close]]/N1075-1)</f>
        <v>1.0100707972609202E-2</v>
      </c>
      <c r="P1074" s="29">
        <v>37578</v>
      </c>
      <c r="Q1074">
        <v>6.4766250000000003</v>
      </c>
      <c r="R1074" s="33">
        <f>IF(ISBLANK(Q1075),"",Long3[[#This Row],[Adj Close]]/Q1075-1)</f>
        <v>3.9157170190491142E-2</v>
      </c>
      <c r="S1074" s="37">
        <v>37578</v>
      </c>
      <c r="T1074" s="35">
        <v>6.5139810000000002</v>
      </c>
      <c r="U1074" s="36">
        <f>IF(ISBLANK(T1075),"",Long4[[#This Row],[Adj Close]]/T1075-1)</f>
        <v>9.1428424940535935E-2</v>
      </c>
      <c r="Y1074" s="37">
        <v>37578</v>
      </c>
      <c r="Z1074" s="35">
        <v>10.485720000000001</v>
      </c>
      <c r="AA1074" s="36">
        <f>IF(ISBLANK(Z1075),"",Long6[[#This Row],[Adj Close]]/Z1075-1)</f>
        <v>8.6868913019142457E-2</v>
      </c>
      <c r="AK1074" s="37">
        <v>37578</v>
      </c>
      <c r="AL1074" s="39">
        <v>10.680894</v>
      </c>
      <c r="AM1074" s="36">
        <f>IF(ISBLANK(AL1075),"",Short1[[#This Row],[Adj Close]]/AL1075-1)</f>
        <v>0.22554229436507711</v>
      </c>
      <c r="AN1074" s="29">
        <v>37578</v>
      </c>
      <c r="AO1074" s="44">
        <v>19.339397000000002</v>
      </c>
      <c r="AP1074" s="33">
        <f>IF(ISBLANK(AO1075),"",Short2[[#This Row],[Adj Close]]/AO1075-1)</f>
        <v>5.5121879519974826E-3</v>
      </c>
    </row>
    <row r="1075" spans="1:42" x14ac:dyDescent="0.25">
      <c r="A1075" s="37">
        <v>37571</v>
      </c>
      <c r="B1075" s="39">
        <v>909.830017</v>
      </c>
      <c r="C1075" s="36">
        <f>IF(ISBLANK(B1076), "", GSPC[[#This Row],[Adj Close]]/B1076-1)</f>
        <v>1.6865264958147108E-2</v>
      </c>
      <c r="D107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7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75" s="11" t="e">
        <f>IF(ISBLANK(GSPC[[#This Row],[Long Exp.]]), "", (GSPC[[#This Row],[Long Exp.]]/D1076-1)+(E1076/GSPC[[#This Row],[Short Exp.]]-1))</f>
        <v>#VALUE!</v>
      </c>
      <c r="G1075" s="37">
        <v>37571</v>
      </c>
      <c r="H1075">
        <v>13.179581000000001</v>
      </c>
      <c r="I1075" s="36">
        <f>IF(ISBLANK(H1076), "", Long0[[#This Row],[Adj Close]]/H1076-1)</f>
        <v>3.7538681624283088E-2</v>
      </c>
      <c r="M1075" s="37">
        <v>37571</v>
      </c>
      <c r="N1075">
        <v>9.3277619999999999</v>
      </c>
      <c r="O1075" s="36">
        <f>IF(ISBLANK(N1076),"",Long2[[#This Row],[Adj Close]]/N1076-1)</f>
        <v>6.7797466321450894E-3</v>
      </c>
      <c r="P1075" s="29">
        <v>37571</v>
      </c>
      <c r="Q1075">
        <v>6.2325749999999998</v>
      </c>
      <c r="R1075" s="33">
        <f>IF(ISBLANK(Q1076),"",Long3[[#This Row],[Adj Close]]/Q1076-1)</f>
        <v>-2.6107657365904924E-2</v>
      </c>
      <c r="S1075" s="37">
        <v>37571</v>
      </c>
      <c r="T1075" s="35">
        <v>5.9683080000000004</v>
      </c>
      <c r="U1075" s="36">
        <f>IF(ISBLANK(T1076),"",Long4[[#This Row],[Adj Close]]/T1076-1)</f>
        <v>0.14192508531469827</v>
      </c>
      <c r="Y1075" s="37">
        <v>37571</v>
      </c>
      <c r="Z1075" s="35">
        <v>9.6476400000000009</v>
      </c>
      <c r="AA1075" s="36">
        <f>IF(ISBLANK(Z1076),"",Long6[[#This Row],[Adj Close]]/Z1076-1)</f>
        <v>0.10614517069014107</v>
      </c>
      <c r="AK1075" s="37">
        <v>37571</v>
      </c>
      <c r="AL1075" s="39">
        <v>8.7152390000000004</v>
      </c>
      <c r="AM1075" s="36">
        <f>IF(ISBLANK(AL1076),"",Short1[[#This Row],[Adj Close]]/AL1076-1)</f>
        <v>0.12222837152453536</v>
      </c>
      <c r="AN1075" s="29">
        <v>37571</v>
      </c>
      <c r="AO1075" s="44">
        <v>19.233378999999999</v>
      </c>
      <c r="AP1075" s="33">
        <f>IF(ISBLANK(AO1076),"",Short2[[#This Row],[Adj Close]]/AO1076-1)</f>
        <v>2.080310405495478E-2</v>
      </c>
    </row>
    <row r="1076" spans="1:42" x14ac:dyDescent="0.25">
      <c r="A1076" s="37">
        <v>37564</v>
      </c>
      <c r="B1076" s="39">
        <v>894.73999000000003</v>
      </c>
      <c r="C1076" s="36">
        <f>IF(ISBLANK(B1077), "", GSPC[[#This Row],[Adj Close]]/B1077-1)</f>
        <v>-6.9037824632799394E-3</v>
      </c>
      <c r="D107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7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76" s="11" t="e">
        <f>IF(ISBLANK(GSPC[[#This Row],[Long Exp.]]), "", (GSPC[[#This Row],[Long Exp.]]/D1077-1)+(E1077/GSPC[[#This Row],[Short Exp.]]-1))</f>
        <v>#VALUE!</v>
      </c>
      <c r="G1076" s="37">
        <v>37564</v>
      </c>
      <c r="H1076">
        <v>12.702737000000001</v>
      </c>
      <c r="I1076" s="36">
        <f>IF(ISBLANK(H1077), "", Long0[[#This Row],[Adj Close]]/H1077-1)</f>
        <v>1.2460786557162873E-2</v>
      </c>
      <c r="M1076" s="37">
        <v>37564</v>
      </c>
      <c r="N1076">
        <v>9.2649480000000004</v>
      </c>
      <c r="O1076" s="36">
        <f>IF(ISBLANK(N1077),"",Long2[[#This Row],[Adj Close]]/N1077-1)</f>
        <v>8.5472820831684615E-3</v>
      </c>
      <c r="P1076" s="29">
        <v>37564</v>
      </c>
      <c r="Q1076">
        <v>6.3996550000000001</v>
      </c>
      <c r="R1076" s="33">
        <f>IF(ISBLANK(Q1077),"",Long3[[#This Row],[Adj Close]]/Q1077-1)</f>
        <v>-2.9289872889759483E-4</v>
      </c>
      <c r="S1076" s="37">
        <v>37564</v>
      </c>
      <c r="T1076" s="35">
        <v>5.2265319999999997</v>
      </c>
      <c r="U1076" s="36">
        <f>IF(ISBLANK(T1077),"",Long4[[#This Row],[Adj Close]]/T1077-1)</f>
        <v>-1.4469568575452008E-2</v>
      </c>
      <c r="Y1076" s="37">
        <v>37564</v>
      </c>
      <c r="Z1076" s="35">
        <v>8.721857</v>
      </c>
      <c r="AA1076" s="36">
        <f>IF(ISBLANK(Z1077),"",Long6[[#This Row],[Adj Close]]/Z1077-1)</f>
        <v>-8.5801580262214294E-2</v>
      </c>
      <c r="AK1076" s="37">
        <v>37564</v>
      </c>
      <c r="AL1076" s="39">
        <v>7.7660119999999999</v>
      </c>
      <c r="AM1076" s="36">
        <f>IF(ISBLANK(AL1077),"",Short1[[#This Row],[Adj Close]]/AL1077-1)</f>
        <v>-6.2848429543470474E-2</v>
      </c>
      <c r="AN1076" s="29">
        <v>37564</v>
      </c>
      <c r="AO1076" s="44">
        <v>18.841418999999998</v>
      </c>
      <c r="AP1076" s="33">
        <f>IF(ISBLANK(AO1077),"",Short2[[#This Row],[Adj Close]]/AO1077-1)</f>
        <v>-6.6292455220102631E-2</v>
      </c>
    </row>
    <row r="1077" spans="1:42" x14ac:dyDescent="0.25">
      <c r="A1077" s="37">
        <v>37557</v>
      </c>
      <c r="B1077" s="39">
        <v>900.96002199999998</v>
      </c>
      <c r="C1077" s="36">
        <f>IF(ISBLANK(B1078), "", GSPC[[#This Row],[Adj Close]]/B1078-1)</f>
        <v>3.6874036779392938E-3</v>
      </c>
      <c r="D107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7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77" s="11" t="e">
        <f>IF(ISBLANK(GSPC[[#This Row],[Long Exp.]]), "", (GSPC[[#This Row],[Long Exp.]]/D1078-1)+(E1078/GSPC[[#This Row],[Short Exp.]]-1))</f>
        <v>#VALUE!</v>
      </c>
      <c r="G1077" s="37">
        <v>37557</v>
      </c>
      <c r="H1077">
        <v>12.546398999999999</v>
      </c>
      <c r="I1077" s="36">
        <f>IF(ISBLANK(H1078), "", Long0[[#This Row],[Adj Close]]/H1078-1)</f>
        <v>6.6091038866135321E-2</v>
      </c>
      <c r="M1077" s="37">
        <v>37557</v>
      </c>
      <c r="N1077">
        <v>9.1864290000000004</v>
      </c>
      <c r="O1077" s="36">
        <f>IF(ISBLANK(N1078),"",Long2[[#This Row],[Adj Close]]/N1078-1)</f>
        <v>1.9163958471618336E-2</v>
      </c>
      <c r="P1077" s="29">
        <v>37557</v>
      </c>
      <c r="Q1077">
        <v>6.4015300000000002</v>
      </c>
      <c r="R1077" s="33">
        <f>IF(ISBLANK(Q1078),"",Long3[[#This Row],[Adj Close]]/Q1078-1)</f>
        <v>4.9876742768365068E-2</v>
      </c>
      <c r="S1077" s="37">
        <v>37557</v>
      </c>
      <c r="T1077" s="35">
        <v>5.3032680000000001</v>
      </c>
      <c r="U1077" s="36">
        <f>IF(ISBLANK(T1078),"",Long4[[#This Row],[Adj Close]]/T1078-1)</f>
        <v>-5.038166353336504E-2</v>
      </c>
      <c r="Y1077" s="37">
        <v>37557</v>
      </c>
      <c r="Z1077" s="35">
        <v>9.5404420000000005</v>
      </c>
      <c r="AA1077" s="36">
        <f>IF(ISBLANK(Z1078),"",Long6[[#This Row],[Adj Close]]/Z1078-1)</f>
        <v>0.3559555170548987</v>
      </c>
      <c r="AK1077" s="37">
        <v>37557</v>
      </c>
      <c r="AL1077" s="39">
        <v>8.2868259999999996</v>
      </c>
      <c r="AM1077" s="36">
        <f>IF(ISBLANK(AL1078),"",Short1[[#This Row],[Adj Close]]/AL1078-1)</f>
        <v>-0.13388929185836751</v>
      </c>
      <c r="AN1077" s="29">
        <v>37557</v>
      </c>
      <c r="AO1077" s="44">
        <v>20.179144000000001</v>
      </c>
      <c r="AP1077" s="33">
        <f>IF(ISBLANK(AO1078),"",Short2[[#This Row],[Adj Close]]/AO1078-1)</f>
        <v>-3.3776359440481962E-2</v>
      </c>
    </row>
    <row r="1078" spans="1:42" x14ac:dyDescent="0.25">
      <c r="A1078" s="37">
        <v>37550</v>
      </c>
      <c r="B1078" s="39">
        <v>897.65002400000003</v>
      </c>
      <c r="C1078" s="36">
        <f>IF(ISBLANK(B1079), "", GSPC[[#This Row],[Adj Close]]/B1079-1)</f>
        <v>1.4993395193409143E-2</v>
      </c>
      <c r="D107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7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78" s="11" t="e">
        <f>IF(ISBLANK(GSPC[[#This Row],[Long Exp.]]), "", (GSPC[[#This Row],[Long Exp.]]/D1079-1)+(E1079/GSPC[[#This Row],[Short Exp.]]-1))</f>
        <v>#VALUE!</v>
      </c>
      <c r="G1078" s="37">
        <v>37550</v>
      </c>
      <c r="H1078">
        <v>11.768599999999999</v>
      </c>
      <c r="I1078" s="36">
        <f>IF(ISBLANK(H1079), "", Long0[[#This Row],[Adj Close]]/H1079-1)</f>
        <v>-7.5808089338809115E-3</v>
      </c>
      <c r="M1078" s="37">
        <v>37550</v>
      </c>
      <c r="N1078">
        <v>9.0136909999999997</v>
      </c>
      <c r="O1078" s="36">
        <f>IF(ISBLANK(N1079),"",Long2[[#This Row],[Adj Close]]/N1079-1)</f>
        <v>-4.2535445407831385E-2</v>
      </c>
      <c r="P1078" s="29">
        <v>37550</v>
      </c>
      <c r="Q1078">
        <v>6.0974110000000001</v>
      </c>
      <c r="R1078" s="33">
        <f>IF(ISBLANK(Q1079),"",Long3[[#This Row],[Adj Close]]/Q1079-1)</f>
        <v>7.3718474742814566E-2</v>
      </c>
      <c r="S1078" s="37">
        <v>37550</v>
      </c>
      <c r="T1078" s="35">
        <v>5.5846309999999999</v>
      </c>
      <c r="U1078" s="36">
        <f>IF(ISBLANK(T1079),"",Long4[[#This Row],[Adj Close]]/T1079-1)</f>
        <v>-0.10519127499841785</v>
      </c>
      <c r="Y1078" s="37">
        <v>37550</v>
      </c>
      <c r="Z1078" s="35">
        <v>7.0359550000000004</v>
      </c>
      <c r="AA1078" s="36">
        <f>IF(ISBLANK(Z1079),"",Long6[[#This Row],[Adj Close]]/Z1079-1)</f>
        <v>2.4113396103133455E-2</v>
      </c>
      <c r="AK1078" s="37">
        <v>37550</v>
      </c>
      <c r="AL1078" s="39">
        <v>9.5678599999999996</v>
      </c>
      <c r="AM1078" s="36">
        <f>IF(ISBLANK(AL1079),"",Short1[[#This Row],[Adj Close]]/AL1079-1)</f>
        <v>9.0996083280434181E-2</v>
      </c>
      <c r="AN1078" s="29">
        <v>37550</v>
      </c>
      <c r="AO1078" s="44">
        <v>20.884547999999999</v>
      </c>
      <c r="AP1078" s="33">
        <f>IF(ISBLANK(AO1079),"",Short2[[#This Row],[Adj Close]]/AO1079-1)</f>
        <v>-3.3144508597142686E-3</v>
      </c>
    </row>
    <row r="1079" spans="1:42" x14ac:dyDescent="0.25">
      <c r="A1079" s="37">
        <v>37543</v>
      </c>
      <c r="B1079" s="39">
        <v>884.39001499999995</v>
      </c>
      <c r="C1079" s="36">
        <f>IF(ISBLANK(B1080), "", GSPC[[#This Row],[Adj Close]]/B1080-1)</f>
        <v>5.8743963497572382E-2</v>
      </c>
      <c r="D107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7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79" s="11" t="e">
        <f>IF(ISBLANK(GSPC[[#This Row],[Long Exp.]]), "", (GSPC[[#This Row],[Long Exp.]]/D1080-1)+(E1080/GSPC[[#This Row],[Short Exp.]]-1))</f>
        <v>#VALUE!</v>
      </c>
      <c r="G1079" s="37">
        <v>37543</v>
      </c>
      <c r="H1079">
        <v>11.858497</v>
      </c>
      <c r="I1079" s="36">
        <f>IF(ISBLANK(H1080), "", Long0[[#This Row],[Adj Close]]/H1080-1)</f>
        <v>-6.1262149725657467E-2</v>
      </c>
      <c r="M1079" s="37">
        <v>37543</v>
      </c>
      <c r="N1079">
        <v>9.4141250000000003</v>
      </c>
      <c r="O1079" s="36">
        <f>IF(ISBLANK(N1080),"",Long2[[#This Row],[Adj Close]]/N1080-1)</f>
        <v>6.1061987897020886E-2</v>
      </c>
      <c r="P1079" s="29">
        <v>37543</v>
      </c>
      <c r="Q1079">
        <v>5.6787799999999997</v>
      </c>
      <c r="R1079" s="33">
        <f>IF(ISBLANK(Q1080),"",Long3[[#This Row],[Adj Close]]/Q1080-1)</f>
        <v>5.1442702299469456E-2</v>
      </c>
      <c r="S1079" s="37">
        <v>37543</v>
      </c>
      <c r="T1079" s="35">
        <v>6.2411450000000004</v>
      </c>
      <c r="U1079" s="36">
        <f>IF(ISBLANK(T1080),"",Long4[[#This Row],[Adj Close]]/T1080-1)</f>
        <v>0.19607831112530127</v>
      </c>
      <c r="Y1079" s="37">
        <v>37543</v>
      </c>
      <c r="Z1079" s="35">
        <v>6.8702889999999996</v>
      </c>
      <c r="AA1079" s="36">
        <f>IF(ISBLANK(Z1080),"",Long6[[#This Row],[Adj Close]]/Z1080-1)</f>
        <v>7.6335618348384759E-2</v>
      </c>
      <c r="AK1079" s="37">
        <v>37543</v>
      </c>
      <c r="AL1079" s="39">
        <v>8.7698389999999993</v>
      </c>
      <c r="AM1079" s="36">
        <f>IF(ISBLANK(AL1080),"",Short1[[#This Row],[Adj Close]]/AL1080-1)</f>
        <v>6.0975643689528791E-2</v>
      </c>
      <c r="AN1079" s="29">
        <v>37543</v>
      </c>
      <c r="AO1079" s="44">
        <v>20.953999</v>
      </c>
      <c r="AP1079" s="33">
        <f>IF(ISBLANK(AO1080),"",Short2[[#This Row],[Adj Close]]/AO1080-1)</f>
        <v>5.4829914583137462E-2</v>
      </c>
    </row>
    <row r="1080" spans="1:42" x14ac:dyDescent="0.25">
      <c r="A1080" s="37">
        <v>37536</v>
      </c>
      <c r="B1080" s="39">
        <v>835.32000700000003</v>
      </c>
      <c r="C1080" s="36">
        <f>IF(ISBLANK(B1081), "", GSPC[[#This Row],[Adj Close]]/B1081-1)</f>
        <v>4.3393526271340965E-2</v>
      </c>
      <c r="D108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8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80" s="11" t="e">
        <f>IF(ISBLANK(GSPC[[#This Row],[Long Exp.]]), "", (GSPC[[#This Row],[Long Exp.]]/D1081-1)+(E1081/GSPC[[#This Row],[Short Exp.]]-1))</f>
        <v>#VALUE!</v>
      </c>
      <c r="G1080" s="37">
        <v>37536</v>
      </c>
      <c r="H1080">
        <v>12.632384</v>
      </c>
      <c r="I1080" s="36">
        <f>IF(ISBLANK(H1081), "", Long0[[#This Row],[Adj Close]]/H1081-1)</f>
        <v>-1.4333705313775202E-2</v>
      </c>
      <c r="M1080" s="37">
        <v>37536</v>
      </c>
      <c r="N1080">
        <v>8.8723609999999997</v>
      </c>
      <c r="O1080" s="36">
        <f>IF(ISBLANK(N1081),"",Long2[[#This Row],[Adj Close]]/N1081-1)</f>
        <v>4.4445314907490818E-3</v>
      </c>
      <c r="P1080" s="29">
        <v>37536</v>
      </c>
      <c r="Q1080">
        <v>5.4009410000000004</v>
      </c>
      <c r="R1080" s="33">
        <f>IF(ISBLANK(Q1081),"",Long3[[#This Row],[Adj Close]]/Q1081-1)</f>
        <v>-8.0830763795262328E-2</v>
      </c>
      <c r="S1080" s="37">
        <v>37536</v>
      </c>
      <c r="T1080" s="35">
        <v>5.2180070000000001</v>
      </c>
      <c r="U1080" s="36">
        <f>IF(ISBLANK(T1081),"",Long4[[#This Row],[Adj Close]]/T1081-1)</f>
        <v>-4.5241722039095933E-2</v>
      </c>
      <c r="Y1080" s="37">
        <v>37536</v>
      </c>
      <c r="Z1080" s="35">
        <v>6.3830359999999997</v>
      </c>
      <c r="AA1080" s="36">
        <f>IF(ISBLANK(Z1081),"",Long6[[#This Row],[Adj Close]]/Z1081-1)</f>
        <v>0.10455316291850969</v>
      </c>
      <c r="AK1080" s="37">
        <v>37536</v>
      </c>
      <c r="AL1080" s="39">
        <v>8.2658249999999995</v>
      </c>
      <c r="AM1080" s="36">
        <f>IF(ISBLANK(AL1081),"",Short1[[#This Row],[Adj Close]]/AL1081-1)</f>
        <v>-6.1068954620249749E-2</v>
      </c>
      <c r="AN1080" s="29">
        <v>37536</v>
      </c>
      <c r="AO1080" s="44">
        <v>19.864813000000002</v>
      </c>
      <c r="AP1080" s="33">
        <f>IF(ISBLANK(AO1081),"",Short2[[#This Row],[Adj Close]]/AO1081-1)</f>
        <v>1.2670144459661081E-2</v>
      </c>
    </row>
    <row r="1081" spans="1:42" x14ac:dyDescent="0.25">
      <c r="A1081" s="37">
        <v>37529</v>
      </c>
      <c r="B1081" s="39">
        <v>800.580017</v>
      </c>
      <c r="C1081" s="36">
        <f>IF(ISBLANK(B1082), "", GSPC[[#This Row],[Adj Close]]/B1082-1)</f>
        <v>-3.2379682804426602E-2</v>
      </c>
      <c r="D108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8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81" s="11" t="e">
        <f>IF(ISBLANK(GSPC[[#This Row],[Long Exp.]]), "", (GSPC[[#This Row],[Long Exp.]]/D1082-1)+(E1082/GSPC[[#This Row],[Short Exp.]]-1))</f>
        <v>#VALUE!</v>
      </c>
      <c r="G1081" s="37">
        <v>37529</v>
      </c>
      <c r="H1081">
        <v>12.816086</v>
      </c>
      <c r="I1081" s="36">
        <f>IF(ISBLANK(H1082), "", Long0[[#This Row],[Adj Close]]/H1082-1)</f>
        <v>2.1167653074322779E-2</v>
      </c>
      <c r="M1081" s="37">
        <v>37529</v>
      </c>
      <c r="N1081">
        <v>8.8331020000000002</v>
      </c>
      <c r="O1081" s="36">
        <f>IF(ISBLANK(N1082),"",Long2[[#This Row],[Adj Close]]/N1082-1)</f>
        <v>-5.0633444702320674E-2</v>
      </c>
      <c r="P1081" s="29">
        <v>37529</v>
      </c>
      <c r="Q1081">
        <v>5.8758939999999997</v>
      </c>
      <c r="R1081" s="33">
        <f>IF(ISBLANK(Q1082),"",Long3[[#This Row],[Adj Close]]/Q1082-1)</f>
        <v>-2.2791032998028427E-2</v>
      </c>
      <c r="S1081" s="37">
        <v>37529</v>
      </c>
      <c r="T1081" s="35">
        <v>5.4652649999999996</v>
      </c>
      <c r="U1081" s="36">
        <f>IF(ISBLANK(T1082),"",Long4[[#This Row],[Adj Close]]/T1082-1)</f>
        <v>5.0819714998440624E-2</v>
      </c>
      <c r="Y1081" s="37">
        <v>37529</v>
      </c>
      <c r="Z1081" s="35">
        <v>5.7788399999999998</v>
      </c>
      <c r="AA1081" s="36">
        <f>IF(ISBLANK(Z1082),"",Long6[[#This Row],[Adj Close]]/Z1082-1)</f>
        <v>-1.9834525711610707E-2</v>
      </c>
      <c r="AK1081" s="37">
        <v>37529</v>
      </c>
      <c r="AL1081" s="39">
        <v>8.8034420000000004</v>
      </c>
      <c r="AM1081" s="36">
        <f>IF(ISBLANK(AL1082),"",Short1[[#This Row],[Adj Close]]/AL1082-1)</f>
        <v>-0.11710175194803518</v>
      </c>
      <c r="AN1081" s="29">
        <v>37529</v>
      </c>
      <c r="AO1081" s="44">
        <v>19.616271999999999</v>
      </c>
      <c r="AP1081" s="33">
        <f>IF(ISBLANK(AO1082),"",Short2[[#This Row],[Adj Close]]/AO1082-1)</f>
        <v>-4.1606951145595095E-2</v>
      </c>
    </row>
    <row r="1082" spans="1:42" x14ac:dyDescent="0.25">
      <c r="A1082" s="37">
        <v>37522</v>
      </c>
      <c r="B1082" s="39">
        <v>827.36999500000002</v>
      </c>
      <c r="C1082" s="36">
        <f>IF(ISBLANK(B1083), "", GSPC[[#This Row],[Adj Close]]/B1083-1)</f>
        <v>-2.1315629094578292E-2</v>
      </c>
      <c r="D108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8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82" s="11" t="e">
        <f>IF(ISBLANK(GSPC[[#This Row],[Long Exp.]]), "", (GSPC[[#This Row],[Long Exp.]]/D1083-1)+(E1083/GSPC[[#This Row],[Short Exp.]]-1))</f>
        <v>#VALUE!</v>
      </c>
      <c r="G1082" s="37">
        <v>37522</v>
      </c>
      <c r="H1082">
        <v>12.550423</v>
      </c>
      <c r="I1082" s="36">
        <f>IF(ISBLANK(H1083), "", Long0[[#This Row],[Adj Close]]/H1083-1)</f>
        <v>1.3556241430489058E-2</v>
      </c>
      <c r="M1082" s="37">
        <v>37522</v>
      </c>
      <c r="N1082">
        <v>9.3042060000000006</v>
      </c>
      <c r="O1082" s="36">
        <f>IF(ISBLANK(N1083),"",Long2[[#This Row],[Adj Close]]/N1083-1)</f>
        <v>-7.1316595177061681E-2</v>
      </c>
      <c r="P1082" s="29">
        <v>37522</v>
      </c>
      <c r="Q1082">
        <v>6.0129349999999997</v>
      </c>
      <c r="R1082" s="33">
        <f>IF(ISBLANK(Q1083),"",Long3[[#This Row],[Adj Close]]/Q1083-1)</f>
        <v>1.4892565886447162E-2</v>
      </c>
      <c r="S1082" s="37">
        <v>37522</v>
      </c>
      <c r="T1082" s="35">
        <v>5.2009540000000003</v>
      </c>
      <c r="U1082" s="36">
        <f>IF(ISBLANK(T1083),"",Long4[[#This Row],[Adj Close]]/T1083-1)</f>
        <v>-1.2944752884804012E-2</v>
      </c>
      <c r="Y1082" s="37">
        <v>37522</v>
      </c>
      <c r="Z1082" s="35">
        <v>5.8957800000000002</v>
      </c>
      <c r="AA1082" s="36">
        <f>IF(ISBLANK(Z1083),"",Long6[[#This Row],[Adj Close]]/Z1083-1)</f>
        <v>0.1121320287301435</v>
      </c>
      <c r="AK1082" s="37">
        <v>37522</v>
      </c>
      <c r="AL1082" s="39">
        <v>9.9710719999999995</v>
      </c>
      <c r="AM1082" s="36">
        <f>IF(ISBLANK(AL1083),"",Short1[[#This Row],[Adj Close]]/AL1083-1)</f>
        <v>-1.0833433529002567E-2</v>
      </c>
      <c r="AN1082" s="29">
        <v>37522</v>
      </c>
      <c r="AO1082" s="44">
        <v>20.467877999999999</v>
      </c>
      <c r="AP1082" s="33">
        <f>IF(ISBLANK(AO1083),"",Short2[[#This Row],[Adj Close]]/AO1083-1)</f>
        <v>2.6852902967084979E-3</v>
      </c>
    </row>
    <row r="1083" spans="1:42" x14ac:dyDescent="0.25">
      <c r="A1083" s="37">
        <v>37515</v>
      </c>
      <c r="B1083" s="39">
        <v>845.39001499999995</v>
      </c>
      <c r="C1083" s="36">
        <f>IF(ISBLANK(B1084), "", GSPC[[#This Row],[Adj Close]]/B1084-1)</f>
        <v>-4.9920750609502629E-2</v>
      </c>
      <c r="D108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8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83" s="11" t="e">
        <f>IF(ISBLANK(GSPC[[#This Row],[Long Exp.]]), "", (GSPC[[#This Row],[Long Exp.]]/D1084-1)+(E1084/GSPC[[#This Row],[Short Exp.]]-1))</f>
        <v>#VALUE!</v>
      </c>
      <c r="G1083" s="37">
        <v>37515</v>
      </c>
      <c r="H1083">
        <v>12.382562</v>
      </c>
      <c r="I1083" s="36">
        <f>IF(ISBLANK(H1084), "", Long0[[#This Row],[Adj Close]]/H1084-1)</f>
        <v>-3.292671811921144E-2</v>
      </c>
      <c r="M1083" s="37">
        <v>37515</v>
      </c>
      <c r="N1083">
        <v>10.018706</v>
      </c>
      <c r="O1083" s="36">
        <f>IF(ISBLANK(N1084),"",Long2[[#This Row],[Adj Close]]/N1084-1)</f>
        <v>-0.10575723939275039</v>
      </c>
      <c r="P1083" s="29">
        <v>37515</v>
      </c>
      <c r="Q1083">
        <v>5.9247009999999998</v>
      </c>
      <c r="R1083" s="33">
        <f>IF(ISBLANK(Q1084),"",Long3[[#This Row],[Adj Close]]/Q1084-1)</f>
        <v>1.586559365551965E-3</v>
      </c>
      <c r="S1083" s="37">
        <v>37515</v>
      </c>
      <c r="T1083" s="35">
        <v>5.2691619999999997</v>
      </c>
      <c r="U1083" s="36">
        <f>IF(ISBLANK(T1084),"",Long4[[#This Row],[Adj Close]]/T1084-1)</f>
        <v>-3.1347954890770358E-2</v>
      </c>
      <c r="Y1083" s="37">
        <v>37515</v>
      </c>
      <c r="Z1083" s="35">
        <v>5.3013310000000002</v>
      </c>
      <c r="AA1083" s="36">
        <f>IF(ISBLANK(Z1084),"",Long6[[#This Row],[Adj Close]]/Z1084-1)</f>
        <v>-1.8050007233117005E-2</v>
      </c>
      <c r="AK1083" s="37">
        <v>37515</v>
      </c>
      <c r="AL1083" s="39">
        <v>10.080276</v>
      </c>
      <c r="AM1083" s="36">
        <f>IF(ISBLANK(AL1084),"",Short1[[#This Row],[Adj Close]]/AL1084-1)</f>
        <v>-6.6224343253008522E-3</v>
      </c>
      <c r="AN1083" s="29">
        <v>37515</v>
      </c>
      <c r="AO1083" s="44">
        <v>20.413063000000001</v>
      </c>
      <c r="AP1083" s="33">
        <f>IF(ISBLANK(AO1084),"",Short2[[#This Row],[Adj Close]]/AO1084-1)</f>
        <v>-3.9387576058052653E-2</v>
      </c>
    </row>
    <row r="1084" spans="1:42" x14ac:dyDescent="0.25">
      <c r="A1084" s="37">
        <v>37508</v>
      </c>
      <c r="B1084" s="39">
        <v>889.80999799999995</v>
      </c>
      <c r="C1084" s="36">
        <f>IF(ISBLANK(B1085), "", GSPC[[#This Row],[Adj Close]]/B1085-1)</f>
        <v>-4.5977101733500891E-3</v>
      </c>
      <c r="D108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8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84" s="11" t="e">
        <f>IF(ISBLANK(GSPC[[#This Row],[Long Exp.]]), "", (GSPC[[#This Row],[Long Exp.]]/D1085-1)+(E1085/GSPC[[#This Row],[Short Exp.]]-1))</f>
        <v>#VALUE!</v>
      </c>
      <c r="G1084" s="37">
        <v>37508</v>
      </c>
      <c r="H1084">
        <v>12.804161000000001</v>
      </c>
      <c r="I1084" s="36">
        <f>IF(ISBLANK(H1085), "", Long0[[#This Row],[Adj Close]]/H1085-1)</f>
        <v>-3.9481399875564982E-3</v>
      </c>
      <c r="M1084" s="37">
        <v>37508</v>
      </c>
      <c r="N1084">
        <v>11.203564</v>
      </c>
      <c r="O1084" s="36">
        <f>IF(ISBLANK(N1085),"",Long2[[#This Row],[Adj Close]]/N1085-1)</f>
        <v>4.9192210427975391E-2</v>
      </c>
      <c r="P1084" s="29">
        <v>37508</v>
      </c>
      <c r="Q1084">
        <v>5.9153159999999998</v>
      </c>
      <c r="R1084" s="33">
        <f>IF(ISBLANK(Q1085),"",Long3[[#This Row],[Adj Close]]/Q1085-1)</f>
        <v>-4.8846480445633778E-2</v>
      </c>
      <c r="S1084" s="37">
        <v>37508</v>
      </c>
      <c r="T1084" s="35">
        <v>5.4396849999999999</v>
      </c>
      <c r="U1084" s="36">
        <f>IF(ISBLANK(T1085),"",Long4[[#This Row],[Adj Close]]/T1085-1)</f>
        <v>3.1445978365121086E-3</v>
      </c>
      <c r="Y1084" s="37">
        <v>37508</v>
      </c>
      <c r="Z1084" s="35">
        <v>5.3987790000000002</v>
      </c>
      <c r="AA1084" s="36">
        <f>IF(ISBLANK(Z1085),"",Long6[[#This Row],[Adj Close]]/Z1085-1)</f>
        <v>-1.7730874533680496E-2</v>
      </c>
      <c r="AK1084" s="37">
        <v>37508</v>
      </c>
      <c r="AL1084" s="39">
        <v>10.147477</v>
      </c>
      <c r="AM1084" s="36">
        <f>IF(ISBLANK(AL1085),"",Short1[[#This Row],[Adj Close]]/AL1085-1)</f>
        <v>6.666583335614984E-3</v>
      </c>
      <c r="AN1084" s="29">
        <v>37508</v>
      </c>
      <c r="AO1084" s="44">
        <v>21.250050999999999</v>
      </c>
      <c r="AP1084" s="33">
        <f>IF(ISBLANK(AO1085),"",Short2[[#This Row],[Adj Close]]/AO1085-1)</f>
        <v>4.2308960431496123E-2</v>
      </c>
    </row>
    <row r="1085" spans="1:42" x14ac:dyDescent="0.25">
      <c r="A1085" s="37">
        <v>37501</v>
      </c>
      <c r="B1085" s="39">
        <v>893.919983</v>
      </c>
      <c r="C1085" s="36">
        <f>IF(ISBLANK(B1086), "", GSPC[[#This Row],[Adj Close]]/B1086-1)</f>
        <v>-2.4179400952704766E-2</v>
      </c>
      <c r="D108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8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85" s="11" t="e">
        <f>IF(ISBLANK(GSPC[[#This Row],[Long Exp.]]), "", (GSPC[[#This Row],[Long Exp.]]/D1086-1)+(E1086/GSPC[[#This Row],[Short Exp.]]-1))</f>
        <v>#VALUE!</v>
      </c>
      <c r="G1085" s="37">
        <v>37501</v>
      </c>
      <c r="H1085">
        <v>12.854914000000001</v>
      </c>
      <c r="I1085" s="36">
        <f>IF(ISBLANK(H1086), "", Long0[[#This Row],[Adj Close]]/H1086-1)</f>
        <v>8.576211172400372E-3</v>
      </c>
      <c r="M1085" s="37">
        <v>37501</v>
      </c>
      <c r="N1085">
        <v>10.678276</v>
      </c>
      <c r="O1085" s="36">
        <f>IF(ISBLANK(N1086),"",Long2[[#This Row],[Adj Close]]/N1086-1)</f>
        <v>2.8700661721234422E-2</v>
      </c>
      <c r="P1085" s="29">
        <v>37501</v>
      </c>
      <c r="Q1085">
        <v>6.2190969999999997</v>
      </c>
      <c r="R1085" s="33">
        <f>IF(ISBLANK(Q1086),"",Long3[[#This Row],[Adj Close]]/Q1086-1)</f>
        <v>-7.8954535659779834E-2</v>
      </c>
      <c r="S1085" s="37">
        <v>37501</v>
      </c>
      <c r="T1085" s="35">
        <v>5.4226330000000003</v>
      </c>
      <c r="U1085" s="36">
        <f>IF(ISBLANK(T1086),"",Long4[[#This Row],[Adj Close]]/T1086-1)</f>
        <v>9.5236375395446604E-3</v>
      </c>
      <c r="Y1085" s="37">
        <v>37501</v>
      </c>
      <c r="Z1085" s="35">
        <v>5.496232</v>
      </c>
      <c r="AA1085" s="36">
        <f>IF(ISBLANK(Z1086),"",Long6[[#This Row],[Adj Close]]/Z1086-1)</f>
        <v>4.2514037116940573E-2</v>
      </c>
      <c r="AK1085" s="37">
        <v>37501</v>
      </c>
      <c r="AL1085" s="39">
        <v>10.080276</v>
      </c>
      <c r="AM1085" s="36">
        <f>IF(ISBLANK(AL1086),"",Short1[[#This Row],[Adj Close]]/AL1086-1)</f>
        <v>0.13207557340921627</v>
      </c>
      <c r="AN1085" s="29">
        <v>37501</v>
      </c>
      <c r="AO1085" s="44">
        <v>20.387478000000002</v>
      </c>
      <c r="AP1085" s="33">
        <f>IF(ISBLANK(AO1086),"",Short2[[#This Row],[Adj Close]]/AO1086-1)</f>
        <v>5.6439283551252384E-2</v>
      </c>
    </row>
    <row r="1086" spans="1:42" x14ac:dyDescent="0.25">
      <c r="A1086" s="37">
        <v>37494</v>
      </c>
      <c r="B1086" s="39">
        <v>916.07000700000003</v>
      </c>
      <c r="C1086" s="36">
        <f>IF(ISBLANK(B1087), "", GSPC[[#This Row],[Adj Close]]/B1087-1)</f>
        <v>-2.6348211631085583E-2</v>
      </c>
      <c r="D108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8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86" s="11" t="e">
        <f>IF(ISBLANK(GSPC[[#This Row],[Long Exp.]]), "", (GSPC[[#This Row],[Long Exp.]]/D1087-1)+(E1087/GSPC[[#This Row],[Short Exp.]]-1))</f>
        <v>#VALUE!</v>
      </c>
      <c r="G1086" s="37">
        <v>37494</v>
      </c>
      <c r="H1086">
        <v>12.745604999999999</v>
      </c>
      <c r="I1086" s="36">
        <f>IF(ISBLANK(H1087), "", Long0[[#This Row],[Adj Close]]/H1087-1)</f>
        <v>-2.5373273111474193E-2</v>
      </c>
      <c r="M1086" s="37">
        <v>37494</v>
      </c>
      <c r="N1086">
        <v>10.380352999999999</v>
      </c>
      <c r="O1086" s="36">
        <f>IF(ISBLANK(N1087),"",Long2[[#This Row],[Adj Close]]/N1087-1)</f>
        <v>-2.3598759015531434E-2</v>
      </c>
      <c r="P1086" s="29">
        <v>37494</v>
      </c>
      <c r="Q1086">
        <v>6.7522149999999996</v>
      </c>
      <c r="R1086" s="33">
        <f>IF(ISBLANK(Q1087),"",Long3[[#This Row],[Adj Close]]/Q1087-1)</f>
        <v>-1.7036377521712054E-2</v>
      </c>
      <c r="S1086" s="37">
        <v>37494</v>
      </c>
      <c r="T1086" s="35">
        <v>5.3714769999999996</v>
      </c>
      <c r="U1086" s="36">
        <f>IF(ISBLANK(T1087),"",Long4[[#This Row],[Adj Close]]/T1087-1)</f>
        <v>-1.0988814726285989E-2</v>
      </c>
      <c r="Y1086" s="37">
        <v>37494</v>
      </c>
      <c r="Z1086" s="35">
        <v>5.2720940000000001</v>
      </c>
      <c r="AA1086" s="36">
        <f>IF(ISBLANK(Z1087),"",Long6[[#This Row],[Adj Close]]/Z1087-1)</f>
        <v>7.4487198253279097E-3</v>
      </c>
      <c r="AK1086" s="37">
        <v>37494</v>
      </c>
      <c r="AL1086" s="39">
        <v>8.9042429999999992</v>
      </c>
      <c r="AM1086" s="36">
        <f>IF(ISBLANK(AL1087),"",Short1[[#This Row],[Adj Close]]/AL1087-1)</f>
        <v>-8.0260474198312615E-2</v>
      </c>
      <c r="AN1086" s="29">
        <v>37494</v>
      </c>
      <c r="AO1086" s="44">
        <v>19.298296000000001</v>
      </c>
      <c r="AP1086" s="33">
        <f>IF(ISBLANK(AO1087),"",Short2[[#This Row],[Adj Close]]/AO1087-1)</f>
        <v>-2.6728005363656049E-2</v>
      </c>
    </row>
    <row r="1087" spans="1:42" x14ac:dyDescent="0.25">
      <c r="A1087" s="37">
        <v>37487</v>
      </c>
      <c r="B1087" s="39">
        <v>940.85998500000005</v>
      </c>
      <c r="C1087" s="36">
        <f>IF(ISBLANK(B1088), "", GSPC[[#This Row],[Adj Close]]/B1088-1)</f>
        <v>1.3017178353797343E-2</v>
      </c>
      <c r="D108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8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87" s="11" t="e">
        <f>IF(ISBLANK(GSPC[[#This Row],[Long Exp.]]), "", (GSPC[[#This Row],[Long Exp.]]/D1088-1)+(E1088/GSPC[[#This Row],[Short Exp.]]-1))</f>
        <v>#VALUE!</v>
      </c>
      <c r="G1087" s="37">
        <v>37487</v>
      </c>
      <c r="H1087">
        <v>13.077422</v>
      </c>
      <c r="I1087" s="36">
        <f>IF(ISBLANK(H1088), "", Long0[[#This Row],[Adj Close]]/H1088-1)</f>
        <v>-3.2730794247660677E-3</v>
      </c>
      <c r="M1087" s="37">
        <v>37487</v>
      </c>
      <c r="N1087">
        <v>10.631237</v>
      </c>
      <c r="O1087" s="36">
        <f>IF(ISBLANK(N1088),"",Long2[[#This Row],[Adj Close]]/N1088-1)</f>
        <v>2.5718713116894998E-2</v>
      </c>
      <c r="P1087" s="29">
        <v>37487</v>
      </c>
      <c r="Q1087">
        <v>6.8692419999999998</v>
      </c>
      <c r="R1087" s="33">
        <f>IF(ISBLANK(Q1088),"",Long3[[#This Row],[Adj Close]]/Q1088-1)</f>
        <v>5.5064468941433908E-2</v>
      </c>
      <c r="S1087" s="37">
        <v>37487</v>
      </c>
      <c r="T1087" s="35">
        <v>5.4311590000000001</v>
      </c>
      <c r="U1087" s="36">
        <f>IF(ISBLANK(T1088),"",Long4[[#This Row],[Adj Close]]/T1088-1)</f>
        <v>-6.240502519090918E-3</v>
      </c>
      <c r="Y1087" s="37">
        <v>37487</v>
      </c>
      <c r="Z1087" s="35">
        <v>5.2331139999999996</v>
      </c>
      <c r="AA1087" s="36">
        <f>IF(ISBLANK(Z1088),"",Long6[[#This Row],[Adj Close]]/Z1088-1)</f>
        <v>2.2857323795994366E-2</v>
      </c>
      <c r="AK1087" s="37">
        <v>37487</v>
      </c>
      <c r="AL1087" s="39">
        <v>9.6812660000000008</v>
      </c>
      <c r="AM1087" s="36">
        <f>IF(ISBLANK(AL1088),"",Short1[[#This Row],[Adj Close]]/AL1088-1)</f>
        <v>-1.705770741228374E-2</v>
      </c>
      <c r="AN1087" s="29">
        <v>37487</v>
      </c>
      <c r="AO1087" s="44">
        <v>19.828265999999999</v>
      </c>
      <c r="AP1087" s="33">
        <f>IF(ISBLANK(AO1088),"",Short2[[#This Row],[Adj Close]]/AO1088-1)</f>
        <v>4.6287799264874918E-2</v>
      </c>
    </row>
    <row r="1088" spans="1:42" x14ac:dyDescent="0.25">
      <c r="A1088" s="37">
        <v>37480</v>
      </c>
      <c r="B1088" s="39">
        <v>928.77002000000005</v>
      </c>
      <c r="C1088" s="36">
        <f>IF(ISBLANK(B1089), "", GSPC[[#This Row],[Adj Close]]/B1089-1)</f>
        <v>2.2153993515242831E-2</v>
      </c>
      <c r="D108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8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88" s="11" t="e">
        <f>IF(ISBLANK(GSPC[[#This Row],[Long Exp.]]), "", (GSPC[[#This Row],[Long Exp.]]/D1089-1)+(E1089/GSPC[[#This Row],[Short Exp.]]-1))</f>
        <v>#VALUE!</v>
      </c>
      <c r="G1088" s="37">
        <v>37480</v>
      </c>
      <c r="H1088">
        <v>13.120366000000001</v>
      </c>
      <c r="I1088" s="36">
        <f>IF(ISBLANK(H1089), "", Long0[[#This Row],[Adj Close]]/H1089-1)</f>
        <v>1.0523398779072268E-2</v>
      </c>
      <c r="M1088" s="37">
        <v>37480</v>
      </c>
      <c r="N1088">
        <v>10.364671</v>
      </c>
      <c r="O1088" s="36">
        <f>IF(ISBLANK(N1089),"",Long2[[#This Row],[Adj Close]]/N1089-1)</f>
        <v>0.19529779255568203</v>
      </c>
      <c r="P1088" s="29">
        <v>37480</v>
      </c>
      <c r="Q1088">
        <v>6.510732</v>
      </c>
      <c r="R1088" s="33">
        <f>IF(ISBLANK(Q1089),"",Long3[[#This Row],[Adj Close]]/Q1089-1)</f>
        <v>2.4853604867491663E-2</v>
      </c>
      <c r="S1088" s="37">
        <v>37480</v>
      </c>
      <c r="T1088" s="35">
        <v>5.4652649999999996</v>
      </c>
      <c r="U1088" s="36">
        <f>IF(ISBLANK(T1089),"",Long4[[#This Row],[Adj Close]]/T1089-1)</f>
        <v>0.1109185702632598</v>
      </c>
      <c r="Y1088" s="37">
        <v>37480</v>
      </c>
      <c r="Z1088" s="35">
        <v>5.1161719999999997</v>
      </c>
      <c r="AA1088" s="36">
        <f>IF(ISBLANK(Z1089),"",Long6[[#This Row],[Adj Close]]/Z1089-1)</f>
        <v>-8.6956607090625138E-2</v>
      </c>
      <c r="AK1088" s="37">
        <v>37480</v>
      </c>
      <c r="AL1088" s="39">
        <v>9.8492719999999991</v>
      </c>
      <c r="AM1088" s="36">
        <f>IF(ISBLANK(AL1089),"",Short1[[#This Row],[Adj Close]]/AL1089-1)</f>
        <v>0.10301091602364387</v>
      </c>
      <c r="AN1088" s="29">
        <v>37480</v>
      </c>
      <c r="AO1088" s="44">
        <v>18.951063000000001</v>
      </c>
      <c r="AP1088" s="33">
        <f>IF(ISBLANK(AO1089),"",Short2[[#This Row],[Adj Close]]/AO1089-1)</f>
        <v>7.6843197866481416E-2</v>
      </c>
    </row>
    <row r="1089" spans="1:42" x14ac:dyDescent="0.25">
      <c r="A1089" s="37">
        <v>37473</v>
      </c>
      <c r="B1089" s="39">
        <v>908.64001499999995</v>
      </c>
      <c r="C1089" s="36">
        <f>IF(ISBLANK(B1090), "", GSPC[[#This Row],[Adj Close]]/B1090-1)</f>
        <v>5.137464768322042E-2</v>
      </c>
      <c r="D108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8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89" s="11" t="e">
        <f>IF(ISBLANK(GSPC[[#This Row],[Long Exp.]]), "", (GSPC[[#This Row],[Long Exp.]]/D1090-1)+(E1090/GSPC[[#This Row],[Short Exp.]]-1))</f>
        <v>#VALUE!</v>
      </c>
      <c r="G1089" s="37">
        <v>37473</v>
      </c>
      <c r="H1089">
        <v>12.983733000000001</v>
      </c>
      <c r="I1089" s="36">
        <f>IF(ISBLANK(H1090), "", Long0[[#This Row],[Adj Close]]/H1090-1)</f>
        <v>2.4961369750418738E-2</v>
      </c>
      <c r="M1089" s="37">
        <v>37473</v>
      </c>
      <c r="N1089">
        <v>8.6712039999999995</v>
      </c>
      <c r="O1089" s="36">
        <f>IF(ISBLANK(N1090),"",Long2[[#This Row],[Adj Close]]/N1090-1)</f>
        <v>8.5378242477132549E-2</v>
      </c>
      <c r="P1089" s="29">
        <v>37473</v>
      </c>
      <c r="Q1089">
        <v>6.3528409999999997</v>
      </c>
      <c r="R1089" s="33">
        <f>IF(ISBLANK(Q1090),"",Long3[[#This Row],[Adj Close]]/Q1090-1)</f>
        <v>6.6749673611431692E-2</v>
      </c>
      <c r="S1089" s="37">
        <v>37473</v>
      </c>
      <c r="T1089" s="35">
        <v>4.9195909999999996</v>
      </c>
      <c r="U1089" s="36">
        <f>IF(ISBLANK(T1090),"",Long4[[#This Row],[Adj Close]]/T1090-1)</f>
        <v>6.6543541466085765E-2</v>
      </c>
      <c r="Y1089" s="37">
        <v>37473</v>
      </c>
      <c r="Z1089" s="35">
        <v>5.6034269999999999</v>
      </c>
      <c r="AA1089" s="36">
        <f>IF(ISBLANK(Z1090),"",Long6[[#This Row],[Adj Close]]/Z1090-1)</f>
        <v>7.2761291182241061E-2</v>
      </c>
      <c r="AK1089" s="37">
        <v>37473</v>
      </c>
      <c r="AL1089" s="39">
        <v>8.9294419999999999</v>
      </c>
      <c r="AM1089" s="36">
        <f>IF(ISBLANK(AL1090),"",Short1[[#This Row],[Adj Close]]/AL1090-1)</f>
        <v>-0.26436022732936604</v>
      </c>
      <c r="AN1089" s="29">
        <v>37473</v>
      </c>
      <c r="AO1089" s="44">
        <v>17.598721000000001</v>
      </c>
      <c r="AP1089" s="33">
        <f>IF(ISBLANK(AO1090),"",Short2[[#This Row],[Adj Close]]/AO1090-1)</f>
        <v>8.9152159673389297E-2</v>
      </c>
    </row>
    <row r="1090" spans="1:42" x14ac:dyDescent="0.25">
      <c r="A1090" s="37">
        <v>37466</v>
      </c>
      <c r="B1090" s="39">
        <v>864.23999000000003</v>
      </c>
      <c r="C1090" s="36">
        <f>IF(ISBLANK(B1091), "", GSPC[[#This Row],[Adj Close]]/B1091-1)</f>
        <v>1.3367059048695618E-2</v>
      </c>
      <c r="D109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9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90" s="11" t="e">
        <f>IF(ISBLANK(GSPC[[#This Row],[Long Exp.]]), "", (GSPC[[#This Row],[Long Exp.]]/D1091-1)+(E1091/GSPC[[#This Row],[Short Exp.]]-1))</f>
        <v>#VALUE!</v>
      </c>
      <c r="G1090" s="37">
        <v>37466</v>
      </c>
      <c r="H1090">
        <v>12.667534</v>
      </c>
      <c r="I1090" s="36">
        <f>IF(ISBLANK(H1091), "", Long0[[#This Row],[Adj Close]]/H1091-1)</f>
        <v>9.3697530395730588E-2</v>
      </c>
      <c r="M1090" s="37">
        <v>37466</v>
      </c>
      <c r="N1090">
        <v>7.9891079999999999</v>
      </c>
      <c r="O1090" s="36">
        <f>IF(ISBLANK(N1091),"",Long2[[#This Row],[Adj Close]]/N1091-1)</f>
        <v>4.5128288449938214E-2</v>
      </c>
      <c r="P1090" s="29">
        <v>37466</v>
      </c>
      <c r="Q1090">
        <v>5.9553250000000002</v>
      </c>
      <c r="R1090" s="33">
        <f>IF(ISBLANK(Q1091),"",Long3[[#This Row],[Adj Close]]/Q1091-1)</f>
        <v>7.2241357270047768E-2</v>
      </c>
      <c r="S1090" s="37">
        <v>37466</v>
      </c>
      <c r="T1090" s="35">
        <v>4.6126490000000002</v>
      </c>
      <c r="U1090" s="36">
        <f>IF(ISBLANK(T1091),"",Long4[[#This Row],[Adj Close]]/T1091-1)</f>
        <v>-9.8333324211074435E-2</v>
      </c>
      <c r="Y1090" s="37">
        <v>37466</v>
      </c>
      <c r="Z1090" s="35">
        <v>5.2233679999999998</v>
      </c>
      <c r="AA1090" s="36">
        <f>IF(ISBLANK(Z1091),"",Long6[[#This Row],[Adj Close]]/Z1091-1)</f>
        <v>-3.770235060059679E-2</v>
      </c>
      <c r="AK1090" s="37">
        <v>37466</v>
      </c>
      <c r="AL1090" s="39">
        <v>12.138335</v>
      </c>
      <c r="AM1090" s="36">
        <f>IF(ISBLANK(AL1091),"",Short1[[#This Row],[Adj Close]]/AL1091-1)</f>
        <v>-8.9162416900638863E-3</v>
      </c>
      <c r="AN1090" s="29">
        <v>37466</v>
      </c>
      <c r="AO1090" s="44">
        <v>16.158183999999999</v>
      </c>
      <c r="AP1090" s="33">
        <f>IF(ISBLANK(AO1091),"",Short2[[#This Row],[Adj Close]]/AO1091-1)</f>
        <v>-9.2364228885182365E-2</v>
      </c>
    </row>
    <row r="1091" spans="1:42" x14ac:dyDescent="0.25">
      <c r="A1091" s="37">
        <v>37459</v>
      </c>
      <c r="B1091" s="39">
        <v>852.84002699999996</v>
      </c>
      <c r="C1091" s="36">
        <f>IF(ISBLANK(B1092), "", GSPC[[#This Row],[Adj Close]]/B1092-1)</f>
        <v>6.0041604246534597E-3</v>
      </c>
      <c r="D109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9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91" s="11" t="e">
        <f>IF(ISBLANK(GSPC[[#This Row],[Long Exp.]]), "", (GSPC[[#This Row],[Long Exp.]]/D1092-1)+(E1092/GSPC[[#This Row],[Short Exp.]]-1))</f>
        <v>#VALUE!</v>
      </c>
      <c r="G1091" s="37">
        <v>37459</v>
      </c>
      <c r="H1091">
        <v>11.582300999999999</v>
      </c>
      <c r="I1091" s="36">
        <f>IF(ISBLANK(H1092), "", Long0[[#This Row],[Adj Close]]/H1092-1)</f>
        <v>1.6095688425539212E-2</v>
      </c>
      <c r="M1091" s="37">
        <v>37459</v>
      </c>
      <c r="N1091">
        <v>7.6441410000000003</v>
      </c>
      <c r="O1091" s="36">
        <f>IF(ISBLANK(N1092),"",Long2[[#This Row],[Adj Close]]/N1092-1)</f>
        <v>6.5574115557736512E-2</v>
      </c>
      <c r="P1091" s="29">
        <v>37459</v>
      </c>
      <c r="Q1091">
        <v>5.5540900000000004</v>
      </c>
      <c r="R1091" s="33">
        <f>IF(ISBLANK(Q1092),"",Long3[[#This Row],[Adj Close]]/Q1092-1)</f>
        <v>3.4601398049079801E-2</v>
      </c>
      <c r="S1091" s="37">
        <v>37459</v>
      </c>
      <c r="T1091" s="35">
        <v>5.1156920000000001</v>
      </c>
      <c r="U1091" s="36">
        <f>IF(ISBLANK(T1092),"",Long4[[#This Row],[Adj Close]]/T1092-1)</f>
        <v>-0.17127071644201664</v>
      </c>
      <c r="Y1091" s="37">
        <v>37459</v>
      </c>
      <c r="Z1091" s="35">
        <v>5.4280169999999996</v>
      </c>
      <c r="AA1091" s="36">
        <f>IF(ISBLANK(Z1092),"",Long6[[#This Row],[Adj Close]]/Z1092-1)</f>
        <v>-0.19275345313203396</v>
      </c>
      <c r="AK1091" s="37">
        <v>37459</v>
      </c>
      <c r="AL1091" s="39">
        <v>12.247536999999999</v>
      </c>
      <c r="AM1091" s="36">
        <f>IF(ISBLANK(AL1092),"",Short1[[#This Row],[Adj Close]]/AL1092-1)</f>
        <v>-6.5384502973400038E-2</v>
      </c>
      <c r="AN1091" s="29">
        <v>37459</v>
      </c>
      <c r="AO1091" s="44">
        <v>17.802498</v>
      </c>
      <c r="AP1091" s="33">
        <f>IF(ISBLANK(AO1092),"",Short2[[#This Row],[Adj Close]]/AO1092-1)</f>
        <v>-7.941760755481142E-3</v>
      </c>
    </row>
    <row r="1092" spans="1:42" x14ac:dyDescent="0.25">
      <c r="A1092" s="37">
        <v>37452</v>
      </c>
      <c r="B1092" s="39">
        <v>847.75</v>
      </c>
      <c r="C1092" s="36">
        <f>IF(ISBLANK(B1093), "", GSPC[[#This Row],[Adj Close]]/B1093-1)</f>
        <v>-7.9922740426050742E-2</v>
      </c>
      <c r="D109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9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92" s="11" t="e">
        <f>IF(ISBLANK(GSPC[[#This Row],[Long Exp.]]), "", (GSPC[[#This Row],[Long Exp.]]/D1093-1)+(E1093/GSPC[[#This Row],[Short Exp.]]-1))</f>
        <v>#VALUE!</v>
      </c>
      <c r="G1092" s="37">
        <v>37452</v>
      </c>
      <c r="H1092">
        <v>11.398828999999999</v>
      </c>
      <c r="I1092" s="36">
        <f>IF(ISBLANK(H1093), "", Long0[[#This Row],[Adj Close]]/H1093-1)</f>
        <v>3.0917760464355126E-3</v>
      </c>
      <c r="M1092" s="37">
        <v>37452</v>
      </c>
      <c r="N1092">
        <v>7.1737299999999999</v>
      </c>
      <c r="O1092" s="36">
        <f>IF(ISBLANK(N1093),"",Long2[[#This Row],[Adj Close]]/N1093-1)</f>
        <v>-0.14084544995631609</v>
      </c>
      <c r="P1092" s="29">
        <v>37452</v>
      </c>
      <c r="Q1092">
        <v>5.3683379999999996</v>
      </c>
      <c r="R1092" s="33">
        <f>IF(ISBLANK(Q1093),"",Long3[[#This Row],[Adj Close]]/Q1093-1)</f>
        <v>-3.7628714433226351E-2</v>
      </c>
      <c r="S1092" s="37">
        <v>37452</v>
      </c>
      <c r="T1092" s="35">
        <v>6.1729349999999998</v>
      </c>
      <c r="U1092" s="36">
        <f>IF(ISBLANK(T1093),"",Long4[[#This Row],[Adj Close]]/T1093-1)</f>
        <v>-6.2176257115601818E-2</v>
      </c>
      <c r="Y1092" s="37">
        <v>37452</v>
      </c>
      <c r="Z1092" s="35">
        <v>6.724113</v>
      </c>
      <c r="AA1092" s="36">
        <f>IF(ISBLANK(Z1093),"",Long6[[#This Row],[Adj Close]]/Z1093-1)</f>
        <v>-1.4285726850909897E-2</v>
      </c>
      <c r="AK1092" s="37">
        <v>37452</v>
      </c>
      <c r="AL1092" s="39">
        <v>13.104359000000001</v>
      </c>
      <c r="AM1092" s="36">
        <f>IF(ISBLANK(AL1093),"",Short1[[#This Row],[Adj Close]]/AL1093-1)</f>
        <v>-5.8539236910343129E-2</v>
      </c>
      <c r="AN1092" s="29">
        <v>37452</v>
      </c>
      <c r="AO1092" s="44">
        <v>17.945012999999999</v>
      </c>
      <c r="AP1092" s="33">
        <f>IF(ISBLANK(AO1093),"",Short2[[#This Row],[Adj Close]]/AO1093-1)</f>
        <v>-0.11910250723518456</v>
      </c>
    </row>
    <row r="1093" spans="1:42" x14ac:dyDescent="0.25">
      <c r="A1093" s="37">
        <v>37445</v>
      </c>
      <c r="B1093" s="39">
        <v>921.39001499999995</v>
      </c>
      <c r="C1093" s="36">
        <f>IF(ISBLANK(B1094), "", GSPC[[#This Row],[Adj Close]]/B1094-1)</f>
        <v>-6.8390253093114195E-2</v>
      </c>
      <c r="D109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9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93" s="11" t="e">
        <f>IF(ISBLANK(GSPC[[#This Row],[Long Exp.]]), "", (GSPC[[#This Row],[Long Exp.]]/D1094-1)+(E1094/GSPC[[#This Row],[Short Exp.]]-1))</f>
        <v>#VALUE!</v>
      </c>
      <c r="G1093" s="37">
        <v>37445</v>
      </c>
      <c r="H1093">
        <v>11.363695</v>
      </c>
      <c r="I1093" s="36">
        <f>IF(ISBLANK(H1094), "", Long0[[#This Row],[Adj Close]]/H1094-1)</f>
        <v>-5.210026652679689E-2</v>
      </c>
      <c r="M1093" s="37">
        <v>37445</v>
      </c>
      <c r="N1093">
        <v>8.349755</v>
      </c>
      <c r="O1093" s="36">
        <f>IF(ISBLANK(N1094),"",Long2[[#This Row],[Adj Close]]/N1094-1)</f>
        <v>-0.10353536302461219</v>
      </c>
      <c r="P1093" s="29">
        <v>37445</v>
      </c>
      <c r="Q1093">
        <v>5.5782400000000001</v>
      </c>
      <c r="R1093" s="33">
        <f>IF(ISBLANK(Q1094),"",Long3[[#This Row],[Adj Close]]/Q1094-1)</f>
        <v>-8.1931836453967066E-2</v>
      </c>
      <c r="S1093" s="37">
        <v>37445</v>
      </c>
      <c r="T1093" s="35">
        <v>6.5821909999999999</v>
      </c>
      <c r="U1093" s="36">
        <f>IF(ISBLANK(T1094),"",Long4[[#This Row],[Adj Close]]/T1094-1)</f>
        <v>-8.8547745031192338E-2</v>
      </c>
      <c r="Y1093" s="37">
        <v>37445</v>
      </c>
      <c r="Z1093" s="35">
        <v>6.8215640000000004</v>
      </c>
      <c r="AA1093" s="36">
        <f>IF(ISBLANK(Z1094),"",Long6[[#This Row],[Adj Close]]/Z1094-1)</f>
        <v>-0.15662641367138852</v>
      </c>
      <c r="AK1093" s="37">
        <v>37445</v>
      </c>
      <c r="AL1093" s="39">
        <v>13.919176999999999</v>
      </c>
      <c r="AM1093" s="36">
        <f>IF(ISBLANK(AL1094),"",Short1[[#This Row],[Adj Close]]/AL1094-1)</f>
        <v>-0.10214046372284646</v>
      </c>
      <c r="AN1093" s="29">
        <v>37445</v>
      </c>
      <c r="AO1093" s="44">
        <v>20.371283999999999</v>
      </c>
      <c r="AP1093" s="33">
        <f>IF(ISBLANK(AO1094),"",Short2[[#This Row],[Adj Close]]/AO1094-1)</f>
        <v>-0.10814295589202128</v>
      </c>
    </row>
    <row r="1094" spans="1:42" x14ac:dyDescent="0.25">
      <c r="A1094" s="37">
        <v>37438</v>
      </c>
      <c r="B1094" s="39">
        <v>989.03002900000001</v>
      </c>
      <c r="C1094" s="36">
        <f>IF(ISBLANK(B1095), "", GSPC[[#This Row],[Adj Close]]/B1095-1)</f>
        <v>-7.9810267969260273E-4</v>
      </c>
      <c r="D109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9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94" s="11" t="e">
        <f>IF(ISBLANK(GSPC[[#This Row],[Long Exp.]]), "", (GSPC[[#This Row],[Long Exp.]]/D1095-1)+(E1095/GSPC[[#This Row],[Short Exp.]]-1))</f>
        <v>#VALUE!</v>
      </c>
      <c r="G1094" s="37">
        <v>37438</v>
      </c>
      <c r="H1094">
        <v>11.988288000000001</v>
      </c>
      <c r="I1094" s="36">
        <f>IF(ISBLANK(H1095), "", Long0[[#This Row],[Adj Close]]/H1095-1)</f>
        <v>-1.9092382782392003E-2</v>
      </c>
      <c r="M1094" s="37">
        <v>37438</v>
      </c>
      <c r="N1094">
        <v>9.3140929999999997</v>
      </c>
      <c r="O1094" s="36">
        <f>IF(ISBLANK(N1095),"",Long2[[#This Row],[Adj Close]]/N1095-1)</f>
        <v>-4.9599997224541337E-2</v>
      </c>
      <c r="P1094" s="29">
        <v>37438</v>
      </c>
      <c r="Q1094">
        <v>6.0760630000000004</v>
      </c>
      <c r="R1094" s="33">
        <f>IF(ISBLANK(Q1095),"",Long3[[#This Row],[Adj Close]]/Q1095-1)</f>
        <v>-1.1185240709452482E-2</v>
      </c>
      <c r="S1094" s="37">
        <v>37438</v>
      </c>
      <c r="T1094" s="35">
        <v>7.2216519999999997</v>
      </c>
      <c r="U1094" s="36">
        <f>IF(ISBLANK(T1095),"",Long4[[#This Row],[Adj Close]]/T1095-1)</f>
        <v>-0.11215928300518208</v>
      </c>
      <c r="Y1094" s="37">
        <v>37438</v>
      </c>
      <c r="Z1094" s="35">
        <v>8.0884250000000009</v>
      </c>
      <c r="AA1094" s="36">
        <f>IF(ISBLANK(Z1095),"",Long6[[#This Row],[Adj Close]]/Z1095-1)</f>
        <v>0</v>
      </c>
      <c r="AK1094" s="37">
        <v>37438</v>
      </c>
      <c r="AL1094" s="39">
        <v>15.502622000000001</v>
      </c>
      <c r="AM1094" s="36">
        <f>IF(ISBLANK(AL1095),"",Short1[[#This Row],[Adj Close]]/AL1095-1)</f>
        <v>1.6804476121401457E-2</v>
      </c>
      <c r="AN1094" s="29">
        <v>37438</v>
      </c>
      <c r="AO1094" s="44">
        <v>22.841422999999999</v>
      </c>
      <c r="AP1094" s="33">
        <f>IF(ISBLANK(AO1095),"",Short2[[#This Row],[Adj Close]]/AO1095-1)</f>
        <v>2.1405062624909155E-2</v>
      </c>
    </row>
    <row r="1095" spans="1:42" x14ac:dyDescent="0.25">
      <c r="A1095" s="37">
        <v>37431</v>
      </c>
      <c r="B1095" s="39">
        <v>989.82000700000003</v>
      </c>
      <c r="C1095" s="36">
        <f>IF(ISBLANK(B1096), "", GSPC[[#This Row],[Adj Close]]/B1096-1)</f>
        <v>6.8745778119194689E-4</v>
      </c>
      <c r="D109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9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95" s="11" t="e">
        <f>IF(ISBLANK(GSPC[[#This Row],[Long Exp.]]), "", (GSPC[[#This Row],[Long Exp.]]/D1096-1)+(E1096/GSPC[[#This Row],[Short Exp.]]-1))</f>
        <v>#VALUE!</v>
      </c>
      <c r="G1095" s="37">
        <v>37431</v>
      </c>
      <c r="H1095">
        <v>12.221628000000001</v>
      </c>
      <c r="I1095" s="36">
        <f>IF(ISBLANK(H1096), "", Long0[[#This Row],[Adj Close]]/H1096-1)</f>
        <v>2.1505339496207698E-2</v>
      </c>
      <c r="M1095" s="37">
        <v>37431</v>
      </c>
      <c r="N1095">
        <v>9.8001819999999995</v>
      </c>
      <c r="O1095" s="36">
        <f>IF(ISBLANK(N1096),"",Long2[[#This Row],[Adj Close]]/N1096-1)</f>
        <v>-5.6603780850047691E-2</v>
      </c>
      <c r="P1095" s="29">
        <v>37431</v>
      </c>
      <c r="Q1095">
        <v>6.1447940000000001</v>
      </c>
      <c r="R1095" s="33">
        <f>IF(ISBLANK(Q1096),"",Long3[[#This Row],[Adj Close]]/Q1096-1)</f>
        <v>5.049215797128026E-2</v>
      </c>
      <c r="S1095" s="37">
        <v>37431</v>
      </c>
      <c r="T1095" s="35">
        <v>8.1339500000000005</v>
      </c>
      <c r="U1095" s="36">
        <f>IF(ISBLANK(T1096),"",Long4[[#This Row],[Adj Close]]/T1096-1)</f>
        <v>3.1351424824428875E-2</v>
      </c>
      <c r="Y1095" s="37">
        <v>37431</v>
      </c>
      <c r="Z1095" s="35">
        <v>8.0884250000000009</v>
      </c>
      <c r="AA1095" s="36">
        <f>IF(ISBLANK(Z1096),"",Long6[[#This Row],[Adj Close]]/Z1096-1)</f>
        <v>-0.10075845615632895</v>
      </c>
      <c r="AK1095" s="37">
        <v>37431</v>
      </c>
      <c r="AL1095" s="39">
        <v>15.246414</v>
      </c>
      <c r="AM1095" s="36">
        <f>IF(ISBLANK(AL1096),"",Short1[[#This Row],[Adj Close]]/AL1096-1)</f>
        <v>-1.1707121660567088E-2</v>
      </c>
      <c r="AN1095" s="29">
        <v>37431</v>
      </c>
      <c r="AO1095" s="44">
        <v>22.362746999999999</v>
      </c>
      <c r="AP1095" s="33">
        <f>IF(ISBLANK(AO1096),"",Short2[[#This Row],[Adj Close]]/AO1096-1)</f>
        <v>-3.5817193429151795E-3</v>
      </c>
    </row>
    <row r="1096" spans="1:42" x14ac:dyDescent="0.25">
      <c r="A1096" s="37">
        <v>37424</v>
      </c>
      <c r="B1096" s="39">
        <v>989.14001499999995</v>
      </c>
      <c r="C1096" s="36">
        <f>IF(ISBLANK(B1097), "", GSPC[[#This Row],[Adj Close]]/B1097-1)</f>
        <v>-1.7999150813602149E-2</v>
      </c>
      <c r="D109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9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96" s="11" t="e">
        <f>IF(ISBLANK(GSPC[[#This Row],[Long Exp.]]), "", (GSPC[[#This Row],[Long Exp.]]/D1097-1)+(E1097/GSPC[[#This Row],[Short Exp.]]-1))</f>
        <v>#VALUE!</v>
      </c>
      <c r="G1096" s="37">
        <v>37424</v>
      </c>
      <c r="H1096">
        <v>11.964331</v>
      </c>
      <c r="I1096" s="36">
        <f>IF(ISBLANK(H1097), "", Long0[[#This Row],[Adj Close]]/H1097-1)</f>
        <v>-8.7207623591428751E-3</v>
      </c>
      <c r="M1096" s="37">
        <v>37424</v>
      </c>
      <c r="N1096">
        <v>10.388192999999999</v>
      </c>
      <c r="O1096" s="36">
        <f>IF(ISBLANK(N1097),"",Long2[[#This Row],[Adj Close]]/N1097-1)</f>
        <v>-3.2171050247258637E-2</v>
      </c>
      <c r="P1096" s="29">
        <v>37424</v>
      </c>
      <c r="Q1096">
        <v>5.8494429999999999</v>
      </c>
      <c r="R1096" s="33">
        <f>IF(ISBLANK(Q1097),"",Long3[[#This Row],[Adj Close]]/Q1097-1)</f>
        <v>2.8077266748358198E-2</v>
      </c>
      <c r="S1096" s="37">
        <v>37424</v>
      </c>
      <c r="T1096" s="35">
        <v>7.8866909999999999</v>
      </c>
      <c r="U1096" s="36">
        <f>IF(ISBLANK(T1097),"",Long4[[#This Row],[Adj Close]]/T1097-1)</f>
        <v>-7.5924229145088007E-2</v>
      </c>
      <c r="Y1096" s="37">
        <v>37424</v>
      </c>
      <c r="Z1096" s="35">
        <v>8.9947189999999999</v>
      </c>
      <c r="AA1096" s="36">
        <f>IF(ISBLANK(Z1097),"",Long6[[#This Row],[Adj Close]]/Z1097-1)</f>
        <v>-1.2834322962629985E-2</v>
      </c>
      <c r="AK1096" s="37">
        <v>37424</v>
      </c>
      <c r="AL1096" s="39">
        <v>15.427020000000001</v>
      </c>
      <c r="AM1096" s="36">
        <f>IF(ISBLANK(AL1097),"",Short1[[#This Row],[Adj Close]]/AL1097-1)</f>
        <v>-0.11643030286750555</v>
      </c>
      <c r="AN1096" s="29">
        <v>37424</v>
      </c>
      <c r="AO1096" s="44">
        <v>22.443131999999999</v>
      </c>
      <c r="AP1096" s="33">
        <f>IF(ISBLANK(AO1097),"",Short2[[#This Row],[Adj Close]]/AO1097-1)</f>
        <v>0.1501874149235054</v>
      </c>
    </row>
    <row r="1097" spans="1:42" x14ac:dyDescent="0.25">
      <c r="A1097" s="37">
        <v>37417</v>
      </c>
      <c r="B1097" s="39">
        <v>1007.27002</v>
      </c>
      <c r="C1097" s="36">
        <f>IF(ISBLANK(B1098), "", GSPC[[#This Row],[Adj Close]]/B1098-1)</f>
        <v>-1.9717194075308142E-2</v>
      </c>
      <c r="D109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9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97" s="11" t="e">
        <f>IF(ISBLANK(GSPC[[#This Row],[Long Exp.]]), "", (GSPC[[#This Row],[Long Exp.]]/D1098-1)+(E1098/GSPC[[#This Row],[Short Exp.]]-1))</f>
        <v>#VALUE!</v>
      </c>
      <c r="G1097" s="37">
        <v>37417</v>
      </c>
      <c r="H1097">
        <v>12.069587</v>
      </c>
      <c r="I1097" s="36">
        <f>IF(ISBLANK(H1098), "", Long0[[#This Row],[Adj Close]]/H1098-1)</f>
        <v>1.6748707139142782E-2</v>
      </c>
      <c r="M1097" s="37">
        <v>37417</v>
      </c>
      <c r="N1097">
        <v>10.733501</v>
      </c>
      <c r="O1097" s="36">
        <f>IF(ISBLANK(N1098),"",Long2[[#This Row],[Adj Close]]/N1098-1)</f>
        <v>-1.7204752393946476E-2</v>
      </c>
      <c r="P1097" s="29">
        <v>37417</v>
      </c>
      <c r="Q1097">
        <v>5.689692</v>
      </c>
      <c r="R1097" s="33">
        <f>IF(ISBLANK(Q1098),"",Long3[[#This Row],[Adj Close]]/Q1098-1)</f>
        <v>-5.4739368066536676E-2</v>
      </c>
      <c r="S1097" s="37">
        <v>37417</v>
      </c>
      <c r="T1097" s="35">
        <v>8.5346799999999998</v>
      </c>
      <c r="U1097" s="36">
        <f>IF(ISBLANK(T1098),"",Long4[[#This Row],[Adj Close]]/T1098-1)</f>
        <v>-4.21051804579885E-2</v>
      </c>
      <c r="Y1097" s="37">
        <v>37417</v>
      </c>
      <c r="Z1097" s="35">
        <v>9.1116609999999998</v>
      </c>
      <c r="AA1097" s="36">
        <f>IF(ISBLANK(Z1098),"",Long6[[#This Row],[Adj Close]]/Z1098-1)</f>
        <v>-5.318990413612501E-3</v>
      </c>
      <c r="AK1097" s="37">
        <v>37417</v>
      </c>
      <c r="AL1097" s="39">
        <v>17.459879000000001</v>
      </c>
      <c r="AM1097" s="36">
        <f>IF(ISBLANK(AL1098),"",Short1[[#This Row],[Adj Close]]/AL1098-1)</f>
        <v>-8.4159265492738777E-2</v>
      </c>
      <c r="AN1097" s="29">
        <v>37417</v>
      </c>
      <c r="AO1097" s="44">
        <v>19.512587</v>
      </c>
      <c r="AP1097" s="33">
        <f>IF(ISBLANK(AO1098),"",Short2[[#This Row],[Adj Close]]/AO1098-1)</f>
        <v>-1.1294676043816176E-2</v>
      </c>
    </row>
    <row r="1098" spans="1:42" x14ac:dyDescent="0.25">
      <c r="A1098" s="37">
        <v>37410</v>
      </c>
      <c r="B1098" s="39">
        <v>1027.530029</v>
      </c>
      <c r="C1098" s="36">
        <f>IF(ISBLANK(B1099), "", GSPC[[#This Row],[Adj Close]]/B1099-1)</f>
        <v>-3.7117890289213751E-2</v>
      </c>
      <c r="D109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9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98" s="11" t="e">
        <f>IF(ISBLANK(GSPC[[#This Row],[Long Exp.]]), "", (GSPC[[#This Row],[Long Exp.]]/D1099-1)+(E1099/GSPC[[#This Row],[Short Exp.]]-1))</f>
        <v>#VALUE!</v>
      </c>
      <c r="G1098" s="37">
        <v>37410</v>
      </c>
      <c r="H1098">
        <v>11.870767000000001</v>
      </c>
      <c r="I1098" s="36">
        <f>IF(ISBLANK(H1099), "", Long0[[#This Row],[Adj Close]]/H1099-1)</f>
        <v>-1.5836954203062081E-2</v>
      </c>
      <c r="M1098" s="37">
        <v>37410</v>
      </c>
      <c r="N1098">
        <v>10.921400999999999</v>
      </c>
      <c r="O1098" s="36">
        <f>IF(ISBLANK(N1099),"",Long2[[#This Row],[Adj Close]]/N1099-1)</f>
        <v>-4.9928918959596391E-3</v>
      </c>
      <c r="P1098" s="29">
        <v>37410</v>
      </c>
      <c r="Q1098">
        <v>6.0191780000000001</v>
      </c>
      <c r="R1098" s="33">
        <f>IF(ISBLANK(Q1099),"",Long3[[#This Row],[Adj Close]]/Q1099-1)</f>
        <v>-7.4596906548428432E-2</v>
      </c>
      <c r="S1098" s="37">
        <v>37410</v>
      </c>
      <c r="T1098" s="35">
        <v>8.9098299999999995</v>
      </c>
      <c r="U1098" s="36">
        <f>IF(ISBLANK(T1099),"",Long4[[#This Row],[Adj Close]]/T1099-1)</f>
        <v>-0.11962951405981459</v>
      </c>
      <c r="Y1098" s="37">
        <v>37410</v>
      </c>
      <c r="Z1098" s="35">
        <v>9.1603849999999998</v>
      </c>
      <c r="AA1098" s="36">
        <f>IF(ISBLANK(Z1099),"",Long6[[#This Row],[Adj Close]]/Z1099-1)</f>
        <v>-0.11320773165167419</v>
      </c>
      <c r="AK1098" s="37">
        <v>37410</v>
      </c>
      <c r="AL1098" s="39">
        <v>19.064318</v>
      </c>
      <c r="AM1098" s="36">
        <f>IF(ISBLANK(AL1099),"",Short1[[#This Row],[Adj Close]]/AL1099-1)</f>
        <v>-1.7532404553453174E-2</v>
      </c>
      <c r="AN1098" s="29">
        <v>37410</v>
      </c>
      <c r="AO1098" s="44">
        <v>19.735493000000002</v>
      </c>
      <c r="AP1098" s="33">
        <f>IF(ISBLANK(AO1099),"",Short2[[#This Row],[Adj Close]]/AO1099-1)</f>
        <v>-1.297494174272007E-2</v>
      </c>
    </row>
    <row r="1099" spans="1:42" x14ac:dyDescent="0.25">
      <c r="A1099" s="37">
        <v>37403</v>
      </c>
      <c r="B1099" s="39">
        <v>1067.1400149999999</v>
      </c>
      <c r="C1099" s="36">
        <f>IF(ISBLANK(B1100), "", GSPC[[#This Row],[Adj Close]]/B1100-1)</f>
        <v>-1.5389946514234087E-2</v>
      </c>
      <c r="D109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09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099" s="11" t="e">
        <f>IF(ISBLANK(GSPC[[#This Row],[Long Exp.]]), "", (GSPC[[#This Row],[Long Exp.]]/D1100-1)+(E1100/GSPC[[#This Row],[Short Exp.]]-1))</f>
        <v>#VALUE!</v>
      </c>
      <c r="G1099" s="37">
        <v>37403</v>
      </c>
      <c r="H1099">
        <v>12.061788999999999</v>
      </c>
      <c r="I1099" s="36">
        <f>IF(ISBLANK(H1100), "", Long0[[#This Row],[Adj Close]]/H1100-1)</f>
        <v>1.9775899015563203E-2</v>
      </c>
      <c r="M1099" s="37">
        <v>37403</v>
      </c>
      <c r="N1099">
        <v>10.976203999999999</v>
      </c>
      <c r="O1099" s="36">
        <f>IF(ISBLANK(N1100),"",Long2[[#This Row],[Adj Close]]/N1100-1)</f>
        <v>3.8518617058770577E-2</v>
      </c>
      <c r="P1099" s="29">
        <v>37403</v>
      </c>
      <c r="Q1099">
        <v>6.5043850000000001</v>
      </c>
      <c r="R1099" s="33">
        <f>IF(ISBLANK(Q1100),"",Long3[[#This Row],[Adj Close]]/Q1100-1)</f>
        <v>-2.2645660602239381E-2</v>
      </c>
      <c r="S1099" s="37">
        <v>37403</v>
      </c>
      <c r="T1099" s="35">
        <v>10.120545999999999</v>
      </c>
      <c r="U1099" s="36">
        <f>IF(ISBLANK(T1100),"",Long4[[#This Row],[Adj Close]]/T1100-1)</f>
        <v>-3.0228689826277688E-2</v>
      </c>
      <c r="Y1099" s="37">
        <v>37403</v>
      </c>
      <c r="Z1099" s="35">
        <v>10.329798</v>
      </c>
      <c r="AA1099" s="36">
        <f>IF(ISBLANK(Z1100),"",Long6[[#This Row],[Adj Close]]/Z1100-1)</f>
        <v>3.4146317045627317E-2</v>
      </c>
      <c r="AK1099" s="37">
        <v>37403</v>
      </c>
      <c r="AL1099" s="39">
        <v>19.404526000000001</v>
      </c>
      <c r="AM1099" s="36">
        <f>IF(ISBLANK(AL1100),"",Short1[[#This Row],[Adj Close]]/AL1100-1)</f>
        <v>2.1688279198195382E-3</v>
      </c>
      <c r="AN1099" s="29">
        <v>37403</v>
      </c>
      <c r="AO1099" s="44">
        <v>19.994926</v>
      </c>
      <c r="AP1099" s="33">
        <f>IF(ISBLANK(AO1100),"",Short2[[#This Row],[Adj Close]]/AO1100-1)</f>
        <v>-1.1560850803320588E-2</v>
      </c>
    </row>
    <row r="1100" spans="1:42" x14ac:dyDescent="0.25">
      <c r="A1100" s="37">
        <v>37396</v>
      </c>
      <c r="B1100" s="39">
        <v>1083.8199460000001</v>
      </c>
      <c r="C1100" s="36">
        <f>IF(ISBLANK(B1101), "", GSPC[[#This Row],[Adj Close]]/B1101-1)</f>
        <v>-2.0576745406708286E-2</v>
      </c>
      <c r="D110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0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00" s="11" t="e">
        <f>IF(ISBLANK(GSPC[[#This Row],[Long Exp.]]), "", (GSPC[[#This Row],[Long Exp.]]/D1101-1)+(E1101/GSPC[[#This Row],[Short Exp.]]-1))</f>
        <v>#VALUE!</v>
      </c>
      <c r="G1100" s="37">
        <v>37396</v>
      </c>
      <c r="H1100">
        <v>11.827882000000001</v>
      </c>
      <c r="I1100" s="36">
        <f>IF(ISBLANK(H1101), "", Long0[[#This Row],[Adj Close]]/H1101-1)</f>
        <v>4.2253454107169963E-2</v>
      </c>
      <c r="M1100" s="37">
        <v>37396</v>
      </c>
      <c r="N1100">
        <v>10.569096999999999</v>
      </c>
      <c r="O1100" s="36">
        <f>IF(ISBLANK(N1101),"",Long2[[#This Row],[Adj Close]]/N1101-1)</f>
        <v>8.2154159482399347E-3</v>
      </c>
      <c r="P1100" s="29">
        <v>37396</v>
      </c>
      <c r="Q1100">
        <v>6.6550940000000001</v>
      </c>
      <c r="R1100" s="33">
        <f>IF(ISBLANK(Q1101),"",Long3[[#This Row],[Adj Close]]/Q1101-1)</f>
        <v>5.5377265480802018E-2</v>
      </c>
      <c r="S1100" s="37">
        <v>37396</v>
      </c>
      <c r="T1100" s="35">
        <v>10.436013000000001</v>
      </c>
      <c r="U1100" s="36">
        <f>IF(ISBLANK(T1101),"",Long4[[#This Row],[Adj Close]]/T1101-1)</f>
        <v>-1.844412300734577E-2</v>
      </c>
      <c r="Y1100" s="37">
        <v>37396</v>
      </c>
      <c r="Z1100" s="35">
        <v>9.9887200000000007</v>
      </c>
      <c r="AA1100" s="36">
        <f>IF(ISBLANK(Z1101),"",Long6[[#This Row],[Adj Close]]/Z1101-1)</f>
        <v>-0.10323710046854007</v>
      </c>
      <c r="AK1100" s="37">
        <v>37396</v>
      </c>
      <c r="AL1100" s="39">
        <v>19.362532000000002</v>
      </c>
      <c r="AM1100" s="36">
        <f>IF(ISBLANK(AL1101),"",Short1[[#This Row],[Adj Close]]/AL1101-1)</f>
        <v>-7.0001702692583656E-2</v>
      </c>
      <c r="AN1100" s="29">
        <v>37396</v>
      </c>
      <c r="AO1100" s="44">
        <v>20.228788000000002</v>
      </c>
      <c r="AP1100" s="33">
        <f>IF(ISBLANK(AO1101),"",Short2[[#This Row],[Adj Close]]/AO1101-1)</f>
        <v>7.0950437550019174E-3</v>
      </c>
    </row>
    <row r="1101" spans="1:42" x14ac:dyDescent="0.25">
      <c r="A1101" s="37">
        <v>37389</v>
      </c>
      <c r="B1101" s="39">
        <v>1106.589966</v>
      </c>
      <c r="C1101" s="36">
        <f>IF(ISBLANK(B1102), "", GSPC[[#This Row],[Adj Close]]/B1102-1)</f>
        <v>4.8910393927055207E-2</v>
      </c>
      <c r="D110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0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01" s="11" t="e">
        <f>IF(ISBLANK(GSPC[[#This Row],[Long Exp.]]), "", (GSPC[[#This Row],[Long Exp.]]/D1102-1)+(E1102/GSPC[[#This Row],[Short Exp.]]-1))</f>
        <v>#VALUE!</v>
      </c>
      <c r="G1101" s="37">
        <v>37389</v>
      </c>
      <c r="H1101">
        <v>11.348374</v>
      </c>
      <c r="I1101" s="36">
        <f>IF(ISBLANK(H1102), "", Long0[[#This Row],[Adj Close]]/H1102-1)</f>
        <v>8.7005151418524607E-2</v>
      </c>
      <c r="M1101" s="37">
        <v>37389</v>
      </c>
      <c r="N1101">
        <v>10.482975</v>
      </c>
      <c r="O1101" s="36">
        <f>IF(ISBLANK(N1102),"",Long2[[#This Row],[Adj Close]]/N1102-1)</f>
        <v>0.10205693956912132</v>
      </c>
      <c r="P1101" s="29">
        <v>37389</v>
      </c>
      <c r="Q1101">
        <v>6.3058909999999999</v>
      </c>
      <c r="R1101" s="33">
        <f>IF(ISBLANK(Q1102),"",Long3[[#This Row],[Adj Close]]/Q1102-1)</f>
        <v>-6.2824258974103264E-2</v>
      </c>
      <c r="S1101" s="37">
        <v>37389</v>
      </c>
      <c r="T1101" s="35">
        <v>10.632113</v>
      </c>
      <c r="U1101" s="36">
        <f>IF(ISBLANK(T1102),"",Long4[[#This Row],[Adj Close]]/T1102-1)</f>
        <v>2.8877851859034465E-2</v>
      </c>
      <c r="Y1101" s="37">
        <v>37389</v>
      </c>
      <c r="Z1101" s="35">
        <v>11.138641</v>
      </c>
      <c r="AA1101" s="36">
        <f>IF(ISBLANK(Z1102),"",Long6[[#This Row],[Adj Close]]/Z1102-1)</f>
        <v>2.9729914373150423E-2</v>
      </c>
      <c r="AK1101" s="37">
        <v>37389</v>
      </c>
      <c r="AL1101" s="39">
        <v>20.819965</v>
      </c>
      <c r="AM1101" s="36">
        <f>IF(ISBLANK(AL1102),"",Short1[[#This Row],[Adj Close]]/AL1102-1)</f>
        <v>5.006339478400057E-2</v>
      </c>
      <c r="AN1101" s="29">
        <v>37389</v>
      </c>
      <c r="AO1101" s="44">
        <v>20.086275000000001</v>
      </c>
      <c r="AP1101" s="33">
        <f>IF(ISBLANK(AO1102),"",Short2[[#This Row],[Adj Close]]/AO1102-1)</f>
        <v>6.7762239661990353E-3</v>
      </c>
    </row>
    <row r="1102" spans="1:42" x14ac:dyDescent="0.25">
      <c r="A1102" s="37">
        <v>37382</v>
      </c>
      <c r="B1102" s="39">
        <v>1054.98999</v>
      </c>
      <c r="C1102" s="36">
        <f>IF(ISBLANK(B1103), "", GSPC[[#This Row],[Adj Close]]/B1103-1)</f>
        <v>-1.7178635842442946E-2</v>
      </c>
      <c r="D110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0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02" s="11" t="e">
        <f>IF(ISBLANK(GSPC[[#This Row],[Long Exp.]]), "", (GSPC[[#This Row],[Long Exp.]]/D1103-1)+(E1103/GSPC[[#This Row],[Short Exp.]]-1))</f>
        <v>#VALUE!</v>
      </c>
      <c r="G1102" s="37">
        <v>37382</v>
      </c>
      <c r="H1102">
        <v>10.440037</v>
      </c>
      <c r="I1102" s="36">
        <f>IF(ISBLANK(H1103), "", Long0[[#This Row],[Adj Close]]/H1103-1)</f>
        <v>1.3242469228206932E-2</v>
      </c>
      <c r="M1102" s="37">
        <v>37382</v>
      </c>
      <c r="N1102">
        <v>9.5121900000000004</v>
      </c>
      <c r="O1102" s="36">
        <f>IF(ISBLANK(N1103),"",Long2[[#This Row],[Adj Close]]/N1103-1)</f>
        <v>-5.9597044591629289E-2</v>
      </c>
      <c r="P1102" s="29">
        <v>37382</v>
      </c>
      <c r="Q1102">
        <v>6.7286109999999999</v>
      </c>
      <c r="R1102" s="33">
        <f>IF(ISBLANK(Q1103),"",Long3[[#This Row],[Adj Close]]/Q1103-1)</f>
        <v>-1.2142728889955157E-2</v>
      </c>
      <c r="S1102" s="37">
        <v>37382</v>
      </c>
      <c r="T1102" s="35">
        <v>10.333698</v>
      </c>
      <c r="U1102" s="36">
        <f>IF(ISBLANK(T1103),"",Long4[[#This Row],[Adj Close]]/T1103-1)</f>
        <v>-1.222500478177746E-2</v>
      </c>
      <c r="Y1102" s="37">
        <v>37382</v>
      </c>
      <c r="Z1102" s="35">
        <v>10.817050999999999</v>
      </c>
      <c r="AA1102" s="36">
        <f>IF(ISBLANK(Z1103),"",Long6[[#This Row],[Adj Close]]/Z1103-1)</f>
        <v>1.369869047277672E-2</v>
      </c>
      <c r="AK1102" s="37">
        <v>37382</v>
      </c>
      <c r="AL1102" s="39">
        <v>19.827341000000001</v>
      </c>
      <c r="AM1102" s="36">
        <f>IF(ISBLANK(AL1103),"",Short1[[#This Row],[Adj Close]]/AL1103-1)</f>
        <v>-1.7892018522375652E-2</v>
      </c>
      <c r="AN1102" s="29">
        <v>37382</v>
      </c>
      <c r="AO1102" s="44">
        <v>19.951082</v>
      </c>
      <c r="AP1102" s="33">
        <f>IF(ISBLANK(AO1103),"",Short2[[#This Row],[Adj Close]]/AO1103-1)</f>
        <v>-5.2029947577010627E-2</v>
      </c>
    </row>
    <row r="1103" spans="1:42" x14ac:dyDescent="0.25">
      <c r="A1103" s="37">
        <v>37375</v>
      </c>
      <c r="B1103" s="39">
        <v>1073.4300539999999</v>
      </c>
      <c r="C1103" s="36">
        <f>IF(ISBLANK(B1104), "", GSPC[[#This Row],[Adj Close]]/B1104-1)</f>
        <v>-2.6849748634131254E-3</v>
      </c>
      <c r="D110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0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03" s="11" t="e">
        <f>IF(ISBLANK(GSPC[[#This Row],[Long Exp.]]), "", (GSPC[[#This Row],[Long Exp.]]/D1104-1)+(E1104/GSPC[[#This Row],[Short Exp.]]-1))</f>
        <v>#VALUE!</v>
      </c>
      <c r="G1103" s="37">
        <v>37375</v>
      </c>
      <c r="H1103">
        <v>10.303592</v>
      </c>
      <c r="I1103" s="36">
        <f>IF(ISBLANK(H1104), "", Long0[[#This Row],[Adj Close]]/H1104-1)</f>
        <v>-2.1473170455600932E-2</v>
      </c>
      <c r="M1103" s="37">
        <v>37375</v>
      </c>
      <c r="N1103">
        <v>10.115015</v>
      </c>
      <c r="O1103" s="36">
        <f>IF(ISBLANK(N1104),"",Long2[[#This Row],[Adj Close]]/N1104-1)</f>
        <v>2.7026442515643456E-2</v>
      </c>
      <c r="P1103" s="29">
        <v>37375</v>
      </c>
      <c r="Q1103">
        <v>6.8113190000000001</v>
      </c>
      <c r="R1103" s="33">
        <f>IF(ISBLANK(Q1104),"",Long3[[#This Row],[Adj Close]]/Q1104-1)</f>
        <v>-2.8062021322273201E-2</v>
      </c>
      <c r="S1103" s="37">
        <v>37375</v>
      </c>
      <c r="T1103" s="35">
        <v>10.461591</v>
      </c>
      <c r="U1103" s="36">
        <f>IF(ISBLANK(T1104),"",Long4[[#This Row],[Adj Close]]/T1104-1)</f>
        <v>-1.6038392368478371E-2</v>
      </c>
      <c r="Y1103" s="37">
        <v>37375</v>
      </c>
      <c r="Z1103" s="35">
        <v>10.670874</v>
      </c>
      <c r="AA1103" s="36">
        <f>IF(ISBLANK(Z1104),"",Long6[[#This Row],[Adj Close]]/Z1104-1)</f>
        <v>6.8292433865400071E-2</v>
      </c>
      <c r="AK1103" s="37">
        <v>37375</v>
      </c>
      <c r="AL1103" s="39">
        <v>20.188555000000001</v>
      </c>
      <c r="AM1103" s="36">
        <f>IF(ISBLANK(AL1104),"",Short1[[#This Row],[Adj Close]]/AL1104-1)</f>
        <v>-4.4906605854228454E-2</v>
      </c>
      <c r="AN1103" s="29">
        <v>37375</v>
      </c>
      <c r="AO1103" s="44">
        <v>21.046109999999999</v>
      </c>
      <c r="AP1103" s="33">
        <f>IF(ISBLANK(AO1104),"",Short2[[#This Row],[Adj Close]]/AO1104-1)</f>
        <v>5.3199034060496864E-2</v>
      </c>
    </row>
    <row r="1104" spans="1:42" x14ac:dyDescent="0.25">
      <c r="A1104" s="37">
        <v>37368</v>
      </c>
      <c r="B1104" s="39">
        <v>1076.3199460000001</v>
      </c>
      <c r="C1104" s="36">
        <f>IF(ISBLANK(B1105), "", GSPC[[#This Row],[Adj Close]]/B1105-1)</f>
        <v>-4.3415747033521135E-2</v>
      </c>
      <c r="D110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0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04" s="11" t="e">
        <f>IF(ISBLANK(GSPC[[#This Row],[Long Exp.]]), "", (GSPC[[#This Row],[Long Exp.]]/D1105-1)+(E1105/GSPC[[#This Row],[Short Exp.]]-1))</f>
        <v>#VALUE!</v>
      </c>
      <c r="G1104" s="37">
        <v>37368</v>
      </c>
      <c r="H1104">
        <v>10.529698</v>
      </c>
      <c r="I1104" s="36">
        <f>IF(ISBLANK(H1105), "", Long0[[#This Row],[Adj Close]]/H1105-1)</f>
        <v>-1.2792531884762481E-2</v>
      </c>
      <c r="M1104" s="37">
        <v>37368</v>
      </c>
      <c r="N1104">
        <v>9.8488360000000004</v>
      </c>
      <c r="O1104" s="36">
        <f>IF(ISBLANK(N1105),"",Long2[[#This Row],[Adj Close]]/N1105-1)</f>
        <v>-8.0408671734696013E-2</v>
      </c>
      <c r="P1104" s="29">
        <v>37368</v>
      </c>
      <c r="Q1104">
        <v>7.0079770000000003</v>
      </c>
      <c r="R1104" s="33">
        <f>IF(ISBLANK(Q1105),"",Long3[[#This Row],[Adj Close]]/Q1105-1)</f>
        <v>-1.9793988217907343E-2</v>
      </c>
      <c r="S1104" s="37">
        <v>37368</v>
      </c>
      <c r="T1104" s="35">
        <v>10.632113</v>
      </c>
      <c r="U1104" s="36">
        <f>IF(ISBLANK(T1105),"",Long4[[#This Row],[Adj Close]]/T1105-1)</f>
        <v>-6.9402883700053986E-2</v>
      </c>
      <c r="Y1104" s="37">
        <v>37368</v>
      </c>
      <c r="Z1104" s="35">
        <v>9.9887200000000007</v>
      </c>
      <c r="AA1104" s="36">
        <f>IF(ISBLANK(Z1105),"",Long6[[#This Row],[Adj Close]]/Z1105-1)</f>
        <v>-1.442274723571324E-2</v>
      </c>
      <c r="AK1104" s="37">
        <v>37368</v>
      </c>
      <c r="AL1104" s="39">
        <v>21.137781</v>
      </c>
      <c r="AM1104" s="36">
        <f>IF(ISBLANK(AL1105),"",Short1[[#This Row],[Adj Close]]/AL1105-1)</f>
        <v>-3.6379929361148533E-2</v>
      </c>
      <c r="AN1104" s="29">
        <v>37368</v>
      </c>
      <c r="AO1104" s="44">
        <v>19.983032000000001</v>
      </c>
      <c r="AP1104" s="33">
        <f>IF(ISBLANK(AO1105),"",Short2[[#This Row],[Adj Close]]/AO1105-1)</f>
        <v>2.6266167916042749E-2</v>
      </c>
    </row>
    <row r="1105" spans="1:42" x14ac:dyDescent="0.25">
      <c r="A1105" s="37">
        <v>37361</v>
      </c>
      <c r="B1105" s="39">
        <v>1125.170044</v>
      </c>
      <c r="C1105" s="36">
        <f>IF(ISBLANK(B1106), "", GSPC[[#This Row],[Adj Close]]/B1106-1)</f>
        <v>1.2745190297610343E-2</v>
      </c>
      <c r="D110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0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05" s="11" t="e">
        <f>IF(ISBLANK(GSPC[[#This Row],[Long Exp.]]), "", (GSPC[[#This Row],[Long Exp.]]/D1106-1)+(E1106/GSPC[[#This Row],[Short Exp.]]-1))</f>
        <v>#VALUE!</v>
      </c>
      <c r="G1105" s="37">
        <v>37361</v>
      </c>
      <c r="H1105">
        <v>10.666145</v>
      </c>
      <c r="I1105" s="36">
        <f>IF(ISBLANK(H1106), "", Long0[[#This Row],[Adj Close]]/H1106-1)</f>
        <v>-1.9354927090682761E-2</v>
      </c>
      <c r="M1105" s="37">
        <v>37361</v>
      </c>
      <c r="N1105">
        <v>10.710013999999999</v>
      </c>
      <c r="O1105" s="36">
        <f>IF(ISBLANK(N1106),"",Long2[[#This Row],[Adj Close]]/N1106-1)</f>
        <v>-5.9793788730234332E-2</v>
      </c>
      <c r="P1105" s="29">
        <v>37361</v>
      </c>
      <c r="Q1105">
        <v>7.1494939999999998</v>
      </c>
      <c r="R1105" s="33">
        <f>IF(ISBLANK(Q1106),"",Long3[[#This Row],[Adj Close]]/Q1106-1)</f>
        <v>2.9917400540752093E-2</v>
      </c>
      <c r="S1105" s="37">
        <v>37361</v>
      </c>
      <c r="T1105" s="35">
        <v>11.425044</v>
      </c>
      <c r="U1105" s="36">
        <f>IF(ISBLANK(T1106),"",Long4[[#This Row],[Adj Close]]/T1106-1)</f>
        <v>-2.8985747435448572E-2</v>
      </c>
      <c r="Y1105" s="37">
        <v>37361</v>
      </c>
      <c r="Z1105" s="35">
        <v>10.134893</v>
      </c>
      <c r="AA1105" s="36">
        <f>IF(ISBLANK(Z1106),"",Long6[[#This Row],[Adj Close]]/Z1106-1)</f>
        <v>0.10638286491233728</v>
      </c>
      <c r="AK1105" s="37">
        <v>37361</v>
      </c>
      <c r="AL1105" s="39">
        <v>21.935804000000001</v>
      </c>
      <c r="AM1105" s="36">
        <f>IF(ISBLANK(AL1106),"",Short1[[#This Row],[Adj Close]]/AL1106-1)</f>
        <v>1.1099982069592951E-2</v>
      </c>
      <c r="AN1105" s="29">
        <v>37361</v>
      </c>
      <c r="AO1105" s="44">
        <v>19.471588000000001</v>
      </c>
      <c r="AP1105" s="33">
        <f>IF(ISBLANK(AO1106),"",Short2[[#This Row],[Adj Close]]/AO1106-1)</f>
        <v>-2.3988330118070667E-2</v>
      </c>
    </row>
    <row r="1106" spans="1:42" x14ac:dyDescent="0.25">
      <c r="A1106" s="37">
        <v>37354</v>
      </c>
      <c r="B1106" s="39">
        <v>1111.01001</v>
      </c>
      <c r="C1106" s="36">
        <f>IF(ISBLANK(B1107), "", GSPC[[#This Row],[Adj Close]]/B1107-1)</f>
        <v>-1.0438814504623917E-2</v>
      </c>
      <c r="D110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0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06" s="11" t="e">
        <f>IF(ISBLANK(GSPC[[#This Row],[Long Exp.]]), "", (GSPC[[#This Row],[Long Exp.]]/D1107-1)+(E1107/GSPC[[#This Row],[Short Exp.]]-1))</f>
        <v>#VALUE!</v>
      </c>
      <c r="G1106" s="37">
        <v>37354</v>
      </c>
      <c r="H1106">
        <v>10.876662</v>
      </c>
      <c r="I1106" s="36">
        <f>IF(ISBLANK(H1107), "", Long0[[#This Row],[Adj Close]]/H1107-1)</f>
        <v>1.82480552561608E-2</v>
      </c>
      <c r="M1106" s="37">
        <v>37354</v>
      </c>
      <c r="N1106">
        <v>11.391133</v>
      </c>
      <c r="O1106" s="36">
        <f>IF(ISBLANK(N1107),"",Long2[[#This Row],[Adj Close]]/N1107-1)</f>
        <v>2.1052474008776745E-2</v>
      </c>
      <c r="P1106" s="29">
        <v>37354</v>
      </c>
      <c r="Q1106">
        <v>6.9418129999999998</v>
      </c>
      <c r="R1106" s="33">
        <f>IF(ISBLANK(Q1107),"",Long3[[#This Row],[Adj Close]]/Q1107-1)</f>
        <v>-1.0997288361324187E-2</v>
      </c>
      <c r="S1106" s="37">
        <v>37354</v>
      </c>
      <c r="T1106" s="35">
        <v>11.766093</v>
      </c>
      <c r="U1106" s="36">
        <f>IF(ISBLANK(T1107),"",Long4[[#This Row],[Adj Close]]/T1107-1)</f>
        <v>5.4239976130604273E-2</v>
      </c>
      <c r="Y1106" s="37">
        <v>37354</v>
      </c>
      <c r="Z1106" s="35">
        <v>9.1603849999999998</v>
      </c>
      <c r="AA1106" s="36">
        <f>IF(ISBLANK(Z1107),"",Long6[[#This Row],[Adj Close]]/Z1107-1)</f>
        <v>4.328505723248588E-2</v>
      </c>
      <c r="AK1106" s="37">
        <v>37354</v>
      </c>
      <c r="AL1106" s="39">
        <v>21.694990000000001</v>
      </c>
      <c r="AM1106" s="36">
        <f>IF(ISBLANK(AL1107),"",Short1[[#This Row],[Adj Close]]/AL1107-1)</f>
        <v>7.1492074946049033E-3</v>
      </c>
      <c r="AN1106" s="29">
        <v>37354</v>
      </c>
      <c r="AO1106" s="44">
        <v>19.950158999999999</v>
      </c>
      <c r="AP1106" s="33">
        <f>IF(ISBLANK(AO1107),"",Short2[[#This Row],[Adj Close]]/AO1107-1)</f>
        <v>5.1608473735562876E-2</v>
      </c>
    </row>
    <row r="1107" spans="1:42" x14ac:dyDescent="0.25">
      <c r="A1107" s="37">
        <v>37347</v>
      </c>
      <c r="B1107" s="39">
        <v>1122.7299800000001</v>
      </c>
      <c r="C1107" s="36">
        <f>IF(ISBLANK(B1108), "", GSPC[[#This Row],[Adj Close]]/B1108-1)</f>
        <v>-2.1492286561339724E-2</v>
      </c>
      <c r="D110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0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07" s="11" t="e">
        <f>IF(ISBLANK(GSPC[[#This Row],[Long Exp.]]), "", (GSPC[[#This Row],[Long Exp.]]/D1108-1)+(E1108/GSPC[[#This Row],[Short Exp.]]-1))</f>
        <v>#VALUE!</v>
      </c>
      <c r="G1107" s="37">
        <v>37347</v>
      </c>
      <c r="H1107">
        <v>10.681741000000001</v>
      </c>
      <c r="I1107" s="36">
        <f>IF(ISBLANK(H1108), "", Long0[[#This Row],[Adj Close]]/H1108-1)</f>
        <v>-6.869942491100256E-2</v>
      </c>
      <c r="M1107" s="37">
        <v>37347</v>
      </c>
      <c r="N1107">
        <v>11.156266</v>
      </c>
      <c r="O1107" s="36">
        <f>IF(ISBLANK(N1108),"",Long2[[#This Row],[Adj Close]]/N1108-1)</f>
        <v>-3.3898561940858052E-2</v>
      </c>
      <c r="P1107" s="29">
        <v>37347</v>
      </c>
      <c r="Q1107">
        <v>7.0190029999999997</v>
      </c>
      <c r="R1107" s="33">
        <f>IF(ISBLANK(Q1108),"",Long3[[#This Row],[Adj Close]]/Q1108-1)</f>
        <v>-3.5849779443348107E-2</v>
      </c>
      <c r="S1107" s="37">
        <v>37347</v>
      </c>
      <c r="T1107" s="35">
        <v>11.160735000000001</v>
      </c>
      <c r="U1107" s="36">
        <f>IF(ISBLANK(T1108),"",Long4[[#This Row],[Adj Close]]/T1108-1)</f>
        <v>-2.5316436903351169E-2</v>
      </c>
      <c r="Y1107" s="37">
        <v>37347</v>
      </c>
      <c r="Z1107" s="35">
        <v>8.7803280000000008</v>
      </c>
      <c r="AA1107" s="36">
        <f>IF(ISBLANK(Z1108),"",Long6[[#This Row],[Adj Close]]/Z1108-1)</f>
        <v>-6.145839000804787E-2</v>
      </c>
      <c r="AK1107" s="37">
        <v>37347</v>
      </c>
      <c r="AL1107" s="39">
        <v>21.540989</v>
      </c>
      <c r="AM1107" s="36">
        <f>IF(ISBLANK(AL1108),"",Short1[[#This Row],[Adj Close]]/AL1108-1)</f>
        <v>-2.8661643325329278E-2</v>
      </c>
      <c r="AN1107" s="29">
        <v>37347</v>
      </c>
      <c r="AO1107" s="44">
        <v>18.97109</v>
      </c>
      <c r="AP1107" s="33">
        <f>IF(ISBLANK(AO1108),"",Short2[[#This Row],[Adj Close]]/AO1108-1)</f>
        <v>-1.5731872335151165E-2</v>
      </c>
    </row>
    <row r="1108" spans="1:42" x14ac:dyDescent="0.25">
      <c r="A1108" s="37">
        <v>37340</v>
      </c>
      <c r="B1108" s="39">
        <v>1147.3900149999999</v>
      </c>
      <c r="C1108" s="36">
        <f>IF(ISBLANK(B1109), "", GSPC[[#This Row],[Adj Close]]/B1109-1)</f>
        <v>-1.1403639382588926E-3</v>
      </c>
      <c r="D110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0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08" s="11" t="e">
        <f>IF(ISBLANK(GSPC[[#This Row],[Long Exp.]]), "", (GSPC[[#This Row],[Long Exp.]]/D1109-1)+(E1109/GSPC[[#This Row],[Short Exp.]]-1))</f>
        <v>#VALUE!</v>
      </c>
      <c r="G1108" s="37">
        <v>37340</v>
      </c>
      <c r="H1108">
        <v>11.469703000000001</v>
      </c>
      <c r="I1108" s="36">
        <f>IF(ISBLANK(H1109), "", Long0[[#This Row],[Adj Close]]/H1109-1)</f>
        <v>-5.6071698272212589E-2</v>
      </c>
      <c r="M1108" s="37">
        <v>37340</v>
      </c>
      <c r="N1108">
        <v>11.547717</v>
      </c>
      <c r="O1108" s="36">
        <f>IF(ISBLANK(N1109),"",Long2[[#This Row],[Adj Close]]/N1109-1)</f>
        <v>2.2884637256802121E-2</v>
      </c>
      <c r="P1108" s="29">
        <v>37340</v>
      </c>
      <c r="Q1108">
        <v>7.2799889999999996</v>
      </c>
      <c r="R1108" s="33">
        <f>IF(ISBLANK(Q1109),"",Long3[[#This Row],[Adj Close]]/Q1109-1)</f>
        <v>4.7883904651632614E-2</v>
      </c>
      <c r="S1108" s="37">
        <v>37340</v>
      </c>
      <c r="T1108" s="35">
        <v>11.450623999999999</v>
      </c>
      <c r="U1108" s="36">
        <f>IF(ISBLANK(T1109),"",Long4[[#This Row],[Adj Close]]/T1109-1)</f>
        <v>0.14103648098414356</v>
      </c>
      <c r="Y1108" s="37">
        <v>37340</v>
      </c>
      <c r="Z1108" s="35">
        <v>9.3552890000000009</v>
      </c>
      <c r="AA1108" s="36">
        <f>IF(ISBLANK(Z1109),"",Long6[[#This Row],[Adj Close]]/Z1109-1)</f>
        <v>5.7268982844857375E-2</v>
      </c>
      <c r="AK1108" s="37">
        <v>37340</v>
      </c>
      <c r="AL1108" s="39">
        <v>22.176607000000001</v>
      </c>
      <c r="AM1108" s="36">
        <f>IF(ISBLANK(AL1109),"",Short1[[#This Row],[Adj Close]]/AL1109-1)</f>
        <v>-9.25691298693887E-3</v>
      </c>
      <c r="AN1108" s="29">
        <v>37340</v>
      </c>
      <c r="AO1108" s="44">
        <v>19.274311000000001</v>
      </c>
      <c r="AP1108" s="33">
        <f>IF(ISBLANK(AO1109),"",Short2[[#This Row],[Adj Close]]/AO1109-1)</f>
        <v>-3.1926376160197889E-2</v>
      </c>
    </row>
    <row r="1109" spans="1:42" x14ac:dyDescent="0.25">
      <c r="A1109" s="37">
        <v>37333</v>
      </c>
      <c r="B1109" s="39">
        <v>1148.6999510000001</v>
      </c>
      <c r="C1109" s="36">
        <f>IF(ISBLANK(B1110), "", GSPC[[#This Row],[Adj Close]]/B1110-1)</f>
        <v>-1.4972287242695836E-2</v>
      </c>
      <c r="D110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0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09" s="11" t="e">
        <f>IF(ISBLANK(GSPC[[#This Row],[Long Exp.]]), "", (GSPC[[#This Row],[Long Exp.]]/D1110-1)+(E1110/GSPC[[#This Row],[Short Exp.]]-1))</f>
        <v>#VALUE!</v>
      </c>
      <c r="G1109" s="37">
        <v>37333</v>
      </c>
      <c r="H1109">
        <v>12.151032000000001</v>
      </c>
      <c r="I1109" s="36">
        <f>IF(ISBLANK(H1110), "", Long0[[#This Row],[Adj Close]]/H1110-1)</f>
        <v>-1.8553498184033845E-2</v>
      </c>
      <c r="M1109" s="37">
        <v>37333</v>
      </c>
      <c r="N1109">
        <v>11.289364000000001</v>
      </c>
      <c r="O1109" s="36">
        <f>IF(ISBLANK(N1110),"",Long2[[#This Row],[Adj Close]]/N1110-1)</f>
        <v>-4.3761351738533794E-2</v>
      </c>
      <c r="P1109" s="29">
        <v>37333</v>
      </c>
      <c r="Q1109">
        <v>6.9473240000000001</v>
      </c>
      <c r="R1109" s="33">
        <f>IF(ISBLANK(Q1110),"",Long3[[#This Row],[Adj Close]]/Q1110-1)</f>
        <v>4.912537951061724E-2</v>
      </c>
      <c r="S1109" s="37">
        <v>37333</v>
      </c>
      <c r="T1109" s="35">
        <v>10.035283</v>
      </c>
      <c r="U1109" s="36">
        <f>IF(ISBLANK(T1110),"",Long4[[#This Row],[Adj Close]]/T1110-1)</f>
        <v>-5.4618522246973278E-2</v>
      </c>
      <c r="Y1109" s="37">
        <v>37333</v>
      </c>
      <c r="Z1109" s="35">
        <v>8.8485420000000001</v>
      </c>
      <c r="AA1109" s="36">
        <f>IF(ISBLANK(Z1110),"",Long6[[#This Row],[Adj Close]]/Z1110-1)</f>
        <v>4.4246235596474559E-3</v>
      </c>
      <c r="AK1109" s="37">
        <v>37333</v>
      </c>
      <c r="AL1109" s="39">
        <v>22.383811999999999</v>
      </c>
      <c r="AM1109" s="36">
        <f>IF(ISBLANK(AL1110),"",Short1[[#This Row],[Adj Close]]/AL1110-1)</f>
        <v>1.3052850266960458E-2</v>
      </c>
      <c r="AN1109" s="29">
        <v>37333</v>
      </c>
      <c r="AO1109" s="44">
        <v>19.909963999999999</v>
      </c>
      <c r="AP1109" s="33">
        <f>IF(ISBLANK(AO1110),"",Short2[[#This Row],[Adj Close]]/AO1110-1)</f>
        <v>-9.1633850982730802E-4</v>
      </c>
    </row>
    <row r="1110" spans="1:42" x14ac:dyDescent="0.25">
      <c r="A1110" s="37">
        <v>37326</v>
      </c>
      <c r="B1110" s="39">
        <v>1166.160034</v>
      </c>
      <c r="C1110" s="36">
        <f>IF(ISBLANK(B1111), "", GSPC[[#This Row],[Adj Close]]/B1111-1)</f>
        <v>1.5889023595561103E-3</v>
      </c>
      <c r="D111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1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10" s="11" t="e">
        <f>IF(ISBLANK(GSPC[[#This Row],[Long Exp.]]), "", (GSPC[[#This Row],[Long Exp.]]/D1111-1)+(E1111/GSPC[[#This Row],[Short Exp.]]-1))</f>
        <v>#VALUE!</v>
      </c>
      <c r="G1110" s="37">
        <v>37326</v>
      </c>
      <c r="H1110">
        <v>12.380737999999999</v>
      </c>
      <c r="I1110" s="36">
        <f>IF(ISBLANK(H1111), "", Long0[[#This Row],[Adj Close]]/H1111-1)</f>
        <v>5.2980202855855696E-2</v>
      </c>
      <c r="M1110" s="37">
        <v>37326</v>
      </c>
      <c r="N1110">
        <v>11.806011</v>
      </c>
      <c r="O1110" s="36">
        <f>IF(ISBLANK(N1111),"",Long2[[#This Row],[Adj Close]]/N1111-1)</f>
        <v>1.1386266096626629E-2</v>
      </c>
      <c r="P1110" s="29">
        <v>37326</v>
      </c>
      <c r="Q1110">
        <v>6.6220150000000002</v>
      </c>
      <c r="R1110" s="33">
        <f>IF(ISBLANK(Q1111),"",Long3[[#This Row],[Adj Close]]/Q1111-1)</f>
        <v>3.1166797936923674E-2</v>
      </c>
      <c r="S1110" s="37">
        <v>37326</v>
      </c>
      <c r="T1110" s="35">
        <v>10.615062</v>
      </c>
      <c r="U1110" s="36">
        <f>IF(ISBLANK(T1111),"",Long4[[#This Row],[Adj Close]]/T1111-1)</f>
        <v>-4.0831860930739095E-2</v>
      </c>
      <c r="Y1110" s="37">
        <v>37326</v>
      </c>
      <c r="Z1110" s="35">
        <v>8.8095630000000007</v>
      </c>
      <c r="AA1110" s="36">
        <f>IF(ISBLANK(Z1111),"",Long6[[#This Row],[Adj Close]]/Z1111-1)</f>
        <v>-1.202185682039858E-2</v>
      </c>
      <c r="AK1110" s="37">
        <v>37326</v>
      </c>
      <c r="AL1110" s="39">
        <v>22.095403999999998</v>
      </c>
      <c r="AM1110" s="36">
        <f>IF(ISBLANK(AL1111),"",Short1[[#This Row],[Adj Close]]/AL1111-1)</f>
        <v>4.6551730752716569E-2</v>
      </c>
      <c r="AN1110" s="29">
        <v>37326</v>
      </c>
      <c r="AO1110" s="44">
        <v>19.928225000000001</v>
      </c>
      <c r="AP1110" s="33">
        <f>IF(ISBLANK(AO1111),"",Short2[[#This Row],[Adj Close]]/AO1111-1)</f>
        <v>-4.2983060347909774E-2</v>
      </c>
    </row>
    <row r="1111" spans="1:42" x14ac:dyDescent="0.25">
      <c r="A1111" s="37">
        <v>37319</v>
      </c>
      <c r="B1111" s="39">
        <v>1164.3100589999999</v>
      </c>
      <c r="C1111" s="36">
        <f>IF(ISBLANK(B1112), "", GSPC[[#This Row],[Adj Close]]/B1112-1)</f>
        <v>2.8742360853232451E-2</v>
      </c>
      <c r="D111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1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11" s="11" t="e">
        <f>IF(ISBLANK(GSPC[[#This Row],[Long Exp.]]), "", (GSPC[[#This Row],[Long Exp.]]/D1112-1)+(E1112/GSPC[[#This Row],[Short Exp.]]-1))</f>
        <v>#VALUE!</v>
      </c>
      <c r="G1111" s="37">
        <v>37319</v>
      </c>
      <c r="H1111">
        <v>11.757807</v>
      </c>
      <c r="I1111" s="36">
        <f>IF(ISBLANK(H1112), "", Long0[[#This Row],[Adj Close]]/H1112-1)</f>
        <v>-1.3072264642662201E-2</v>
      </c>
      <c r="M1111" s="37">
        <v>37319</v>
      </c>
      <c r="N1111">
        <v>11.673098</v>
      </c>
      <c r="O1111" s="36">
        <f>IF(ISBLANK(N1112),"",Long2[[#This Row],[Adj Close]]/N1112-1)</f>
        <v>7.2557890810057923E-2</v>
      </c>
      <c r="P1111" s="29">
        <v>37319</v>
      </c>
      <c r="Q1111">
        <v>6.4218659999999996</v>
      </c>
      <c r="R1111" s="33">
        <f>IF(ISBLANK(Q1112),"",Long3[[#This Row],[Adj Close]]/Q1112-1)</f>
        <v>4.6235721077055425E-2</v>
      </c>
      <c r="S1111" s="37">
        <v>37319</v>
      </c>
      <c r="T1111" s="35">
        <v>11.066946</v>
      </c>
      <c r="U1111" s="36">
        <f>IF(ISBLANK(T1112),"",Long4[[#This Row],[Adj Close]]/T1112-1)</f>
        <v>9.5358515649836662E-2</v>
      </c>
      <c r="Y1111" s="37">
        <v>37319</v>
      </c>
      <c r="Z1111" s="35">
        <v>8.9167590000000008</v>
      </c>
      <c r="AA1111" s="36">
        <f>IF(ISBLANK(Z1112),"",Long6[[#This Row],[Adj Close]]/Z1112-1)</f>
        <v>3.9772701433274049E-2</v>
      </c>
      <c r="AK1111" s="37">
        <v>37319</v>
      </c>
      <c r="AL1111" s="39">
        <v>21.112577000000002</v>
      </c>
      <c r="AM1111" s="36">
        <f>IF(ISBLANK(AL1112),"",Short1[[#This Row],[Adj Close]]/AL1112-1)</f>
        <v>0.10833447688010911</v>
      </c>
      <c r="AN1111" s="29">
        <v>37319</v>
      </c>
      <c r="AO1111" s="44">
        <v>20.823273</v>
      </c>
      <c r="AP1111" s="33">
        <f>IF(ISBLANK(AO1112),"",Short2[[#This Row],[Adj Close]]/AO1112-1)</f>
        <v>-6.9682512984520217E-3</v>
      </c>
    </row>
    <row r="1112" spans="1:42" x14ac:dyDescent="0.25">
      <c r="A1112" s="37">
        <v>37312</v>
      </c>
      <c r="B1112" s="39">
        <v>1131.780029</v>
      </c>
      <c r="C1112" s="36">
        <f>IF(ISBLANK(B1113), "", GSPC[[#This Row],[Adj Close]]/B1113-1)</f>
        <v>3.8482772066004367E-2</v>
      </c>
      <c r="D111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1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12" s="11" t="e">
        <f>IF(ISBLANK(GSPC[[#This Row],[Long Exp.]]), "", (GSPC[[#This Row],[Long Exp.]]/D1113-1)+(E1113/GSPC[[#This Row],[Short Exp.]]-1))</f>
        <v>#VALUE!</v>
      </c>
      <c r="G1112" s="37">
        <v>37312</v>
      </c>
      <c r="H1112">
        <v>11.913544</v>
      </c>
      <c r="I1112" s="36">
        <f>IF(ISBLANK(H1113), "", Long0[[#This Row],[Adj Close]]/H1113-1)</f>
        <v>-2.3923394798854414E-2</v>
      </c>
      <c r="M1112" s="37">
        <v>37312</v>
      </c>
      <c r="N1112">
        <v>10.883419999999999</v>
      </c>
      <c r="O1112" s="36">
        <f>IF(ISBLANK(N1113),"",Long2[[#This Row],[Adj Close]]/N1113-1)</f>
        <v>6.8303510561347425E-2</v>
      </c>
      <c r="P1112" s="29">
        <v>37312</v>
      </c>
      <c r="Q1112">
        <v>6.1380679999999996</v>
      </c>
      <c r="R1112" s="33">
        <f>IF(ISBLANK(Q1113),"",Long3[[#This Row],[Adj Close]]/Q1113-1)</f>
        <v>3.9753619405266782E-2</v>
      </c>
      <c r="S1112" s="37">
        <v>37312</v>
      </c>
      <c r="T1112" s="35">
        <v>10.103491999999999</v>
      </c>
      <c r="U1112" s="36">
        <f>IF(ISBLANK(T1113),"",Long4[[#This Row],[Adj Close]]/T1113-1)</f>
        <v>2.2433132708859382E-2</v>
      </c>
      <c r="Y1112" s="37">
        <v>37312</v>
      </c>
      <c r="Z1112" s="35">
        <v>8.5756809999999994</v>
      </c>
      <c r="AA1112" s="36">
        <f>IF(ISBLANK(Z1113),"",Long6[[#This Row],[Adj Close]]/Z1113-1)</f>
        <v>6.5375438927776974E-2</v>
      </c>
      <c r="AK1112" s="37">
        <v>37312</v>
      </c>
      <c r="AL1112" s="39">
        <v>19.048922000000001</v>
      </c>
      <c r="AM1112" s="36">
        <f>IF(ISBLANK(AL1113),"",Short1[[#This Row],[Adj Close]]/AL1113-1)</f>
        <v>6.2121401161820966E-3</v>
      </c>
      <c r="AN1112" s="29">
        <v>37312</v>
      </c>
      <c r="AO1112" s="44">
        <v>20.969393</v>
      </c>
      <c r="AP1112" s="33">
        <f>IF(ISBLANK(AO1113),"",Short2[[#This Row],[Adj Close]]/AO1113-1)</f>
        <v>8.4041720219808935E-2</v>
      </c>
    </row>
    <row r="1113" spans="1:42" x14ac:dyDescent="0.25">
      <c r="A1113" s="37">
        <v>37305</v>
      </c>
      <c r="B1113" s="39">
        <v>1089.839966</v>
      </c>
      <c r="C1113" s="36">
        <f>IF(ISBLANK(B1114), "", GSPC[[#This Row],[Adj Close]]/B1114-1)</f>
        <v>-1.2987092049029147E-2</v>
      </c>
      <c r="D111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1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13" s="11" t="e">
        <f>IF(ISBLANK(GSPC[[#This Row],[Long Exp.]]), "", (GSPC[[#This Row],[Long Exp.]]/D1114-1)+(E1114/GSPC[[#This Row],[Short Exp.]]-1))</f>
        <v>#VALUE!</v>
      </c>
      <c r="G1113" s="37">
        <v>37305</v>
      </c>
      <c r="H1113">
        <v>12.205541999999999</v>
      </c>
      <c r="I1113" s="36">
        <f>IF(ISBLANK(H1114), "", Long0[[#This Row],[Adj Close]]/H1114-1)</f>
        <v>-5.5722727632472879E-2</v>
      </c>
      <c r="M1113" s="37">
        <v>37305</v>
      </c>
      <c r="N1113">
        <v>10.187573</v>
      </c>
      <c r="O1113" s="36">
        <f>IF(ISBLANK(N1114),"",Long2[[#This Row],[Adj Close]]/N1114-1)</f>
        <v>-3.5529010558786989E-2</v>
      </c>
      <c r="P1113" s="29">
        <v>37305</v>
      </c>
      <c r="Q1113">
        <v>5.9033870000000004</v>
      </c>
      <c r="R1113" s="33">
        <f>IF(ISBLANK(Q1114),"",Long3[[#This Row],[Adj Close]]/Q1114-1)</f>
        <v>-2.4940109514031361E-2</v>
      </c>
      <c r="S1113" s="37">
        <v>37305</v>
      </c>
      <c r="T1113" s="35">
        <v>9.881812</v>
      </c>
      <c r="U1113" s="36">
        <f>IF(ISBLANK(T1114),"",Long4[[#This Row],[Adj Close]]/T1114-1)</f>
        <v>6.1355506297259499E-2</v>
      </c>
      <c r="Y1113" s="37">
        <v>37305</v>
      </c>
      <c r="Z1113" s="35">
        <v>8.0494450000000004</v>
      </c>
      <c r="AA1113" s="36">
        <f>IF(ISBLANK(Z1114),"",Long6[[#This Row],[Adj Close]]/Z1114-1)</f>
        <v>-8.4034058579188775E-3</v>
      </c>
      <c r="AK1113" s="37">
        <v>37305</v>
      </c>
      <c r="AL1113" s="39">
        <v>18.931318000000001</v>
      </c>
      <c r="AM1113" s="36">
        <f>IF(ISBLANK(AL1114),"",Short1[[#This Row],[Adj Close]]/AL1114-1)</f>
        <v>-6.1363094463979584E-2</v>
      </c>
      <c r="AN1113" s="29">
        <v>37305</v>
      </c>
      <c r="AO1113" s="44">
        <v>19.343713999999999</v>
      </c>
      <c r="AP1113" s="33">
        <f>IF(ISBLANK(AO1114),"",Short2[[#This Row],[Adj Close]]/AO1114-1)</f>
        <v>2.6510726824962028E-3</v>
      </c>
    </row>
    <row r="1114" spans="1:42" x14ac:dyDescent="0.25">
      <c r="A1114" s="37">
        <v>37298</v>
      </c>
      <c r="B1114" s="39">
        <v>1104.1800539999999</v>
      </c>
      <c r="C1114" s="36">
        <f>IF(ISBLANK(B1115), "", GSPC[[#This Row],[Adj Close]]/B1115-1)</f>
        <v>7.261392065990746E-3</v>
      </c>
      <c r="D111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1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14" s="11" t="e">
        <f>IF(ISBLANK(GSPC[[#This Row],[Long Exp.]]), "", (GSPC[[#This Row],[Long Exp.]]/D1115-1)+(E1115/GSPC[[#This Row],[Short Exp.]]-1))</f>
        <v>#VALUE!</v>
      </c>
      <c r="G1114" s="37">
        <v>37298</v>
      </c>
      <c r="H1114">
        <v>12.925803</v>
      </c>
      <c r="I1114" s="36">
        <f>IF(ISBLANK(H1115), "", Long0[[#This Row],[Adj Close]]/H1115-1)</f>
        <v>-1.2032724497976766E-3</v>
      </c>
      <c r="M1114" s="37">
        <v>37298</v>
      </c>
      <c r="N1114">
        <v>10.562861</v>
      </c>
      <c r="O1114" s="36">
        <f>IF(ISBLANK(N1115),"",Long2[[#This Row],[Adj Close]]/N1115-1)</f>
        <v>-2.9453884900150773E-2</v>
      </c>
      <c r="P1114" s="29">
        <v>37298</v>
      </c>
      <c r="Q1114">
        <v>6.0543839999999998</v>
      </c>
      <c r="R1114" s="33">
        <f>IF(ISBLANK(Q1115),"",Long3[[#This Row],[Adj Close]]/Q1115-1)</f>
        <v>3.034105801861342E-2</v>
      </c>
      <c r="S1114" s="37">
        <v>37298</v>
      </c>
      <c r="T1114" s="35">
        <v>9.3105580000000003</v>
      </c>
      <c r="U1114" s="36">
        <f>IF(ISBLANK(T1115),"",Long4[[#This Row],[Adj Close]]/T1115-1)</f>
        <v>-0.27873205130409973</v>
      </c>
      <c r="Y1114" s="37">
        <v>37298</v>
      </c>
      <c r="Z1114" s="35">
        <v>8.117661</v>
      </c>
      <c r="AA1114" s="36">
        <f>IF(ISBLANK(Z1115),"",Long6[[#This Row],[Adj Close]]/Z1115-1)</f>
        <v>-2.57309933098121E-2</v>
      </c>
      <c r="AK1114" s="37">
        <v>37298</v>
      </c>
      <c r="AL1114" s="39">
        <v>20.168946999999999</v>
      </c>
      <c r="AM1114" s="36">
        <f>IF(ISBLANK(AL1115),"",Short1[[#This Row],[Adj Close]]/AL1115-1)</f>
        <v>2.7239044741066198E-2</v>
      </c>
      <c r="AN1114" s="29">
        <v>37298</v>
      </c>
      <c r="AO1114" s="44">
        <v>19.292567999999999</v>
      </c>
      <c r="AP1114" s="33">
        <f>IF(ISBLANK(AO1115),"",Short2[[#This Row],[Adj Close]]/AO1115-1)</f>
        <v>1.1685271104739714E-2</v>
      </c>
    </row>
    <row r="1115" spans="1:42" x14ac:dyDescent="0.25">
      <c r="A1115" s="37">
        <v>37291</v>
      </c>
      <c r="B1115" s="39">
        <v>1096.219971</v>
      </c>
      <c r="C1115" s="36">
        <f>IF(ISBLANK(B1116), "", GSPC[[#This Row],[Adj Close]]/B1116-1)</f>
        <v>-2.3150936672960198E-2</v>
      </c>
      <c r="D111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1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15" s="11" t="e">
        <f>IF(ISBLANK(GSPC[[#This Row],[Long Exp.]]), "", (GSPC[[#This Row],[Long Exp.]]/D1116-1)+(E1116/GSPC[[#This Row],[Short Exp.]]-1))</f>
        <v>#VALUE!</v>
      </c>
      <c r="G1115" s="37">
        <v>37291</v>
      </c>
      <c r="H1115">
        <v>12.941375000000001</v>
      </c>
      <c r="I1115" s="36">
        <f>IF(ISBLANK(H1116), "", Long0[[#This Row],[Adj Close]]/H1116-1)</f>
        <v>-2.6647250818838009E-2</v>
      </c>
      <c r="M1115" s="37">
        <v>37291</v>
      </c>
      <c r="N1115">
        <v>10.883419999999999</v>
      </c>
      <c r="O1115" s="36">
        <f>IF(ISBLANK(N1116),"",Long2[[#This Row],[Adj Close]]/N1116-1)</f>
        <v>3.8805718279278034E-2</v>
      </c>
      <c r="P1115" s="29">
        <v>37291</v>
      </c>
      <c r="Q1115">
        <v>5.8760969999999997</v>
      </c>
      <c r="R1115" s="33">
        <f>IF(ISBLANK(Q1116),"",Long3[[#This Row],[Adj Close]]/Q1116-1)</f>
        <v>-5.1673882551846129E-2</v>
      </c>
      <c r="S1115" s="37">
        <v>37291</v>
      </c>
      <c r="T1115" s="35">
        <v>12.908598</v>
      </c>
      <c r="U1115" s="36">
        <f>IF(ISBLANK(T1116),"",Long4[[#This Row],[Adj Close]]/T1116-1)</f>
        <v>-3.505392212450531E-2</v>
      </c>
      <c r="Y1115" s="37">
        <v>37291</v>
      </c>
      <c r="Z1115" s="35">
        <v>8.3320530000000002</v>
      </c>
      <c r="AA1115" s="36">
        <f>IF(ISBLANK(Z1116),"",Long6[[#This Row],[Adj Close]]/Z1116-1)</f>
        <v>-5.4203596705080681E-2</v>
      </c>
      <c r="AK1115" s="37">
        <v>37291</v>
      </c>
      <c r="AL1115" s="39">
        <v>19.634132000000001</v>
      </c>
      <c r="AM1115" s="36">
        <f>IF(ISBLANK(AL1116),"",Short1[[#This Row],[Adj Close]]/AL1116-1)</f>
        <v>-3.3494026054628367E-2</v>
      </c>
      <c r="AN1115" s="29">
        <v>37291</v>
      </c>
      <c r="AO1115" s="44">
        <v>19.069732999999999</v>
      </c>
      <c r="AP1115" s="33">
        <f>IF(ISBLANK(AO1116),"",Short2[[#This Row],[Adj Close]]/AO1116-1)</f>
        <v>-4.7221550221720254E-2</v>
      </c>
    </row>
    <row r="1116" spans="1:42" x14ac:dyDescent="0.25">
      <c r="A1116" s="37">
        <v>37284</v>
      </c>
      <c r="B1116" s="39">
        <v>1122.1999510000001</v>
      </c>
      <c r="C1116" s="36">
        <f>IF(ISBLANK(B1117), "", GSPC[[#This Row],[Adj Close]]/B1117-1)</f>
        <v>-9.7769992556711038E-3</v>
      </c>
      <c r="D111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1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16" s="11" t="e">
        <f>IF(ISBLANK(GSPC[[#This Row],[Long Exp.]]), "", (GSPC[[#This Row],[Long Exp.]]/D1117-1)+(E1117/GSPC[[#This Row],[Short Exp.]]-1))</f>
        <v>#VALUE!</v>
      </c>
      <c r="G1116" s="37">
        <v>37284</v>
      </c>
      <c r="H1116">
        <v>13.295667999999999</v>
      </c>
      <c r="I1116" s="36">
        <f>IF(ISBLANK(H1117), "", Long0[[#This Row],[Adj Close]]/H1117-1)</f>
        <v>1.970739587791992E-2</v>
      </c>
      <c r="M1116" s="37">
        <v>37284</v>
      </c>
      <c r="N1116">
        <v>10.476858</v>
      </c>
      <c r="O1116" s="36">
        <f>IF(ISBLANK(N1117),"",Long2[[#This Row],[Adj Close]]/N1117-1)</f>
        <v>3.8759634584055735E-2</v>
      </c>
      <c r="P1116" s="29">
        <v>37284</v>
      </c>
      <c r="Q1116">
        <v>6.1962830000000002</v>
      </c>
      <c r="R1116" s="33">
        <f>IF(ISBLANK(Q1117),"",Long3[[#This Row],[Adj Close]]/Q1117-1)</f>
        <v>1.3690578048809909E-2</v>
      </c>
      <c r="S1116" s="37">
        <v>37284</v>
      </c>
      <c r="T1116" s="35">
        <v>13.377533</v>
      </c>
      <c r="U1116" s="36">
        <f>IF(ISBLANK(T1117),"",Long4[[#This Row],[Adj Close]]/T1117-1)</f>
        <v>3.4960096013732622E-2</v>
      </c>
      <c r="Y1116" s="37">
        <v>37284</v>
      </c>
      <c r="Z1116" s="35">
        <v>8.8095630000000007</v>
      </c>
      <c r="AA1116" s="36">
        <f>IF(ISBLANK(Z1117),"",Long6[[#This Row],[Adj Close]]/Z1117-1)</f>
        <v>3.7887359719207536E-2</v>
      </c>
      <c r="AK1116" s="37">
        <v>37284</v>
      </c>
      <c r="AL1116" s="39">
        <v>20.314547999999998</v>
      </c>
      <c r="AM1116" s="36">
        <f>IF(ISBLANK(AL1117),"",Short1[[#This Row],[Adj Close]]/AL1117-1)</f>
        <v>4.9866553700650407E-3</v>
      </c>
      <c r="AN1116" s="29">
        <v>37284</v>
      </c>
      <c r="AO1116" s="44">
        <v>20.014866000000001</v>
      </c>
      <c r="AP1116" s="33">
        <f>IF(ISBLANK(AO1117),"",Short2[[#This Row],[Adj Close]]/AO1117-1)</f>
        <v>4.4804535677455792E-2</v>
      </c>
    </row>
    <row r="1117" spans="1:42" x14ac:dyDescent="0.25">
      <c r="A1117" s="37">
        <v>37277</v>
      </c>
      <c r="B1117" s="39">
        <v>1133.280029</v>
      </c>
      <c r="C1117" s="36">
        <f>IF(ISBLANK(B1118), "", GSPC[[#This Row],[Adj Close]]/B1118-1)</f>
        <v>5.0551386353305805E-3</v>
      </c>
      <c r="D111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1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17" s="11" t="e">
        <f>IF(ISBLANK(GSPC[[#This Row],[Long Exp.]]), "", (GSPC[[#This Row],[Long Exp.]]/D1118-1)+(E1118/GSPC[[#This Row],[Short Exp.]]-1))</f>
        <v>#VALUE!</v>
      </c>
      <c r="G1117" s="37">
        <v>37277</v>
      </c>
      <c r="H1117">
        <v>13.038709000000001</v>
      </c>
      <c r="I1117" s="36">
        <f>IF(ISBLANK(H1118), "", Long0[[#This Row],[Adj Close]]/H1118-1)</f>
        <v>-5.6619777088437351E-2</v>
      </c>
      <c r="M1117" s="37">
        <v>37277</v>
      </c>
      <c r="N1117">
        <v>10.085931</v>
      </c>
      <c r="O1117" s="36">
        <f>IF(ISBLANK(N1118),"",Long2[[#This Row],[Adj Close]]/N1118-1)</f>
        <v>4.8780262082476211E-2</v>
      </c>
      <c r="P1117" s="29">
        <v>37277</v>
      </c>
      <c r="Q1117">
        <v>6.1125980000000002</v>
      </c>
      <c r="R1117" s="33">
        <f>IF(ISBLANK(Q1118),"",Long3[[#This Row],[Adj Close]]/Q1118-1)</f>
        <v>-2.1264283708238518E-2</v>
      </c>
      <c r="S1117" s="37">
        <v>37277</v>
      </c>
      <c r="T1117" s="35">
        <v>12.925651</v>
      </c>
      <c r="U1117" s="36">
        <f>IF(ISBLANK(T1118),"",Long4[[#This Row],[Adj Close]]/T1118-1)</f>
        <v>5.305333768671483E-3</v>
      </c>
      <c r="Y1117" s="37">
        <v>37277</v>
      </c>
      <c r="Z1117" s="35">
        <v>8.4879759999999997</v>
      </c>
      <c r="AA1117" s="36">
        <f>IF(ISBLANK(Z1118),"",Long6[[#This Row],[Adj Close]]/Z1118-1)</f>
        <v>-8.6043714540753991E-2</v>
      </c>
      <c r="AK1117" s="37">
        <v>37277</v>
      </c>
      <c r="AL1117" s="39">
        <v>20.213749</v>
      </c>
      <c r="AM1117" s="36">
        <f>IF(ISBLANK(AL1118),"",Short1[[#This Row],[Adj Close]]/AL1118-1)</f>
        <v>-1.3528405381124431E-2</v>
      </c>
      <c r="AN1117" s="29">
        <v>37277</v>
      </c>
      <c r="AO1117" s="44">
        <v>19.156565000000001</v>
      </c>
      <c r="AP1117" s="33">
        <f>IF(ISBLANK(AO1118),"",Short2[[#This Row],[Adj Close]]/AO1118-1)</f>
        <v>5.9595921771205429E-2</v>
      </c>
    </row>
    <row r="1118" spans="1:42" x14ac:dyDescent="0.25">
      <c r="A1118" s="37">
        <v>37270</v>
      </c>
      <c r="B1118" s="39">
        <v>1127.579956</v>
      </c>
      <c r="C1118" s="36">
        <f>IF(ISBLANK(B1119), "", GSPC[[#This Row],[Adj Close]]/B1119-1)</f>
        <v>-1.5729766390986666E-2</v>
      </c>
      <c r="D111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1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18" s="11" t="e">
        <f>IF(ISBLANK(GSPC[[#This Row],[Long Exp.]]), "", (GSPC[[#This Row],[Long Exp.]]/D1119-1)+(E1119/GSPC[[#This Row],[Short Exp.]]-1))</f>
        <v>#VALUE!</v>
      </c>
      <c r="G1118" s="37">
        <v>37270</v>
      </c>
      <c r="H1118">
        <v>13.821266</v>
      </c>
      <c r="I1118" s="36">
        <f>IF(ISBLANK(H1119), "", Long0[[#This Row],[Adj Close]]/H1119-1)</f>
        <v>-1.9065852977543818E-2</v>
      </c>
      <c r="M1118" s="37">
        <v>37270</v>
      </c>
      <c r="N1118">
        <v>9.6168200000000006</v>
      </c>
      <c r="O1118" s="36">
        <f>IF(ISBLANK(N1119),"",Long2[[#This Row],[Adj Close]]/N1119-1)</f>
        <v>-3.4536569381295568E-2</v>
      </c>
      <c r="P1118" s="29">
        <v>37270</v>
      </c>
      <c r="Q1118">
        <v>6.2454020000000003</v>
      </c>
      <c r="R1118" s="33">
        <f>IF(ISBLANK(Q1119),"",Long3[[#This Row],[Adj Close]]/Q1119-1)</f>
        <v>1.4180727876693888E-2</v>
      </c>
      <c r="S1118" s="37">
        <v>37270</v>
      </c>
      <c r="T1118" s="35">
        <v>12.857438</v>
      </c>
      <c r="U1118" s="36">
        <f>IF(ISBLANK(T1119),"",Long4[[#This Row],[Adj Close]]/T1119-1)</f>
        <v>0.15999971490439235</v>
      </c>
      <c r="Y1118" s="37">
        <v>37270</v>
      </c>
      <c r="Z1118" s="35">
        <v>9.2870699999999999</v>
      </c>
      <c r="AA1118" s="36">
        <f>IF(ISBLANK(Z1119),"",Long6[[#This Row],[Adj Close]]/Z1119-1)</f>
        <v>-4.7000176806968774E-2</v>
      </c>
      <c r="AK1118" s="37">
        <v>37270</v>
      </c>
      <c r="AL1118" s="39">
        <v>20.490959</v>
      </c>
      <c r="AM1118" s="36">
        <f>IF(ISBLANK(AL1119),"",Short1[[#This Row],[Adj Close]]/AL1119-1)</f>
        <v>6.6023440701517E-3</v>
      </c>
      <c r="AN1118" s="29">
        <v>37270</v>
      </c>
      <c r="AO1118" s="44">
        <v>18.079122999999999</v>
      </c>
      <c r="AP1118" s="33">
        <f>IF(ISBLANK(AO1119),"",Short2[[#This Row],[Adj Close]]/AO1119-1)</f>
        <v>6.4058486504664947E-2</v>
      </c>
    </row>
    <row r="1119" spans="1:42" x14ac:dyDescent="0.25">
      <c r="A1119" s="37">
        <v>37263</v>
      </c>
      <c r="B1119" s="39">
        <v>1145.599976</v>
      </c>
      <c r="C1119" s="36">
        <f>IF(ISBLANK(B1120), "", GSPC[[#This Row],[Adj Close]]/B1120-1)</f>
        <v>-2.2950792548031229E-2</v>
      </c>
      <c r="D111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1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19" s="11" t="e">
        <f>IF(ISBLANK(GSPC[[#This Row],[Long Exp.]]), "", (GSPC[[#This Row],[Long Exp.]]/D1120-1)+(E1120/GSPC[[#This Row],[Short Exp.]]-1))</f>
        <v>#VALUE!</v>
      </c>
      <c r="G1119" s="37">
        <v>37263</v>
      </c>
      <c r="H1119">
        <v>14.089902</v>
      </c>
      <c r="I1119" s="36">
        <f>IF(ISBLANK(H1120), "", Long0[[#This Row],[Adj Close]]/H1120-1)</f>
        <v>2.6084427309095659E-2</v>
      </c>
      <c r="M1119" s="37">
        <v>37263</v>
      </c>
      <c r="N1119">
        <v>9.9608329999999992</v>
      </c>
      <c r="O1119" s="36">
        <f>IF(ISBLANK(N1120),"",Long2[[#This Row],[Adj Close]]/N1120-1)</f>
        <v>-7.5471593038066609E-2</v>
      </c>
      <c r="P1119" s="29">
        <v>37263</v>
      </c>
      <c r="Q1119">
        <v>6.1580760000000003</v>
      </c>
      <c r="R1119" s="33">
        <f>IF(ISBLANK(Q1120),"",Long3[[#This Row],[Adj Close]]/Q1120-1)</f>
        <v>4.6690879522233608E-2</v>
      </c>
      <c r="S1119" s="37">
        <v>37263</v>
      </c>
      <c r="T1119" s="35">
        <v>11.084001000000001</v>
      </c>
      <c r="U1119" s="36">
        <f>IF(ISBLANK(T1120),"",Long4[[#This Row],[Adj Close]]/T1120-1)</f>
        <v>-5.454540646781636E-2</v>
      </c>
      <c r="Y1119" s="37">
        <v>37263</v>
      </c>
      <c r="Z1119" s="35">
        <v>9.7450910000000004</v>
      </c>
      <c r="AA1119" s="36">
        <f>IF(ISBLANK(Z1120),"",Long6[[#This Row],[Adj Close]]/Z1120-1)</f>
        <v>-0.1150444221757172</v>
      </c>
      <c r="AK1119" s="37">
        <v>37263</v>
      </c>
      <c r="AL1119" s="39">
        <v>20.356558</v>
      </c>
      <c r="AM1119" s="36">
        <f>IF(ISBLANK(AL1120),"",Short1[[#This Row],[Adj Close]]/AL1120-1)</f>
        <v>-1.5972224068526275E-2</v>
      </c>
      <c r="AN1119" s="29">
        <v>37263</v>
      </c>
      <c r="AO1119" s="44">
        <v>16.990722999999999</v>
      </c>
      <c r="AP1119" s="33">
        <f>IF(ISBLANK(AO1120),"",Short2[[#This Row],[Adj Close]]/AO1120-1)</f>
        <v>1.1304281783691028E-2</v>
      </c>
    </row>
    <row r="1120" spans="1:42" x14ac:dyDescent="0.25">
      <c r="A1120" s="37">
        <v>37256</v>
      </c>
      <c r="B1120" s="39">
        <v>1172.51001</v>
      </c>
      <c r="C1120" s="36">
        <f>IF(ISBLANK(B1121), "", GSPC[[#This Row],[Adj Close]]/B1121-1)</f>
        <v>9.8964615614467455E-3</v>
      </c>
      <c r="D112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2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20" s="11" t="e">
        <f>IF(ISBLANK(GSPC[[#This Row],[Long Exp.]]), "", (GSPC[[#This Row],[Long Exp.]]/D1121-1)+(E1121/GSPC[[#This Row],[Short Exp.]]-1))</f>
        <v>#VALUE!</v>
      </c>
      <c r="G1120" s="37">
        <v>37256</v>
      </c>
      <c r="H1120">
        <v>13.731718000000001</v>
      </c>
      <c r="I1120" s="36">
        <f>IF(ISBLANK(H1121), "", Long0[[#This Row],[Adj Close]]/H1121-1)</f>
        <v>-6.86502680093245E-2</v>
      </c>
      <c r="M1120" s="37">
        <v>37256</v>
      </c>
      <c r="N1120">
        <v>10.773961</v>
      </c>
      <c r="O1120" s="36">
        <f>IF(ISBLANK(N1121),"",Long2[[#This Row],[Adj Close]]/N1121-1)</f>
        <v>2.0740993946114283E-2</v>
      </c>
      <c r="P1120" s="29">
        <v>37256</v>
      </c>
      <c r="Q1120">
        <v>5.8833760000000002</v>
      </c>
      <c r="R1120" s="33">
        <f>IF(ISBLANK(Q1121),"",Long3[[#This Row],[Adj Close]]/Q1121-1)</f>
        <v>-7.8894681633867147E-2</v>
      </c>
      <c r="S1120" s="37">
        <v>37256</v>
      </c>
      <c r="T1120" s="35">
        <v>11.723462</v>
      </c>
      <c r="U1120" s="36">
        <f>IF(ISBLANK(T1121),"",Long4[[#This Row],[Adj Close]]/T1121-1)</f>
        <v>-5.0414191176012091E-2</v>
      </c>
      <c r="Y1120" s="37">
        <v>37256</v>
      </c>
      <c r="Z1120" s="35">
        <v>11.011955</v>
      </c>
      <c r="AA1120" s="36">
        <f>IF(ISBLANK(Z1121),"",Long6[[#This Row],[Adj Close]]/Z1121-1)</f>
        <v>0.3696969116517006</v>
      </c>
      <c r="AK1120" s="37">
        <v>37256</v>
      </c>
      <c r="AL1120" s="39">
        <v>20.686975</v>
      </c>
      <c r="AM1120" s="36">
        <f>IF(ISBLANK(AL1121),"",Short1[[#This Row],[Adj Close]]/AL1121-1)</f>
        <v>-1.0049111902390107E-2</v>
      </c>
      <c r="AN1120" s="29">
        <v>37256</v>
      </c>
      <c r="AO1120" s="44">
        <v>16.800802000000001</v>
      </c>
      <c r="AP1120" s="33">
        <f>IF(ISBLANK(AO1121),"",Short2[[#This Row],[Adj Close]]/AO1121-1)</f>
        <v>-4.0667147604471765E-2</v>
      </c>
    </row>
    <row r="1121" spans="1:42" x14ac:dyDescent="0.25">
      <c r="A1121" s="37">
        <v>37249</v>
      </c>
      <c r="B1121" s="39">
        <v>1161.0200199999999</v>
      </c>
      <c r="C1121" s="36">
        <f>IF(ISBLANK(B1122), "", GSPC[[#This Row],[Adj Close]]/B1122-1)</f>
        <v>1.4088693925765394E-2</v>
      </c>
      <c r="D112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2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21" s="11" t="e">
        <f>IF(ISBLANK(GSPC[[#This Row],[Long Exp.]]), "", (GSPC[[#This Row],[Long Exp.]]/D1122-1)+(E1122/GSPC[[#This Row],[Short Exp.]]-1))</f>
        <v>#VALUE!</v>
      </c>
      <c r="G1121" s="37">
        <v>37249</v>
      </c>
      <c r="H1121">
        <v>14.74389</v>
      </c>
      <c r="I1121" s="36">
        <f>IF(ISBLANK(H1122), "", Long0[[#This Row],[Adj Close]]/H1122-1)</f>
        <v>1.3365541699265293E-2</v>
      </c>
      <c r="M1121" s="37">
        <v>37249</v>
      </c>
      <c r="N1121">
        <v>10.555039000000001</v>
      </c>
      <c r="O1121" s="36">
        <f>IF(ISBLANK(N1122),"",Long2[[#This Row],[Adj Close]]/N1122-1)</f>
        <v>1.047897771114692E-2</v>
      </c>
      <c r="P1121" s="29">
        <v>37249</v>
      </c>
      <c r="Q1121">
        <v>6.3872999999999998</v>
      </c>
      <c r="R1121" s="33">
        <f>IF(ISBLANK(Q1122),"",Long3[[#This Row],[Adj Close]]/Q1122-1)</f>
        <v>5.530500054274512E-2</v>
      </c>
      <c r="S1121" s="37">
        <v>37249</v>
      </c>
      <c r="T1121" s="35">
        <v>12.345869</v>
      </c>
      <c r="U1121" s="36">
        <f>IF(ISBLANK(T1122),"",Long4[[#This Row],[Adj Close]]/T1122-1)</f>
        <v>8.79036536802702E-2</v>
      </c>
      <c r="Y1121" s="37">
        <v>37249</v>
      </c>
      <c r="Z1121" s="35">
        <v>8.0397020000000001</v>
      </c>
      <c r="AA1121" s="36">
        <f>IF(ISBLANK(Z1122),"",Long6[[#This Row],[Adj Close]]/Z1122-1)</f>
        <v>7.3260628592255461E-3</v>
      </c>
      <c r="AK1121" s="37">
        <v>37249</v>
      </c>
      <c r="AL1121" s="39">
        <v>20.896971000000001</v>
      </c>
      <c r="AM1121" s="36">
        <f>IF(ISBLANK(AL1122),"",Short1[[#This Row],[Adj Close]]/AL1122-1)</f>
        <v>3.6096282071642172E-2</v>
      </c>
      <c r="AN1121" s="29">
        <v>37249</v>
      </c>
      <c r="AO1121" s="44">
        <v>17.513006000000001</v>
      </c>
      <c r="AP1121" s="33">
        <f>IF(ISBLANK(AO1122),"",Short2[[#This Row],[Adj Close]]/AO1122-1)</f>
        <v>2.5667987058303421E-2</v>
      </c>
    </row>
    <row r="1122" spans="1:42" x14ac:dyDescent="0.25">
      <c r="A1122" s="37">
        <v>37242</v>
      </c>
      <c r="B1122" s="39">
        <v>1144.8900149999999</v>
      </c>
      <c r="C1122" s="36">
        <f>IF(ISBLANK(B1123), "", GSPC[[#This Row],[Adj Close]]/B1123-1)</f>
        <v>1.9410777105990151E-2</v>
      </c>
      <c r="D112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2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22" s="11" t="e">
        <f>IF(ISBLANK(GSPC[[#This Row],[Long Exp.]]), "", (GSPC[[#This Row],[Long Exp.]]/D1123-1)+(E1123/GSPC[[#This Row],[Short Exp.]]-1))</f>
        <v>#VALUE!</v>
      </c>
      <c r="G1122" s="37">
        <v>37242</v>
      </c>
      <c r="H1122">
        <v>14.549429</v>
      </c>
      <c r="I1122" s="36">
        <f>IF(ISBLANK(H1123), "", Long0[[#This Row],[Adj Close]]/H1123-1)</f>
        <v>3.7437712076990426E-2</v>
      </c>
      <c r="M1122" s="37">
        <v>37242</v>
      </c>
      <c r="N1122">
        <v>10.44558</v>
      </c>
      <c r="O1122" s="36">
        <f>IF(ISBLANK(N1123),"",Long2[[#This Row],[Adj Close]]/N1123-1)</f>
        <v>-1.5352275995706988E-3</v>
      </c>
      <c r="P1122" s="29">
        <v>37242</v>
      </c>
      <c r="Q1122">
        <v>6.0525630000000001</v>
      </c>
      <c r="R1122" s="33">
        <f>IF(ISBLANK(Q1123),"",Long3[[#This Row],[Adj Close]]/Q1123-1)</f>
        <v>1.2785139346238816E-2</v>
      </c>
      <c r="S1122" s="37">
        <v>37242</v>
      </c>
      <c r="T1122" s="35">
        <v>11.348311000000001</v>
      </c>
      <c r="U1122" s="36">
        <f>IF(ISBLANK(T1123),"",Long4[[#This Row],[Adj Close]]/T1123-1)</f>
        <v>2.3846082294651572E-2</v>
      </c>
      <c r="Y1122" s="37">
        <v>37242</v>
      </c>
      <c r="Z1122" s="35">
        <v>7.9812310000000002</v>
      </c>
      <c r="AA1122" s="36">
        <f>IF(ISBLANK(Z1123),"",Long6[[#This Row],[Adj Close]]/Z1123-1)</f>
        <v>2.4482088649226963E-3</v>
      </c>
      <c r="AK1122" s="37">
        <v>37242</v>
      </c>
      <c r="AL1122" s="39">
        <v>20.168946999999999</v>
      </c>
      <c r="AM1122" s="36">
        <f>IF(ISBLANK(AL1123),"",Short1[[#This Row],[Adj Close]]/AL1123-1)</f>
        <v>7.5877257813226295E-2</v>
      </c>
      <c r="AN1122" s="29">
        <v>37242</v>
      </c>
      <c r="AO1122" s="44">
        <v>17.074732000000001</v>
      </c>
      <c r="AP1122" s="33">
        <f>IF(ISBLANK(AO1123),"",Short2[[#This Row],[Adj Close]]/AO1123-1)</f>
        <v>0.13415839808488617</v>
      </c>
    </row>
    <row r="1123" spans="1:42" x14ac:dyDescent="0.25">
      <c r="A1123" s="37">
        <v>37235</v>
      </c>
      <c r="B1123" s="39">
        <v>1123.089966</v>
      </c>
      <c r="C1123" s="36">
        <f>IF(ISBLANK(B1124), "", GSPC[[#This Row],[Adj Close]]/B1124-1)</f>
        <v>-3.0406446638654216E-2</v>
      </c>
      <c r="D112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2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23" s="11" t="e">
        <f>IF(ISBLANK(GSPC[[#This Row],[Long Exp.]]), "", (GSPC[[#This Row],[Long Exp.]]/D1124-1)+(E1124/GSPC[[#This Row],[Short Exp.]]-1))</f>
        <v>#VALUE!</v>
      </c>
      <c r="G1123" s="37">
        <v>37235</v>
      </c>
      <c r="H1123">
        <v>14.024388</v>
      </c>
      <c r="I1123" s="36">
        <f>IF(ISBLANK(H1124), "", Long0[[#This Row],[Adj Close]]/H1124-1)</f>
        <v>3.6504816798185846E-2</v>
      </c>
      <c r="M1123" s="37">
        <v>37235</v>
      </c>
      <c r="N1123">
        <v>10.461641</v>
      </c>
      <c r="O1123" s="36">
        <f>IF(ISBLANK(N1124),"",Long2[[#This Row],[Adj Close]]/N1124-1)</f>
        <v>1.2849749881812311E-2</v>
      </c>
      <c r="P1123" s="29">
        <v>37235</v>
      </c>
      <c r="Q1123">
        <v>5.9761569999999997</v>
      </c>
      <c r="R1123" s="33">
        <f>IF(ISBLANK(Q1124),"",Long3[[#This Row],[Adj Close]]/Q1124-1)</f>
        <v>-2.7480283234044389E-2</v>
      </c>
      <c r="S1123" s="37">
        <v>37235</v>
      </c>
      <c r="T1123" s="35">
        <v>11.084001000000001</v>
      </c>
      <c r="U1123" s="36">
        <f>IF(ISBLANK(T1124),"",Long4[[#This Row],[Adj Close]]/T1124-1)</f>
        <v>-8.1271949197758375E-2</v>
      </c>
      <c r="Y1123" s="37">
        <v>37235</v>
      </c>
      <c r="Z1123" s="35">
        <v>7.9617389999999997</v>
      </c>
      <c r="AA1123" s="36">
        <f>IF(ISBLANK(Z1124),"",Long6[[#This Row],[Adj Close]]/Z1124-1)</f>
        <v>-9.7237264981454463E-2</v>
      </c>
      <c r="AK1123" s="37">
        <v>37235</v>
      </c>
      <c r="AL1123" s="39">
        <v>18.746513</v>
      </c>
      <c r="AM1123" s="36">
        <f>IF(ISBLANK(AL1124),"",Short1[[#This Row],[Adj Close]]/AL1124-1)</f>
        <v>-4.5752196578016324E-2</v>
      </c>
      <c r="AN1123" s="29">
        <v>37235</v>
      </c>
      <c r="AO1123" s="44">
        <v>15.05498</v>
      </c>
      <c r="AP1123" s="33">
        <f>IF(ISBLANK(AO1124),"",Short2[[#This Row],[Adj Close]]/AO1124-1)</f>
        <v>4.9656231027028763E-2</v>
      </c>
    </row>
    <row r="1124" spans="1:42" x14ac:dyDescent="0.25">
      <c r="A1124" s="37">
        <v>37228</v>
      </c>
      <c r="B1124" s="39">
        <v>1158.3100589999999</v>
      </c>
      <c r="C1124" s="36">
        <f>IF(ISBLANK(B1125), "", GSPC[[#This Row],[Adj Close]]/B1125-1)</f>
        <v>1.655194068282495E-2</v>
      </c>
      <c r="D112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2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24" s="11" t="e">
        <f>IF(ISBLANK(GSPC[[#This Row],[Long Exp.]]), "", (GSPC[[#This Row],[Long Exp.]]/D1125-1)+(E1125/GSPC[[#This Row],[Short Exp.]]-1))</f>
        <v>#VALUE!</v>
      </c>
      <c r="G1124" s="37">
        <v>37228</v>
      </c>
      <c r="H1124">
        <v>13.530461000000001</v>
      </c>
      <c r="I1124" s="36">
        <f>IF(ISBLANK(H1125), "", Long0[[#This Row],[Adj Close]]/H1125-1)</f>
        <v>8.9905225982687131E-3</v>
      </c>
      <c r="M1124" s="37">
        <v>37228</v>
      </c>
      <c r="N1124">
        <v>10.328917000000001</v>
      </c>
      <c r="O1124" s="36">
        <f>IF(ISBLANK(N1125),"",Long2[[#This Row],[Adj Close]]/N1125-1)</f>
        <v>0.12595736850671169</v>
      </c>
      <c r="P1124" s="29">
        <v>37228</v>
      </c>
      <c r="Q1124">
        <v>6.1450240000000003</v>
      </c>
      <c r="R1124" s="33">
        <f>IF(ISBLANK(Q1125),"",Long3[[#This Row],[Adj Close]]/Q1125-1)</f>
        <v>-4.329430549821045E-2</v>
      </c>
      <c r="S1124" s="37">
        <v>37228</v>
      </c>
      <c r="T1124" s="35">
        <v>12.064507000000001</v>
      </c>
      <c r="U1124" s="36">
        <f>IF(ISBLANK(T1125),"",Long4[[#This Row],[Adj Close]]/T1125-1)</f>
        <v>0.15510213616936785</v>
      </c>
      <c r="Y1124" s="37">
        <v>37228</v>
      </c>
      <c r="Z1124" s="35">
        <v>8.8193040000000007</v>
      </c>
      <c r="AA1124" s="36">
        <f>IF(ISBLANK(Z1125),"",Long6[[#This Row],[Adj Close]]/Z1125-1)</f>
        <v>0.17532439580959802</v>
      </c>
      <c r="AK1124" s="37">
        <v>37228</v>
      </c>
      <c r="AL1124" s="39">
        <v>19.645330000000001</v>
      </c>
      <c r="AM1124" s="36">
        <f>IF(ISBLANK(AL1125),"",Short1[[#This Row],[Adj Close]]/AL1125-1)</f>
        <v>-1.7229830288022607E-2</v>
      </c>
      <c r="AN1124" s="29">
        <v>37228</v>
      </c>
      <c r="AO1124" s="44">
        <v>14.342772</v>
      </c>
      <c r="AP1124" s="33">
        <f>IF(ISBLANK(AO1125),"",Short2[[#This Row],[Adj Close]]/AO1125-1)</f>
        <v>5.5644841956201452E-2</v>
      </c>
    </row>
    <row r="1125" spans="1:42" x14ac:dyDescent="0.25">
      <c r="A1125" s="37">
        <v>37221</v>
      </c>
      <c r="B1125" s="39">
        <v>1139.4499510000001</v>
      </c>
      <c r="C1125" s="36">
        <f>IF(ISBLANK(B1126), "", GSPC[[#This Row],[Adj Close]]/B1126-1)</f>
        <v>-9.4667796667684545E-3</v>
      </c>
      <c r="D112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2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25" s="11" t="e">
        <f>IF(ISBLANK(GSPC[[#This Row],[Long Exp.]]), "", (GSPC[[#This Row],[Long Exp.]]/D1126-1)+(E1126/GSPC[[#This Row],[Short Exp.]]-1))</f>
        <v>#VALUE!</v>
      </c>
      <c r="G1125" s="37">
        <v>37221</v>
      </c>
      <c r="H1125">
        <v>13.409898999999999</v>
      </c>
      <c r="I1125" s="36">
        <f>IF(ISBLANK(H1126), "", Long0[[#This Row],[Adj Close]]/H1126-1)</f>
        <v>4.3694519591719327E-3</v>
      </c>
      <c r="M1125" s="37">
        <v>37221</v>
      </c>
      <c r="N1125">
        <v>9.1734530000000003</v>
      </c>
      <c r="O1125" s="36">
        <f>IF(ISBLANK(N1126),"",Long2[[#This Row],[Adj Close]]/N1126-1)</f>
        <v>1.7316256394508844E-2</v>
      </c>
      <c r="P1125" s="29">
        <v>37221</v>
      </c>
      <c r="Q1125">
        <v>6.423108</v>
      </c>
      <c r="R1125" s="33">
        <f>IF(ISBLANK(Q1126),"",Long3[[#This Row],[Adj Close]]/Q1126-1)</f>
        <v>-6.4255635303830383E-3</v>
      </c>
      <c r="S1125" s="37">
        <v>37221</v>
      </c>
      <c r="T1125" s="35">
        <v>10.444537</v>
      </c>
      <c r="U1125" s="36">
        <f>IF(ISBLANK(T1126),"",Long4[[#This Row],[Adj Close]]/T1126-1)</f>
        <v>0.26811585932651028</v>
      </c>
      <c r="Y1125" s="37">
        <v>37221</v>
      </c>
      <c r="Z1125" s="35">
        <v>7.5037190000000002</v>
      </c>
      <c r="AA1125" s="36">
        <f>IF(ISBLANK(Z1126),"",Long6[[#This Row],[Adj Close]]/Z1126-1)</f>
        <v>-5.0554789557280433E-2</v>
      </c>
      <c r="AK1125" s="37">
        <v>37221</v>
      </c>
      <c r="AL1125" s="39">
        <v>19.989750000000001</v>
      </c>
      <c r="AM1125" s="36">
        <f>IF(ISBLANK(AL1126),"",Short1[[#This Row],[Adj Close]]/AL1126-1)</f>
        <v>4.6467562424088893E-2</v>
      </c>
      <c r="AN1125" s="29">
        <v>37221</v>
      </c>
      <c r="AO1125" s="44">
        <v>13.586740000000001</v>
      </c>
      <c r="AP1125" s="33">
        <f>IF(ISBLANK(AO1126),"",Short2[[#This Row],[Adj Close]]/AO1126-1)</f>
        <v>-1.3000428601524061E-2</v>
      </c>
    </row>
    <row r="1126" spans="1:42" x14ac:dyDescent="0.25">
      <c r="A1126" s="37">
        <v>37214</v>
      </c>
      <c r="B1126" s="39">
        <v>1150.339966</v>
      </c>
      <c r="C1126" s="36">
        <f>IF(ISBLANK(B1127), "", GSPC[[#This Row],[Adj Close]]/B1127-1)</f>
        <v>1.0266492560140561E-2</v>
      </c>
      <c r="D112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2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26" s="11" t="e">
        <f>IF(ISBLANK(GSPC[[#This Row],[Long Exp.]]), "", (GSPC[[#This Row],[Long Exp.]]/D1127-1)+(E1127/GSPC[[#This Row],[Short Exp.]]-1))</f>
        <v>#VALUE!</v>
      </c>
      <c r="G1126" s="37">
        <v>37214</v>
      </c>
      <c r="H1126">
        <v>13.351559999999999</v>
      </c>
      <c r="I1126" s="36">
        <f>IF(ISBLANK(H1127), "", Long0[[#This Row],[Adj Close]]/H1127-1)</f>
        <v>7.2812389366593955E-2</v>
      </c>
      <c r="M1126" s="37">
        <v>37214</v>
      </c>
      <c r="N1126">
        <v>9.0173070000000006</v>
      </c>
      <c r="O1126" s="36">
        <f>IF(ISBLANK(N1127),"",Long2[[#This Row],[Adj Close]]/N1127-1)</f>
        <v>4.0540222428238515E-2</v>
      </c>
      <c r="P1126" s="29">
        <v>37214</v>
      </c>
      <c r="Q1126">
        <v>6.4646470000000003</v>
      </c>
      <c r="R1126" s="33">
        <f>IF(ISBLANK(Q1127),"",Long3[[#This Row],[Adj Close]]/Q1127-1)</f>
        <v>1.3590378628428379E-2</v>
      </c>
      <c r="S1126" s="37">
        <v>37214</v>
      </c>
      <c r="T1126" s="35">
        <v>8.2362640000000003</v>
      </c>
      <c r="U1126" s="36">
        <f>IF(ISBLANK(T1127),"",Long4[[#This Row],[Adj Close]]/T1127-1)</f>
        <v>5.2029423333947999E-3</v>
      </c>
      <c r="Y1126" s="37">
        <v>37214</v>
      </c>
      <c r="Z1126" s="35">
        <v>7.9032669999999996</v>
      </c>
      <c r="AA1126" s="36">
        <f>IF(ISBLANK(Z1127),"",Long6[[#This Row],[Adj Close]]/Z1127-1)</f>
        <v>-4.7003806670940951E-2</v>
      </c>
      <c r="AK1126" s="37">
        <v>37214</v>
      </c>
      <c r="AL1126" s="39">
        <v>19.102121</v>
      </c>
      <c r="AM1126" s="36">
        <f>IF(ISBLANK(AL1127),"",Short1[[#This Row],[Adj Close]]/AL1127-1)</f>
        <v>4.8409401991657885E-2</v>
      </c>
      <c r="AN1126" s="29">
        <v>37214</v>
      </c>
      <c r="AO1126" s="44">
        <v>13.765700000000001</v>
      </c>
      <c r="AP1126" s="33">
        <f>IF(ISBLANK(AO1127),"",Short2[[#This Row],[Adj Close]]/AO1127-1)</f>
        <v>-1.8234099428393713E-2</v>
      </c>
    </row>
    <row r="1127" spans="1:42" x14ac:dyDescent="0.25">
      <c r="A1127" s="37">
        <v>37207</v>
      </c>
      <c r="B1127" s="39">
        <v>1138.650024</v>
      </c>
      <c r="C1127" s="36">
        <f>IF(ISBLANK(B1128), "", GSPC[[#This Row],[Adj Close]]/B1128-1)</f>
        <v>1.637043678459027E-2</v>
      </c>
      <c r="D112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2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27" s="11" t="e">
        <f>IF(ISBLANK(GSPC[[#This Row],[Long Exp.]]), "", (GSPC[[#This Row],[Long Exp.]]/D1128-1)+(E1128/GSPC[[#This Row],[Short Exp.]]-1))</f>
        <v>#VALUE!</v>
      </c>
      <c r="G1127" s="37">
        <v>37207</v>
      </c>
      <c r="H1127">
        <v>12.445382</v>
      </c>
      <c r="I1127" s="36">
        <f>IF(ISBLANK(H1128), "", Long0[[#This Row],[Adj Close]]/H1128-1)</f>
        <v>-5.1851864267142056E-2</v>
      </c>
      <c r="M1127" s="37">
        <v>37207</v>
      </c>
      <c r="N1127">
        <v>8.6659860000000002</v>
      </c>
      <c r="O1127" s="36">
        <f>IF(ISBLANK(N1128),"",Long2[[#This Row],[Adj Close]]/N1128-1)</f>
        <v>3.1598314537524486E-2</v>
      </c>
      <c r="P1127" s="29">
        <v>37207</v>
      </c>
      <c r="Q1127">
        <v>6.3779680000000001</v>
      </c>
      <c r="R1127" s="33">
        <f>IF(ISBLANK(Q1128),"",Long3[[#This Row],[Adj Close]]/Q1128-1)</f>
        <v>-4.566353799948053E-2</v>
      </c>
      <c r="S1127" s="37">
        <v>37207</v>
      </c>
      <c r="T1127" s="35">
        <v>8.1936330000000002</v>
      </c>
      <c r="U1127" s="36">
        <f>IF(ISBLANK(T1128),"",Long4[[#This Row],[Adj Close]]/T1128-1)</f>
        <v>0.1058688038576765</v>
      </c>
      <c r="Y1127" s="37">
        <v>37207</v>
      </c>
      <c r="Z1127" s="35">
        <v>8.2930729999999997</v>
      </c>
      <c r="AA1127" s="36">
        <f>IF(ISBLANK(Z1128),"",Long6[[#This Row],[Adj Close]]/Z1128-1)</f>
        <v>6.3750044413386053E-2</v>
      </c>
      <c r="AK1127" s="37">
        <v>37207</v>
      </c>
      <c r="AL1127" s="39">
        <v>18.220096999999999</v>
      </c>
      <c r="AM1127" s="36">
        <f>IF(ISBLANK(AL1128),"",Short1[[#This Row],[Adj Close]]/AL1128-1)</f>
        <v>7.7317965570945946E-2</v>
      </c>
      <c r="AN1127" s="29">
        <v>37207</v>
      </c>
      <c r="AO1127" s="44">
        <v>14.021367</v>
      </c>
      <c r="AP1127" s="33">
        <f>IF(ISBLANK(AO1128),"",Short2[[#This Row],[Adj Close]]/AO1128-1)</f>
        <v>1.2928387382338924E-2</v>
      </c>
    </row>
    <row r="1128" spans="1:42" x14ac:dyDescent="0.25">
      <c r="A1128" s="37">
        <v>37200</v>
      </c>
      <c r="B1128" s="39">
        <v>1120.3100589999999</v>
      </c>
      <c r="C1128" s="36">
        <f>IF(ISBLANK(B1129), "", GSPC[[#This Row],[Adj Close]]/B1129-1)</f>
        <v>3.0454478929607509E-2</v>
      </c>
      <c r="D112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2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28" s="11" t="e">
        <f>IF(ISBLANK(GSPC[[#This Row],[Long Exp.]]), "", (GSPC[[#This Row],[Long Exp.]]/D1129-1)+(E1129/GSPC[[#This Row],[Short Exp.]]-1))</f>
        <v>#VALUE!</v>
      </c>
      <c r="G1128" s="37">
        <v>37200</v>
      </c>
      <c r="H1128">
        <v>13.125989000000001</v>
      </c>
      <c r="I1128" s="36">
        <f>IF(ISBLANK(H1129), "", Long0[[#This Row],[Adj Close]]/H1129-1)</f>
        <v>-8.5365961579345506E-2</v>
      </c>
      <c r="M1128" s="37">
        <v>37200</v>
      </c>
      <c r="N1128">
        <v>8.4005430000000008</v>
      </c>
      <c r="O1128" s="36">
        <f>IF(ISBLANK(N1129),"",Long2[[#This Row],[Adj Close]]/N1129-1)</f>
        <v>8.4350136255972874E-3</v>
      </c>
      <c r="P1128" s="29">
        <v>37200</v>
      </c>
      <c r="Q1128">
        <v>6.6831440000000004</v>
      </c>
      <c r="R1128" s="33">
        <f>IF(ISBLANK(Q1129),"",Long3[[#This Row],[Adj Close]]/Q1129-1)</f>
        <v>7.0272107176722054E-2</v>
      </c>
      <c r="S1128" s="37">
        <v>37200</v>
      </c>
      <c r="T1128" s="35">
        <v>7.4092269999999996</v>
      </c>
      <c r="U1128" s="36">
        <f>IF(ISBLANK(T1129),"",Long4[[#This Row],[Adj Close]]/T1129-1)</f>
        <v>8.6249910752547621E-2</v>
      </c>
      <c r="Y1128" s="37">
        <v>37200</v>
      </c>
      <c r="Z1128" s="35">
        <v>7.7960729999999998</v>
      </c>
      <c r="AA1128" s="36">
        <f>IF(ISBLANK(Z1129),"",Long6[[#This Row],[Adj Close]]/Z1129-1)</f>
        <v>0</v>
      </c>
      <c r="AK1128" s="37">
        <v>37200</v>
      </c>
      <c r="AL1128" s="39">
        <v>16.912459999999999</v>
      </c>
      <c r="AM1128" s="36">
        <f>IF(ISBLANK(AL1129),"",Short1[[#This Row],[Adj Close]]/AL1129-1)</f>
        <v>4.2457410621508984E-2</v>
      </c>
      <c r="AN1128" s="29">
        <v>37200</v>
      </c>
      <c r="AO1128" s="44">
        <v>13.842407</v>
      </c>
      <c r="AP1128" s="33">
        <f>IF(ISBLANK(AO1129),"",Short2[[#This Row],[Adj Close]]/AO1129-1)</f>
        <v>3.8729155771849877E-2</v>
      </c>
    </row>
    <row r="1129" spans="1:42" x14ac:dyDescent="0.25">
      <c r="A1129" s="37">
        <v>37193</v>
      </c>
      <c r="B1129" s="39">
        <v>1087.1999510000001</v>
      </c>
      <c r="C1129" s="36">
        <f>IF(ISBLANK(B1130), "", GSPC[[#This Row],[Adj Close]]/B1130-1)</f>
        <v>-1.576124988585903E-2</v>
      </c>
      <c r="D112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2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29" s="11" t="e">
        <f>IF(ISBLANK(GSPC[[#This Row],[Long Exp.]]), "", (GSPC[[#This Row],[Long Exp.]]/D1130-1)+(E1130/GSPC[[#This Row],[Short Exp.]]-1))</f>
        <v>#VALUE!</v>
      </c>
      <c r="G1129" s="37">
        <v>37193</v>
      </c>
      <c r="H1129">
        <v>14.351082999999999</v>
      </c>
      <c r="I1129" s="36">
        <f>IF(ISBLANK(H1130), "", Long0[[#This Row],[Adj Close]]/H1130-1)</f>
        <v>5.4496160978620978E-3</v>
      </c>
      <c r="M1129" s="37">
        <v>37193</v>
      </c>
      <c r="N1129">
        <v>8.3302770000000006</v>
      </c>
      <c r="O1129" s="36">
        <f>IF(ISBLANK(N1130),"",Long2[[#This Row],[Adj Close]]/N1130-1)</f>
        <v>6.6038508748462732E-3</v>
      </c>
      <c r="P1129" s="29">
        <v>37193</v>
      </c>
      <c r="Q1129">
        <v>6.2443410000000004</v>
      </c>
      <c r="R1129" s="33">
        <f>IF(ISBLANK(Q1130),"",Long3[[#This Row],[Adj Close]]/Q1130-1)</f>
        <v>1.4968999949286799E-2</v>
      </c>
      <c r="S1129" s="37">
        <v>37193</v>
      </c>
      <c r="T1129" s="35">
        <v>6.8209229999999996</v>
      </c>
      <c r="U1129" s="36">
        <f>IF(ISBLANK(T1130),"",Long4[[#This Row],[Adj Close]]/T1130-1)</f>
        <v>1.251541858174221E-3</v>
      </c>
      <c r="Y1129" s="37">
        <v>37193</v>
      </c>
      <c r="Z1129" s="35">
        <v>7.7960729999999998</v>
      </c>
      <c r="AA1129" s="36">
        <f>IF(ISBLANK(Z1130),"",Long6[[#This Row],[Adj Close]]/Z1130-1)</f>
        <v>-4.648384425347396E-2</v>
      </c>
      <c r="AK1129" s="37">
        <v>37193</v>
      </c>
      <c r="AL1129" s="39">
        <v>16.223645999999999</v>
      </c>
      <c r="AM1129" s="36">
        <f>IF(ISBLANK(AL1130),"",Short1[[#This Row],[Adj Close]]/AL1130-1)</f>
        <v>4.9638014494947758E-2</v>
      </c>
      <c r="AN1129" s="29">
        <v>37193</v>
      </c>
      <c r="AO1129" s="44">
        <v>13.326290999999999</v>
      </c>
      <c r="AP1129" s="33">
        <f>IF(ISBLANK(AO1130),"",Short2[[#This Row],[Adj Close]]/AO1130-1)</f>
        <v>-8.1521621825594304E-3</v>
      </c>
    </row>
    <row r="1130" spans="1:42" x14ac:dyDescent="0.25">
      <c r="A1130" s="37">
        <v>37186</v>
      </c>
      <c r="B1130" s="39">
        <v>1104.6099850000001</v>
      </c>
      <c r="C1130" s="36">
        <f>IF(ISBLANK(B1131), "", GSPC[[#This Row],[Adj Close]]/B1131-1)</f>
        <v>2.8999148172283551E-2</v>
      </c>
      <c r="D113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3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30" s="11" t="e">
        <f>IF(ISBLANK(GSPC[[#This Row],[Long Exp.]]), "", (GSPC[[#This Row],[Long Exp.]]/D1131-1)+(E1131/GSPC[[#This Row],[Short Exp.]]-1))</f>
        <v>#VALUE!</v>
      </c>
      <c r="G1130" s="37">
        <v>37186</v>
      </c>
      <c r="H1130">
        <v>14.273299</v>
      </c>
      <c r="I1130" s="36">
        <f>IF(ISBLANK(H1131), "", Long0[[#This Row],[Adj Close]]/H1131-1)</f>
        <v>8.4515520145861389E-2</v>
      </c>
      <c r="M1130" s="37">
        <v>37186</v>
      </c>
      <c r="N1130">
        <v>8.2756260000000008</v>
      </c>
      <c r="O1130" s="36">
        <f>IF(ISBLANK(N1131),"",Long2[[#This Row],[Adj Close]]/N1131-1)</f>
        <v>5.4726813282358622E-2</v>
      </c>
      <c r="P1130" s="29">
        <v>37186</v>
      </c>
      <c r="Q1130">
        <v>6.1522480000000002</v>
      </c>
      <c r="R1130" s="33">
        <f>IF(ISBLANK(Q1131),"",Long3[[#This Row],[Adj Close]]/Q1131-1)</f>
        <v>-3.4843990514492718E-2</v>
      </c>
      <c r="S1130" s="37">
        <v>37186</v>
      </c>
      <c r="T1130" s="35">
        <v>6.8123969999999998</v>
      </c>
      <c r="U1130" s="36">
        <f>IF(ISBLANK(T1131),"",Long4[[#This Row],[Adj Close]]/T1131-1)</f>
        <v>1.5247799468352197E-2</v>
      </c>
      <c r="Y1130" s="37">
        <v>37186</v>
      </c>
      <c r="Z1130" s="35">
        <v>8.1761309999999998</v>
      </c>
      <c r="AA1130" s="36">
        <f>IF(ISBLANK(Z1131),"",Long6[[#This Row],[Adj Close]]/Z1131-1)</f>
        <v>-7.8021933163975876E-2</v>
      </c>
      <c r="AK1130" s="37">
        <v>37186</v>
      </c>
      <c r="AL1130" s="39">
        <v>15.45642</v>
      </c>
      <c r="AM1130" s="36">
        <f>IF(ISBLANK(AL1131),"",Short1[[#This Row],[Adj Close]]/AL1131-1)</f>
        <v>3.5064259832642275E-2</v>
      </c>
      <c r="AN1130" s="29">
        <v>37186</v>
      </c>
      <c r="AO1130" s="44">
        <v>13.435822</v>
      </c>
      <c r="AP1130" s="33">
        <f>IF(ISBLANK(AO1131),"",Short2[[#This Row],[Adj Close]]/AO1131-1)</f>
        <v>6.0212854990771891E-2</v>
      </c>
    </row>
    <row r="1131" spans="1:42" x14ac:dyDescent="0.25">
      <c r="A1131" s="37">
        <v>37179</v>
      </c>
      <c r="B1131" s="39">
        <v>1073.4799800000001</v>
      </c>
      <c r="C1131" s="36">
        <f>IF(ISBLANK(B1132), "", GSPC[[#This Row],[Adj Close]]/B1132-1)</f>
        <v>-1.664456886413257E-2</v>
      </c>
      <c r="D113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3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31" s="11" t="e">
        <f>IF(ISBLANK(GSPC[[#This Row],[Long Exp.]]), "", (GSPC[[#This Row],[Long Exp.]]/D1132-1)+(E1132/GSPC[[#This Row],[Short Exp.]]-1))</f>
        <v>#VALUE!</v>
      </c>
      <c r="G1131" s="37">
        <v>37179</v>
      </c>
      <c r="H1131">
        <v>13.160990999999999</v>
      </c>
      <c r="I1131" s="36">
        <f>IF(ISBLANK(H1132), "", Long0[[#This Row],[Adj Close]]/H1132-1)</f>
        <v>-3.2313515635856715E-2</v>
      </c>
      <c r="M1131" s="37">
        <v>37179</v>
      </c>
      <c r="N1131">
        <v>7.8462269999999998</v>
      </c>
      <c r="O1131" s="36">
        <f>IF(ISBLANK(N1132),"",Long2[[#This Row],[Adj Close]]/N1132-1)</f>
        <v>4.6874776931795648E-2</v>
      </c>
      <c r="P1131" s="29">
        <v>37179</v>
      </c>
      <c r="Q1131">
        <v>6.3743559999999997</v>
      </c>
      <c r="R1131" s="33">
        <f>IF(ISBLANK(Q1132),"",Long3[[#This Row],[Adj Close]]/Q1132-1)</f>
        <v>-3.578236581650629E-2</v>
      </c>
      <c r="S1131" s="37">
        <v>37179</v>
      </c>
      <c r="T1131" s="35">
        <v>6.710083</v>
      </c>
      <c r="U1131" s="36">
        <f>IF(ISBLANK(T1132),"",Long4[[#This Row],[Adj Close]]/T1132-1)</f>
        <v>1.5484048471435363E-2</v>
      </c>
      <c r="Y1131" s="37">
        <v>37179</v>
      </c>
      <c r="Z1131" s="35">
        <v>8.8680319999999995</v>
      </c>
      <c r="AA1131" s="36">
        <f>IF(ISBLANK(Z1132),"",Long6[[#This Row],[Adj Close]]/Z1132-1)</f>
        <v>-6.6666582469097957E-2</v>
      </c>
      <c r="AK1131" s="37">
        <v>37179</v>
      </c>
      <c r="AL1131" s="39">
        <v>14.932812</v>
      </c>
      <c r="AM1131" s="36">
        <f>IF(ISBLANK(AL1132),"",Short1[[#This Row],[Adj Close]]/AL1132-1)</f>
        <v>6.2269880712793046E-3</v>
      </c>
      <c r="AN1131" s="29">
        <v>37179</v>
      </c>
      <c r="AO1131" s="44">
        <v>12.672758999999999</v>
      </c>
      <c r="AP1131" s="33">
        <f>IF(ISBLANK(AO1132),"",Short2[[#This Row],[Adj Close]]/AO1132-1)</f>
        <v>-9.6564112303358374E-2</v>
      </c>
    </row>
    <row r="1132" spans="1:42" x14ac:dyDescent="0.25">
      <c r="A1132" s="37">
        <v>37172</v>
      </c>
      <c r="B1132" s="39">
        <v>1091.650024</v>
      </c>
      <c r="C1132" s="36">
        <f>IF(ISBLANK(B1133), "", GSPC[[#This Row],[Adj Close]]/B1133-1)</f>
        <v>1.8919541997612699E-2</v>
      </c>
      <c r="D113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3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32" s="11" t="e">
        <f>IF(ISBLANK(GSPC[[#This Row],[Long Exp.]]), "", (GSPC[[#This Row],[Long Exp.]]/D1133-1)+(E1133/GSPC[[#This Row],[Short Exp.]]-1))</f>
        <v>#VALUE!</v>
      </c>
      <c r="G1132" s="37">
        <v>37172</v>
      </c>
      <c r="H1132">
        <v>13.60047</v>
      </c>
      <c r="I1132" s="36">
        <f>IF(ISBLANK(H1133), "", Long0[[#This Row],[Adj Close]]/H1133-1)</f>
        <v>-7.6618987441520181E-3</v>
      </c>
      <c r="M1132" s="37">
        <v>37172</v>
      </c>
      <c r="N1132">
        <v>7.4949050000000002</v>
      </c>
      <c r="O1132" s="36">
        <f>IF(ISBLANK(N1133),"",Long2[[#This Row],[Adj Close]]/N1133-1)</f>
        <v>-1.0309026505435415E-2</v>
      </c>
      <c r="P1132" s="29">
        <v>37172</v>
      </c>
      <c r="Q1132">
        <v>6.6109099999999996</v>
      </c>
      <c r="R1132" s="33">
        <f>IF(ISBLANK(Q1133),"",Long3[[#This Row],[Adj Close]]/Q1133-1)</f>
        <v>4.8996965309320073E-2</v>
      </c>
      <c r="S1132" s="37">
        <v>37172</v>
      </c>
      <c r="T1132" s="35">
        <v>6.6077680000000001</v>
      </c>
      <c r="U1132" s="36">
        <f>IF(ISBLANK(T1133),"",Long4[[#This Row],[Adj Close]]/T1133-1)</f>
        <v>2.5131974085963016E-2</v>
      </c>
      <c r="Y1132" s="37">
        <v>37172</v>
      </c>
      <c r="Z1132" s="35">
        <v>9.5014620000000001</v>
      </c>
      <c r="AA1132" s="36">
        <f>IF(ISBLANK(Z1133),"",Long6[[#This Row],[Adj Close]]/Z1133-1)</f>
        <v>0.11556037716576206</v>
      </c>
      <c r="AK1132" s="37">
        <v>37172</v>
      </c>
      <c r="AL1132" s="39">
        <v>14.840401</v>
      </c>
      <c r="AM1132" s="36">
        <f>IF(ISBLANK(AL1133),"",Short1[[#This Row],[Adj Close]]/AL1133-1)</f>
        <v>6.6398239541926696E-2</v>
      </c>
      <c r="AN1132" s="29">
        <v>37172</v>
      </c>
      <c r="AO1132" s="44">
        <v>14.027291999999999</v>
      </c>
      <c r="AP1132" s="33">
        <f>IF(ISBLANK(AO1133),"",Short2[[#This Row],[Adj Close]]/AO1133-1)</f>
        <v>7.6190259909843405E-2</v>
      </c>
    </row>
    <row r="1133" spans="1:42" x14ac:dyDescent="0.25">
      <c r="A1133" s="37">
        <v>37165</v>
      </c>
      <c r="B1133" s="39">
        <v>1071.380005</v>
      </c>
      <c r="C1133" s="36">
        <f>IF(ISBLANK(B1134), "", GSPC[[#This Row],[Adj Close]]/B1134-1)</f>
        <v>2.9242862917486789E-2</v>
      </c>
      <c r="D113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3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33" s="11" t="e">
        <f>IF(ISBLANK(GSPC[[#This Row],[Long Exp.]]), "", (GSPC[[#This Row],[Long Exp.]]/D1134-1)+(E1134/GSPC[[#This Row],[Short Exp.]]-1))</f>
        <v>#VALUE!</v>
      </c>
      <c r="G1133" s="37">
        <v>37165</v>
      </c>
      <c r="H1133">
        <v>13.70548</v>
      </c>
      <c r="I1133" s="36">
        <f>IF(ISBLANK(H1134), "", Long0[[#This Row],[Adj Close]]/H1134-1)</f>
        <v>8.1692678866280621E-2</v>
      </c>
      <c r="M1133" s="37">
        <v>37165</v>
      </c>
      <c r="N1133">
        <v>7.5729749999999996</v>
      </c>
      <c r="O1133" s="36">
        <f>IF(ISBLANK(N1134),"",Long2[[#This Row],[Adj Close]]/N1134-1)</f>
        <v>7.7777724012847438E-2</v>
      </c>
      <c r="P1133" s="29">
        <v>37165</v>
      </c>
      <c r="Q1133">
        <v>6.3021250000000002</v>
      </c>
      <c r="R1133" s="33">
        <f>IF(ISBLANK(Q1134),"",Long3[[#This Row],[Adj Close]]/Q1134-1)</f>
        <v>7.0552094610330629E-2</v>
      </c>
      <c r="S1133" s="37">
        <v>37165</v>
      </c>
      <c r="T1133" s="35">
        <v>6.445773</v>
      </c>
      <c r="U1133" s="36">
        <f>IF(ISBLANK(T1134),"",Long4[[#This Row],[Adj Close]]/T1134-1)</f>
        <v>-3.2010116946786904E-2</v>
      </c>
      <c r="Y1133" s="37">
        <v>37165</v>
      </c>
      <c r="Z1133" s="35">
        <v>8.5172100000000004</v>
      </c>
      <c r="AA1133" s="36">
        <f>IF(ISBLANK(Z1134),"",Long6[[#This Row],[Adj Close]]/Z1134-1)</f>
        <v>0.23971640785416759</v>
      </c>
      <c r="AK1133" s="37">
        <v>37165</v>
      </c>
      <c r="AL1133" s="39">
        <v>13.916378</v>
      </c>
      <c r="AM1133" s="36">
        <f>IF(ISBLANK(AL1134),"",Short1[[#This Row],[Adj Close]]/AL1134-1)</f>
        <v>9.3509065325805496E-2</v>
      </c>
      <c r="AN1133" s="29">
        <v>37165</v>
      </c>
      <c r="AO1133" s="44">
        <v>13.034212</v>
      </c>
      <c r="AP1133" s="33">
        <f>IF(ISBLANK(AO1134),"",Short2[[#This Row],[Adj Close]]/AO1134-1)</f>
        <v>-9.4337098954092591E-3</v>
      </c>
    </row>
    <row r="1134" spans="1:42" x14ac:dyDescent="0.25">
      <c r="A1134" s="37">
        <v>37158</v>
      </c>
      <c r="B1134" s="39">
        <v>1040.9399410000001</v>
      </c>
      <c r="C1134" s="36">
        <f>IF(ISBLANK(B1135), "", GSPC[[#This Row],[Adj Close]]/B1135-1)</f>
        <v>7.78007392147535E-2</v>
      </c>
      <c r="D113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3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34" s="11" t="e">
        <f>IF(ISBLANK(GSPC[[#This Row],[Long Exp.]]), "", (GSPC[[#This Row],[Long Exp.]]/D1135-1)+(E1135/GSPC[[#This Row],[Short Exp.]]-1))</f>
        <v>#VALUE!</v>
      </c>
      <c r="G1134" s="37">
        <v>37158</v>
      </c>
      <c r="H1134">
        <v>12.670401</v>
      </c>
      <c r="I1134" s="36">
        <f>IF(ISBLANK(H1135), "", Long0[[#This Row],[Adj Close]]/H1135-1)</f>
        <v>0.10389155196838451</v>
      </c>
      <c r="M1134" s="37">
        <v>37158</v>
      </c>
      <c r="N1134">
        <v>7.0264720000000001</v>
      </c>
      <c r="O1134" s="36">
        <f>IF(ISBLANK(N1135),"",Long2[[#This Row],[Adj Close]]/N1135-1)</f>
        <v>5.5863107479450225E-3</v>
      </c>
      <c r="P1134" s="29">
        <v>37158</v>
      </c>
      <c r="Q1134">
        <v>5.8867989999999999</v>
      </c>
      <c r="R1134" s="33">
        <f>IF(ISBLANK(Q1135),"",Long3[[#This Row],[Adj Close]]/Q1135-1)</f>
        <v>-0.11891914463839437</v>
      </c>
      <c r="S1134" s="37">
        <v>37158</v>
      </c>
      <c r="T1134" s="35">
        <v>6.6589260000000001</v>
      </c>
      <c r="U1134" s="36">
        <f>IF(ISBLANK(T1135),"",Long4[[#This Row],[Adj Close]]/T1135-1)</f>
        <v>0.3823008309466116</v>
      </c>
      <c r="Y1134" s="37">
        <v>37158</v>
      </c>
      <c r="Z1134" s="35">
        <v>6.8702889999999996</v>
      </c>
      <c r="AA1134" s="36">
        <f>IF(ISBLANK(Z1135),"",Long6[[#This Row],[Adj Close]]/Z1135-1)</f>
        <v>6.6565644742083485E-2</v>
      </c>
      <c r="AK1134" s="37">
        <v>37158</v>
      </c>
      <c r="AL1134" s="39">
        <v>12.726349000000001</v>
      </c>
      <c r="AM1134" s="36">
        <f>IF(ISBLANK(AL1135),"",Short1[[#This Row],[Adj Close]]/AL1135-1)</f>
        <v>4.7235476198469906E-2</v>
      </c>
      <c r="AN1134" s="29">
        <v>37158</v>
      </c>
      <c r="AO1134" s="44">
        <v>13.158344</v>
      </c>
      <c r="AP1134" s="33">
        <f>IF(ISBLANK(AO1135),"",Short2[[#This Row],[Adj Close]]/AO1135-1)</f>
        <v>9.311477812169433E-2</v>
      </c>
    </row>
    <row r="1135" spans="1:42" x14ac:dyDescent="0.25">
      <c r="A1135" s="37">
        <v>37151</v>
      </c>
      <c r="B1135" s="39">
        <v>965.79998799999998</v>
      </c>
      <c r="C1135" s="36">
        <f>IF(ISBLANK(B1136), "", GSPC[[#This Row],[Adj Close]]/B1136-1)</f>
        <v>-0.11600494853809196</v>
      </c>
      <c r="D113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3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35" s="11" t="e">
        <f>IF(ISBLANK(GSPC[[#This Row],[Long Exp.]]), "", (GSPC[[#This Row],[Long Exp.]]/D1136-1)+(E1136/GSPC[[#This Row],[Short Exp.]]-1))</f>
        <v>#VALUE!</v>
      </c>
      <c r="G1135" s="37">
        <v>37151</v>
      </c>
      <c r="H1135">
        <v>11.47794</v>
      </c>
      <c r="I1135" s="36">
        <f>IF(ISBLANK(H1136), "", Long0[[#This Row],[Adj Close]]/H1136-1)</f>
        <v>-9.9634462859492068E-2</v>
      </c>
      <c r="M1135" s="37">
        <v>37151</v>
      </c>
      <c r="N1135">
        <v>6.987438</v>
      </c>
      <c r="O1135" s="36">
        <f>IF(ISBLANK(N1136),"",Long2[[#This Row],[Adj Close]]/N1136-1)</f>
        <v>-0.16589008703350161</v>
      </c>
      <c r="P1135" s="29">
        <v>37151</v>
      </c>
      <c r="Q1135">
        <v>6.6813380000000002</v>
      </c>
      <c r="R1135" s="33">
        <f>IF(ISBLANK(Q1136),"",Long3[[#This Row],[Adj Close]]/Q1136-1)</f>
        <v>-0.12114012127152918</v>
      </c>
      <c r="S1135" s="37">
        <v>37151</v>
      </c>
      <c r="T1135" s="35">
        <v>4.8172769999999998</v>
      </c>
      <c r="U1135" s="36">
        <f>IF(ISBLANK(T1136),"",Long4[[#This Row],[Adj Close]]/T1136-1)</f>
        <v>-0.25657894432255435</v>
      </c>
      <c r="Y1135" s="37">
        <v>37151</v>
      </c>
      <c r="Z1135" s="35">
        <v>6.4415060000000004</v>
      </c>
      <c r="AA1135" s="36">
        <f>IF(ISBLANK(Z1136),"",Long6[[#This Row],[Adj Close]]/Z1136-1)</f>
        <v>-0.26555555086816918</v>
      </c>
      <c r="AK1135" s="37">
        <v>37151</v>
      </c>
      <c r="AL1135" s="39">
        <v>12.152328000000001</v>
      </c>
      <c r="AM1135" s="36">
        <f>IF(ISBLANK(AL1136),"",Short1[[#This Row],[Adj Close]]/AL1136-1)</f>
        <v>-0.19704028261939111</v>
      </c>
      <c r="AN1135" s="29">
        <v>37151</v>
      </c>
      <c r="AO1135" s="44">
        <v>12.037477000000001</v>
      </c>
      <c r="AP1135" s="33">
        <f>IF(ISBLANK(AO1136),"",Short2[[#This Row],[Adj Close]]/AO1136-1)</f>
        <v>-0.15720851523836421</v>
      </c>
    </row>
    <row r="1136" spans="1:42" x14ac:dyDescent="0.25">
      <c r="A1136" s="37">
        <v>37144</v>
      </c>
      <c r="B1136" s="39">
        <v>1092.540039</v>
      </c>
      <c r="C1136" s="36">
        <f>IF(ISBLANK(B1137), "", GSPC[[#This Row],[Adj Close]]/B1137-1)</f>
        <v>6.2259480000068645E-3</v>
      </c>
      <c r="D113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3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36" s="11" t="e">
        <f>IF(ISBLANK(GSPC[[#This Row],[Long Exp.]]), "", (GSPC[[#This Row],[Long Exp.]]/D1137-1)+(E1137/GSPC[[#This Row],[Short Exp.]]-1))</f>
        <v>#VALUE!</v>
      </c>
      <c r="G1136" s="37">
        <v>37144</v>
      </c>
      <c r="H1136">
        <v>12.748089</v>
      </c>
      <c r="I1136" s="36">
        <f>IF(ISBLANK(H1137), "", Long0[[#This Row],[Adj Close]]/H1137-1)</f>
        <v>-8.458995966739824E-3</v>
      </c>
      <c r="M1136" s="37">
        <v>37144</v>
      </c>
      <c r="N1136">
        <v>8.3771190000000004</v>
      </c>
      <c r="O1136" s="36">
        <f>IF(ISBLANK(N1137),"",Long2[[#This Row],[Adj Close]]/N1137-1)</f>
        <v>-4.367185065190804E-2</v>
      </c>
      <c r="P1136" s="29">
        <v>37144</v>
      </c>
      <c r="Q1136">
        <v>7.6022790000000002</v>
      </c>
      <c r="R1136" s="33">
        <f>IF(ISBLANK(Q1137),"",Long3[[#This Row],[Adj Close]]/Q1137-1)</f>
        <v>-9.1113572238826768E-3</v>
      </c>
      <c r="S1136" s="37">
        <v>37144</v>
      </c>
      <c r="T1136" s="35">
        <v>6.4798770000000001</v>
      </c>
      <c r="U1136" s="36">
        <f>IF(ISBLANK(T1137),"",Long4[[#This Row],[Adj Close]]/T1137-1)</f>
        <v>-5.235508055672855E-3</v>
      </c>
      <c r="Y1136" s="37">
        <v>37144</v>
      </c>
      <c r="Z1136" s="35">
        <v>8.7705830000000002</v>
      </c>
      <c r="AA1136" s="36">
        <f>IF(ISBLANK(Z1137),"",Long6[[#This Row],[Adj Close]]/Z1137-1)</f>
        <v>-1.3157771856117773E-2</v>
      </c>
      <c r="AK1136" s="37">
        <v>37144</v>
      </c>
      <c r="AL1136" s="39">
        <v>15.134418</v>
      </c>
      <c r="AM1136" s="36">
        <f>IF(ISBLANK(AL1137),"",Short1[[#This Row],[Adj Close]]/AL1137-1)</f>
        <v>-3.5337823535182111E-2</v>
      </c>
      <c r="AN1136" s="29">
        <v>37144</v>
      </c>
      <c r="AO1136" s="44">
        <v>14.282864999999999</v>
      </c>
      <c r="AP1136" s="33">
        <f>IF(ISBLANK(AO1137),"",Short2[[#This Row],[Adj Close]]/AO1137-1)</f>
        <v>-1.9548734167309401E-2</v>
      </c>
    </row>
    <row r="1137" spans="1:42" x14ac:dyDescent="0.25">
      <c r="A1137" s="37">
        <v>37137</v>
      </c>
      <c r="B1137" s="39">
        <v>1085.780029</v>
      </c>
      <c r="C1137" s="36">
        <f>IF(ISBLANK(B1138), "", GSPC[[#This Row],[Adj Close]]/B1138-1)</f>
        <v>-4.2167230239910869E-2</v>
      </c>
      <c r="D113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3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37" s="11" t="e">
        <f>IF(ISBLANK(GSPC[[#This Row],[Long Exp.]]), "", (GSPC[[#This Row],[Long Exp.]]/D1138-1)+(E1138/GSPC[[#This Row],[Short Exp.]]-1))</f>
        <v>#VALUE!</v>
      </c>
      <c r="G1137" s="37">
        <v>37137</v>
      </c>
      <c r="H1137">
        <v>12.856845</v>
      </c>
      <c r="I1137" s="36">
        <f>IF(ISBLANK(H1138), "", Long0[[#This Row],[Adj Close]]/H1138-1)</f>
        <v>3.3343691700045142E-3</v>
      </c>
      <c r="M1137" s="37">
        <v>37137</v>
      </c>
      <c r="N1137">
        <v>8.7596699999999998</v>
      </c>
      <c r="O1137" s="36">
        <f>IF(ISBLANK(N1138),"",Long2[[#This Row],[Adj Close]]/N1138-1)</f>
        <v>-4.9957729118211502E-2</v>
      </c>
      <c r="P1137" s="29">
        <v>37137</v>
      </c>
      <c r="Q1137">
        <v>7.6721830000000004</v>
      </c>
      <c r="R1137" s="33">
        <f>IF(ISBLANK(Q1138),"",Long3[[#This Row],[Adj Close]]/Q1138-1)</f>
        <v>-1.3841874756020944E-2</v>
      </c>
      <c r="S1137" s="37">
        <v>37137</v>
      </c>
      <c r="T1137" s="35">
        <v>6.5139810000000002</v>
      </c>
      <c r="U1137" s="36">
        <f>IF(ISBLANK(T1138),"",Long4[[#This Row],[Adj Close]]/T1138-1)</f>
        <v>-6.715514426629543E-2</v>
      </c>
      <c r="Y1137" s="37">
        <v>37137</v>
      </c>
      <c r="Z1137" s="35">
        <v>8.8875229999999998</v>
      </c>
      <c r="AA1137" s="36">
        <f>IF(ISBLANK(Z1138),"",Long6[[#This Row],[Adj Close]]/Z1138-1)</f>
        <v>-0.24315361297730809</v>
      </c>
      <c r="AK1137" s="37">
        <v>37137</v>
      </c>
      <c r="AL1137" s="39">
        <v>15.688827</v>
      </c>
      <c r="AM1137" s="36">
        <f>IF(ISBLANK(AL1138),"",Short1[[#This Row],[Adj Close]]/AL1138-1)</f>
        <v>-5.0017157282598812E-2</v>
      </c>
      <c r="AN1137" s="29">
        <v>37137</v>
      </c>
      <c r="AO1137" s="44">
        <v>14.567644</v>
      </c>
      <c r="AP1137" s="33">
        <f>IF(ISBLANK(AO1138),"",Short2[[#This Row],[Adj Close]]/AO1138-1)</f>
        <v>-0.10437677689614322</v>
      </c>
    </row>
    <row r="1138" spans="1:42" x14ac:dyDescent="0.25">
      <c r="A1138" s="37">
        <v>37130</v>
      </c>
      <c r="B1138" s="39">
        <v>1133.579956</v>
      </c>
      <c r="C1138" s="36">
        <f>IF(ISBLANK(B1139), "", GSPC[[#This Row],[Adj Close]]/B1139-1)</f>
        <v>-4.3335973989904297E-2</v>
      </c>
      <c r="D113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3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38" s="11" t="e">
        <f>IF(ISBLANK(GSPC[[#This Row],[Long Exp.]]), "", (GSPC[[#This Row],[Long Exp.]]/D1139-1)+(E1139/GSPC[[#This Row],[Short Exp.]]-1))</f>
        <v>#VALUE!</v>
      </c>
      <c r="G1138" s="37">
        <v>37130</v>
      </c>
      <c r="H1138">
        <v>12.814118000000001</v>
      </c>
      <c r="I1138" s="36">
        <f>IF(ISBLANK(H1139), "", Long0[[#This Row],[Adj Close]]/H1139-1)</f>
        <v>-7.0704224065115895E-2</v>
      </c>
      <c r="M1138" s="37">
        <v>37130</v>
      </c>
      <c r="N1138">
        <v>9.2202950000000001</v>
      </c>
      <c r="O1138" s="36">
        <f>IF(ISBLANK(N1139),"",Long2[[#This Row],[Adj Close]]/N1139-1)</f>
        <v>-1.5012249992575444E-2</v>
      </c>
      <c r="P1138" s="29">
        <v>37130</v>
      </c>
      <c r="Q1138">
        <v>7.779871</v>
      </c>
      <c r="R1138" s="33">
        <f>IF(ISBLANK(Q1139),"",Long3[[#This Row],[Adj Close]]/Q1139-1)</f>
        <v>-1.2528028549328885E-2</v>
      </c>
      <c r="S1138" s="37">
        <v>37130</v>
      </c>
      <c r="T1138" s="35">
        <v>6.98292</v>
      </c>
      <c r="U1138" s="36">
        <f>IF(ISBLANK(T1139),"",Long4[[#This Row],[Adj Close]]/T1139-1)</f>
        <v>8.6207065513362657E-2</v>
      </c>
      <c r="Y1138" s="37">
        <v>37130</v>
      </c>
      <c r="Z1138" s="35">
        <v>11.742836</v>
      </c>
      <c r="AA1138" s="36">
        <f>IF(ISBLANK(Z1139),"",Long6[[#This Row],[Adj Close]]/Z1139-1)</f>
        <v>-9.7378209500190382E-2</v>
      </c>
      <c r="AK1138" s="37">
        <v>37130</v>
      </c>
      <c r="AL1138" s="39">
        <v>16.514852999999999</v>
      </c>
      <c r="AM1138" s="36">
        <f>IF(ISBLANK(AL1139),"",Short1[[#This Row],[Adj Close]]/AL1139-1)</f>
        <v>-3.6746733177519975E-2</v>
      </c>
      <c r="AN1138" s="29">
        <v>37130</v>
      </c>
      <c r="AO1138" s="44">
        <v>16.265370999999998</v>
      </c>
      <c r="AP1138" s="33">
        <f>IF(ISBLANK(AO1139),"",Short2[[#This Row],[Adj Close]]/AO1139-1)</f>
        <v>4.5774495527382664E-2</v>
      </c>
    </row>
    <row r="1139" spans="1:42" x14ac:dyDescent="0.25">
      <c r="A1139" s="37">
        <v>37123</v>
      </c>
      <c r="B1139" s="39">
        <v>1184.9300539999999</v>
      </c>
      <c r="C1139" s="36">
        <f>IF(ISBLANK(B1140), "", GSPC[[#This Row],[Adj Close]]/B1140-1)</f>
        <v>1.9759618211338426E-2</v>
      </c>
      <c r="D113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3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39" s="11" t="e">
        <f>IF(ISBLANK(GSPC[[#This Row],[Long Exp.]]), "", (GSPC[[#This Row],[Long Exp.]]/D1140-1)+(E1140/GSPC[[#This Row],[Short Exp.]]-1))</f>
        <v>#VALUE!</v>
      </c>
      <c r="G1139" s="37">
        <v>37123</v>
      </c>
      <c r="H1139">
        <v>13.789063000000001</v>
      </c>
      <c r="I1139" s="36">
        <f>IF(ISBLANK(H1140), "", Long0[[#This Row],[Adj Close]]/H1140-1)</f>
        <v>2.6011646283933709E-2</v>
      </c>
      <c r="M1139" s="37">
        <v>37123</v>
      </c>
      <c r="N1139">
        <v>9.3608220000000006</v>
      </c>
      <c r="O1139" s="36">
        <f>IF(ISBLANK(N1140),"",Long2[[#This Row],[Adj Close]]/N1140-1)</f>
        <v>3.3620296046583897E-2</v>
      </c>
      <c r="P1139" s="29">
        <v>37123</v>
      </c>
      <c r="Q1139">
        <v>7.8785740000000004</v>
      </c>
      <c r="R1139" s="33">
        <f>IF(ISBLANK(Q1140),"",Long3[[#This Row],[Adj Close]]/Q1140-1)</f>
        <v>3.464549164208397E-2</v>
      </c>
      <c r="S1139" s="37">
        <v>37123</v>
      </c>
      <c r="T1139" s="35">
        <v>6.4287190000000001</v>
      </c>
      <c r="U1139" s="36">
        <f>IF(ISBLANK(T1140),"",Long4[[#This Row],[Adj Close]]/T1140-1)</f>
        <v>1.2080318199743978E-2</v>
      </c>
      <c r="Y1139" s="37">
        <v>37123</v>
      </c>
      <c r="Z1139" s="35">
        <v>13.009696999999999</v>
      </c>
      <c r="AA1139" s="36">
        <f>IF(ISBLANK(Z1140),"",Long6[[#This Row],[Adj Close]]/Z1140-1)</f>
        <v>1.3667375029666529E-2</v>
      </c>
      <c r="AK1139" s="37">
        <v>37123</v>
      </c>
      <c r="AL1139" s="39">
        <v>17.144870999999998</v>
      </c>
      <c r="AM1139" s="36">
        <f>IF(ISBLANK(AL1140),"",Short1[[#This Row],[Adj Close]]/AL1140-1)</f>
        <v>3.2894861295845956E-2</v>
      </c>
      <c r="AN1139" s="29">
        <v>37123</v>
      </c>
      <c r="AO1139" s="44">
        <v>15.553421</v>
      </c>
      <c r="AP1139" s="33">
        <f>IF(ISBLANK(AO1140),"",Short2[[#This Row],[Adj Close]]/AO1140-1)</f>
        <v>7.6029049023063067E-2</v>
      </c>
    </row>
    <row r="1140" spans="1:42" x14ac:dyDescent="0.25">
      <c r="A1140" s="37">
        <v>37116</v>
      </c>
      <c r="B1140" s="39">
        <v>1161.969971</v>
      </c>
      <c r="C1140" s="36">
        <f>IF(ISBLANK(B1141), "", GSPC[[#This Row],[Adj Close]]/B1141-1)</f>
        <v>-2.3685943230051354E-2</v>
      </c>
      <c r="D114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4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40" s="11" t="e">
        <f>IF(ISBLANK(GSPC[[#This Row],[Long Exp.]]), "", (GSPC[[#This Row],[Long Exp.]]/D1141-1)+(E1141/GSPC[[#This Row],[Short Exp.]]-1))</f>
        <v>#VALUE!</v>
      </c>
      <c r="G1140" s="37">
        <v>37116</v>
      </c>
      <c r="H1140">
        <v>13.43948</v>
      </c>
      <c r="I1140" s="36">
        <f>IF(ISBLANK(H1141), "", Long0[[#This Row],[Adj Close]]/H1141-1)</f>
        <v>5.0713590349072302E-2</v>
      </c>
      <c r="M1140" s="37">
        <v>37116</v>
      </c>
      <c r="N1140">
        <v>9.0563450000000003</v>
      </c>
      <c r="O1140" s="36">
        <f>IF(ISBLANK(N1141),"",Long2[[#This Row],[Adj Close]]/N1141-1)</f>
        <v>-2.928882895061502E-2</v>
      </c>
      <c r="P1140" s="29">
        <v>37116</v>
      </c>
      <c r="Q1140">
        <v>7.614757</v>
      </c>
      <c r="R1140" s="33">
        <f>IF(ISBLANK(Q1141),"",Long3[[#This Row],[Adj Close]]/Q1141-1)</f>
        <v>-1.3026265615485588E-2</v>
      </c>
      <c r="S1140" s="37">
        <v>37116</v>
      </c>
      <c r="T1140" s="35">
        <v>6.351985</v>
      </c>
      <c r="U1140" s="36">
        <f>IF(ISBLANK(T1141),"",Long4[[#This Row],[Adj Close]]/T1141-1)</f>
        <v>-7.2229011578322955E-2</v>
      </c>
      <c r="Y1140" s="37">
        <v>37116</v>
      </c>
      <c r="Z1140" s="35">
        <v>12.834286000000001</v>
      </c>
      <c r="AA1140" s="36">
        <f>IF(ISBLANK(Z1141),"",Long6[[#This Row],[Adj Close]]/Z1141-1)</f>
        <v>8.5737789084779914E-2</v>
      </c>
      <c r="AK1140" s="37">
        <v>37116</v>
      </c>
      <c r="AL1140" s="39">
        <v>16.598853999999999</v>
      </c>
      <c r="AM1140" s="36">
        <f>IF(ISBLANK(AL1141),"",Short1[[#This Row],[Adj Close]]/AL1141-1)</f>
        <v>-1.2822712544874437E-2</v>
      </c>
      <c r="AN1140" s="29">
        <v>37116</v>
      </c>
      <c r="AO1140" s="44">
        <v>14.454461999999999</v>
      </c>
      <c r="AP1140" s="33">
        <f>IF(ISBLANK(AO1141),"",Short2[[#This Row],[Adj Close]]/AO1141-1)</f>
        <v>-2.511690433319469E-2</v>
      </c>
    </row>
    <row r="1141" spans="1:42" x14ac:dyDescent="0.25">
      <c r="A1141" s="37">
        <v>37109</v>
      </c>
      <c r="B1141" s="39">
        <v>1190.160034</v>
      </c>
      <c r="C1141" s="36">
        <f>IF(ISBLANK(B1142), "", GSPC[[#This Row],[Adj Close]]/B1142-1)</f>
        <v>-1.9920074507416952E-2</v>
      </c>
      <c r="D114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4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41" s="11" t="e">
        <f>IF(ISBLANK(GSPC[[#This Row],[Long Exp.]]), "", (GSPC[[#This Row],[Long Exp.]]/D1142-1)+(E1142/GSPC[[#This Row],[Short Exp.]]-1))</f>
        <v>#VALUE!</v>
      </c>
      <c r="G1141" s="37">
        <v>37109</v>
      </c>
      <c r="H1141">
        <v>12.790812000000001</v>
      </c>
      <c r="I1141" s="36">
        <f>IF(ISBLANK(H1142), "", Long0[[#This Row],[Adj Close]]/H1142-1)</f>
        <v>1.2161773425620748E-3</v>
      </c>
      <c r="M1141" s="37">
        <v>37109</v>
      </c>
      <c r="N1141">
        <v>9.3295980000000007</v>
      </c>
      <c r="O1141" s="36">
        <f>IF(ISBLANK(N1142),"",Long2[[#This Row],[Adj Close]]/N1142-1)</f>
        <v>-1.0761743098069321E-2</v>
      </c>
      <c r="P1141" s="29">
        <v>37109</v>
      </c>
      <c r="Q1141">
        <v>7.7152580000000004</v>
      </c>
      <c r="R1141" s="33">
        <f>IF(ISBLANK(Q1142),"",Long3[[#This Row],[Adj Close]]/Q1142-1)</f>
        <v>-5.3084062826967982E-2</v>
      </c>
      <c r="S1141" s="37">
        <v>37109</v>
      </c>
      <c r="T1141" s="35">
        <v>6.8465009999999999</v>
      </c>
      <c r="U1141" s="36">
        <f>IF(ISBLANK(T1142),"",Long4[[#This Row],[Adj Close]]/T1142-1)</f>
        <v>3.7499323771870152E-3</v>
      </c>
      <c r="Y1141" s="37">
        <v>37109</v>
      </c>
      <c r="Z1141" s="35">
        <v>11.820797000000001</v>
      </c>
      <c r="AA1141" s="36">
        <f>IF(ISBLANK(Z1142),"",Long6[[#This Row],[Adj Close]]/Z1142-1)</f>
        <v>-3.3465908013090351E-2</v>
      </c>
      <c r="AK1141" s="37">
        <v>37109</v>
      </c>
      <c r="AL1141" s="39">
        <v>16.814461000000001</v>
      </c>
      <c r="AM1141" s="36">
        <f>IF(ISBLANK(AL1142),"",Short1[[#This Row],[Adj Close]]/AL1142-1)</f>
        <v>-0.10944694432262825</v>
      </c>
      <c r="AN1141" s="29">
        <v>37109</v>
      </c>
      <c r="AO1141" s="44">
        <v>14.826867</v>
      </c>
      <c r="AP1141" s="33">
        <f>IF(ISBLANK(AO1142),"",Short2[[#This Row],[Adj Close]]/AO1142-1)</f>
        <v>-8.3036555981315319E-2</v>
      </c>
    </row>
    <row r="1142" spans="1:42" x14ac:dyDescent="0.25">
      <c r="A1142" s="37">
        <v>37102</v>
      </c>
      <c r="B1142" s="39">
        <v>1214.349976</v>
      </c>
      <c r="C1142" s="36">
        <f>IF(ISBLANK(B1143), "", GSPC[[#This Row],[Adj Close]]/B1143-1)</f>
        <v>7.0740495115344526E-3</v>
      </c>
      <c r="D114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4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42" s="11" t="e">
        <f>IF(ISBLANK(GSPC[[#This Row],[Long Exp.]]), "", (GSPC[[#This Row],[Long Exp.]]/D1143-1)+(E1143/GSPC[[#This Row],[Short Exp.]]-1))</f>
        <v>#VALUE!</v>
      </c>
      <c r="G1142" s="37">
        <v>37102</v>
      </c>
      <c r="H1142">
        <v>12.775275000000001</v>
      </c>
      <c r="I1142" s="36">
        <f>IF(ISBLANK(H1143), "", Long0[[#This Row],[Adj Close]]/H1143-1)</f>
        <v>-3.0377590634489415E-4</v>
      </c>
      <c r="M1142" s="37">
        <v>37102</v>
      </c>
      <c r="N1142">
        <v>9.4310930000000006</v>
      </c>
      <c r="O1142" s="36">
        <f>IF(ISBLANK(N1143),"",Long2[[#This Row],[Adj Close]]/N1143-1)</f>
        <v>9.7185144648201049E-2</v>
      </c>
      <c r="P1142" s="29">
        <v>37102</v>
      </c>
      <c r="Q1142">
        <v>8.1477749999999993</v>
      </c>
      <c r="R1142" s="33">
        <f>IF(ISBLANK(Q1143),"",Long3[[#This Row],[Adj Close]]/Q1143-1)</f>
        <v>6.6517699176271705E-3</v>
      </c>
      <c r="S1142" s="37">
        <v>37102</v>
      </c>
      <c r="T1142" s="35">
        <v>6.8209229999999996</v>
      </c>
      <c r="U1142" s="36">
        <f>IF(ISBLANK(T1143),"",Long4[[#This Row],[Adj Close]]/T1143-1)</f>
        <v>5.4018558724222787E-2</v>
      </c>
      <c r="Y1142" s="37">
        <v>37102</v>
      </c>
      <c r="Z1142" s="35">
        <v>12.230088</v>
      </c>
      <c r="AA1142" s="36">
        <f>IF(ISBLANK(Z1143),"",Long6[[#This Row],[Adj Close]]/Z1143-1)</f>
        <v>3.8047784823663999E-2</v>
      </c>
      <c r="AK1142" s="37">
        <v>37102</v>
      </c>
      <c r="AL1142" s="39">
        <v>18.88092</v>
      </c>
      <c r="AM1142" s="36">
        <f>IF(ISBLANK(AL1143),"",Short1[[#This Row],[Adj Close]]/AL1143-1)</f>
        <v>-2.275382008035387E-2</v>
      </c>
      <c r="AN1142" s="29">
        <v>37102</v>
      </c>
      <c r="AO1142" s="44">
        <v>16.169529000000001</v>
      </c>
      <c r="AP1142" s="33">
        <f>IF(ISBLANK(AO1143),"",Short2[[#This Row],[Adj Close]]/AO1143-1)</f>
        <v>-2.2521866554839898E-3</v>
      </c>
    </row>
    <row r="1143" spans="1:42" x14ac:dyDescent="0.25">
      <c r="A1143" s="37">
        <v>37095</v>
      </c>
      <c r="B1143" s="39">
        <v>1205.8199460000001</v>
      </c>
      <c r="C1143" s="36">
        <f>IF(ISBLANK(B1144), "", GSPC[[#This Row],[Adj Close]]/B1144-1)</f>
        <v>-4.1541314776388782E-3</v>
      </c>
      <c r="D114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4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43" s="11" t="e">
        <f>IF(ISBLANK(GSPC[[#This Row],[Long Exp.]]), "", (GSPC[[#This Row],[Long Exp.]]/D1144-1)+(E1144/GSPC[[#This Row],[Short Exp.]]-1))</f>
        <v>#VALUE!</v>
      </c>
      <c r="G1143" s="37">
        <v>37095</v>
      </c>
      <c r="H1143">
        <v>12.779157</v>
      </c>
      <c r="I1143" s="36">
        <f>IF(ISBLANK(H1144), "", Long0[[#This Row],[Adj Close]]/H1144-1)</f>
        <v>0.11601067458649861</v>
      </c>
      <c r="M1143" s="37">
        <v>37095</v>
      </c>
      <c r="N1143">
        <v>8.5957170000000005</v>
      </c>
      <c r="O1143" s="36">
        <f>IF(ISBLANK(N1144),"",Long2[[#This Row],[Adj Close]]/N1144-1)</f>
        <v>-1.4324302567909619E-2</v>
      </c>
      <c r="P1143" s="29">
        <v>37095</v>
      </c>
      <c r="Q1143">
        <v>8.0939359999999994</v>
      </c>
      <c r="R1143" s="33">
        <f>IF(ISBLANK(Q1144),"",Long3[[#This Row],[Adj Close]]/Q1144-1)</f>
        <v>-8.4263577591229932E-2</v>
      </c>
      <c r="S1143" s="37">
        <v>37095</v>
      </c>
      <c r="T1143" s="35">
        <v>6.4713500000000002</v>
      </c>
      <c r="U1143" s="36">
        <f>IF(ISBLANK(T1144),"",Long4[[#This Row],[Adj Close]]/T1144-1)</f>
        <v>-1.1718844254641647E-2</v>
      </c>
      <c r="Y1143" s="37">
        <v>37095</v>
      </c>
      <c r="Z1143" s="35">
        <v>11.781815999999999</v>
      </c>
      <c r="AA1143" s="36">
        <f>IF(ISBLANK(Z1144),"",Long6[[#This Row],[Adj Close]]/Z1144-1)</f>
        <v>-0.17643041528700998</v>
      </c>
      <c r="AK1143" s="37">
        <v>37095</v>
      </c>
      <c r="AL1143" s="39">
        <v>19.320536000000001</v>
      </c>
      <c r="AM1143" s="36">
        <f>IF(ISBLANK(AL1144),"",Short1[[#This Row],[Adj Close]]/AL1144-1)</f>
        <v>1.6799889018213277E-2</v>
      </c>
      <c r="AN1143" s="29">
        <v>37095</v>
      </c>
      <c r="AO1143" s="44">
        <v>16.206028</v>
      </c>
      <c r="AP1143" s="33">
        <f>IF(ISBLANK(AO1144),"",Short2[[#This Row],[Adj Close]]/AO1144-1)</f>
        <v>-8.4536052191409916E-2</v>
      </c>
    </row>
    <row r="1144" spans="1:42" x14ac:dyDescent="0.25">
      <c r="A1144" s="37">
        <v>37088</v>
      </c>
      <c r="B1144" s="39">
        <v>1210.849976</v>
      </c>
      <c r="C1144" s="36">
        <f>IF(ISBLANK(B1145), "", GSPC[[#This Row],[Adj Close]]/B1145-1)</f>
        <v>-3.9731490075101128E-3</v>
      </c>
      <c r="D114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4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44" s="11" t="e">
        <f>IF(ISBLANK(GSPC[[#This Row],[Long Exp.]]), "", (GSPC[[#This Row],[Long Exp.]]/D1145-1)+(E1145/GSPC[[#This Row],[Short Exp.]]-1))</f>
        <v>#VALUE!</v>
      </c>
      <c r="G1144" s="37">
        <v>37088</v>
      </c>
      <c r="H1144">
        <v>11.450748000000001</v>
      </c>
      <c r="I1144" s="36">
        <f>IF(ISBLANK(H1145), "", Long0[[#This Row],[Adj Close]]/H1145-1)</f>
        <v>1.6201452815790329E-2</v>
      </c>
      <c r="M1144" s="37">
        <v>37088</v>
      </c>
      <c r="N1144">
        <v>8.7206340000000004</v>
      </c>
      <c r="O1144" s="36">
        <f>IF(ISBLANK(N1145),"",Long2[[#This Row],[Adj Close]]/N1145-1)</f>
        <v>1.4532470066196845E-2</v>
      </c>
      <c r="P1144" s="29">
        <v>37088</v>
      </c>
      <c r="Q1144">
        <v>8.8387180000000001</v>
      </c>
      <c r="R1144" s="33">
        <f>IF(ISBLANK(Q1145),"",Long3[[#This Row],[Adj Close]]/Q1145-1)</f>
        <v>-6.190489583670522E-2</v>
      </c>
      <c r="S1144" s="37">
        <v>37088</v>
      </c>
      <c r="T1144" s="35">
        <v>6.5480859999999996</v>
      </c>
      <c r="U1144" s="36">
        <f>IF(ISBLANK(T1145),"",Long4[[#This Row],[Adj Close]]/T1145-1)</f>
        <v>-6.5693524390885938E-2</v>
      </c>
      <c r="Y1144" s="37">
        <v>37088</v>
      </c>
      <c r="Z1144" s="35">
        <v>14.305793</v>
      </c>
      <c r="AA1144" s="36">
        <f>IF(ISBLANK(Z1145),"",Long6[[#This Row],[Adj Close]]/Z1145-1)</f>
        <v>4.1134656698236682E-2</v>
      </c>
      <c r="AK1144" s="37">
        <v>37088</v>
      </c>
      <c r="AL1144" s="39">
        <v>19.001315999999999</v>
      </c>
      <c r="AM1144" s="36">
        <f>IF(ISBLANK(AL1145),"",Short1[[#This Row],[Adj Close]]/AL1145-1)</f>
        <v>-4.5478013162635333E-3</v>
      </c>
      <c r="AN1144" s="29">
        <v>37088</v>
      </c>
      <c r="AO1144" s="44">
        <v>17.702529999999999</v>
      </c>
      <c r="AP1144" s="33">
        <f>IF(ISBLANK(AO1145),"",Short2[[#This Row],[Adj Close]]/AO1145-1)</f>
        <v>4.4133706690495433E-2</v>
      </c>
    </row>
    <row r="1145" spans="1:42" x14ac:dyDescent="0.25">
      <c r="A1145" s="37">
        <v>37081</v>
      </c>
      <c r="B1145" s="39">
        <v>1215.6800539999999</v>
      </c>
      <c r="C1145" s="36">
        <f>IF(ISBLANK(B1146), "", GSPC[[#This Row],[Adj Close]]/B1146-1)</f>
        <v>2.1073659879979223E-2</v>
      </c>
      <c r="D114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4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45" s="11" t="e">
        <f>IF(ISBLANK(GSPC[[#This Row],[Long Exp.]]), "", (GSPC[[#This Row],[Long Exp.]]/D1146-1)+(E1146/GSPC[[#This Row],[Short Exp.]]-1))</f>
        <v>#VALUE!</v>
      </c>
      <c r="G1145" s="37">
        <v>37081</v>
      </c>
      <c r="H1145">
        <v>11.268186999999999</v>
      </c>
      <c r="I1145" s="36">
        <f>IF(ISBLANK(H1146), "", Long0[[#This Row],[Adj Close]]/H1146-1)</f>
        <v>2.4364246535691692E-2</v>
      </c>
      <c r="M1145" s="37">
        <v>37081</v>
      </c>
      <c r="N1145">
        <v>8.5957170000000005</v>
      </c>
      <c r="O1145" s="36">
        <f>IF(ISBLANK(N1146),"",Long2[[#This Row],[Adj Close]]/N1146-1)</f>
        <v>0.13622258323342384</v>
      </c>
      <c r="P1145" s="29">
        <v>37081</v>
      </c>
      <c r="Q1145">
        <v>9.4219849999999994</v>
      </c>
      <c r="R1145" s="33">
        <f>IF(ISBLANK(Q1146),"",Long3[[#This Row],[Adj Close]]/Q1146-1)</f>
        <v>-6.065476116296753E-2</v>
      </c>
      <c r="S1145" s="37">
        <v>37081</v>
      </c>
      <c r="T1145" s="35">
        <v>7.0084989999999996</v>
      </c>
      <c r="U1145" s="36">
        <f>IF(ISBLANK(T1146),"",Long4[[#This Row],[Adj Close]]/T1146-1)</f>
        <v>-6.057140482696266E-2</v>
      </c>
      <c r="Y1145" s="37">
        <v>37081</v>
      </c>
      <c r="Z1145" s="35">
        <v>13.740579</v>
      </c>
      <c r="AA1145" s="36">
        <f>IF(ISBLANK(Z1146),"",Long6[[#This Row],[Adj Close]]/Z1146-1)</f>
        <v>-1.3295958884755432E-2</v>
      </c>
      <c r="AK1145" s="37">
        <v>37081</v>
      </c>
      <c r="AL1145" s="39">
        <v>19.088125000000002</v>
      </c>
      <c r="AM1145" s="36">
        <f>IF(ISBLANK(AL1146),"",Short1[[#This Row],[Adj Close]]/AL1146-1)</f>
        <v>5.1356975821867268E-2</v>
      </c>
      <c r="AN1145" s="29">
        <v>37081</v>
      </c>
      <c r="AO1145" s="44">
        <v>16.954274999999999</v>
      </c>
      <c r="AP1145" s="33">
        <f>IF(ISBLANK(AO1146),"",Short2[[#This Row],[Adj Close]]/AO1146-1)</f>
        <v>7.747589509314734E-2</v>
      </c>
    </row>
    <row r="1146" spans="1:42" x14ac:dyDescent="0.25">
      <c r="A1146" s="37">
        <v>37074</v>
      </c>
      <c r="B1146" s="39">
        <v>1190.589966</v>
      </c>
      <c r="C1146" s="36">
        <f>IF(ISBLANK(B1147), "", GSPC[[#This Row],[Adj Close]]/B1147-1)</f>
        <v>-2.7597672995321454E-2</v>
      </c>
      <c r="D114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4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46" s="11" t="e">
        <f>IF(ISBLANK(GSPC[[#This Row],[Long Exp.]]), "", (GSPC[[#This Row],[Long Exp.]]/D1147-1)+(E1147/GSPC[[#This Row],[Short Exp.]]-1))</f>
        <v>#VALUE!</v>
      </c>
      <c r="G1146" s="37">
        <v>37074</v>
      </c>
      <c r="H1146">
        <v>11.000176</v>
      </c>
      <c r="I1146" s="36">
        <f>IF(ISBLANK(H1147), "", Long0[[#This Row],[Adj Close]]/H1147-1)</f>
        <v>8.220901698018368E-3</v>
      </c>
      <c r="M1146" s="37">
        <v>37074</v>
      </c>
      <c r="N1146">
        <v>7.5651700000000002</v>
      </c>
      <c r="O1146" s="36">
        <f>IF(ISBLANK(N1147),"",Long2[[#This Row],[Adj Close]]/N1147-1)</f>
        <v>-5.0000376726348383E-2</v>
      </c>
      <c r="P1146" s="29">
        <v>37074</v>
      </c>
      <c r="Q1146">
        <v>10.030374999999999</v>
      </c>
      <c r="R1146" s="33">
        <f>IF(ISBLANK(Q1147),"",Long3[[#This Row],[Adj Close]]/Q1147-1)</f>
        <v>1.6181605835156487E-2</v>
      </c>
      <c r="S1146" s="37">
        <v>37074</v>
      </c>
      <c r="T1146" s="35">
        <v>7.4603849999999996</v>
      </c>
      <c r="U1146" s="36">
        <f>IF(ISBLANK(T1147),"",Long4[[#This Row],[Adj Close]]/T1147-1)</f>
        <v>-2.6696113025799995E-2</v>
      </c>
      <c r="Y1146" s="37">
        <v>37074</v>
      </c>
      <c r="Z1146" s="35">
        <v>13.925735</v>
      </c>
      <c r="AA1146" s="36">
        <f>IF(ISBLANK(Z1147),"",Long6[[#This Row],[Adj Close]]/Z1147-1)</f>
        <v>-0.15891693062496937</v>
      </c>
      <c r="AK1146" s="37">
        <v>37074</v>
      </c>
      <c r="AL1146" s="39">
        <v>18.155702999999999</v>
      </c>
      <c r="AM1146" s="36">
        <f>IF(ISBLANK(AL1147),"",Short1[[#This Row],[Adj Close]]/AL1147-1)</f>
        <v>2.0780957434660685E-2</v>
      </c>
      <c r="AN1146" s="29">
        <v>37074</v>
      </c>
      <c r="AO1146" s="44">
        <v>15.735177999999999</v>
      </c>
      <c r="AP1146" s="33">
        <f>IF(ISBLANK(AO1147),"",Short2[[#This Row],[Adj Close]]/AO1147-1)</f>
        <v>3.3813091204146994E-2</v>
      </c>
    </row>
    <row r="1147" spans="1:42" x14ac:dyDescent="0.25">
      <c r="A1147" s="37">
        <v>37067</v>
      </c>
      <c r="B1147" s="39">
        <v>1224.380005</v>
      </c>
      <c r="C1147" s="36">
        <f>IF(ISBLANK(B1148), "", GSPC[[#This Row],[Adj Close]]/B1148-1)</f>
        <v>-7.9158690904479467E-4</v>
      </c>
      <c r="D114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4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47" s="11" t="e">
        <f>IF(ISBLANK(GSPC[[#This Row],[Long Exp.]]), "", (GSPC[[#This Row],[Long Exp.]]/D1148-1)+(E1148/GSPC[[#This Row],[Short Exp.]]-1))</f>
        <v>#VALUE!</v>
      </c>
      <c r="G1147" s="37">
        <v>37067</v>
      </c>
      <c r="H1147">
        <v>10.910482</v>
      </c>
      <c r="I1147" s="36">
        <f>IF(ISBLANK(H1148), "", Long0[[#This Row],[Adj Close]]/H1148-1)</f>
        <v>2.1052498590382829E-2</v>
      </c>
      <c r="M1147" s="37">
        <v>37067</v>
      </c>
      <c r="N1147">
        <v>7.9633399999999996</v>
      </c>
      <c r="O1147" s="36">
        <f>IF(ISBLANK(N1148),"",Long2[[#This Row],[Adj Close]]/N1148-1)</f>
        <v>1.9650913809012849E-3</v>
      </c>
      <c r="P1147" s="29">
        <v>37067</v>
      </c>
      <c r="Q1147">
        <v>9.8706519999999998</v>
      </c>
      <c r="R1147" s="33">
        <f>IF(ISBLANK(Q1148),"",Long3[[#This Row],[Adj Close]]/Q1148-1)</f>
        <v>1.8518266284794027E-2</v>
      </c>
      <c r="S1147" s="37">
        <v>37067</v>
      </c>
      <c r="T1147" s="35">
        <v>7.6650109999999998</v>
      </c>
      <c r="U1147" s="36">
        <f>IF(ISBLANK(T1148),"",Long4[[#This Row],[Adj Close]]/T1148-1)</f>
        <v>4.0509070877638553E-2</v>
      </c>
      <c r="Y1147" s="37">
        <v>37067</v>
      </c>
      <c r="Z1147" s="35">
        <v>16.556908</v>
      </c>
      <c r="AA1147" s="36">
        <f>IF(ISBLANK(Z1148),"",Long6[[#This Row],[Adj Close]]/Z1148-1)</f>
        <v>0.33464264516888842</v>
      </c>
      <c r="AK1147" s="37">
        <v>37067</v>
      </c>
      <c r="AL1147" s="39">
        <v>17.786090999999999</v>
      </c>
      <c r="AM1147" s="36">
        <f>IF(ISBLANK(AL1148),"",Short1[[#This Row],[Adj Close]]/AL1148-1)</f>
        <v>2.7499301562858625E-2</v>
      </c>
      <c r="AN1147" s="29">
        <v>37067</v>
      </c>
      <c r="AO1147" s="44">
        <v>15.220525</v>
      </c>
      <c r="AP1147" s="33">
        <f>IF(ISBLANK(AO1148),"",Short2[[#This Row],[Adj Close]]/AO1148-1)</f>
        <v>1.9559596260287915E-2</v>
      </c>
    </row>
    <row r="1148" spans="1:42" x14ac:dyDescent="0.25">
      <c r="A1148" s="37">
        <v>37060</v>
      </c>
      <c r="B1148" s="39">
        <v>1225.349976</v>
      </c>
      <c r="C1148" s="36">
        <f>IF(ISBLANK(B1149), "", GSPC[[#This Row],[Adj Close]]/B1149-1)</f>
        <v>9.0500272865956521E-3</v>
      </c>
      <c r="D114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4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48" s="11" t="e">
        <f>IF(ISBLANK(GSPC[[#This Row],[Long Exp.]]), "", (GSPC[[#This Row],[Long Exp.]]/D1149-1)+(E1149/GSPC[[#This Row],[Short Exp.]]-1))</f>
        <v>#VALUE!</v>
      </c>
      <c r="G1148" s="37">
        <v>37060</v>
      </c>
      <c r="H1148">
        <v>10.685525</v>
      </c>
      <c r="I1148" s="36">
        <f>IF(ISBLANK(H1149), "", Long0[[#This Row],[Adj Close]]/H1149-1)</f>
        <v>9.3254028138781697E-2</v>
      </c>
      <c r="M1148" s="37">
        <v>37060</v>
      </c>
      <c r="N1148">
        <v>7.9477219999999997</v>
      </c>
      <c r="O1148" s="36">
        <f>IF(ISBLANK(N1149),"",Long2[[#This Row],[Adj Close]]/N1149-1)</f>
        <v>-5.5765597372113729E-2</v>
      </c>
      <c r="P1148" s="29">
        <v>37060</v>
      </c>
      <c r="Q1148">
        <v>9.6911880000000004</v>
      </c>
      <c r="R1148" s="33">
        <f>IF(ISBLANK(Q1149),"",Long3[[#This Row],[Adj Close]]/Q1149-1)</f>
        <v>-3.9828938108659284E-2</v>
      </c>
      <c r="S1148" s="37">
        <v>37060</v>
      </c>
      <c r="T1148" s="35">
        <v>7.3665969999999996</v>
      </c>
      <c r="U1148" s="36">
        <f>IF(ISBLANK(T1149),"",Long4[[#This Row],[Adj Close]]/T1149-1)</f>
        <v>3.4730616807349124E-2</v>
      </c>
      <c r="Y1148" s="37">
        <v>37060</v>
      </c>
      <c r="Z1148" s="35">
        <v>12.405499000000001</v>
      </c>
      <c r="AA1148" s="36">
        <f>IF(ISBLANK(Z1149),"",Long6[[#This Row],[Adj Close]]/Z1149-1)</f>
        <v>-0.10791885228542997</v>
      </c>
      <c r="AK1148" s="37">
        <v>37060</v>
      </c>
      <c r="AL1148" s="39">
        <v>17.310075999999999</v>
      </c>
      <c r="AM1148" s="36">
        <f>IF(ISBLANK(AL1149),"",Short1[[#This Row],[Adj Close]]/AL1149-1)</f>
        <v>8.9531324202752671E-2</v>
      </c>
      <c r="AN1148" s="29">
        <v>37060</v>
      </c>
      <c r="AO1148" s="44">
        <v>14.928528999999999</v>
      </c>
      <c r="AP1148" s="33">
        <f>IF(ISBLANK(AO1149),"",Short2[[#This Row],[Adj Close]]/AO1149-1)</f>
        <v>0.15276231150614161</v>
      </c>
    </row>
    <row r="1149" spans="1:42" x14ac:dyDescent="0.25">
      <c r="A1149" s="37">
        <v>37053</v>
      </c>
      <c r="B1149" s="39">
        <v>1214.3599850000001</v>
      </c>
      <c r="C1149" s="36">
        <f>IF(ISBLANK(B1150), "", GSPC[[#This Row],[Adj Close]]/B1150-1)</f>
        <v>-4.0001247122477102E-2</v>
      </c>
      <c r="D114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4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49" s="11" t="e">
        <f>IF(ISBLANK(GSPC[[#This Row],[Long Exp.]]), "", (GSPC[[#This Row],[Long Exp.]]/D1150-1)+(E1150/GSPC[[#This Row],[Short Exp.]]-1))</f>
        <v>#VALUE!</v>
      </c>
      <c r="G1149" s="37">
        <v>37053</v>
      </c>
      <c r="H1149">
        <v>9.7740550000000006</v>
      </c>
      <c r="I1149" s="36">
        <f>IF(ISBLANK(H1150), "", Long0[[#This Row],[Adj Close]]/H1150-1)</f>
        <v>-0.15719050250271793</v>
      </c>
      <c r="M1149" s="37">
        <v>37053</v>
      </c>
      <c r="N1149">
        <v>8.4171069999999997</v>
      </c>
      <c r="O1149" s="36">
        <f>IF(ISBLANK(N1150),"",Long2[[#This Row],[Adj Close]]/N1150-1)</f>
        <v>-7.4549850695134312E-2</v>
      </c>
      <c r="P1149" s="29">
        <v>37053</v>
      </c>
      <c r="Q1149">
        <v>10.093189000000001</v>
      </c>
      <c r="R1149" s="33">
        <f>IF(ISBLANK(Q1150),"",Long3[[#This Row],[Adj Close]]/Q1150-1)</f>
        <v>-1.0327873128232912E-2</v>
      </c>
      <c r="S1149" s="37">
        <v>37053</v>
      </c>
      <c r="T1149" s="35">
        <v>7.1193379999999999</v>
      </c>
      <c r="U1149" s="36">
        <f>IF(ISBLANK(T1150),"",Long4[[#This Row],[Adj Close]]/T1150-1)</f>
        <v>-0.12565440782386095</v>
      </c>
      <c r="Y1149" s="37">
        <v>37053</v>
      </c>
      <c r="Z1149" s="35">
        <v>13.906245</v>
      </c>
      <c r="AA1149" s="36">
        <f>IF(ISBLANK(Z1150),"",Long6[[#This Row],[Adj Close]]/Z1150-1)</f>
        <v>-0.10251573199730613</v>
      </c>
      <c r="AK1149" s="37">
        <v>37053</v>
      </c>
      <c r="AL1149" s="39">
        <v>15.887635</v>
      </c>
      <c r="AM1149" s="36">
        <f>IF(ISBLANK(AL1150),"",Short1[[#This Row],[Adj Close]]/AL1150-1)</f>
        <v>-9.1433054239570488E-2</v>
      </c>
      <c r="AN1149" s="29">
        <v>37053</v>
      </c>
      <c r="AO1149" s="44">
        <v>12.950222999999999</v>
      </c>
      <c r="AP1149" s="33">
        <f>IF(ISBLANK(AO1150),"",Short2[[#This Row],[Adj Close]]/AO1150-1)</f>
        <v>-8.0591151960401564E-2</v>
      </c>
    </row>
    <row r="1150" spans="1:42" x14ac:dyDescent="0.25">
      <c r="A1150" s="37">
        <v>37046</v>
      </c>
      <c r="B1150" s="39">
        <v>1264.959961</v>
      </c>
      <c r="C1150" s="36">
        <f>IF(ISBLANK(B1151), "", GSPC[[#This Row],[Adj Close]]/B1151-1)</f>
        <v>3.4028864415533988E-3</v>
      </c>
      <c r="D115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5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50" s="11" t="e">
        <f>IF(ISBLANK(GSPC[[#This Row],[Long Exp.]]), "", (GSPC[[#This Row],[Long Exp.]]/D1151-1)+(E1151/GSPC[[#This Row],[Short Exp.]]-1))</f>
        <v>#VALUE!</v>
      </c>
      <c r="G1150" s="37">
        <v>37046</v>
      </c>
      <c r="H1150">
        <v>11.596992</v>
      </c>
      <c r="I1150" s="36">
        <f>IF(ISBLANK(H1151), "", Long0[[#This Row],[Adj Close]]/H1151-1)</f>
        <v>-4.7770630555769911E-2</v>
      </c>
      <c r="M1150" s="37">
        <v>37046</v>
      </c>
      <c r="N1150">
        <v>9.0951489999999993</v>
      </c>
      <c r="O1150" s="36">
        <f>IF(ISBLANK(N1151),"",Long2[[#This Row],[Adj Close]]/N1151-1)</f>
        <v>2.6385171273738406E-2</v>
      </c>
      <c r="P1150" s="29">
        <v>37046</v>
      </c>
      <c r="Q1150">
        <v>10.198518</v>
      </c>
      <c r="R1150" s="33">
        <f>IF(ISBLANK(Q1151),"",Long3[[#This Row],[Adj Close]]/Q1151-1)</f>
        <v>-4.6911300900930542E-2</v>
      </c>
      <c r="S1150" s="37">
        <v>37046</v>
      </c>
      <c r="T1150" s="35">
        <v>8.1424760000000003</v>
      </c>
      <c r="U1150" s="36">
        <f>IF(ISBLANK(T1151),"",Long4[[#This Row],[Adj Close]]/T1151-1)</f>
        <v>1.5957282878651835E-2</v>
      </c>
      <c r="Y1150" s="37">
        <v>37046</v>
      </c>
      <c r="Z1150" s="35">
        <v>15.494695</v>
      </c>
      <c r="AA1150" s="36">
        <f>IF(ISBLANK(Z1151),"",Long6[[#This Row],[Adj Close]]/Z1151-1)</f>
        <v>-9.6590935261639088E-2</v>
      </c>
      <c r="AK1150" s="37">
        <v>37046</v>
      </c>
      <c r="AL1150" s="39">
        <v>17.486477000000001</v>
      </c>
      <c r="AM1150" s="36">
        <f>IF(ISBLANK(AL1151),"",Short1[[#This Row],[Adj Close]]/AL1151-1)</f>
        <v>0.15648136353938469</v>
      </c>
      <c r="AN1150" s="29">
        <v>37046</v>
      </c>
      <c r="AO1150" s="44">
        <v>14.085380000000001</v>
      </c>
      <c r="AP1150" s="33">
        <f>IF(ISBLANK(AO1151),"",Short2[[#This Row],[Adj Close]]/AO1151-1)</f>
        <v>1.2974218122263625E-3</v>
      </c>
    </row>
    <row r="1151" spans="1:42" x14ac:dyDescent="0.25">
      <c r="A1151" s="37">
        <v>37039</v>
      </c>
      <c r="B1151" s="39">
        <v>1260.670044</v>
      </c>
      <c r="C1151" s="36">
        <f>IF(ISBLANK(B1152), "", GSPC[[#This Row],[Adj Close]]/B1152-1)</f>
        <v>-1.3475315401067611E-2</v>
      </c>
      <c r="D115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5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51" s="11" t="e">
        <f>IF(ISBLANK(GSPC[[#This Row],[Long Exp.]]), "", (GSPC[[#This Row],[Long Exp.]]/D1152-1)+(E1152/GSPC[[#This Row],[Short Exp.]]-1))</f>
        <v>#VALUE!</v>
      </c>
      <c r="G1151" s="37">
        <v>37039</v>
      </c>
      <c r="H1151">
        <v>12.17878</v>
      </c>
      <c r="I1151" s="36">
        <f>IF(ISBLANK(H1152), "", Long0[[#This Row],[Adj Close]]/H1152-1)</f>
        <v>3.4596358263770055E-2</v>
      </c>
      <c r="M1151" s="37">
        <v>37039</v>
      </c>
      <c r="N1151">
        <v>8.8613409999999995</v>
      </c>
      <c r="O1151" s="36">
        <f>IF(ISBLANK(N1152),"",Long2[[#This Row],[Adj Close]]/N1152-1)</f>
        <v>2.1563368730642463E-2</v>
      </c>
      <c r="P1151" s="29">
        <v>37039</v>
      </c>
      <c r="Q1151">
        <v>10.700492000000001</v>
      </c>
      <c r="R1151" s="33">
        <f>IF(ISBLANK(Q1152),"",Long3[[#This Row],[Adj Close]]/Q1152-1)</f>
        <v>2.6777762004288608E-3</v>
      </c>
      <c r="S1151" s="37">
        <v>37039</v>
      </c>
      <c r="T1151" s="35">
        <v>8.0145850000000003</v>
      </c>
      <c r="U1151" s="36">
        <f>IF(ISBLANK(T1152),"",Long4[[#This Row],[Adj Close]]/T1152-1)</f>
        <v>2.1325334196933277E-3</v>
      </c>
      <c r="Y1151" s="37">
        <v>37039</v>
      </c>
      <c r="Z1151" s="35">
        <v>17.151361000000001</v>
      </c>
      <c r="AA1151" s="36">
        <f>IF(ISBLANK(Z1152),"",Long6[[#This Row],[Adj Close]]/Z1152-1)</f>
        <v>-8.8554976339383029E-2</v>
      </c>
      <c r="AK1151" s="37">
        <v>37039</v>
      </c>
      <c r="AL1151" s="39">
        <v>15.120414</v>
      </c>
      <c r="AM1151" s="36">
        <f>IF(ISBLANK(AL1152),"",Short1[[#This Row],[Adj Close]]/AL1152-1)</f>
        <v>-0.11649237443360216</v>
      </c>
      <c r="AN1151" s="29">
        <v>37039</v>
      </c>
      <c r="AO1151" s="44">
        <v>14.067129</v>
      </c>
      <c r="AP1151" s="33">
        <f>IF(ISBLANK(AO1152),"",Short2[[#This Row],[Adj Close]]/AO1152-1)</f>
        <v>5.5311958217021617E-2</v>
      </c>
    </row>
    <row r="1152" spans="1:42" x14ac:dyDescent="0.25">
      <c r="A1152" s="37">
        <v>37032</v>
      </c>
      <c r="B1152" s="39">
        <v>1277.8900149999999</v>
      </c>
      <c r="C1152" s="36">
        <f>IF(ISBLANK(B1153), "", GSPC[[#This Row],[Adj Close]]/B1153-1)</f>
        <v>-1.0890388576059062E-2</v>
      </c>
      <c r="D115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5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52" s="11" t="e">
        <f>IF(ISBLANK(GSPC[[#This Row],[Long Exp.]]), "", (GSPC[[#This Row],[Long Exp.]]/D1153-1)+(E1153/GSPC[[#This Row],[Short Exp.]]-1))</f>
        <v>#VALUE!</v>
      </c>
      <c r="G1152" s="37">
        <v>37032</v>
      </c>
      <c r="H1152">
        <v>11.771528</v>
      </c>
      <c r="I1152" s="36">
        <f>IF(ISBLANK(H1153), "", Long0[[#This Row],[Adj Close]]/H1153-1)</f>
        <v>5.0899987483682851E-2</v>
      </c>
      <c r="M1152" s="37">
        <v>37032</v>
      </c>
      <c r="N1152">
        <v>8.6742939999999997</v>
      </c>
      <c r="O1152" s="36">
        <f>IF(ISBLANK(N1153),"",Long2[[#This Row],[Adj Close]]/N1153-1)</f>
        <v>-2.3684362472527254E-2</v>
      </c>
      <c r="P1152" s="29">
        <v>37032</v>
      </c>
      <c r="Q1152">
        <v>10.671915</v>
      </c>
      <c r="R1152" s="33">
        <f>IF(ISBLANK(Q1153),"",Long3[[#This Row],[Adj Close]]/Q1153-1)</f>
        <v>-2.5045075527797556E-3</v>
      </c>
      <c r="S1152" s="37">
        <v>37032</v>
      </c>
      <c r="T1152" s="35">
        <v>7.9975300000000002</v>
      </c>
      <c r="U1152" s="36">
        <f>IF(ISBLANK(T1153),"",Long4[[#This Row],[Adj Close]]/T1153-1)</f>
        <v>4.2221848354455638E-2</v>
      </c>
      <c r="Y1152" s="37">
        <v>37032</v>
      </c>
      <c r="Z1152" s="35">
        <v>18.817768000000001</v>
      </c>
      <c r="AA1152" s="36">
        <f>IF(ISBLANK(Z1153),"",Long6[[#This Row],[Adj Close]]/Z1153-1)</f>
        <v>7.8168031390901449E-2</v>
      </c>
      <c r="AK1152" s="37">
        <v>37032</v>
      </c>
      <c r="AL1152" s="39">
        <v>17.114073000000001</v>
      </c>
      <c r="AM1152" s="36">
        <f>IF(ISBLANK(AL1153),"",Short1[[#This Row],[Adj Close]]/AL1153-1)</f>
        <v>8.8513087542690716E-2</v>
      </c>
      <c r="AN1152" s="29">
        <v>37032</v>
      </c>
      <c r="AO1152" s="44">
        <v>13.329829999999999</v>
      </c>
      <c r="AP1152" s="33">
        <f>IF(ISBLANK(AO1153),"",Short2[[#This Row],[Adj Close]]/AO1153-1)</f>
        <v>-0.15266770687090381</v>
      </c>
    </row>
    <row r="1153" spans="1:42" x14ac:dyDescent="0.25">
      <c r="A1153" s="37">
        <v>37025</v>
      </c>
      <c r="B1153" s="39">
        <v>1291.959961</v>
      </c>
      <c r="C1153" s="36">
        <f>IF(ISBLANK(B1154), "", GSPC[[#This Row],[Adj Close]]/B1154-1)</f>
        <v>3.716065680712477E-2</v>
      </c>
      <c r="D115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5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53" s="11" t="e">
        <f>IF(ISBLANK(GSPC[[#This Row],[Long Exp.]]), "", (GSPC[[#This Row],[Long Exp.]]/D1154-1)+(E1154/GSPC[[#This Row],[Short Exp.]]-1))</f>
        <v>#VALUE!</v>
      </c>
      <c r="G1153" s="37">
        <v>37025</v>
      </c>
      <c r="H1153">
        <v>11.201378</v>
      </c>
      <c r="I1153" s="36">
        <f>IF(ISBLANK(H1154), "", Long0[[#This Row],[Adj Close]]/H1154-1)</f>
        <v>3.7356540589638776E-2</v>
      </c>
      <c r="M1153" s="37">
        <v>37025</v>
      </c>
      <c r="N1153">
        <v>8.8847229999999993</v>
      </c>
      <c r="O1153" s="36">
        <f>IF(ISBLANK(N1154),"",Long2[[#This Row],[Adj Close]]/N1154-1)</f>
        <v>4.1095920909396622E-2</v>
      </c>
      <c r="P1153" s="29">
        <v>37025</v>
      </c>
      <c r="Q1153">
        <v>10.69871</v>
      </c>
      <c r="R1153" s="33">
        <f>IF(ISBLANK(Q1154),"",Long3[[#This Row],[Adj Close]]/Q1154-1)</f>
        <v>0.10011039447928893</v>
      </c>
      <c r="S1153" s="37">
        <v>37025</v>
      </c>
      <c r="T1153" s="35">
        <v>7.6735389999999999</v>
      </c>
      <c r="U1153" s="36">
        <f>IF(ISBLANK(T1154),"",Long4[[#This Row],[Adj Close]]/T1154-1)</f>
        <v>0.18421059535543649</v>
      </c>
      <c r="Y1153" s="37">
        <v>37025</v>
      </c>
      <c r="Z1153" s="35">
        <v>17.453465000000001</v>
      </c>
      <c r="AA1153" s="36">
        <f>IF(ISBLANK(Z1154),"",Long6[[#This Row],[Adj Close]]/Z1154-1)</f>
        <v>0.10555595954354491</v>
      </c>
      <c r="AK1153" s="37">
        <v>37025</v>
      </c>
      <c r="AL1153" s="39">
        <v>15.722432</v>
      </c>
      <c r="AM1153" s="36">
        <f>IF(ISBLANK(AL1154),"",Short1[[#This Row],[Adj Close]]/AL1154-1)</f>
        <v>9.0291808355516645E-2</v>
      </c>
      <c r="AN1153" s="29">
        <v>37025</v>
      </c>
      <c r="AO1153" s="44">
        <v>15.731526000000001</v>
      </c>
      <c r="AP1153" s="33">
        <f>IF(ISBLANK(AO1154),"",Short2[[#This Row],[Adj Close]]/AO1154-1)</f>
        <v>-4.6189930264917134E-3</v>
      </c>
    </row>
    <row r="1154" spans="1:42" x14ac:dyDescent="0.25">
      <c r="A1154" s="37">
        <v>37018</v>
      </c>
      <c r="B1154" s="39">
        <v>1245.670044</v>
      </c>
      <c r="C1154" s="36">
        <f>IF(ISBLANK(B1155), "", GSPC[[#This Row],[Adj Close]]/B1155-1)</f>
        <v>-1.6532272165847517E-2</v>
      </c>
      <c r="D115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5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54" s="11" t="e">
        <f>IF(ISBLANK(GSPC[[#This Row],[Long Exp.]]), "", (GSPC[[#This Row],[Long Exp.]]/D1155-1)+(E1155/GSPC[[#This Row],[Short Exp.]]-1))</f>
        <v>#VALUE!</v>
      </c>
      <c r="G1154" s="37">
        <v>37018</v>
      </c>
      <c r="H1154">
        <v>10.798002</v>
      </c>
      <c r="I1154" s="36">
        <f>IF(ISBLANK(H1155), "", Long0[[#This Row],[Adj Close]]/H1155-1)</f>
        <v>3.4944068174795451E-2</v>
      </c>
      <c r="M1154" s="37">
        <v>37018</v>
      </c>
      <c r="N1154">
        <v>8.5340100000000003</v>
      </c>
      <c r="O1154" s="36">
        <f>IF(ISBLANK(N1155),"",Long2[[#This Row],[Adj Close]]/N1155-1)</f>
        <v>-7.5168832424234999E-2</v>
      </c>
      <c r="P1154" s="29">
        <v>37018</v>
      </c>
      <c r="Q1154">
        <v>9.7251239999999992</v>
      </c>
      <c r="R1154" s="33">
        <f>IF(ISBLANK(Q1155),"",Long3[[#This Row],[Adj Close]]/Q1155-1)</f>
        <v>1.3591753376728688E-2</v>
      </c>
      <c r="S1154" s="37">
        <v>37018</v>
      </c>
      <c r="T1154" s="35">
        <v>6.4798770000000001</v>
      </c>
      <c r="U1154" s="36">
        <f>IF(ISBLANK(T1155),"",Long4[[#This Row],[Adj Close]]/T1155-1)</f>
        <v>4.9723834772276154E-2</v>
      </c>
      <c r="Y1154" s="37">
        <v>37018</v>
      </c>
      <c r="Z1154" s="35">
        <v>15.787048</v>
      </c>
      <c r="AA1154" s="36">
        <f>IF(ISBLANK(Z1155),"",Long6[[#This Row],[Adj Close]]/Z1155-1)</f>
        <v>6.8365441204418786E-3</v>
      </c>
      <c r="AK1154" s="37">
        <v>37018</v>
      </c>
      <c r="AL1154" s="39">
        <v>14.420389</v>
      </c>
      <c r="AM1154" s="36">
        <f>IF(ISBLANK(AL1155),"",Short1[[#This Row],[Adj Close]]/AL1155-1)</f>
        <v>-8.9301724829897622E-2</v>
      </c>
      <c r="AN1154" s="29">
        <v>37018</v>
      </c>
      <c r="AO1154" s="44">
        <v>15.804527</v>
      </c>
      <c r="AP1154" s="33">
        <f>IF(ISBLANK(AO1155),"",Short2[[#This Row],[Adj Close]]/AO1155-1)</f>
        <v>-3.1027008455117189E-2</v>
      </c>
    </row>
    <row r="1155" spans="1:42" x14ac:dyDescent="0.25">
      <c r="A1155" s="37">
        <v>37011</v>
      </c>
      <c r="B1155" s="39">
        <v>1266.6099850000001</v>
      </c>
      <c r="C1155" s="36">
        <f>IF(ISBLANK(B1156), "", GSPC[[#This Row],[Adj Close]]/B1156-1)</f>
        <v>1.0821543808901879E-2</v>
      </c>
      <c r="D115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5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55" s="11" t="e">
        <f>IF(ISBLANK(GSPC[[#This Row],[Long Exp.]]), "", (GSPC[[#This Row],[Long Exp.]]/D1156-1)+(E1156/GSPC[[#This Row],[Short Exp.]]-1))</f>
        <v>#VALUE!</v>
      </c>
      <c r="G1155" s="37">
        <v>37011</v>
      </c>
      <c r="H1155">
        <v>10.433415999999999</v>
      </c>
      <c r="I1155" s="36">
        <f>IF(ISBLANK(H1156), "", Long0[[#This Row],[Adj Close]]/H1156-1)</f>
        <v>3.0651191874449868E-2</v>
      </c>
      <c r="M1155" s="37">
        <v>37011</v>
      </c>
      <c r="N1155">
        <v>9.2276410000000002</v>
      </c>
      <c r="O1155" s="36">
        <f>IF(ISBLANK(N1156),"",Long2[[#This Row],[Adj Close]]/N1156-1)</f>
        <v>-2.0678621404013886E-2</v>
      </c>
      <c r="P1155" s="29">
        <v>37011</v>
      </c>
      <c r="Q1155">
        <v>9.5947150000000008</v>
      </c>
      <c r="R1155" s="33">
        <f>IF(ISBLANK(Q1156),"",Long3[[#This Row],[Adj Close]]/Q1156-1)</f>
        <v>-3.4687393417569545E-2</v>
      </c>
      <c r="S1155" s="37">
        <v>37011</v>
      </c>
      <c r="T1155" s="35">
        <v>6.1729349999999998</v>
      </c>
      <c r="U1155" s="36">
        <f>IF(ISBLANK(T1156),"",Long4[[#This Row],[Adj Close]]/T1156-1)</f>
        <v>3.2810180105386832E-2</v>
      </c>
      <c r="Y1155" s="37">
        <v>37011</v>
      </c>
      <c r="Z1155" s="35">
        <v>15.679852</v>
      </c>
      <c r="AA1155" s="36">
        <f>IF(ISBLANK(Z1156),"",Long6[[#This Row],[Adj Close]]/Z1156-1)</f>
        <v>-3.4213732612526471E-2</v>
      </c>
      <c r="AK1155" s="37">
        <v>37011</v>
      </c>
      <c r="AL1155" s="39">
        <v>15.834431</v>
      </c>
      <c r="AM1155" s="36">
        <f>IF(ISBLANK(AL1156),"",Short1[[#This Row],[Adj Close]]/AL1156-1)</f>
        <v>1.7269010925868189E-2</v>
      </c>
      <c r="AN1155" s="29">
        <v>37011</v>
      </c>
      <c r="AO1155" s="44">
        <v>16.310596</v>
      </c>
      <c r="AP1155" s="33">
        <f>IF(ISBLANK(AO1156),"",Short2[[#This Row],[Adj Close]]/AO1156-1)</f>
        <v>-4.4546432742199604E-3</v>
      </c>
    </row>
    <row r="1156" spans="1:42" x14ac:dyDescent="0.25">
      <c r="A1156" s="37">
        <v>37004</v>
      </c>
      <c r="B1156" s="39">
        <v>1253.0500489999999</v>
      </c>
      <c r="C1156" s="36">
        <f>IF(ISBLANK(B1157), "", GSPC[[#This Row],[Adj Close]]/B1157-1)</f>
        <v>8.1015536549509104E-3</v>
      </c>
      <c r="D115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5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56" s="11" t="e">
        <f>IF(ISBLANK(GSPC[[#This Row],[Long Exp.]]), "", (GSPC[[#This Row],[Long Exp.]]/D1157-1)+(E1157/GSPC[[#This Row],[Short Exp.]]-1))</f>
        <v>#VALUE!</v>
      </c>
      <c r="G1156" s="37">
        <v>37004</v>
      </c>
      <c r="H1156">
        <v>10.12313</v>
      </c>
      <c r="I1156" s="36">
        <f>IF(ISBLANK(H1157), "", Long0[[#This Row],[Adj Close]]/H1157-1)</f>
        <v>1.9195871625690142E-3</v>
      </c>
      <c r="M1156" s="37">
        <v>37004</v>
      </c>
      <c r="N1156">
        <v>9.422485</v>
      </c>
      <c r="O1156" s="36">
        <f>IF(ISBLANK(N1157),"",Long2[[#This Row],[Adj Close]]/N1157-1)</f>
        <v>-3.5115206250149189E-2</v>
      </c>
      <c r="P1156" s="29">
        <v>37004</v>
      </c>
      <c r="Q1156">
        <v>9.9394899999999993</v>
      </c>
      <c r="R1156" s="33">
        <f>IF(ISBLANK(Q1157),"",Long3[[#This Row],[Adj Close]]/Q1157-1)</f>
        <v>7.4960960367919327E-2</v>
      </c>
      <c r="S1156" s="37">
        <v>37004</v>
      </c>
      <c r="T1156" s="35">
        <v>5.9768340000000002</v>
      </c>
      <c r="U1156" s="36">
        <f>IF(ISBLANK(T1157),"",Long4[[#This Row],[Adj Close]]/T1157-1)</f>
        <v>1.3005885664949979E-2</v>
      </c>
      <c r="Y1156" s="37">
        <v>37004</v>
      </c>
      <c r="Z1156" s="35">
        <v>16.235323000000001</v>
      </c>
      <c r="AA1156" s="36">
        <f>IF(ISBLANK(Z1157),"",Long6[[#This Row],[Adj Close]]/Z1157-1)</f>
        <v>0.27175565606677266</v>
      </c>
      <c r="AK1156" s="37">
        <v>37004</v>
      </c>
      <c r="AL1156" s="39">
        <v>15.565628</v>
      </c>
      <c r="AM1156" s="36">
        <f>IF(ISBLANK(AL1157),"",Short1[[#This Row],[Adj Close]]/AL1157-1)</f>
        <v>2.3191761472695083E-2</v>
      </c>
      <c r="AN1156" s="29">
        <v>37004</v>
      </c>
      <c r="AO1156" s="44">
        <v>16.383579000000001</v>
      </c>
      <c r="AP1156" s="33">
        <f>IF(ISBLANK(AO1157),"",Short2[[#This Row],[Adj Close]]/AO1157-1)</f>
        <v>3.8870176824255198E-2</v>
      </c>
    </row>
    <row r="1157" spans="1:42" x14ac:dyDescent="0.25">
      <c r="A1157" s="37">
        <v>36997</v>
      </c>
      <c r="B1157" s="39">
        <v>1242.9799800000001</v>
      </c>
      <c r="C1157" s="36">
        <f>IF(ISBLANK(B1158), "", GSPC[[#This Row],[Adj Close]]/B1158-1)</f>
        <v>5.0257693282636406E-2</v>
      </c>
      <c r="D115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5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57" s="11" t="e">
        <f>IF(ISBLANK(GSPC[[#This Row],[Long Exp.]]), "", (GSPC[[#This Row],[Long Exp.]]/D1158-1)+(E1158/GSPC[[#This Row],[Short Exp.]]-1))</f>
        <v>#VALUE!</v>
      </c>
      <c r="G1157" s="37">
        <v>36997</v>
      </c>
      <c r="H1157">
        <v>10.103735</v>
      </c>
      <c r="I1157" s="36">
        <f>IF(ISBLANK(H1158), "", Long0[[#This Row],[Adj Close]]/H1158-1)</f>
        <v>3.2091702486247931E-2</v>
      </c>
      <c r="M1157" s="37">
        <v>36997</v>
      </c>
      <c r="N1157">
        <v>9.7653990000000004</v>
      </c>
      <c r="O1157" s="36">
        <f>IF(ISBLANK(N1158),"",Long2[[#This Row],[Adj Close]]/N1158-1)</f>
        <v>-3.6154142709684978E-2</v>
      </c>
      <c r="P1157" s="29">
        <v>36997</v>
      </c>
      <c r="Q1157">
        <v>9.2463730000000002</v>
      </c>
      <c r="R1157" s="33">
        <f>IF(ISBLANK(Q1158),"",Long3[[#This Row],[Adj Close]]/Q1158-1)</f>
        <v>2.8821643949719089E-2</v>
      </c>
      <c r="S1157" s="37">
        <v>36997</v>
      </c>
      <c r="T1157" s="35">
        <v>5.9000979999999998</v>
      </c>
      <c r="U1157" s="36">
        <f>IF(ISBLANK(T1158),"",Long4[[#This Row],[Adj Close]]/T1158-1)</f>
        <v>-0.12626271451745186</v>
      </c>
      <c r="Y1157" s="37">
        <v>36997</v>
      </c>
      <c r="Z1157" s="35">
        <v>12.766071</v>
      </c>
      <c r="AA1157" s="36">
        <f>IF(ISBLANK(Z1158),"",Long6[[#This Row],[Adj Close]]/Z1158-1)</f>
        <v>0.39065847846512081</v>
      </c>
      <c r="AK1157" s="37">
        <v>36997</v>
      </c>
      <c r="AL1157" s="39">
        <v>15.212816</v>
      </c>
      <c r="AM1157" s="36">
        <f>IF(ISBLANK(AL1158),"",Short1[[#This Row],[Adj Close]]/AL1158-1)</f>
        <v>0.10651722745164771</v>
      </c>
      <c r="AN1157" s="29">
        <v>36997</v>
      </c>
      <c r="AO1157" s="44">
        <v>15.770574</v>
      </c>
      <c r="AP1157" s="33">
        <f>IF(ISBLANK(AO1158),"",Short2[[#This Row],[Adj Close]]/AO1158-1)</f>
        <v>6.3223995815755663E-2</v>
      </c>
    </row>
    <row r="1158" spans="1:42" x14ac:dyDescent="0.25">
      <c r="A1158" s="37">
        <v>36990</v>
      </c>
      <c r="B1158" s="39">
        <v>1183.5</v>
      </c>
      <c r="C1158" s="36">
        <f>IF(ISBLANK(B1159), "", GSPC[[#This Row],[Adj Close]]/B1159-1)</f>
        <v>4.880226807571364E-2</v>
      </c>
      <c r="D115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5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58" s="11" t="e">
        <f>IF(ISBLANK(GSPC[[#This Row],[Long Exp.]]), "", (GSPC[[#This Row],[Long Exp.]]/D1159-1)+(E1159/GSPC[[#This Row],[Short Exp.]]-1))</f>
        <v>#VALUE!</v>
      </c>
      <c r="G1158" s="37">
        <v>36990</v>
      </c>
      <c r="H1158">
        <v>9.7895710000000005</v>
      </c>
      <c r="I1158" s="36">
        <f>IF(ISBLANK(H1159), "", Long0[[#This Row],[Adj Close]]/H1159-1)</f>
        <v>2.3935194090243916E-2</v>
      </c>
      <c r="M1158" s="37">
        <v>36990</v>
      </c>
      <c r="N1158">
        <v>10.131702000000001</v>
      </c>
      <c r="O1158" s="36">
        <f>IF(ISBLANK(N1159),"",Long2[[#This Row],[Adj Close]]/N1159-1)</f>
        <v>2.6045947996817365E-2</v>
      </c>
      <c r="P1158" s="29">
        <v>36990</v>
      </c>
      <c r="Q1158">
        <v>8.9873429999999992</v>
      </c>
      <c r="R1158" s="33">
        <f>IF(ISBLANK(Q1159),"",Long3[[#This Row],[Adj Close]]/Q1159-1)</f>
        <v>8.7548749959613259E-2</v>
      </c>
      <c r="S1158" s="37">
        <v>36990</v>
      </c>
      <c r="T1158" s="35">
        <v>6.7527140000000001</v>
      </c>
      <c r="U1158" s="36">
        <f>IF(ISBLANK(T1159),"",Long4[[#This Row],[Adj Close]]/T1159-1)</f>
        <v>0.13142853887567463</v>
      </c>
      <c r="Y1158" s="37">
        <v>36990</v>
      </c>
      <c r="Z1158" s="35">
        <v>9.1798749999999991</v>
      </c>
      <c r="AA1158" s="36">
        <f>IF(ISBLANK(Z1159),"",Long6[[#This Row],[Adj Close]]/Z1159-1)</f>
        <v>-2.1298873486870873E-2</v>
      </c>
      <c r="AK1158" s="37">
        <v>36990</v>
      </c>
      <c r="AL1158" s="39">
        <v>13.748377</v>
      </c>
      <c r="AM1158" s="36">
        <f>IF(ISBLANK(AL1159),"",Short1[[#This Row],[Adj Close]]/AL1159-1)</f>
        <v>3.3901612685868443E-2</v>
      </c>
      <c r="AN1158" s="29">
        <v>36990</v>
      </c>
      <c r="AO1158" s="44">
        <v>14.832786</v>
      </c>
      <c r="AP1158" s="33">
        <f>IF(ISBLANK(AO1159),"",Short2[[#This Row],[Adj Close]]/AO1159-1)</f>
        <v>7.8821197189511416E-2</v>
      </c>
    </row>
    <row r="1159" spans="1:42" x14ac:dyDescent="0.25">
      <c r="A1159" s="37">
        <v>36983</v>
      </c>
      <c r="B1159" s="39">
        <v>1128.4300539999999</v>
      </c>
      <c r="C1159" s="36">
        <f>IF(ISBLANK(B1160), "", GSPC[[#This Row],[Adj Close]]/B1160-1)</f>
        <v>-2.7492095532867689E-2</v>
      </c>
      <c r="D115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5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59" s="11" t="e">
        <f>IF(ISBLANK(GSPC[[#This Row],[Long Exp.]]), "", (GSPC[[#This Row],[Long Exp.]]/D1160-1)+(E1160/GSPC[[#This Row],[Short Exp.]]-1))</f>
        <v>#VALUE!</v>
      </c>
      <c r="G1159" s="37">
        <v>36983</v>
      </c>
      <c r="H1159">
        <v>9.5607330000000008</v>
      </c>
      <c r="I1159" s="36">
        <f>IF(ISBLANK(H1160), "", Long0[[#This Row],[Adj Close]]/H1160-1)</f>
        <v>-4.477169495863953E-2</v>
      </c>
      <c r="M1159" s="37">
        <v>36983</v>
      </c>
      <c r="N1159">
        <v>9.874511</v>
      </c>
      <c r="O1159" s="36">
        <f>IF(ISBLANK(N1160),"",Long2[[#This Row],[Adj Close]]/N1160-1)</f>
        <v>3.0081217189636522E-2</v>
      </c>
      <c r="P1159" s="29">
        <v>36983</v>
      </c>
      <c r="Q1159">
        <v>8.2638529999999992</v>
      </c>
      <c r="R1159" s="33">
        <f>IF(ISBLANK(Q1160),"",Long3[[#This Row],[Adj Close]]/Q1160-1)</f>
        <v>5.2320379697801345E-2</v>
      </c>
      <c r="S1159" s="37">
        <v>36983</v>
      </c>
      <c r="T1159" s="35">
        <v>5.9683080000000004</v>
      </c>
      <c r="U1159" s="36">
        <f>IF(ISBLANK(T1160),"",Long4[[#This Row],[Adj Close]]/T1160-1)</f>
        <v>-0.11111104491785195</v>
      </c>
      <c r="Y1159" s="37">
        <v>36983</v>
      </c>
      <c r="Z1159" s="35">
        <v>9.3796510000000008</v>
      </c>
      <c r="AA1159" s="36">
        <f>IF(ISBLANK(Z1160),"",Long6[[#This Row],[Adj Close]]/Z1160-1)</f>
        <v>-6.6666660032920544E-2</v>
      </c>
      <c r="AK1159" s="37">
        <v>36983</v>
      </c>
      <c r="AL1159" s="39">
        <v>13.297568</v>
      </c>
      <c r="AM1159" s="36">
        <f>IF(ISBLANK(AL1160),"",Short1[[#This Row],[Adj Close]]/AL1160-1)</f>
        <v>0.32063504170345025</v>
      </c>
      <c r="AN1159" s="29">
        <v>36983</v>
      </c>
      <c r="AO1159" s="44">
        <v>13.749067999999999</v>
      </c>
      <c r="AP1159" s="33">
        <f>IF(ISBLANK(AO1160),"",Short2[[#This Row],[Adj Close]]/AO1160-1)</f>
        <v>-5.4691163857190306E-2</v>
      </c>
    </row>
    <row r="1160" spans="1:42" x14ac:dyDescent="0.25">
      <c r="A1160" s="37">
        <v>36976</v>
      </c>
      <c r="B1160" s="39">
        <v>1160.329956</v>
      </c>
      <c r="C1160" s="36">
        <f>IF(ISBLANK(B1161), "", GSPC[[#This Row],[Adj Close]]/B1161-1)</f>
        <v>1.7985138828900959E-2</v>
      </c>
      <c r="D116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6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60" s="11" t="e">
        <f>IF(ISBLANK(GSPC[[#This Row],[Long Exp.]]), "", (GSPC[[#This Row],[Long Exp.]]/D1161-1)+(E1161/GSPC[[#This Row],[Short Exp.]]-1))</f>
        <v>#VALUE!</v>
      </c>
      <c r="G1160" s="37">
        <v>36976</v>
      </c>
      <c r="H1160">
        <v>10.008846</v>
      </c>
      <c r="I1160" s="36">
        <f>IF(ISBLANK(H1161), "", Long0[[#This Row],[Adj Close]]/H1161-1)</f>
        <v>0.17606874203476996</v>
      </c>
      <c r="M1160" s="37">
        <v>36976</v>
      </c>
      <c r="N1160">
        <v>9.5861479999999997</v>
      </c>
      <c r="O1160" s="36">
        <f>IF(ISBLANK(N1161),"",Long2[[#This Row],[Adj Close]]/N1161-1)</f>
        <v>-6.4621457142863825E-3</v>
      </c>
      <c r="P1160" s="29">
        <v>36976</v>
      </c>
      <c r="Q1160">
        <v>7.8529819999999999</v>
      </c>
      <c r="R1160" s="33">
        <f>IF(ISBLANK(Q1161),"",Long3[[#This Row],[Adj Close]]/Q1161-1)</f>
        <v>3.4352760804881921E-2</v>
      </c>
      <c r="S1160" s="37">
        <v>36976</v>
      </c>
      <c r="T1160" s="35">
        <v>6.7143459999999999</v>
      </c>
      <c r="U1160" s="36">
        <f>IF(ISBLANK(T1161),"",Long4[[#This Row],[Adj Close]]/T1161-1)</f>
        <v>-7.3529462494020148E-2</v>
      </c>
      <c r="Y1160" s="37">
        <v>36976</v>
      </c>
      <c r="Z1160" s="35">
        <v>10.049626</v>
      </c>
      <c r="AA1160" s="36">
        <f>IF(ISBLANK(Z1161),"",Long6[[#This Row],[Adj Close]]/Z1161-1)</f>
        <v>0.41025649661287278</v>
      </c>
      <c r="AK1160" s="37">
        <v>36976</v>
      </c>
      <c r="AL1160" s="39">
        <v>10.069070999999999</v>
      </c>
      <c r="AM1160" s="36">
        <f>IF(ISBLANK(AL1161),"",Short1[[#This Row],[Adj Close]]/AL1161-1)</f>
        <v>-7.3195927245334858E-2</v>
      </c>
      <c r="AN1160" s="29">
        <v>36976</v>
      </c>
      <c r="AO1160" s="44">
        <v>14.544525</v>
      </c>
      <c r="AP1160" s="33">
        <f>IF(ISBLANK(AO1161),"",Short2[[#This Row],[Adj Close]]/AO1161-1)</f>
        <v>2.8114640540792601E-2</v>
      </c>
    </row>
    <row r="1161" spans="1:42" x14ac:dyDescent="0.25">
      <c r="A1161" s="37">
        <v>36969</v>
      </c>
      <c r="B1161" s="39">
        <v>1139.829956</v>
      </c>
      <c r="C1161" s="36">
        <f>IF(ISBLANK(B1162), "", GSPC[[#This Row],[Adj Close]]/B1162-1)</f>
        <v>-9.3001249252920859E-3</v>
      </c>
      <c r="D116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6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61" s="11" t="e">
        <f>IF(ISBLANK(GSPC[[#This Row],[Long Exp.]]), "", (GSPC[[#This Row],[Long Exp.]]/D1162-1)+(E1162/GSPC[[#This Row],[Short Exp.]]-1))</f>
        <v>#VALUE!</v>
      </c>
      <c r="G1161" s="37">
        <v>36969</v>
      </c>
      <c r="H1161">
        <v>8.5104260000000007</v>
      </c>
      <c r="I1161" s="36">
        <f>IF(ISBLANK(H1162), "", Long0[[#This Row],[Adj Close]]/H1162-1)</f>
        <v>1.7592711387727222E-2</v>
      </c>
      <c r="M1161" s="37">
        <v>36969</v>
      </c>
      <c r="N1161">
        <v>9.648498</v>
      </c>
      <c r="O1161" s="36">
        <f>IF(ISBLANK(N1162),"",Long2[[#This Row],[Adj Close]]/N1162-1)</f>
        <v>-2.22485743887747E-2</v>
      </c>
      <c r="P1161" s="29">
        <v>36969</v>
      </c>
      <c r="Q1161">
        <v>7.5921700000000003</v>
      </c>
      <c r="R1161" s="33">
        <f>IF(ISBLANK(Q1162),"",Long3[[#This Row],[Adj Close]]/Q1162-1)</f>
        <v>-2.7237259361286403E-2</v>
      </c>
      <c r="S1161" s="37">
        <v>36969</v>
      </c>
      <c r="T1161" s="35">
        <v>7.2472310000000002</v>
      </c>
      <c r="U1161" s="36">
        <f>IF(ISBLANK(T1162),"",Long4[[#This Row],[Adj Close]]/T1162-1)</f>
        <v>-5.8823414823182096E-2</v>
      </c>
      <c r="Y1161" s="37">
        <v>36969</v>
      </c>
      <c r="Z1161" s="35">
        <v>7.1260979999999998</v>
      </c>
      <c r="AA1161" s="36">
        <f>IF(ISBLANK(Z1162),"",Long6[[#This Row],[Adj Close]]/Z1162-1)</f>
        <v>4.0000046701577086E-2</v>
      </c>
      <c r="AK1161" s="37">
        <v>36969</v>
      </c>
      <c r="AL1161" s="39">
        <v>10.864293</v>
      </c>
      <c r="AM1161" s="36">
        <f>IF(ISBLANK(AL1162),"",Short1[[#This Row],[Adj Close]]/AL1162-1)</f>
        <v>-5.296563519065256E-2</v>
      </c>
      <c r="AN1161" s="29">
        <v>36969</v>
      </c>
      <c r="AO1161" s="44">
        <v>14.146793000000001</v>
      </c>
      <c r="AP1161" s="33">
        <f>IF(ISBLANK(AO1162),"",Short2[[#This Row],[Adj Close]]/AO1162-1)</f>
        <v>0.12966178962701846</v>
      </c>
    </row>
    <row r="1162" spans="1:42" x14ac:dyDescent="0.25">
      <c r="A1162" s="37">
        <v>36962</v>
      </c>
      <c r="B1162" s="39">
        <v>1150.530029</v>
      </c>
      <c r="C1162" s="36">
        <f>IF(ISBLANK(B1163), "", GSPC[[#This Row],[Adj Close]]/B1163-1)</f>
        <v>-6.7203395471980842E-2</v>
      </c>
      <c r="D116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6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62" s="11" t="e">
        <f>IF(ISBLANK(GSPC[[#This Row],[Long Exp.]]), "", (GSPC[[#This Row],[Long Exp.]]/D1163-1)+(E1163/GSPC[[#This Row],[Short Exp.]]-1))</f>
        <v>#VALUE!</v>
      </c>
      <c r="G1162" s="37">
        <v>36962</v>
      </c>
      <c r="H1162">
        <v>8.3632930000000005</v>
      </c>
      <c r="I1162" s="36">
        <f>IF(ISBLANK(H1163), "", Long0[[#This Row],[Adj Close]]/H1163-1)</f>
        <v>-2.0408246929527141E-2</v>
      </c>
      <c r="M1162" s="37">
        <v>36962</v>
      </c>
      <c r="N1162">
        <v>9.8680479999999999</v>
      </c>
      <c r="O1162" s="36">
        <f>IF(ISBLANK(N1163),"",Long2[[#This Row],[Adj Close]]/N1163-1)</f>
        <v>-9.2340561583491909E-2</v>
      </c>
      <c r="P1162" s="29">
        <v>36962</v>
      </c>
      <c r="Q1162">
        <v>7.8047500000000003</v>
      </c>
      <c r="R1162" s="33">
        <f>IF(ISBLANK(Q1163),"",Long3[[#This Row],[Adj Close]]/Q1163-1)</f>
        <v>-4.7382084277590386E-2</v>
      </c>
      <c r="S1162" s="37">
        <v>36962</v>
      </c>
      <c r="T1162" s="35">
        <v>7.7001819999999999</v>
      </c>
      <c r="U1162" s="36">
        <f>IF(ISBLANK(T1163),"",Long4[[#This Row],[Adj Close]]/T1163-1)</f>
        <v>-0.37715517415704791</v>
      </c>
      <c r="Y1162" s="37">
        <v>36962</v>
      </c>
      <c r="Z1162" s="35">
        <v>6.852017</v>
      </c>
      <c r="AA1162" s="36">
        <f>IF(ISBLANK(Z1163),"",Long6[[#This Row],[Adj Close]]/Z1163-1)</f>
        <v>-0.20774646747374892</v>
      </c>
      <c r="AK1162" s="37">
        <v>36962</v>
      </c>
      <c r="AL1162" s="39">
        <v>11.471909999999999</v>
      </c>
      <c r="AM1162" s="36">
        <f>IF(ISBLANK(AL1163),"",Short1[[#This Row],[Adj Close]]/AL1163-1)</f>
        <v>-0.12829836076710044</v>
      </c>
      <c r="AN1162" s="29">
        <v>36962</v>
      </c>
      <c r="AO1162" s="44">
        <v>12.523034000000001</v>
      </c>
      <c r="AP1162" s="33">
        <f>IF(ISBLANK(AO1163),"",Short2[[#This Row],[Adj Close]]/AO1163-1)</f>
        <v>-4.798903719362857E-2</v>
      </c>
    </row>
    <row r="1163" spans="1:42" x14ac:dyDescent="0.25">
      <c r="A1163" s="37">
        <v>36955</v>
      </c>
      <c r="B1163" s="39">
        <v>1233.420044</v>
      </c>
      <c r="C1163" s="36">
        <f>IF(ISBLANK(B1164), "", GSPC[[#This Row],[Adj Close]]/B1164-1)</f>
        <v>-6.1580155791429725E-4</v>
      </c>
      <c r="D116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6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63" s="11" t="e">
        <f>IF(ISBLANK(GSPC[[#This Row],[Long Exp.]]), "", (GSPC[[#This Row],[Long Exp.]]/D1164-1)+(E1164/GSPC[[#This Row],[Short Exp.]]-1))</f>
        <v>#VALUE!</v>
      </c>
      <c r="G1163" s="37">
        <v>36955</v>
      </c>
      <c r="H1163">
        <v>8.5375289999999993</v>
      </c>
      <c r="I1163" s="36">
        <f>IF(ISBLANK(H1164), "", Long0[[#This Row],[Adj Close]]/H1164-1)</f>
        <v>-6.130238121076248E-2</v>
      </c>
      <c r="M1163" s="37">
        <v>36955</v>
      </c>
      <c r="N1163">
        <v>10.871972</v>
      </c>
      <c r="O1163" s="36">
        <f>IF(ISBLANK(N1164),"",Long2[[#This Row],[Adj Close]]/N1164-1)</f>
        <v>-2.1426636783492548E-3</v>
      </c>
      <c r="P1163" s="29">
        <v>36955</v>
      </c>
      <c r="Q1163">
        <v>8.1929490000000005</v>
      </c>
      <c r="R1163" s="33">
        <f>IF(ISBLANK(Q1164),"",Long3[[#This Row],[Adj Close]]/Q1164-1)</f>
        <v>5.0108560984285511E-3</v>
      </c>
      <c r="S1163" s="37">
        <v>36955</v>
      </c>
      <c r="T1163" s="35">
        <v>12.362921999999999</v>
      </c>
      <c r="U1163" s="36">
        <f>IF(ISBLANK(T1164),"",Long4[[#This Row],[Adj Close]]/T1164-1)</f>
        <v>-3.3333283812495784E-2</v>
      </c>
      <c r="Y1163" s="37">
        <v>36955</v>
      </c>
      <c r="Z1163" s="35">
        <v>8.6487680000000005</v>
      </c>
      <c r="AA1163" s="36">
        <f>IF(ISBLANK(Z1164),"",Long6[[#This Row],[Adj Close]]/Z1164-1)</f>
        <v>-5.9602715253894489E-2</v>
      </c>
      <c r="AK1163" s="37">
        <v>36955</v>
      </c>
      <c r="AL1163" s="39">
        <v>13.160363</v>
      </c>
      <c r="AM1163" s="36">
        <f>IF(ISBLANK(AL1164),"",Short1[[#This Row],[Adj Close]]/AL1164-1)</f>
        <v>0.17206958623878643</v>
      </c>
      <c r="AN1163" s="29">
        <v>36955</v>
      </c>
      <c r="AO1163" s="44">
        <v>13.154296</v>
      </c>
      <c r="AP1163" s="33">
        <f>IF(ISBLANK(AO1164),"",Short2[[#This Row],[Adj Close]]/AO1164-1)</f>
        <v>9.8037966355881689E-3</v>
      </c>
    </row>
    <row r="1164" spans="1:42" x14ac:dyDescent="0.25">
      <c r="A1164" s="37">
        <v>36948</v>
      </c>
      <c r="B1164" s="39">
        <v>1234.1800539999999</v>
      </c>
      <c r="C1164" s="36">
        <f>IF(ISBLANK(B1165), "", GSPC[[#This Row],[Adj Close]]/B1165-1)</f>
        <v>-9.3749948955942353E-3</v>
      </c>
      <c r="D116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6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64" s="11" t="e">
        <f>IF(ISBLANK(GSPC[[#This Row],[Long Exp.]]), "", (GSPC[[#This Row],[Long Exp.]]/D1165-1)+(E1165/GSPC[[#This Row],[Short Exp.]]-1))</f>
        <v>#VALUE!</v>
      </c>
      <c r="G1164" s="37">
        <v>36948</v>
      </c>
      <c r="H1164">
        <v>9.0950790000000001</v>
      </c>
      <c r="I1164" s="36">
        <f>IF(ISBLANK(H1165), "", Long0[[#This Row],[Adj Close]]/H1165-1)</f>
        <v>5.6204944018140246E-2</v>
      </c>
      <c r="M1164" s="37">
        <v>36948</v>
      </c>
      <c r="N1164">
        <v>10.895317</v>
      </c>
      <c r="O1164" s="36">
        <f>IF(ISBLANK(N1165),"",Long2[[#This Row],[Adj Close]]/N1165-1)</f>
        <v>-3.4482633333669965E-2</v>
      </c>
      <c r="P1164" s="29">
        <v>36948</v>
      </c>
      <c r="Q1164">
        <v>8.1521000000000008</v>
      </c>
      <c r="R1164" s="33">
        <f>IF(ISBLANK(Q1165),"",Long3[[#This Row],[Adj Close]]/Q1165-1)</f>
        <v>2.2271757932227576E-2</v>
      </c>
      <c r="S1164" s="37">
        <v>36948</v>
      </c>
      <c r="T1164" s="35">
        <v>12.789229000000001</v>
      </c>
      <c r="U1164" s="36">
        <f>IF(ISBLANK(T1165),"",Long4[[#This Row],[Adj Close]]/T1165-1)</f>
        <v>-2.4390338791914989E-2</v>
      </c>
      <c r="Y1164" s="37">
        <v>36948</v>
      </c>
      <c r="Z1164" s="35">
        <v>9.19693</v>
      </c>
      <c r="AA1164" s="36">
        <f>IF(ISBLANK(Z1165),"",Long6[[#This Row],[Adj Close]]/Z1165-1)</f>
        <v>6.6669067420050965E-3</v>
      </c>
      <c r="AK1164" s="37">
        <v>36948</v>
      </c>
      <c r="AL1164" s="39">
        <v>11.228312000000001</v>
      </c>
      <c r="AM1164" s="36">
        <f>IF(ISBLANK(AL1165),"",Short1[[#This Row],[Adj Close]]/AL1165-1)</f>
        <v>2.8205452231165884E-2</v>
      </c>
      <c r="AN1164" s="29">
        <v>36948</v>
      </c>
      <c r="AO1164" s="44">
        <v>13.026586</v>
      </c>
      <c r="AP1164" s="33">
        <f>IF(ISBLANK(AO1165),"",Short2[[#This Row],[Adj Close]]/AO1165-1)</f>
        <v>5.3097289330193753E-2</v>
      </c>
    </row>
    <row r="1165" spans="1:42" x14ac:dyDescent="0.25">
      <c r="A1165" s="37">
        <v>36941</v>
      </c>
      <c r="B1165" s="39">
        <v>1245.8599850000001</v>
      </c>
      <c r="C1165" s="36">
        <f>IF(ISBLANK(B1166), "", GSPC[[#This Row],[Adj Close]]/B1166-1)</f>
        <v>-4.2772769555515122E-2</v>
      </c>
      <c r="D116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6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65" s="11" t="e">
        <f>IF(ISBLANK(GSPC[[#This Row],[Long Exp.]]), "", (GSPC[[#This Row],[Long Exp.]]/D1166-1)+(E1166/GSPC[[#This Row],[Short Exp.]]-1))</f>
        <v>#VALUE!</v>
      </c>
      <c r="G1165" s="37">
        <v>36941</v>
      </c>
      <c r="H1165">
        <v>8.6110930000000003</v>
      </c>
      <c r="I1165" s="36">
        <f>IF(ISBLANK(H1166), "", Long0[[#This Row],[Adj Close]]/H1166-1)</f>
        <v>-4.1792250874795989E-2</v>
      </c>
      <c r="M1165" s="37">
        <v>36941</v>
      </c>
      <c r="N1165">
        <v>11.284433999999999</v>
      </c>
      <c r="O1165" s="36">
        <f>IF(ISBLANK(N1166),"",Long2[[#This Row],[Adj Close]]/N1166-1)</f>
        <v>1.3985889568567389E-2</v>
      </c>
      <c r="P1165" s="29">
        <v>36941</v>
      </c>
      <c r="Q1165">
        <v>7.974494</v>
      </c>
      <c r="R1165" s="33">
        <f>IF(ISBLANK(Q1166),"",Long3[[#This Row],[Adj Close]]/Q1166-1)</f>
        <v>1.8140261263069446E-2</v>
      </c>
      <c r="S1165" s="37">
        <v>36941</v>
      </c>
      <c r="T1165" s="35">
        <v>13.108961000000001</v>
      </c>
      <c r="U1165" s="36">
        <f>IF(ISBLANK(T1166),"",Long4[[#This Row],[Adj Close]]/T1166-1)</f>
        <v>-8.8888824019489165E-2</v>
      </c>
      <c r="Y1165" s="37">
        <v>36941</v>
      </c>
      <c r="Z1165" s="35">
        <v>9.1360209999999995</v>
      </c>
      <c r="AA1165" s="36">
        <f>IF(ISBLANK(Z1166),"",Long6[[#This Row],[Adj Close]]/Z1166-1)</f>
        <v>-7.4074291786532798E-2</v>
      </c>
      <c r="AK1165" s="37">
        <v>36941</v>
      </c>
      <c r="AL1165" s="39">
        <v>10.920299999999999</v>
      </c>
      <c r="AM1165" s="36">
        <f>IF(ISBLANK(AL1166),"",Short1[[#This Row],[Adj Close]]/AL1166-1)</f>
        <v>-2.5243448133352442E-2</v>
      </c>
      <c r="AN1165" s="29">
        <v>36941</v>
      </c>
      <c r="AO1165" s="44">
        <v>12.369783999999999</v>
      </c>
      <c r="AP1165" s="33">
        <f>IF(ISBLANK(AO1166),"",Short2[[#This Row],[Adj Close]]/AO1166-1)</f>
        <v>-7.8804271533326253E-2</v>
      </c>
    </row>
    <row r="1166" spans="1:42" x14ac:dyDescent="0.25">
      <c r="A1166" s="37">
        <v>36934</v>
      </c>
      <c r="B1166" s="39">
        <v>1301.530029</v>
      </c>
      <c r="C1166" s="36">
        <f>IF(ISBLANK(B1167), "", GSPC[[#This Row],[Adj Close]]/B1167-1)</f>
        <v>-1.0062658507540068E-2</v>
      </c>
      <c r="D116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6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66" s="11" t="e">
        <f>IF(ISBLANK(GSPC[[#This Row],[Long Exp.]]), "", (GSPC[[#This Row],[Long Exp.]]/D1167-1)+(E1167/GSPC[[#This Row],[Short Exp.]]-1))</f>
        <v>#VALUE!</v>
      </c>
      <c r="G1166" s="37">
        <v>36934</v>
      </c>
      <c r="H1166">
        <v>8.9866659999999996</v>
      </c>
      <c r="I1166" s="36">
        <f>IF(ISBLANK(H1167), "", Long0[[#This Row],[Adj Close]]/H1167-1)</f>
        <v>4.7616987197225402E-3</v>
      </c>
      <c r="M1166" s="37">
        <v>36934</v>
      </c>
      <c r="N1166">
        <v>11.128788</v>
      </c>
      <c r="O1166" s="36">
        <f>IF(ISBLANK(N1167),"",Long2[[#This Row],[Adj Close]]/N1167-1)</f>
        <v>-9.6080901203959623E-2</v>
      </c>
      <c r="P1166" s="29">
        <v>36934</v>
      </c>
      <c r="Q1166">
        <v>7.8324119999999997</v>
      </c>
      <c r="R1166" s="33">
        <f>IF(ISBLANK(Q1167),"",Long3[[#This Row],[Adj Close]]/Q1167-1)</f>
        <v>-2.4335883853247031E-2</v>
      </c>
      <c r="S1166" s="37">
        <v>36934</v>
      </c>
      <c r="T1166" s="35">
        <v>14.387883</v>
      </c>
      <c r="U1166" s="36">
        <f>IF(ISBLANK(T1167),"",Long4[[#This Row],[Adj Close]]/T1167-1)</f>
        <v>-3.2258188189377868E-2</v>
      </c>
      <c r="Y1166" s="37">
        <v>36934</v>
      </c>
      <c r="Z1166" s="35">
        <v>9.8669049999999991</v>
      </c>
      <c r="AA1166" s="36">
        <f>IF(ISBLANK(Z1167),"",Long6[[#This Row],[Adj Close]]/Z1167-1)</f>
        <v>5.8823598848042113E-2</v>
      </c>
      <c r="AK1166" s="37">
        <v>36934</v>
      </c>
      <c r="AL1166" s="39">
        <v>11.203105000000001</v>
      </c>
      <c r="AM1166" s="36">
        <f>IF(ISBLANK(AL1167),"",Short1[[#This Row],[Adj Close]]/AL1167-1)</f>
        <v>2.9858066058115806E-2</v>
      </c>
      <c r="AN1166" s="29">
        <v>36934</v>
      </c>
      <c r="AO1166" s="44">
        <v>13.427965</v>
      </c>
      <c r="AP1166" s="33">
        <f>IF(ISBLANK(AO1167),"",Short2[[#This Row],[Adj Close]]/AO1167-1)</f>
        <v>3.6619841610127768E-2</v>
      </c>
    </row>
    <row r="1167" spans="1:42" x14ac:dyDescent="0.25">
      <c r="A1167" s="37">
        <v>36927</v>
      </c>
      <c r="B1167" s="39">
        <v>1314.76001</v>
      </c>
      <c r="C1167" s="36">
        <f>IF(ISBLANK(B1168), "", GSPC[[#This Row],[Adj Close]]/B1168-1)</f>
        <v>-2.5721180719774583E-2</v>
      </c>
      <c r="D116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6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67" s="11" t="e">
        <f>IF(ISBLANK(GSPC[[#This Row],[Long Exp.]]), "", (GSPC[[#This Row],[Long Exp.]]/D1168-1)+(E1168/GSPC[[#This Row],[Short Exp.]]-1))</f>
        <v>#VALUE!</v>
      </c>
      <c r="G1167" s="37">
        <v>36927</v>
      </c>
      <c r="H1167">
        <v>8.9440770000000001</v>
      </c>
      <c r="I1167" s="36">
        <f>IF(ISBLANK(H1168), "", Long0[[#This Row],[Adj Close]]/H1168-1)</f>
        <v>-6.8788371521830705E-3</v>
      </c>
      <c r="M1167" s="37">
        <v>36927</v>
      </c>
      <c r="N1167">
        <v>12.311707999999999</v>
      </c>
      <c r="O1167" s="36">
        <f>IF(ISBLANK(N1168),"",Long2[[#This Row],[Adj Close]]/N1168-1)</f>
        <v>3.1700174768551914E-3</v>
      </c>
      <c r="P1167" s="29">
        <v>36927</v>
      </c>
      <c r="Q1167">
        <v>8.0277750000000001</v>
      </c>
      <c r="R1167" s="33">
        <f>IF(ISBLANK(Q1168),"",Long3[[#This Row],[Adj Close]]/Q1168-1)</f>
        <v>6.4030083152543993E-2</v>
      </c>
      <c r="S1167" s="37">
        <v>36927</v>
      </c>
      <c r="T1167" s="35">
        <v>14.867481</v>
      </c>
      <c r="U1167" s="36">
        <f>IF(ISBLANK(T1168),"",Long4[[#This Row],[Adj Close]]/T1168-1)</f>
        <v>2.9520245376172261E-2</v>
      </c>
      <c r="Y1167" s="37">
        <v>36927</v>
      </c>
      <c r="Z1167" s="35">
        <v>9.3187429999999996</v>
      </c>
      <c r="AA1167" s="36">
        <f>IF(ISBLANK(Z1168),"",Long6[[#This Row],[Adj Close]]/Z1168-1)</f>
        <v>-0.20000008584847917</v>
      </c>
      <c r="AK1167" s="37">
        <v>36927</v>
      </c>
      <c r="AL1167" s="39">
        <v>10.878299999999999</v>
      </c>
      <c r="AM1167" s="36">
        <f>IF(ISBLANK(AL1168),"",Short1[[#This Row],[Adj Close]]/AL1168-1)</f>
        <v>-0.11078032637336632</v>
      </c>
      <c r="AN1167" s="29">
        <v>36927</v>
      </c>
      <c r="AO1167" s="44">
        <v>12.953606000000001</v>
      </c>
      <c r="AP1167" s="33">
        <f>IF(ISBLANK(AO1168),"",Short2[[#This Row],[Adj Close]]/AO1168-1)</f>
        <v>-5.2506608058067172E-3</v>
      </c>
    </row>
    <row r="1168" spans="1:42" x14ac:dyDescent="0.25">
      <c r="A1168" s="37">
        <v>36920</v>
      </c>
      <c r="B1168" s="39">
        <v>1349.469971</v>
      </c>
      <c r="C1168" s="36">
        <f>IF(ISBLANK(B1169), "", GSPC[[#This Row],[Adj Close]]/B1169-1)</f>
        <v>-4.0444150693209613E-3</v>
      </c>
      <c r="D116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6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68" s="11" t="e">
        <f>IF(ISBLANK(GSPC[[#This Row],[Long Exp.]]), "", (GSPC[[#This Row],[Long Exp.]]/D1169-1)+(E1169/GSPC[[#This Row],[Short Exp.]]-1))</f>
        <v>#VALUE!</v>
      </c>
      <c r="G1168" s="37">
        <v>36920</v>
      </c>
      <c r="H1168">
        <v>9.0060280000000006</v>
      </c>
      <c r="I1168" s="36">
        <f>IF(ISBLANK(H1169), "", Long0[[#This Row],[Adj Close]]/H1169-1)</f>
        <v>2.5234510565881996E-2</v>
      </c>
      <c r="M1168" s="37">
        <v>36920</v>
      </c>
      <c r="N1168">
        <v>12.272803</v>
      </c>
      <c r="O1168" s="36">
        <f>IF(ISBLANK(N1169),"",Long2[[#This Row],[Adj Close]]/N1169-1)</f>
        <v>4.6971496974030691E-2</v>
      </c>
      <c r="P1168" s="29">
        <v>36920</v>
      </c>
      <c r="Q1168">
        <v>7.5446879999999998</v>
      </c>
      <c r="R1168" s="33">
        <f>IF(ISBLANK(Q1169),"",Long3[[#This Row],[Adj Close]]/Q1169-1)</f>
        <v>-1.4956696123443081E-2</v>
      </c>
      <c r="S1168" s="37">
        <v>36920</v>
      </c>
      <c r="T1168" s="35">
        <v>14.441174</v>
      </c>
      <c r="U1168" s="36">
        <f>IF(ISBLANK(T1169),"",Long4[[#This Row],[Adj Close]]/T1169-1)</f>
        <v>5.0387746317359206E-2</v>
      </c>
      <c r="Y1168" s="37">
        <v>36920</v>
      </c>
      <c r="Z1168" s="35">
        <v>11.648429999999999</v>
      </c>
      <c r="AA1168" s="36">
        <f>IF(ISBLANK(Z1169),"",Long6[[#This Row],[Adj Close]]/Z1169-1)</f>
        <v>-3.9061547998227031E-3</v>
      </c>
      <c r="AK1168" s="37">
        <v>36920</v>
      </c>
      <c r="AL1168" s="39">
        <v>12.233535</v>
      </c>
      <c r="AM1168" s="36">
        <f>IF(ISBLANK(AL1169),"",Short1[[#This Row],[Adj Close]]/AL1169-1)</f>
        <v>-8.0210442376647983E-2</v>
      </c>
      <c r="AN1168" s="29">
        <v>36920</v>
      </c>
      <c r="AO1168" s="44">
        <v>13.021979999999999</v>
      </c>
      <c r="AP1168" s="33">
        <f>IF(ISBLANK(AO1169),"",Short2[[#This Row],[Adj Close]]/AO1169-1)</f>
        <v>-4.1611367145471756E-2</v>
      </c>
    </row>
    <row r="1169" spans="1:42" x14ac:dyDescent="0.25">
      <c r="A1169" s="37">
        <v>36913</v>
      </c>
      <c r="B1169" s="39">
        <v>1354.9499510000001</v>
      </c>
      <c r="C1169" s="36">
        <f>IF(ISBLANK(B1170), "", GSPC[[#This Row],[Adj Close]]/B1170-1)</f>
        <v>9.2436066258729799E-3</v>
      </c>
      <c r="D116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6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69" s="11" t="e">
        <f>IF(ISBLANK(GSPC[[#This Row],[Long Exp.]]), "", (GSPC[[#This Row],[Long Exp.]]/D1170-1)+(E1170/GSPC[[#This Row],[Short Exp.]]-1))</f>
        <v>#VALUE!</v>
      </c>
      <c r="G1169" s="37">
        <v>36913</v>
      </c>
      <c r="H1169">
        <v>8.7843590000000003</v>
      </c>
      <c r="I1169" s="36">
        <f>IF(ISBLANK(H1170), "", Long0[[#This Row],[Adj Close]]/H1170-1)</f>
        <v>2.2534891238465748E-2</v>
      </c>
      <c r="M1169" s="37">
        <v>36913</v>
      </c>
      <c r="N1169">
        <v>11.722194</v>
      </c>
      <c r="O1169" s="36">
        <f>IF(ISBLANK(N1170),"",Long2[[#This Row],[Adj Close]]/N1170-1)</f>
        <v>4.1663390030699521E-3</v>
      </c>
      <c r="P1169" s="29">
        <v>36913</v>
      </c>
      <c r="Q1169">
        <v>7.6592450000000003</v>
      </c>
      <c r="R1169" s="33">
        <f>IF(ISBLANK(Q1170),"",Long3[[#This Row],[Adj Close]]/Q1170-1)</f>
        <v>0.19584090500668005</v>
      </c>
      <c r="S1169" s="37">
        <v>36913</v>
      </c>
      <c r="T1169" s="35">
        <v>13.748422</v>
      </c>
      <c r="U1169" s="36">
        <f>IF(ISBLANK(T1170),"",Long4[[#This Row],[Adj Close]]/T1170-1)</f>
        <v>3.6144569233178547E-2</v>
      </c>
      <c r="Y1169" s="37">
        <v>36913</v>
      </c>
      <c r="Z1169" s="35">
        <v>11.694108999999999</v>
      </c>
      <c r="AA1169" s="36">
        <f>IF(ISBLANK(Z1170),"",Long6[[#This Row],[Adj Close]]/Z1170-1)</f>
        <v>-0.15044242837237209</v>
      </c>
      <c r="AK1169" s="37">
        <v>36913</v>
      </c>
      <c r="AL1169" s="39">
        <v>13.300363000000001</v>
      </c>
      <c r="AM1169" s="36">
        <f>IF(ISBLANK(AL1170),"",Short1[[#This Row],[Adj Close]]/AL1170-1)</f>
        <v>0.11764732080358842</v>
      </c>
      <c r="AN1169" s="29">
        <v>36913</v>
      </c>
      <c r="AO1169" s="44">
        <v>13.587369000000001</v>
      </c>
      <c r="AP1169" s="33">
        <f>IF(ISBLANK(AO1170),"",Short2[[#This Row],[Adj Close]]/AO1170-1)</f>
        <v>-1.9736687372817086E-2</v>
      </c>
    </row>
    <row r="1170" spans="1:42" x14ac:dyDescent="0.25">
      <c r="A1170" s="37">
        <v>36906</v>
      </c>
      <c r="B1170" s="39">
        <v>1342.540039</v>
      </c>
      <c r="C1170" s="36">
        <f>IF(ISBLANK(B1171), "", GSPC[[#This Row],[Adj Close]]/B1171-1)</f>
        <v>1.8194220248366255E-2</v>
      </c>
      <c r="D117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7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70" s="11" t="e">
        <f>IF(ISBLANK(GSPC[[#This Row],[Long Exp.]]), "", (GSPC[[#This Row],[Long Exp.]]/D1171-1)+(E1171/GSPC[[#This Row],[Short Exp.]]-1))</f>
        <v>#VALUE!</v>
      </c>
      <c r="G1170" s="37">
        <v>36906</v>
      </c>
      <c r="H1170">
        <v>8.5907669999999996</v>
      </c>
      <c r="I1170" s="36">
        <f>IF(ISBLANK(H1171), "", Long0[[#This Row],[Adj Close]]/H1171-1)</f>
        <v>1.4285628265510386E-2</v>
      </c>
      <c r="M1170" s="37">
        <v>36906</v>
      </c>
      <c r="N1170">
        <v>11.673558</v>
      </c>
      <c r="O1170" s="36">
        <f>IF(ISBLANK(N1171),"",Long2[[#This Row],[Adj Close]]/N1171-1)</f>
        <v>1.2658273967312228E-2</v>
      </c>
      <c r="P1170" s="29">
        <v>36906</v>
      </c>
      <c r="Q1170">
        <v>6.404903</v>
      </c>
      <c r="R1170" s="33">
        <f>IF(ISBLANK(Q1171),"",Long3[[#This Row],[Adj Close]]/Q1171-1)</f>
        <v>3.4779930261530367E-3</v>
      </c>
      <c r="S1170" s="37">
        <v>36906</v>
      </c>
      <c r="T1170" s="35">
        <v>13.268826000000001</v>
      </c>
      <c r="U1170" s="36">
        <f>IF(ISBLANK(T1171),"",Long4[[#This Row],[Adj Close]]/T1171-1)</f>
        <v>-0.17000013761576926</v>
      </c>
      <c r="Y1170" s="37">
        <v>36906</v>
      </c>
      <c r="Z1170" s="35">
        <v>13.764939999999999</v>
      </c>
      <c r="AA1170" s="36">
        <f>IF(ISBLANK(Z1171),"",Long6[[#This Row],[Adj Close]]/Z1171-1)</f>
        <v>0.4487181025404301</v>
      </c>
      <c r="AK1170" s="37">
        <v>36906</v>
      </c>
      <c r="AL1170" s="39">
        <v>11.900321999999999</v>
      </c>
      <c r="AM1170" s="36">
        <f>IF(ISBLANK(AL1171),"",Short1[[#This Row],[Adj Close]]/AL1171-1)</f>
        <v>5.9170837376263385E-3</v>
      </c>
      <c r="AN1170" s="29">
        <v>36906</v>
      </c>
      <c r="AO1170" s="44">
        <v>13.860938000000001</v>
      </c>
      <c r="AP1170" s="33">
        <f>IF(ISBLANK(AO1171),"",Short2[[#This Row],[Adj Close]]/AO1171-1)</f>
        <v>-2.719951377303842E-2</v>
      </c>
    </row>
    <row r="1171" spans="1:42" x14ac:dyDescent="0.25">
      <c r="A1171" s="37">
        <v>36899</v>
      </c>
      <c r="B1171" s="39">
        <v>1318.5500489999999</v>
      </c>
      <c r="C1171" s="36">
        <f>IF(ISBLANK(B1172), "", GSPC[[#This Row],[Adj Close]]/B1172-1)</f>
        <v>1.5558265008201344E-2</v>
      </c>
      <c r="D117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7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71" s="11" t="e">
        <f>IF(ISBLANK(GSPC[[#This Row],[Long Exp.]]), "", (GSPC[[#This Row],[Long Exp.]]/D1172-1)+(E1172/GSPC[[#This Row],[Short Exp.]]-1))</f>
        <v>#VALUE!</v>
      </c>
      <c r="G1171" s="37">
        <v>36899</v>
      </c>
      <c r="H1171">
        <v>8.4697709999999997</v>
      </c>
      <c r="I1171" s="36">
        <f>IF(ISBLANK(H1172), "", Long0[[#This Row],[Adj Close]]/H1172-1)</f>
        <v>3.2448402392224462E-2</v>
      </c>
      <c r="M1171" s="37">
        <v>36899</v>
      </c>
      <c r="N1171">
        <v>11.527638</v>
      </c>
      <c r="O1171" s="36">
        <f>IF(ISBLANK(N1172),"",Long2[[#This Row],[Adj Close]]/N1172-1)</f>
        <v>4.237566093547418E-3</v>
      </c>
      <c r="P1171" s="29">
        <v>36899</v>
      </c>
      <c r="Q1171">
        <v>6.3827040000000004</v>
      </c>
      <c r="R1171" s="33">
        <f>IF(ISBLANK(Q1172),"",Long3[[#This Row],[Adj Close]]/Q1172-1)</f>
        <v>-3.3613431382538805E-2</v>
      </c>
      <c r="S1171" s="37">
        <v>36899</v>
      </c>
      <c r="T1171" s="35">
        <v>15.98654</v>
      </c>
      <c r="U1171" s="36">
        <f>IF(ISBLANK(T1172),"",Long4[[#This Row],[Adj Close]]/T1172-1)</f>
        <v>-3.5369825364753305E-2</v>
      </c>
      <c r="Y1171" s="37">
        <v>36899</v>
      </c>
      <c r="Z1171" s="35">
        <v>9.5014620000000001</v>
      </c>
      <c r="AA1171" s="36">
        <f>IF(ISBLANK(Z1172),"",Long6[[#This Row],[Adj Close]]/Z1172-1)</f>
        <v>0.1304345756959937</v>
      </c>
      <c r="AK1171" s="37">
        <v>36899</v>
      </c>
      <c r="AL1171" s="39">
        <v>11.830321</v>
      </c>
      <c r="AM1171" s="36">
        <f>IF(ISBLANK(AL1172),"",Short1[[#This Row],[Adj Close]]/AL1172-1)</f>
        <v>5.7903108719979057E-2</v>
      </c>
      <c r="AN1171" s="29">
        <v>36899</v>
      </c>
      <c r="AO1171" s="44">
        <v>14.24849</v>
      </c>
      <c r="AP1171" s="33">
        <f>IF(ISBLANK(AO1172),"",Short2[[#This Row],[Adj Close]]/AO1172-1)</f>
        <v>2.6272404730399934E-2</v>
      </c>
    </row>
    <row r="1172" spans="1:42" x14ac:dyDescent="0.25">
      <c r="A1172" s="37">
        <v>36892</v>
      </c>
      <c r="B1172" s="39">
        <v>1298.349976</v>
      </c>
      <c r="C1172" s="36">
        <f>IF(ISBLANK(B1173), "", GSPC[[#This Row],[Adj Close]]/B1173-1)</f>
        <v>-1.6610152784489407E-2</v>
      </c>
      <c r="D117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7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72" s="11" t="e">
        <f>IF(ISBLANK(GSPC[[#This Row],[Long Exp.]]), "", (GSPC[[#This Row],[Long Exp.]]/D1173-1)+(E1173/GSPC[[#This Row],[Short Exp.]]-1))</f>
        <v>#VALUE!</v>
      </c>
      <c r="G1172" s="37">
        <v>36892</v>
      </c>
      <c r="H1172">
        <v>8.2035780000000003</v>
      </c>
      <c r="I1172" s="36">
        <f>IF(ISBLANK(H1173), "", Long0[[#This Row],[Adj Close]]/H1173-1)</f>
        <v>-0.15749354788022307</v>
      </c>
      <c r="M1172" s="37">
        <v>36892</v>
      </c>
      <c r="N1172">
        <v>11.478994999999999</v>
      </c>
      <c r="O1172" s="36">
        <f>IF(ISBLANK(N1173),"",Long2[[#This Row],[Adj Close]]/N1173-1)</f>
        <v>-5.2208872811725815E-2</v>
      </c>
      <c r="P1172" s="29">
        <v>36892</v>
      </c>
      <c r="Q1172">
        <v>6.604711</v>
      </c>
      <c r="R1172" s="33">
        <f>IF(ISBLANK(Q1173),"",Long3[[#This Row],[Adj Close]]/Q1173-1)</f>
        <v>-0.1770399679523722</v>
      </c>
      <c r="S1172" s="37">
        <v>36892</v>
      </c>
      <c r="T1172" s="35">
        <v>16.572714000000001</v>
      </c>
      <c r="U1172" s="36">
        <f>IF(ISBLANK(T1173),"",Long4[[#This Row],[Adj Close]]/T1173-1)</f>
        <v>5.7823198074349547E-2</v>
      </c>
      <c r="Y1172" s="37">
        <v>36892</v>
      </c>
      <c r="Z1172" s="35">
        <v>8.4051410000000004</v>
      </c>
      <c r="AA1172" s="36">
        <f>IF(ISBLANK(Z1173),"",Long6[[#This Row],[Adj Close]]/Z1173-1)</f>
        <v>0.20000019987770346</v>
      </c>
      <c r="AK1172" s="37">
        <v>36892</v>
      </c>
      <c r="AL1172" s="39">
        <v>11.182802000000001</v>
      </c>
      <c r="AM1172" s="36">
        <f>IF(ISBLANK(AL1173),"",Short1[[#This Row],[Adj Close]]/AL1173-1)</f>
        <v>0.35095081053047528</v>
      </c>
      <c r="AN1172" s="29">
        <v>36892</v>
      </c>
      <c r="AO1172" s="44">
        <v>13.883730999999999</v>
      </c>
      <c r="AP1172" s="33">
        <f>IF(ISBLANK(AO1173),"",Short2[[#This Row],[Adj Close]]/AO1173-1)</f>
        <v>5.0000313856650047E-2</v>
      </c>
    </row>
    <row r="1173" spans="1:42" x14ac:dyDescent="0.25">
      <c r="A1173" s="37">
        <v>36885</v>
      </c>
      <c r="B1173" s="39">
        <v>1320.280029</v>
      </c>
      <c r="C1173" s="36">
        <f>IF(ISBLANK(B1174), "", GSPC[[#This Row],[Adj Close]]/B1174-1)</f>
        <v>1.0972915148108831E-2</v>
      </c>
      <c r="D117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7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73" s="11" t="e">
        <f>IF(ISBLANK(GSPC[[#This Row],[Long Exp.]]), "", (GSPC[[#This Row],[Long Exp.]]/D1174-1)+(E1174/GSPC[[#This Row],[Short Exp.]]-1))</f>
        <v>#VALUE!</v>
      </c>
      <c r="G1173" s="37">
        <v>36885</v>
      </c>
      <c r="H1173">
        <v>9.7371099999999995</v>
      </c>
      <c r="I1173" s="36">
        <f>IF(ISBLANK(H1174), "", Long0[[#This Row],[Adj Close]]/H1174-1)</f>
        <v>-2.6570321177179945E-2</v>
      </c>
      <c r="M1173" s="37">
        <v>36885</v>
      </c>
      <c r="N1173">
        <v>12.111313000000001</v>
      </c>
      <c r="O1173" s="36">
        <f>IF(ISBLANK(N1174),"",Long2[[#This Row],[Adj Close]]/N1174-1)</f>
        <v>-5.6818242880119607E-2</v>
      </c>
      <c r="P1173" s="29">
        <v>36885</v>
      </c>
      <c r="Q1173">
        <v>8.0255550000000007</v>
      </c>
      <c r="R1173" s="33">
        <f>IF(ISBLANK(Q1174),"",Long3[[#This Row],[Adj Close]]/Q1174-1)</f>
        <v>5.5629785960831235E-3</v>
      </c>
      <c r="S1173" s="37">
        <v>36885</v>
      </c>
      <c r="T1173" s="35">
        <v>15.666809000000001</v>
      </c>
      <c r="U1173" s="36">
        <f>IF(ISBLANK(T1174),"",Long4[[#This Row],[Adj Close]]/T1174-1)</f>
        <v>4.6263620642504666E-2</v>
      </c>
      <c r="Y1173" s="37">
        <v>36885</v>
      </c>
      <c r="Z1173" s="35">
        <v>7.004283</v>
      </c>
      <c r="AA1173" s="36">
        <f>IF(ISBLANK(Z1174),"",Long6[[#This Row],[Adj Close]]/Z1174-1)</f>
        <v>-9.448822358669795E-2</v>
      </c>
      <c r="AK1173" s="37">
        <v>36885</v>
      </c>
      <c r="AL1173" s="39">
        <v>8.2777270000000005</v>
      </c>
      <c r="AM1173" s="36">
        <f>IF(ISBLANK(AL1174),"",Short1[[#This Row],[Adj Close]]/AL1174-1)</f>
        <v>0.13157888621242275</v>
      </c>
      <c r="AN1173" s="29">
        <v>36885</v>
      </c>
      <c r="AO1173" s="44">
        <v>13.222597</v>
      </c>
      <c r="AP1173" s="33">
        <f>IF(ISBLANK(AO1174),"",Short2[[#This Row],[Adj Close]]/AO1174-1)</f>
        <v>7.2088232558859877E-2</v>
      </c>
    </row>
    <row r="1174" spans="1:42" x14ac:dyDescent="0.25">
      <c r="A1174" s="37">
        <v>36878</v>
      </c>
      <c r="B1174" s="39">
        <v>1305.9499510000001</v>
      </c>
      <c r="C1174" s="36">
        <f>IF(ISBLANK(B1175), "", GSPC[[#This Row],[Adj Close]]/B1175-1)</f>
        <v>-4.7251250898121544E-3</v>
      </c>
      <c r="D117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7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74" s="11" t="e">
        <f>IF(ISBLANK(GSPC[[#This Row],[Long Exp.]]), "", (GSPC[[#This Row],[Long Exp.]]/D1175-1)+(E1175/GSPC[[#This Row],[Short Exp.]]-1))</f>
        <v>#VALUE!</v>
      </c>
      <c r="G1174" s="37">
        <v>36878</v>
      </c>
      <c r="H1174">
        <v>10.002890000000001</v>
      </c>
      <c r="I1174" s="36">
        <f>IF(ISBLANK(H1175), "", Long0[[#This Row],[Adj Close]]/H1175-1)</f>
        <v>2.9850975229047449E-2</v>
      </c>
      <c r="M1174" s="37">
        <v>36878</v>
      </c>
      <c r="N1174">
        <v>12.840911</v>
      </c>
      <c r="O1174" s="36">
        <f>IF(ISBLANK(N1175),"",Long2[[#This Row],[Adj Close]]/N1175-1)</f>
        <v>0.32126230453984994</v>
      </c>
      <c r="P1174" s="29">
        <v>36878</v>
      </c>
      <c r="Q1174">
        <v>7.9811560000000004</v>
      </c>
      <c r="R1174" s="33">
        <f>IF(ISBLANK(Q1175),"",Long3[[#This Row],[Adj Close]]/Q1175-1)</f>
        <v>8.9394087057552252E-2</v>
      </c>
      <c r="S1174" s="37">
        <v>36878</v>
      </c>
      <c r="T1174" s="35">
        <v>14.974055</v>
      </c>
      <c r="U1174" s="36">
        <f>IF(ISBLANK(T1175),"",Long4[[#This Row],[Adj Close]]/T1175-1)</f>
        <v>-6.0200778886967732E-2</v>
      </c>
      <c r="Y1174" s="37">
        <v>36878</v>
      </c>
      <c r="Z1174" s="35">
        <v>7.7351650000000003</v>
      </c>
      <c r="AA1174" s="36">
        <f>IF(ISBLANK(Z1175),"",Long6[[#This Row],[Adj Close]]/Z1175-1)</f>
        <v>-0.1180557780480499</v>
      </c>
      <c r="AK1174" s="37">
        <v>36878</v>
      </c>
      <c r="AL1174" s="39">
        <v>7.3152010000000001</v>
      </c>
      <c r="AM1174" s="36">
        <f>IF(ISBLANK(AL1175),"",Short1[[#This Row],[Adj Close]]/AL1175-1)</f>
        <v>4.4999752863992049E-2</v>
      </c>
      <c r="AN1174" s="29">
        <v>36878</v>
      </c>
      <c r="AO1174" s="44">
        <v>12.333496999999999</v>
      </c>
      <c r="AP1174" s="33">
        <f>IF(ISBLANK(AO1175),"",Short2[[#This Row],[Adj Close]]/AO1175-1)</f>
        <v>-5.0876524419571245E-2</v>
      </c>
    </row>
    <row r="1175" spans="1:42" x14ac:dyDescent="0.25">
      <c r="A1175" s="37">
        <v>36871</v>
      </c>
      <c r="B1175" s="39">
        <v>1312.150024</v>
      </c>
      <c r="C1175" s="36">
        <f>IF(ISBLANK(B1176), "", GSPC[[#This Row],[Adj Close]]/B1176-1)</f>
        <v>-4.2149362626020648E-2</v>
      </c>
      <c r="D117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7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75" s="11" t="e">
        <f>IF(ISBLANK(GSPC[[#This Row],[Long Exp.]]), "", (GSPC[[#This Row],[Long Exp.]]/D1176-1)+(E1176/GSPC[[#This Row],[Short Exp.]]-1))</f>
        <v>#VALUE!</v>
      </c>
      <c r="G1175" s="37">
        <v>36871</v>
      </c>
      <c r="H1175">
        <v>9.7129490000000001</v>
      </c>
      <c r="I1175" s="36">
        <f>IF(ISBLANK(H1176), "", Long0[[#This Row],[Adj Close]]/H1176-1)</f>
        <v>-6.7285259620729954E-2</v>
      </c>
      <c r="M1175" s="37">
        <v>36871</v>
      </c>
      <c r="N1175">
        <v>9.7186690000000002</v>
      </c>
      <c r="O1175" s="36">
        <f>IF(ISBLANK(N1176),"",Long2[[#This Row],[Adj Close]]/N1176-1)</f>
        <v>-3.3653643465609728E-2</v>
      </c>
      <c r="P1175" s="29">
        <v>36871</v>
      </c>
      <c r="Q1175">
        <v>7.3262340000000004</v>
      </c>
      <c r="R1175" s="33">
        <f>IF(ISBLANK(Q1176),"",Long3[[#This Row],[Adj Close]]/Q1176-1)</f>
        <v>-1.4581468751286186E-2</v>
      </c>
      <c r="S1175" s="37">
        <v>36871</v>
      </c>
      <c r="T1175" s="35">
        <v>15.933249</v>
      </c>
      <c r="U1175" s="36">
        <f>IF(ISBLANK(T1176),"",Long4[[#This Row],[Adj Close]]/T1176-1)</f>
        <v>-0.18528626362871603</v>
      </c>
      <c r="Y1175" s="37">
        <v>36871</v>
      </c>
      <c r="Z1175" s="35">
        <v>8.7705830000000002</v>
      </c>
      <c r="AA1175" s="36">
        <f>IF(ISBLANK(Z1176),"",Long6[[#This Row],[Adj Close]]/Z1176-1)</f>
        <v>-3.9999689142570904E-2</v>
      </c>
      <c r="AK1175" s="37">
        <v>36871</v>
      </c>
      <c r="AL1175" s="39">
        <v>7.0001939999999996</v>
      </c>
      <c r="AM1175" s="36">
        <f>IF(ISBLANK(AL1176),"",Short1[[#This Row],[Adj Close]]/AL1176-1)</f>
        <v>0.12044892263018414</v>
      </c>
      <c r="AN1175" s="29">
        <v>36871</v>
      </c>
      <c r="AO1175" s="44">
        <v>12.994617999999999</v>
      </c>
      <c r="AP1175" s="33">
        <f>IF(ISBLANK(AO1176),"",Short2[[#This Row],[Adj Close]]/AO1176-1)</f>
        <v>-6.0956109915662804E-2</v>
      </c>
    </row>
    <row r="1176" spans="1:42" x14ac:dyDescent="0.25">
      <c r="A1176" s="37">
        <v>36864</v>
      </c>
      <c r="B1176" s="39">
        <v>1369.8900149999999</v>
      </c>
      <c r="C1176" s="36">
        <f>IF(ISBLANK(B1177), "", GSPC[[#This Row],[Adj Close]]/B1177-1)</f>
        <v>4.1559298245315235E-2</v>
      </c>
      <c r="D117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7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76" s="11" t="e">
        <f>IF(ISBLANK(GSPC[[#This Row],[Long Exp.]]), "", (GSPC[[#This Row],[Long Exp.]]/D1177-1)+(E1177/GSPC[[#This Row],[Short Exp.]]-1))</f>
        <v>#VALUE!</v>
      </c>
      <c r="G1176" s="37">
        <v>36864</v>
      </c>
      <c r="H1176">
        <v>10.413633000000001</v>
      </c>
      <c r="I1176" s="36">
        <f>IF(ISBLANK(H1177), "", Long0[[#This Row],[Adj Close]]/H1177-1)</f>
        <v>5.3789800080509487E-2</v>
      </c>
      <c r="M1176" s="37">
        <v>36864</v>
      </c>
      <c r="N1176">
        <v>10.057128000000001</v>
      </c>
      <c r="O1176" s="36">
        <f>IF(ISBLANK(N1177),"",Long2[[#This Row],[Adj Close]]/N1177-1)</f>
        <v>4.5226544279959757E-2</v>
      </c>
      <c r="P1176" s="29">
        <v>36864</v>
      </c>
      <c r="Q1176">
        <v>7.4346420000000002</v>
      </c>
      <c r="R1176" s="33">
        <f>IF(ISBLANK(Q1177),"",Long3[[#This Row],[Adj Close]]/Q1177-1)</f>
        <v>1.4855298241531756E-3</v>
      </c>
      <c r="S1176" s="37">
        <v>36864</v>
      </c>
      <c r="T1176" s="35">
        <v>19.556868000000001</v>
      </c>
      <c r="U1176" s="36">
        <f>IF(ISBLANK(T1177),"",Long4[[#This Row],[Adj Close]]/T1177-1)</f>
        <v>9.5522633699673509E-2</v>
      </c>
      <c r="Y1176" s="37">
        <v>36864</v>
      </c>
      <c r="Z1176" s="35">
        <v>9.1360209999999995</v>
      </c>
      <c r="AA1176" s="36">
        <f>IF(ISBLANK(Z1177),"",Long6[[#This Row],[Adj Close]]/Z1177-1)</f>
        <v>-8.5366193065778306E-2</v>
      </c>
      <c r="AK1176" s="37">
        <v>36864</v>
      </c>
      <c r="AL1176" s="39">
        <v>6.2476690000000001</v>
      </c>
      <c r="AM1176" s="36">
        <f>IF(ISBLANK(AL1177),"",Short1[[#This Row],[Adj Close]]/AL1177-1)</f>
        <v>-0.18863675441663164</v>
      </c>
      <c r="AN1176" s="29">
        <v>36864</v>
      </c>
      <c r="AO1176" s="44">
        <v>13.838137</v>
      </c>
      <c r="AP1176" s="33">
        <f>IF(ISBLANK(AO1177),"",Short2[[#This Row],[Adj Close]]/AO1177-1)</f>
        <v>0.13670411477394318</v>
      </c>
    </row>
    <row r="1177" spans="1:42" x14ac:dyDescent="0.25">
      <c r="A1177" s="37">
        <v>36857</v>
      </c>
      <c r="B1177" s="39">
        <v>1315.2299800000001</v>
      </c>
      <c r="C1177" s="36">
        <f>IF(ISBLANK(B1178), "", GSPC[[#This Row],[Adj Close]]/B1178-1)</f>
        <v>-1.9779872559680389E-2</v>
      </c>
      <c r="D117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7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77" s="11" t="e">
        <f>IF(ISBLANK(GSPC[[#This Row],[Long Exp.]]), "", (GSPC[[#This Row],[Long Exp.]]/D1178-1)+(E1178/GSPC[[#This Row],[Short Exp.]]-1))</f>
        <v>#VALUE!</v>
      </c>
      <c r="G1177" s="37">
        <v>36857</v>
      </c>
      <c r="H1177">
        <v>9.8820779999999999</v>
      </c>
      <c r="I1177" s="36">
        <f>IF(ISBLANK(H1178), "", Long0[[#This Row],[Adj Close]]/H1178-1)</f>
        <v>0.12362660415704463</v>
      </c>
      <c r="M1177" s="37">
        <v>36857</v>
      </c>
      <c r="N1177">
        <v>9.6219599999999996</v>
      </c>
      <c r="O1177" s="36">
        <f>IF(ISBLANK(N1178),"",Long2[[#This Row],[Adj Close]]/N1178-1)</f>
        <v>3.6457897412216056E-2</v>
      </c>
      <c r="P1177" s="29">
        <v>36857</v>
      </c>
      <c r="Q1177">
        <v>7.4236139999999997</v>
      </c>
      <c r="R1177" s="33">
        <f>IF(ISBLANK(Q1178),"",Long3[[#This Row],[Adj Close]]/Q1178-1)</f>
        <v>2.4353674287165061E-2</v>
      </c>
      <c r="S1177" s="37">
        <v>36857</v>
      </c>
      <c r="T1177" s="35">
        <v>17.851633</v>
      </c>
      <c r="U1177" s="36">
        <f>IF(ISBLANK(T1178),"",Long4[[#This Row],[Adj Close]]/T1178-1)</f>
        <v>-0.12532654550828171</v>
      </c>
      <c r="Y1177" s="37">
        <v>36857</v>
      </c>
      <c r="Z1177" s="35">
        <v>9.9887200000000007</v>
      </c>
      <c r="AA1177" s="36">
        <f>IF(ISBLANK(Z1178),"",Long6[[#This Row],[Adj Close]]/Z1178-1)</f>
        <v>-0.28070169879848106</v>
      </c>
      <c r="AK1177" s="37">
        <v>36857</v>
      </c>
      <c r="AL1177" s="39">
        <v>7.7002119999999996</v>
      </c>
      <c r="AM1177" s="36">
        <f>IF(ISBLANK(AL1178),"",Short1[[#This Row],[Adj Close]]/AL1178-1)</f>
        <v>-0.17910471787512106</v>
      </c>
      <c r="AN1177" s="29">
        <v>36857</v>
      </c>
      <c r="AO1177" s="44">
        <v>12.173913000000001</v>
      </c>
      <c r="AP1177" s="33">
        <f>IF(ISBLANK(AO1178),"",Short2[[#This Row],[Adj Close]]/AO1178-1)</f>
        <v>1.3282721550015752E-2</v>
      </c>
    </row>
    <row r="1178" spans="1:42" x14ac:dyDescent="0.25">
      <c r="A1178" s="37">
        <v>36850</v>
      </c>
      <c r="B1178" s="39">
        <v>1341.7700199999999</v>
      </c>
      <c r="C1178" s="36">
        <f>IF(ISBLANK(B1179), "", GSPC[[#This Row],[Adj Close]]/B1179-1)</f>
        <v>-1.8973146221610615E-2</v>
      </c>
      <c r="D117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7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78" s="11" t="e">
        <f>IF(ISBLANK(GSPC[[#This Row],[Long Exp.]]), "", (GSPC[[#This Row],[Long Exp.]]/D1179-1)+(E1179/GSPC[[#This Row],[Short Exp.]]-1))</f>
        <v>#VALUE!</v>
      </c>
      <c r="G1178" s="37">
        <v>36850</v>
      </c>
      <c r="H1178">
        <v>8.7948059999999995</v>
      </c>
      <c r="I1178" s="36">
        <f>IF(ISBLANK(H1179), "", Long0[[#This Row],[Adj Close]]/H1179-1)</f>
        <v>-0.1708433232653862</v>
      </c>
      <c r="M1178" s="37">
        <v>36850</v>
      </c>
      <c r="N1178">
        <v>9.2835029999999996</v>
      </c>
      <c r="O1178" s="36">
        <f>IF(ISBLANK(N1179),"",Long2[[#This Row],[Adj Close]]/N1179-1)</f>
        <v>5.235648014850991E-3</v>
      </c>
      <c r="P1178" s="29">
        <v>36850</v>
      </c>
      <c r="Q1178">
        <v>7.2471199999999998</v>
      </c>
      <c r="R1178" s="33">
        <f>IF(ISBLANK(Q1179),"",Long3[[#This Row],[Adj Close]]/Q1179-1)</f>
        <v>7.668274478341619E-3</v>
      </c>
      <c r="S1178" s="37">
        <v>36850</v>
      </c>
      <c r="T1178" s="35">
        <v>20.409483000000002</v>
      </c>
      <c r="U1178" s="36">
        <f>IF(ISBLANK(T1179),"",Long4[[#This Row],[Adj Close]]/T1179-1)</f>
        <v>-7.9326863978398388E-2</v>
      </c>
      <c r="Y1178" s="37">
        <v>36850</v>
      </c>
      <c r="Z1178" s="35">
        <v>13.886756</v>
      </c>
      <c r="AA1178" s="36">
        <f>IF(ISBLANK(Z1179),"",Long6[[#This Row],[Adj Close]]/Z1179-1)</f>
        <v>-7.3170803332825995E-2</v>
      </c>
      <c r="AK1178" s="37">
        <v>36850</v>
      </c>
      <c r="AL1178" s="39">
        <v>9.3802610000000008</v>
      </c>
      <c r="AM1178" s="36">
        <f>IF(ISBLANK(AL1179),"",Short1[[#This Row],[Adj Close]]/AL1179-1)</f>
        <v>1.8699628196965357E-3</v>
      </c>
      <c r="AN1178" s="29">
        <v>36850</v>
      </c>
      <c r="AO1178" s="44">
        <v>12.014329999999999</v>
      </c>
      <c r="AP1178" s="33">
        <f>IF(ISBLANK(AO1179),"",Short2[[#This Row],[Adj Close]]/AO1179-1)</f>
        <v>1.1516353885954844E-2</v>
      </c>
    </row>
    <row r="1179" spans="1:42" x14ac:dyDescent="0.25">
      <c r="A1179" s="37">
        <v>36843</v>
      </c>
      <c r="B1179" s="39">
        <v>1367.719971</v>
      </c>
      <c r="C1179" s="36">
        <f>IF(ISBLANK(B1180), "", GSPC[[#This Row],[Adj Close]]/B1180-1)</f>
        <v>1.2738041739088768E-3</v>
      </c>
      <c r="D117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7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79" s="11" t="e">
        <f>IF(ISBLANK(GSPC[[#This Row],[Long Exp.]]), "", (GSPC[[#This Row],[Long Exp.]]/D1180-1)+(E1180/GSPC[[#This Row],[Short Exp.]]-1))</f>
        <v>#VALUE!</v>
      </c>
      <c r="G1179" s="37">
        <v>36843</v>
      </c>
      <c r="H1179">
        <v>10.606928999999999</v>
      </c>
      <c r="I1179" s="36">
        <f>IF(ISBLANK(H1180), "", Long0[[#This Row],[Adj Close]]/H1180-1)</f>
        <v>-3.3039423484527486E-2</v>
      </c>
      <c r="M1179" s="37">
        <v>36843</v>
      </c>
      <c r="N1179">
        <v>9.2351510000000001</v>
      </c>
      <c r="O1179" s="36">
        <f>IF(ISBLANK(N1180),"",Long2[[#This Row],[Adj Close]]/N1180-1)</f>
        <v>0</v>
      </c>
      <c r="P1179" s="29">
        <v>36843</v>
      </c>
      <c r="Q1179">
        <v>7.1919700000000004</v>
      </c>
      <c r="R1179" s="33">
        <f>IF(ISBLANK(Q1180),"",Long3[[#This Row],[Adj Close]]/Q1180-1)</f>
        <v>5.16131918933036E-2</v>
      </c>
      <c r="S1179" s="37">
        <v>36843</v>
      </c>
      <c r="T1179" s="35">
        <v>22.168001</v>
      </c>
      <c r="U1179" s="36">
        <f>IF(ISBLANK(T1180),"",Long4[[#This Row],[Adj Close]]/T1180-1)</f>
        <v>-7.142865520440167E-2</v>
      </c>
      <c r="Y1179" s="37">
        <v>36843</v>
      </c>
      <c r="Z1179" s="35">
        <v>14.983079999999999</v>
      </c>
      <c r="AA1179" s="36">
        <f>IF(ISBLANK(Z1180),"",Long6[[#This Row],[Adj Close]]/Z1180-1)</f>
        <v>-9.5588040892264692E-2</v>
      </c>
      <c r="AK1179" s="37">
        <v>36843</v>
      </c>
      <c r="AL1179" s="39">
        <v>9.3627529999999997</v>
      </c>
      <c r="AM1179" s="36">
        <f>IF(ISBLANK(AL1180),"",Short1[[#This Row],[Adj Close]]/AL1180-1)</f>
        <v>1.5179849227231701E-2</v>
      </c>
      <c r="AN1179" s="29">
        <v>36843</v>
      </c>
      <c r="AO1179" s="44">
        <v>11.877544</v>
      </c>
      <c r="AP1179" s="33">
        <f>IF(ISBLANK(AO1180),"",Short2[[#This Row],[Adj Close]]/AO1180-1)</f>
        <v>1.7578185740422025E-2</v>
      </c>
    </row>
    <row r="1180" spans="1:42" x14ac:dyDescent="0.25">
      <c r="A1180" s="37">
        <v>36836</v>
      </c>
      <c r="B1180" s="39">
        <v>1365.9799800000001</v>
      </c>
      <c r="C1180" s="36">
        <f>IF(ISBLANK(B1181), "", GSPC[[#This Row],[Adj Close]]/B1181-1)</f>
        <v>-4.2553016780539576E-2</v>
      </c>
      <c r="D118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8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80" s="11" t="e">
        <f>IF(ISBLANK(GSPC[[#This Row],[Long Exp.]]), "", (GSPC[[#This Row],[Long Exp.]]/D1181-1)+(E1181/GSPC[[#This Row],[Short Exp.]]-1))</f>
        <v>#VALUE!</v>
      </c>
      <c r="G1180" s="37">
        <v>36836</v>
      </c>
      <c r="H1180">
        <v>10.96935</v>
      </c>
      <c r="I1180" s="36">
        <f>IF(ISBLANK(H1181), "", Long0[[#This Row],[Adj Close]]/H1181-1)</f>
        <v>-1.3043799428899105E-2</v>
      </c>
      <c r="M1180" s="37">
        <v>36836</v>
      </c>
      <c r="N1180">
        <v>9.2351510000000001</v>
      </c>
      <c r="O1180" s="36">
        <f>IF(ISBLANK(N1181),"",Long2[[#This Row],[Adj Close]]/N1181-1)</f>
        <v>-5.9113213166005263E-2</v>
      </c>
      <c r="P1180" s="29">
        <v>36836</v>
      </c>
      <c r="Q1180">
        <v>6.8389879999999996</v>
      </c>
      <c r="R1180" s="33">
        <f>IF(ISBLANK(Q1181),"",Long3[[#This Row],[Adj Close]]/Q1181-1)</f>
        <v>-4.3210208163352082E-2</v>
      </c>
      <c r="S1180" s="37">
        <v>36836</v>
      </c>
      <c r="T1180" s="35">
        <v>23.873234</v>
      </c>
      <c r="U1180" s="36">
        <f>IF(ISBLANK(T1181),"",Long4[[#This Row],[Adj Close]]/T1181-1)</f>
        <v>5.6603948950503247E-2</v>
      </c>
      <c r="Y1180" s="37">
        <v>36836</v>
      </c>
      <c r="Z1180" s="35">
        <v>16.566654</v>
      </c>
      <c r="AA1180" s="36">
        <f>IF(ISBLANK(Z1181),"",Long6[[#This Row],[Adj Close]]/Z1181-1)</f>
        <v>-2.8571227528240595E-2</v>
      </c>
      <c r="AK1180" s="37">
        <v>36836</v>
      </c>
      <c r="AL1180" s="39">
        <v>9.2227530000000009</v>
      </c>
      <c r="AM1180" s="36">
        <f>IF(ISBLANK(AL1181),"",Short1[[#This Row],[Adj Close]]/AL1181-1)</f>
        <v>-0.38720942995861374</v>
      </c>
      <c r="AN1180" s="29">
        <v>36836</v>
      </c>
      <c r="AO1180" s="44">
        <v>11.672364999999999</v>
      </c>
      <c r="AP1180" s="33">
        <f>IF(ISBLANK(AO1181),"",Short2[[#This Row],[Adj Close]]/AO1181-1)</f>
        <v>-3.9009304901566177E-2</v>
      </c>
    </row>
    <row r="1181" spans="1:42" x14ac:dyDescent="0.25">
      <c r="A1181" s="37">
        <v>36829</v>
      </c>
      <c r="B1181" s="39">
        <v>1426.6899410000001</v>
      </c>
      <c r="C1181" s="36">
        <f>IF(ISBLANK(B1182), "", GSPC[[#This Row],[Adj Close]]/B1182-1)</f>
        <v>3.414806426775896E-2</v>
      </c>
      <c r="D118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8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81" s="11" t="e">
        <f>IF(ISBLANK(GSPC[[#This Row],[Long Exp.]]), "", (GSPC[[#This Row],[Long Exp.]]/D1182-1)+(E1182/GSPC[[#This Row],[Short Exp.]]-1))</f>
        <v>#VALUE!</v>
      </c>
      <c r="G1181" s="37">
        <v>36829</v>
      </c>
      <c r="H1181">
        <v>11.114323000000001</v>
      </c>
      <c r="I1181" s="36">
        <f>IF(ISBLANK(H1182), "", Long0[[#This Row],[Adj Close]]/H1182-1)</f>
        <v>5.2631763381621122E-2</v>
      </c>
      <c r="M1181" s="37">
        <v>36829</v>
      </c>
      <c r="N1181">
        <v>9.8153690000000005</v>
      </c>
      <c r="O1181" s="36">
        <f>IF(ISBLANK(N1182),"",Long2[[#This Row],[Adj Close]]/N1182-1)</f>
        <v>-3.3333428535495591E-2</v>
      </c>
      <c r="P1181" s="29">
        <v>36829</v>
      </c>
      <c r="Q1181">
        <v>7.1478479999999998</v>
      </c>
      <c r="R1181" s="33">
        <f>IF(ISBLANK(Q1182),"",Long3[[#This Row],[Adj Close]]/Q1182-1)</f>
        <v>6.2118149065819583E-3</v>
      </c>
      <c r="S1181" s="37">
        <v>36829</v>
      </c>
      <c r="T1181" s="35">
        <v>22.594307000000001</v>
      </c>
      <c r="U1181" s="36">
        <f>IF(ISBLANK(T1182),"",Long4[[#This Row],[Adj Close]]/T1182-1)</f>
        <v>-8.6206807994372525E-2</v>
      </c>
      <c r="Y1181" s="37">
        <v>36829</v>
      </c>
      <c r="Z1181" s="35">
        <v>17.053905</v>
      </c>
      <c r="AA1181" s="36">
        <f>IF(ISBLANK(Z1182),"",Long6[[#This Row],[Adj Close]]/Z1182-1)</f>
        <v>4.0892076456371829E-2</v>
      </c>
      <c r="AK1181" s="37">
        <v>36829</v>
      </c>
      <c r="AL1181" s="39">
        <v>15.050416</v>
      </c>
      <c r="AM1181" s="36">
        <f>IF(ISBLANK(AL1182),"",Short1[[#This Row],[Adj Close]]/AL1182-1)</f>
        <v>0.18131925145518024</v>
      </c>
      <c r="AN1181" s="29">
        <v>36829</v>
      </c>
      <c r="AO1181" s="44">
        <v>12.146179</v>
      </c>
      <c r="AP1181" s="33">
        <f>IF(ISBLANK(AO1182),"",Short2[[#This Row],[Adj Close]]/AO1182-1)</f>
        <v>0.13163488738134821</v>
      </c>
    </row>
    <row r="1182" spans="1:42" x14ac:dyDescent="0.25">
      <c r="A1182" s="37">
        <v>36822</v>
      </c>
      <c r="B1182" s="39">
        <v>1379.579956</v>
      </c>
      <c r="C1182" s="36">
        <f>IF(ISBLANK(B1183), "", GSPC[[#This Row],[Adj Close]]/B1183-1)</f>
        <v>-1.2420162305420535E-2</v>
      </c>
      <c r="D118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8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82" s="11" t="e">
        <f>IF(ISBLANK(GSPC[[#This Row],[Long Exp.]]), "", (GSPC[[#This Row],[Long Exp.]]/D1183-1)+(E1183/GSPC[[#This Row],[Short Exp.]]-1))</f>
        <v>#VALUE!</v>
      </c>
      <c r="G1182" s="37">
        <v>36822</v>
      </c>
      <c r="H1182">
        <v>10.558605</v>
      </c>
      <c r="I1182" s="36">
        <f>IF(ISBLANK(H1183), "", Long0[[#This Row],[Adj Close]]/H1183-1)</f>
        <v>-8.9583301717465869E-2</v>
      </c>
      <c r="M1182" s="37">
        <v>36822</v>
      </c>
      <c r="N1182">
        <v>10.153831</v>
      </c>
      <c r="O1182" s="36">
        <f>IF(ISBLANK(N1183),"",Long2[[#This Row],[Adj Close]]/N1183-1)</f>
        <v>6.0606291670540102E-2</v>
      </c>
      <c r="P1182" s="29">
        <v>36822</v>
      </c>
      <c r="Q1182">
        <v>7.1037210000000002</v>
      </c>
      <c r="R1182" s="33">
        <f>IF(ISBLANK(Q1183),"",Long3[[#This Row],[Adj Close]]/Q1183-1)</f>
        <v>7.8244239611722222E-3</v>
      </c>
      <c r="S1182" s="37">
        <v>36822</v>
      </c>
      <c r="T1182" s="35">
        <v>24.725843000000001</v>
      </c>
      <c r="U1182" s="36">
        <f>IF(ISBLANK(T1183),"",Long4[[#This Row],[Adj Close]]/T1183-1)</f>
        <v>-2.7253633875550576E-2</v>
      </c>
      <c r="Y1182" s="37">
        <v>36822</v>
      </c>
      <c r="Z1182" s="35">
        <v>16.383932000000001</v>
      </c>
      <c r="AA1182" s="36">
        <f>IF(ISBLANK(Z1183),"",Long6[[#This Row],[Adj Close]]/Z1183-1)</f>
        <v>-4.2704809522649101E-2</v>
      </c>
      <c r="AK1182" s="37">
        <v>36822</v>
      </c>
      <c r="AL1182" s="39">
        <v>12.740346000000001</v>
      </c>
      <c r="AM1182" s="36">
        <f>IF(ISBLANK(AL1183),"",Short1[[#This Row],[Adj Close]]/AL1183-1)</f>
        <v>0.13395609626367166</v>
      </c>
      <c r="AN1182" s="29">
        <v>36822</v>
      </c>
      <c r="AO1182" s="44">
        <v>10.733302</v>
      </c>
      <c r="AP1182" s="33">
        <f>IF(ISBLANK(AO1183),"",Short2[[#This Row],[Adj Close]]/AO1183-1)</f>
        <v>-2.1186137341729916E-3</v>
      </c>
    </row>
    <row r="1183" spans="1:42" x14ac:dyDescent="0.25">
      <c r="A1183" s="37">
        <v>36815</v>
      </c>
      <c r="B1183" s="39">
        <v>1396.9300539999999</v>
      </c>
      <c r="C1183" s="36">
        <f>IF(ISBLANK(B1184), "", GSPC[[#This Row],[Adj Close]]/B1184-1)</f>
        <v>1.6562731882692638E-2</v>
      </c>
      <c r="D118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8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83" s="11" t="e">
        <f>IF(ISBLANK(GSPC[[#This Row],[Long Exp.]]), "", (GSPC[[#This Row],[Long Exp.]]/D1184-1)+(E1184/GSPC[[#This Row],[Short Exp.]]-1))</f>
        <v>#VALUE!</v>
      </c>
      <c r="G1183" s="37">
        <v>36815</v>
      </c>
      <c r="H1183">
        <v>11.597552</v>
      </c>
      <c r="I1183" s="36">
        <f>IF(ISBLANK(H1184), "", Long0[[#This Row],[Adj Close]]/H1184-1)</f>
        <v>0.10599130373832444</v>
      </c>
      <c r="M1183" s="37">
        <v>36815</v>
      </c>
      <c r="N1183">
        <v>9.5736100000000004</v>
      </c>
      <c r="O1183" s="36">
        <f>IF(ISBLANK(N1184),"",Long2[[#This Row],[Adj Close]]/N1184-1)</f>
        <v>-5.2631933106400242E-2</v>
      </c>
      <c r="P1183" s="29">
        <v>36815</v>
      </c>
      <c r="Q1183">
        <v>7.0485699999999998</v>
      </c>
      <c r="R1183" s="33">
        <f>IF(ISBLANK(Q1184),"",Long3[[#This Row],[Adj Close]]/Q1184-1)</f>
        <v>-4.4843077887913418E-2</v>
      </c>
      <c r="S1183" s="37">
        <v>36815</v>
      </c>
      <c r="T1183" s="35">
        <v>25.418592</v>
      </c>
      <c r="U1183" s="36">
        <f>IF(ISBLANK(T1184),"",Long4[[#This Row],[Adj Close]]/T1184-1)</f>
        <v>8.409068925203167E-2</v>
      </c>
      <c r="Y1183" s="37">
        <v>36815</v>
      </c>
      <c r="Z1183" s="35">
        <v>17.114816999999999</v>
      </c>
      <c r="AA1183" s="36">
        <f>IF(ISBLANK(Z1184),"",Long6[[#This Row],[Adj Close]]/Z1184-1)</f>
        <v>7.2519445615256695E-2</v>
      </c>
      <c r="AK1183" s="37">
        <v>36815</v>
      </c>
      <c r="AL1183" s="39">
        <v>11.235308</v>
      </c>
      <c r="AM1183" s="36">
        <f>IF(ISBLANK(AL1184),"",Short1[[#This Row],[Adj Close]]/AL1184-1)</f>
        <v>-0.15079360640321104</v>
      </c>
      <c r="AN1183" s="29">
        <v>36815</v>
      </c>
      <c r="AO1183" s="44">
        <v>10.75609</v>
      </c>
      <c r="AP1183" s="33">
        <f>IF(ISBLANK(AO1184),"",Short2[[#This Row],[Adj Close]]/AO1184-1)</f>
        <v>3.2822470095833944E-2</v>
      </c>
    </row>
    <row r="1184" spans="1:42" x14ac:dyDescent="0.25">
      <c r="A1184" s="37">
        <v>36808</v>
      </c>
      <c r="B1184" s="39">
        <v>1374.170044</v>
      </c>
      <c r="C1184" s="36">
        <f>IF(ISBLANK(B1185), "", GSPC[[#This Row],[Adj Close]]/B1185-1)</f>
        <v>-2.4712699342881783E-2</v>
      </c>
      <c r="D118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8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84" s="11" t="e">
        <f>IF(ISBLANK(GSPC[[#This Row],[Long Exp.]]), "", (GSPC[[#This Row],[Long Exp.]]/D1185-1)+(E1185/GSPC[[#This Row],[Short Exp.]]-1))</f>
        <v>#VALUE!</v>
      </c>
      <c r="G1184" s="37">
        <v>36808</v>
      </c>
      <c r="H1184">
        <v>10.486115</v>
      </c>
      <c r="I1184" s="36">
        <f>IF(ISBLANK(H1185), "", Long0[[#This Row],[Adj Close]]/H1185-1)</f>
        <v>-9.1327739017166287E-3</v>
      </c>
      <c r="M1184" s="37">
        <v>36808</v>
      </c>
      <c r="N1184">
        <v>10.105480999999999</v>
      </c>
      <c r="O1184" s="36">
        <f>IF(ISBLANK(N1185),"",Long2[[#This Row],[Adj Close]]/N1185-1)</f>
        <v>-9.9137575603542527E-2</v>
      </c>
      <c r="P1184" s="29">
        <v>36808</v>
      </c>
      <c r="Q1184">
        <v>7.3794890000000004</v>
      </c>
      <c r="R1184" s="33">
        <f>IF(ISBLANK(Q1185),"",Long3[[#This Row],[Adj Close]]/Q1185-1)</f>
        <v>2.4502009648478484E-2</v>
      </c>
      <c r="S1184" s="37">
        <v>36808</v>
      </c>
      <c r="T1184" s="35">
        <v>23.446923999999999</v>
      </c>
      <c r="U1184" s="36">
        <f>IF(ISBLANK(T1185),"",Long4[[#This Row],[Adj Close]]/T1185-1)</f>
        <v>8.3744004480124534E-2</v>
      </c>
      <c r="Y1184" s="37">
        <v>36808</v>
      </c>
      <c r="Z1184" s="35">
        <v>15.957582</v>
      </c>
      <c r="AA1184" s="36">
        <f>IF(ISBLANK(Z1185),"",Long6[[#This Row],[Adj Close]]/Z1185-1)</f>
        <v>-0.11486514707695661</v>
      </c>
      <c r="AK1184" s="37">
        <v>36808</v>
      </c>
      <c r="AL1184" s="39">
        <v>13.230362</v>
      </c>
      <c r="AM1184" s="36">
        <f>IF(ISBLANK(AL1185),"",Short1[[#This Row],[Adj Close]]/AL1185-1)</f>
        <v>-0.16464112941975151</v>
      </c>
      <c r="AN1184" s="29">
        <v>36808</v>
      </c>
      <c r="AO1184" s="44">
        <v>10.414268</v>
      </c>
      <c r="AP1184" s="33">
        <f>IF(ISBLANK(AO1185),"",Short2[[#This Row],[Adj Close]]/AO1185-1)</f>
        <v>-1.7204147038858641E-2</v>
      </c>
    </row>
    <row r="1185" spans="1:42" x14ac:dyDescent="0.25">
      <c r="A1185" s="37">
        <v>36801</v>
      </c>
      <c r="B1185" s="39">
        <v>1408.98999</v>
      </c>
      <c r="C1185" s="36">
        <f>IF(ISBLANK(B1186), "", GSPC[[#This Row],[Adj Close]]/B1186-1)</f>
        <v>-1.9157555330923115E-2</v>
      </c>
      <c r="D118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8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85" s="11" t="e">
        <f>IF(ISBLANK(GSPC[[#This Row],[Long Exp.]]), "", (GSPC[[#This Row],[Long Exp.]]/D1186-1)+(E1186/GSPC[[#This Row],[Short Exp.]]-1))</f>
        <v>#VALUE!</v>
      </c>
      <c r="G1185" s="37">
        <v>36801</v>
      </c>
      <c r="H1185">
        <v>10.582765</v>
      </c>
      <c r="I1185" s="36">
        <f>IF(ISBLANK(H1186), "", Long0[[#This Row],[Adj Close]]/H1186-1)</f>
        <v>1.7735318892512453E-2</v>
      </c>
      <c r="M1185" s="37">
        <v>36801</v>
      </c>
      <c r="N1185">
        <v>11.217563</v>
      </c>
      <c r="O1185" s="36">
        <f>IF(ISBLANK(N1186),"",Long2[[#This Row],[Adj Close]]/N1186-1)</f>
        <v>0</v>
      </c>
      <c r="P1185" s="29">
        <v>36801</v>
      </c>
      <c r="Q1185">
        <v>7.2030010000000004</v>
      </c>
      <c r="R1185" s="33">
        <f>IF(ISBLANK(Q1186),"",Long3[[#This Row],[Adj Close]]/Q1186-1)</f>
        <v>-2.2820522421266753E-2</v>
      </c>
      <c r="S1185" s="37">
        <v>36801</v>
      </c>
      <c r="T1185" s="35">
        <v>21.635113</v>
      </c>
      <c r="U1185" s="36">
        <f>IF(ISBLANK(T1186),"",Long4[[#This Row],[Adj Close]]/T1186-1)</f>
        <v>2.5252449622622963E-2</v>
      </c>
      <c r="Y1185" s="37">
        <v>36801</v>
      </c>
      <c r="Z1185" s="35">
        <v>18.028419</v>
      </c>
      <c r="AA1185" s="36">
        <f>IF(ISBLANK(Z1186),"",Long6[[#This Row],[Adj Close]]/Z1186-1)</f>
        <v>-0.16147297885289402</v>
      </c>
      <c r="AK1185" s="37">
        <v>36801</v>
      </c>
      <c r="AL1185" s="39">
        <v>15.837937999999999</v>
      </c>
      <c r="AM1185" s="36">
        <f>IF(ISBLANK(AL1186),"",Short1[[#This Row],[Adj Close]]/AL1186-1)</f>
        <v>-0.11100168072868299</v>
      </c>
      <c r="AN1185" s="29">
        <v>36801</v>
      </c>
      <c r="AO1185" s="44">
        <v>10.596572999999999</v>
      </c>
      <c r="AP1185" s="33">
        <f>IF(ISBLANK(AO1186),"",Short2[[#This Row],[Adj Close]]/AO1186-1)</f>
        <v>-2.3109368036827171E-2</v>
      </c>
    </row>
    <row r="1186" spans="1:42" x14ac:dyDescent="0.25">
      <c r="A1186" s="37">
        <v>36794</v>
      </c>
      <c r="B1186" s="39">
        <v>1436.51001</v>
      </c>
      <c r="C1186" s="36">
        <f>IF(ISBLANK(B1187), "", GSPC[[#This Row],[Adj Close]]/B1187-1)</f>
        <v>-8.4281029076805902E-3</v>
      </c>
      <c r="D118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8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86" s="11" t="e">
        <f>IF(ISBLANK(GSPC[[#This Row],[Long Exp.]]), "", (GSPC[[#This Row],[Long Exp.]]/D1187-1)+(E1187/GSPC[[#This Row],[Short Exp.]]-1))</f>
        <v>#VALUE!</v>
      </c>
      <c r="G1186" s="37">
        <v>36794</v>
      </c>
      <c r="H1186">
        <v>10.398346999999999</v>
      </c>
      <c r="I1186" s="36">
        <f>IF(ISBLANK(H1187), "", Long0[[#This Row],[Adj Close]]/H1187-1)</f>
        <v>0</v>
      </c>
      <c r="M1186" s="37">
        <v>36794</v>
      </c>
      <c r="N1186">
        <v>11.217563</v>
      </c>
      <c r="O1186" s="36">
        <f>IF(ISBLANK(N1187),"",Long2[[#This Row],[Adj Close]]/N1187-1)</f>
        <v>2.2026448173960933E-2</v>
      </c>
      <c r="P1186" s="29">
        <v>36794</v>
      </c>
      <c r="Q1186">
        <v>7.3712160000000004</v>
      </c>
      <c r="R1186" s="33">
        <f>IF(ISBLANK(Q1187),"",Long3[[#This Row],[Adj Close]]/Q1187-1)</f>
        <v>0.10637421579713791</v>
      </c>
      <c r="S1186" s="37">
        <v>36794</v>
      </c>
      <c r="T1186" s="35">
        <v>21.102229999999999</v>
      </c>
      <c r="U1186" s="36">
        <f>IF(ISBLANK(T1187),"",Long4[[#This Row],[Adj Close]]/T1187-1)</f>
        <v>-0.30647980452553314</v>
      </c>
      <c r="Y1186" s="37">
        <v>36794</v>
      </c>
      <c r="Z1186" s="35">
        <v>21.500105000000001</v>
      </c>
      <c r="AA1186" s="36">
        <f>IF(ISBLANK(Z1187),"",Long6[[#This Row],[Adj Close]]/Z1187-1)</f>
        <v>8.2821652237760945E-2</v>
      </c>
      <c r="AK1186" s="37">
        <v>36794</v>
      </c>
      <c r="AL1186" s="39">
        <v>17.815487000000001</v>
      </c>
      <c r="AM1186" s="36">
        <f>IF(ISBLANK(AL1187),"",Short1[[#This Row],[Adj Close]]/AL1187-1)</f>
        <v>-5.5658691993439646E-2</v>
      </c>
      <c r="AN1186" s="29">
        <v>36794</v>
      </c>
      <c r="AO1186" s="44">
        <v>10.847246</v>
      </c>
      <c r="AP1186" s="33">
        <f>IF(ISBLANK(AO1187),"",Short2[[#This Row],[Adj Close]]/AO1187-1)</f>
        <v>6.7264368386077411E-2</v>
      </c>
    </row>
    <row r="1187" spans="1:42" x14ac:dyDescent="0.25">
      <c r="A1187" s="37">
        <v>36787</v>
      </c>
      <c r="B1187" s="39">
        <v>1448.719971</v>
      </c>
      <c r="C1187" s="36">
        <f>IF(ISBLANK(B1188), "", GSPC[[#This Row],[Adj Close]]/B1188-1)</f>
        <v>-1.1659142257257393E-2</v>
      </c>
      <c r="D118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8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87" s="11" t="e">
        <f>IF(ISBLANK(GSPC[[#This Row],[Long Exp.]]), "", (GSPC[[#This Row],[Long Exp.]]/D1188-1)+(E1188/GSPC[[#This Row],[Short Exp.]]-1))</f>
        <v>#VALUE!</v>
      </c>
      <c r="G1187" s="37">
        <v>36787</v>
      </c>
      <c r="H1187">
        <v>10.398346999999999</v>
      </c>
      <c r="I1187" s="36">
        <f>IF(ISBLANK(H1188), "", Long0[[#This Row],[Adj Close]]/H1188-1)</f>
        <v>1.8912253887449548E-2</v>
      </c>
      <c r="M1187" s="37">
        <v>36787</v>
      </c>
      <c r="N1187">
        <v>10.975804999999999</v>
      </c>
      <c r="O1187" s="36">
        <f>IF(ISBLANK(N1188),"",Long2[[#This Row],[Adj Close]]/N1188-1)</f>
        <v>1.4367472974981199E-2</v>
      </c>
      <c r="P1187" s="29">
        <v>36787</v>
      </c>
      <c r="Q1187">
        <v>6.6624980000000003</v>
      </c>
      <c r="R1187" s="33">
        <f>IF(ISBLANK(Q1188),"",Long3[[#This Row],[Adj Close]]/Q1188-1)</f>
        <v>-4.4681393800586111E-2</v>
      </c>
      <c r="S1187" s="37">
        <v>36787</v>
      </c>
      <c r="T1187" s="35">
        <v>30.427707999999999</v>
      </c>
      <c r="U1187" s="36">
        <f>IF(ISBLANK(T1188),"",Long4[[#This Row],[Adj Close]]/T1188-1)</f>
        <v>-8.6807726955980824E-3</v>
      </c>
      <c r="Y1187" s="37">
        <v>36787</v>
      </c>
      <c r="Z1187" s="35">
        <v>19.855629</v>
      </c>
      <c r="AA1187" s="36">
        <f>IF(ISBLANK(Z1188),"",Long6[[#This Row],[Adj Close]]/Z1188-1)</f>
        <v>-2.6865169101019548E-2</v>
      </c>
      <c r="AK1187" s="37">
        <v>36787</v>
      </c>
      <c r="AL1187" s="39">
        <v>18.865517000000001</v>
      </c>
      <c r="AM1187" s="36">
        <f>IF(ISBLANK(AL1188),"",Short1[[#This Row],[Adj Close]]/AL1188-1)</f>
        <v>-3.8358724928688082E-2</v>
      </c>
      <c r="AN1187" s="29">
        <v>36787</v>
      </c>
      <c r="AO1187" s="44">
        <v>10.163598</v>
      </c>
      <c r="AP1187" s="33">
        <f>IF(ISBLANK(AO1188),"",Short2[[#This Row],[Adj Close]]/AO1188-1)</f>
        <v>3.9627495041014038E-2</v>
      </c>
    </row>
    <row r="1188" spans="1:42" x14ac:dyDescent="0.25">
      <c r="A1188" s="37">
        <v>36780</v>
      </c>
      <c r="B1188" s="39">
        <v>1465.8100589999999</v>
      </c>
      <c r="C1188" s="36">
        <f>IF(ISBLANK(B1189), "", GSPC[[#This Row],[Adj Close]]/B1189-1)</f>
        <v>-1.9197016393442734E-2</v>
      </c>
      <c r="D118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8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88" s="11" t="e">
        <f>IF(ISBLANK(GSPC[[#This Row],[Long Exp.]]), "", (GSPC[[#This Row],[Long Exp.]]/D1189-1)+(E1189/GSPC[[#This Row],[Short Exp.]]-1))</f>
        <v>#VALUE!</v>
      </c>
      <c r="G1188" s="37">
        <v>36780</v>
      </c>
      <c r="H1188">
        <v>10.205341000000001</v>
      </c>
      <c r="I1188" s="36">
        <f>IF(ISBLANK(H1189), "", Long0[[#This Row],[Adj Close]]/H1189-1)</f>
        <v>-4.2986162257985683E-2</v>
      </c>
      <c r="M1188" s="37">
        <v>36780</v>
      </c>
      <c r="N1188">
        <v>10.820344</v>
      </c>
      <c r="O1188" s="36">
        <f>IF(ISBLANK(N1189),"",Long2[[#This Row],[Adj Close]]/N1189-1)</f>
        <v>-4.2553600030014405E-2</v>
      </c>
      <c r="P1188" s="29">
        <v>36780</v>
      </c>
      <c r="Q1188">
        <v>6.9741109999999997</v>
      </c>
      <c r="R1188" s="33">
        <f>IF(ISBLANK(Q1189),"",Long3[[#This Row],[Adj Close]]/Q1189-1)</f>
        <v>2.3410847571440963E-2</v>
      </c>
      <c r="S1188" s="37">
        <v>36780</v>
      </c>
      <c r="T1188" s="35">
        <v>30.694157000000001</v>
      </c>
      <c r="U1188" s="36">
        <f>IF(ISBLANK(T1189),"",Long4[[#This Row],[Adj Close]]/T1189-1)</f>
        <v>0.10344842585945879</v>
      </c>
      <c r="Y1188" s="37">
        <v>36780</v>
      </c>
      <c r="Z1188" s="35">
        <v>20.403780000000001</v>
      </c>
      <c r="AA1188" s="36">
        <f>IF(ISBLANK(Z1189),"",Long6[[#This Row],[Adj Close]]/Z1189-1)</f>
        <v>-3.1792189348640698E-2</v>
      </c>
      <c r="AK1188" s="37">
        <v>36780</v>
      </c>
      <c r="AL1188" s="39">
        <v>19.618040000000001</v>
      </c>
      <c r="AM1188" s="36">
        <f>IF(ISBLANK(AL1189),"",Short1[[#This Row],[Adj Close]]/AL1189-1)</f>
        <v>0.12099991754513306</v>
      </c>
      <c r="AN1188" s="29">
        <v>36780</v>
      </c>
      <c r="AO1188" s="44">
        <v>9.776192</v>
      </c>
      <c r="AP1188" s="33">
        <f>IF(ISBLANK(AO1189),"",Short2[[#This Row],[Adj Close]]/AO1189-1)</f>
        <v>-6.9447491812736351E-3</v>
      </c>
    </row>
    <row r="1189" spans="1:42" x14ac:dyDescent="0.25">
      <c r="A1189" s="37">
        <v>36773</v>
      </c>
      <c r="B1189" s="39">
        <v>1494.5</v>
      </c>
      <c r="C1189" s="36">
        <f>IF(ISBLANK(B1190), "", GSPC[[#This Row],[Adj Close]]/B1190-1)</f>
        <v>-1.7274156943204333E-2</v>
      </c>
      <c r="D118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8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89" s="11" t="e">
        <f>IF(ISBLANK(GSPC[[#This Row],[Long Exp.]]), "", (GSPC[[#This Row],[Long Exp.]]/D1190-1)+(E1190/GSPC[[#This Row],[Short Exp.]]-1))</f>
        <v>#VALUE!</v>
      </c>
      <c r="G1189" s="37">
        <v>36773</v>
      </c>
      <c r="H1189">
        <v>10.663734</v>
      </c>
      <c r="I1189" s="36">
        <f>IF(ISBLANK(H1190), "", Long0[[#This Row],[Adj Close]]/H1190-1)</f>
        <v>1.8433397579135757E-2</v>
      </c>
      <c r="M1189" s="37">
        <v>36773</v>
      </c>
      <c r="N1189">
        <v>11.301253000000001</v>
      </c>
      <c r="O1189" s="36">
        <f>IF(ISBLANK(N1190),"",Long2[[#This Row],[Adj Close]]/N1190-1)</f>
        <v>-4.2374251553722875E-3</v>
      </c>
      <c r="P1189" s="29">
        <v>36773</v>
      </c>
      <c r="Q1189">
        <v>6.8145759999999997</v>
      </c>
      <c r="R1189" s="33">
        <f>IF(ISBLANK(Q1190),"",Long3[[#This Row],[Adj Close]]/Q1190-1)</f>
        <v>0.14640898477191522</v>
      </c>
      <c r="S1189" s="37">
        <v>36773</v>
      </c>
      <c r="T1189" s="35">
        <v>27.816576000000001</v>
      </c>
      <c r="U1189" s="36">
        <f>IF(ISBLANK(T1190),"",Long4[[#This Row],[Adj Close]]/T1190-1)</f>
        <v>0</v>
      </c>
      <c r="Y1189" s="37">
        <v>36773</v>
      </c>
      <c r="Z1189" s="35">
        <v>21.073761000000001</v>
      </c>
      <c r="AA1189" s="36">
        <f>IF(ISBLANK(Z1190),"",Long6[[#This Row],[Adj Close]]/Z1190-1)</f>
        <v>-0.1306532364805536</v>
      </c>
      <c r="AK1189" s="37">
        <v>36773</v>
      </c>
      <c r="AL1189" s="39">
        <v>17.500482999999999</v>
      </c>
      <c r="AM1189" s="36">
        <f>IF(ISBLANK(AL1190),"",Short1[[#This Row],[Adj Close]]/AL1190-1)</f>
        <v>-2.3437249762701895E-2</v>
      </c>
      <c r="AN1189" s="29">
        <v>36773</v>
      </c>
      <c r="AO1189" s="44">
        <v>9.8445599999999995</v>
      </c>
      <c r="AP1189" s="33">
        <f>IF(ISBLANK(AO1190),"",Short2[[#This Row],[Adj Close]]/AO1190-1)</f>
        <v>-2.9213164043683015E-2</v>
      </c>
    </row>
    <row r="1190" spans="1:42" x14ac:dyDescent="0.25">
      <c r="A1190" s="37">
        <v>36766</v>
      </c>
      <c r="B1190" s="39">
        <v>1520.7700199999999</v>
      </c>
      <c r="C1190" s="36">
        <f>IF(ISBLANK(B1191), "", GSPC[[#This Row],[Adj Close]]/B1191-1)</f>
        <v>9.5058378743309024E-3</v>
      </c>
      <c r="D119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9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90" s="11" t="e">
        <f>IF(ISBLANK(GSPC[[#This Row],[Long Exp.]]), "", (GSPC[[#This Row],[Long Exp.]]/D1191-1)+(E1191/GSPC[[#This Row],[Short Exp.]]-1))</f>
        <v>#VALUE!</v>
      </c>
      <c r="G1190" s="37">
        <v>36766</v>
      </c>
      <c r="H1190">
        <v>10.470723</v>
      </c>
      <c r="I1190" s="36">
        <f>IF(ISBLANK(H1191), "", Long0[[#This Row],[Adj Close]]/H1191-1)</f>
        <v>-6.8653399544063021E-3</v>
      </c>
      <c r="M1190" s="37">
        <v>36766</v>
      </c>
      <c r="N1190">
        <v>11.349345</v>
      </c>
      <c r="O1190" s="36">
        <f>IF(ISBLANK(N1191),"",Long2[[#This Row],[Adj Close]]/N1191-1)</f>
        <v>0</v>
      </c>
      <c r="P1190" s="29">
        <v>36766</v>
      </c>
      <c r="Q1190">
        <v>5.94428</v>
      </c>
      <c r="R1190" s="33">
        <f>IF(ISBLANK(Q1191),"",Long3[[#This Row],[Adj Close]]/Q1191-1)</f>
        <v>5.6420205110742971E-2</v>
      </c>
      <c r="S1190" s="37">
        <v>36766</v>
      </c>
      <c r="T1190" s="35">
        <v>27.816576000000001</v>
      </c>
      <c r="U1190" s="36">
        <f>IF(ISBLANK(T1191),"",Long4[[#This Row],[Adj Close]]/T1191-1)</f>
        <v>1.5564140112529046E-2</v>
      </c>
      <c r="Y1190" s="37">
        <v>36766</v>
      </c>
      <c r="Z1190" s="35">
        <v>24.240915000000001</v>
      </c>
      <c r="AA1190" s="36">
        <f>IF(ISBLANK(Z1191),"",Long6[[#This Row],[Adj Close]]/Z1191-1)</f>
        <v>8.7431582208406855E-2</v>
      </c>
      <c r="AK1190" s="37">
        <v>36766</v>
      </c>
      <c r="AL1190" s="39">
        <v>17.920490000000001</v>
      </c>
      <c r="AM1190" s="36">
        <f>IF(ISBLANK(AL1191),"",Short1[[#This Row],[Adj Close]]/AL1191-1)</f>
        <v>-0.14237883249747862</v>
      </c>
      <c r="AN1190" s="29">
        <v>36766</v>
      </c>
      <c r="AO1190" s="44">
        <v>10.140805</v>
      </c>
      <c r="AP1190" s="33">
        <f>IF(ISBLANK(AO1191),"",Short2[[#This Row],[Adj Close]]/AO1191-1)</f>
        <v>5.9524014754842591E-2</v>
      </c>
    </row>
    <row r="1191" spans="1:42" x14ac:dyDescent="0.25">
      <c r="A1191" s="37">
        <v>36759</v>
      </c>
      <c r="B1191" s="39">
        <v>1506.4499510000001</v>
      </c>
      <c r="C1191" s="36">
        <f>IF(ISBLANK(B1192), "", GSPC[[#This Row],[Adj Close]]/B1192-1)</f>
        <v>9.8744940648114454E-3</v>
      </c>
      <c r="D119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9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91" s="11" t="e">
        <f>IF(ISBLANK(GSPC[[#This Row],[Long Exp.]]), "", (GSPC[[#This Row],[Long Exp.]]/D1192-1)+(E1192/GSPC[[#This Row],[Short Exp.]]-1))</f>
        <v>#VALUE!</v>
      </c>
      <c r="G1191" s="37">
        <v>36759</v>
      </c>
      <c r="H1191">
        <v>10.543105000000001</v>
      </c>
      <c r="I1191" s="36">
        <f>IF(ISBLANK(H1192), "", Long0[[#This Row],[Adj Close]]/H1192-1)</f>
        <v>4.2959450817033007E-2</v>
      </c>
      <c r="M1191" s="37">
        <v>36759</v>
      </c>
      <c r="N1191">
        <v>11.349345</v>
      </c>
      <c r="O1191" s="36">
        <f>IF(ISBLANK(N1192),"",Long2[[#This Row],[Adj Close]]/N1192-1)</f>
        <v>-1.2552186583594471E-2</v>
      </c>
      <c r="P1191" s="29">
        <v>36759</v>
      </c>
      <c r="Q1191">
        <v>5.6268140000000004</v>
      </c>
      <c r="R1191" s="33">
        <f>IF(ISBLANK(Q1192),"",Long3[[#This Row],[Adj Close]]/Q1192-1)</f>
        <v>6.8606541903789342E-2</v>
      </c>
      <c r="S1191" s="37">
        <v>36759</v>
      </c>
      <c r="T1191" s="35">
        <v>27.390270000000001</v>
      </c>
      <c r="U1191" s="36">
        <f>IF(ISBLANK(T1192),"",Long4[[#This Row],[Adj Close]]/T1192-1)</f>
        <v>7.5313948140934395E-2</v>
      </c>
      <c r="Y1191" s="37">
        <v>36759</v>
      </c>
      <c r="Z1191" s="35">
        <v>22.291899000000001</v>
      </c>
      <c r="AA1191" s="36">
        <f>IF(ISBLANK(Z1192),"",Long6[[#This Row],[Adj Close]]/Z1192-1)</f>
        <v>1.666657545267225E-2</v>
      </c>
      <c r="AK1191" s="37">
        <v>36759</v>
      </c>
      <c r="AL1191" s="39">
        <v>20.895578</v>
      </c>
      <c r="AM1191" s="36">
        <f>IF(ISBLANK(AL1192),"",Short1[[#This Row],[Adj Close]]/AL1192-1)</f>
        <v>1.1864564693813806E-2</v>
      </c>
      <c r="AN1191" s="29">
        <v>36759</v>
      </c>
      <c r="AO1191" s="44">
        <v>9.5710949999999997</v>
      </c>
      <c r="AP1191" s="33">
        <f>IF(ISBLANK(AO1192),"",Short2[[#This Row],[Adj Close]]/AO1192-1)</f>
        <v>-4.7396839344161501E-3</v>
      </c>
    </row>
    <row r="1192" spans="1:42" x14ac:dyDescent="0.25">
      <c r="A1192" s="37">
        <v>36752</v>
      </c>
      <c r="B1192" s="39">
        <v>1491.719971</v>
      </c>
      <c r="C1192" s="36">
        <f>IF(ISBLANK(B1193), "", GSPC[[#This Row],[Adj Close]]/B1193-1)</f>
        <v>1.3506906633353299E-2</v>
      </c>
      <c r="D119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9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92" s="11" t="e">
        <f>IF(ISBLANK(GSPC[[#This Row],[Long Exp.]]), "", (GSPC[[#This Row],[Long Exp.]]/D1193-1)+(E1193/GSPC[[#This Row],[Short Exp.]]-1))</f>
        <v>#VALUE!</v>
      </c>
      <c r="G1192" s="37">
        <v>36752</v>
      </c>
      <c r="H1192">
        <v>10.108834999999999</v>
      </c>
      <c r="I1192" s="36">
        <f>IF(ISBLANK(H1193), "", Long0[[#This Row],[Adj Close]]/H1193-1)</f>
        <v>-4.7727088391001926E-2</v>
      </c>
      <c r="M1192" s="37">
        <v>36752</v>
      </c>
      <c r="N1192">
        <v>11.493615</v>
      </c>
      <c r="O1192" s="36">
        <f>IF(ISBLANK(N1193),"",Long2[[#This Row],[Adj Close]]/N1193-1)</f>
        <v>-3.2388784964902495E-2</v>
      </c>
      <c r="P1192" s="29">
        <v>36752</v>
      </c>
      <c r="Q1192">
        <v>5.2655620000000001</v>
      </c>
      <c r="R1192" s="33">
        <f>IF(ISBLANK(Q1193),"",Long3[[#This Row],[Adj Close]]/Q1193-1)</f>
        <v>1.8528666539130434E-2</v>
      </c>
      <c r="S1192" s="37">
        <v>36752</v>
      </c>
      <c r="T1192" s="35">
        <v>25.471882000000001</v>
      </c>
      <c r="U1192" s="36">
        <f>IF(ISBLANK(T1193),"",Long4[[#This Row],[Adj Close]]/T1193-1)</f>
        <v>0.16870413135061968</v>
      </c>
      <c r="Y1192" s="37">
        <v>36752</v>
      </c>
      <c r="Z1192" s="35">
        <v>21.926459999999999</v>
      </c>
      <c r="AA1192" s="36">
        <f>IF(ISBLANK(Z1193),"",Long6[[#This Row],[Adj Close]]/Z1193-1)</f>
        <v>0.16883133498250613</v>
      </c>
      <c r="AK1192" s="37">
        <v>36752</v>
      </c>
      <c r="AL1192" s="39">
        <v>20.650568</v>
      </c>
      <c r="AM1192" s="36">
        <f>IF(ISBLANK(AL1193),"",Short1[[#This Row],[Adj Close]]/AL1193-1)</f>
        <v>1.6365345188535718E-2</v>
      </c>
      <c r="AN1192" s="29">
        <v>36752</v>
      </c>
      <c r="AO1192" s="44">
        <v>9.6166750000000008</v>
      </c>
      <c r="AP1192" s="33">
        <f>IF(ISBLANK(AO1193),"",Short2[[#This Row],[Adj Close]]/AO1193-1)</f>
        <v>-6.0133456372670757E-2</v>
      </c>
    </row>
    <row r="1193" spans="1:42" x14ac:dyDescent="0.25">
      <c r="A1193" s="37">
        <v>36745</v>
      </c>
      <c r="B1193" s="39">
        <v>1471.839966</v>
      </c>
      <c r="C1193" s="36">
        <f>IF(ISBLANK(B1194), "", GSPC[[#This Row],[Adj Close]]/B1194-1)</f>
        <v>6.0904565981390046E-3</v>
      </c>
      <c r="D119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9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93" s="11" t="e">
        <f>IF(ISBLANK(GSPC[[#This Row],[Long Exp.]]), "", (GSPC[[#This Row],[Long Exp.]]/D1194-1)+(E1194/GSPC[[#This Row],[Short Exp.]]-1))</f>
        <v>#VALUE!</v>
      </c>
      <c r="G1193" s="37">
        <v>36745</v>
      </c>
      <c r="H1193">
        <v>10.615481000000001</v>
      </c>
      <c r="I1193" s="36">
        <f>IF(ISBLANK(H1194), "", Long0[[#This Row],[Adj Close]]/H1194-1)</f>
        <v>0.20879119752928132</v>
      </c>
      <c r="M1193" s="37">
        <v>36745</v>
      </c>
      <c r="N1193">
        <v>11.87834</v>
      </c>
      <c r="O1193" s="36">
        <f>IF(ISBLANK(N1194),"",Long2[[#This Row],[Adj Close]]/N1194-1)</f>
        <v>7.3913085145181912E-2</v>
      </c>
      <c r="P1193" s="29">
        <v>36745</v>
      </c>
      <c r="Q1193">
        <v>5.1697730000000002</v>
      </c>
      <c r="R1193" s="33">
        <f>IF(ISBLANK(Q1194),"",Long3[[#This Row],[Adj Close]]/Q1194-1)</f>
        <v>4.9445038434313471E-2</v>
      </c>
      <c r="S1193" s="37">
        <v>36745</v>
      </c>
      <c r="T1193" s="35">
        <v>21.794979000000001</v>
      </c>
      <c r="U1193" s="36">
        <f>IF(ISBLANK(T1194),"",Long4[[#This Row],[Adj Close]]/T1194-1)</f>
        <v>-9.1111234455620527E-2</v>
      </c>
      <c r="Y1193" s="37">
        <v>36745</v>
      </c>
      <c r="Z1193" s="35">
        <v>18.759302000000002</v>
      </c>
      <c r="AA1193" s="36">
        <f>IF(ISBLANK(Z1194),"",Long6[[#This Row],[Adj Close]]/Z1194-1)</f>
        <v>-0.17647050043570545</v>
      </c>
      <c r="AK1193" s="37">
        <v>36745</v>
      </c>
      <c r="AL1193" s="39">
        <v>20.318055999999999</v>
      </c>
      <c r="AM1193" s="36">
        <f>IF(ISBLANK(AL1194),"",Short1[[#This Row],[Adj Close]]/AL1194-1)</f>
        <v>2.9255172970672483E-2</v>
      </c>
      <c r="AN1193" s="29">
        <v>36745</v>
      </c>
      <c r="AO1193" s="44">
        <v>10.231958000000001</v>
      </c>
      <c r="AP1193" s="33">
        <f>IF(ISBLANK(AO1194),"",Short2[[#This Row],[Adj Close]]/AO1194-1)</f>
        <v>0.10651242333487709</v>
      </c>
    </row>
    <row r="1194" spans="1:42" x14ac:dyDescent="0.25">
      <c r="A1194" s="37">
        <v>36738</v>
      </c>
      <c r="B1194" s="39">
        <v>1462.9300539999999</v>
      </c>
      <c r="C1194" s="36">
        <f>IF(ISBLANK(B1195), "", GSPC[[#This Row],[Adj Close]]/B1195-1)</f>
        <v>3.0312234430354801E-2</v>
      </c>
      <c r="D119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9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94" s="11" t="e">
        <f>IF(ISBLANK(GSPC[[#This Row],[Long Exp.]]), "", (GSPC[[#This Row],[Long Exp.]]/D1195-1)+(E1195/GSPC[[#This Row],[Short Exp.]]-1))</f>
        <v>#VALUE!</v>
      </c>
      <c r="G1194" s="37">
        <v>36738</v>
      </c>
      <c r="H1194">
        <v>8.781898</v>
      </c>
      <c r="I1194" s="36">
        <f>IF(ISBLANK(H1195), "", Long0[[#This Row],[Adj Close]]/H1195-1)</f>
        <v>6.432696232563595E-2</v>
      </c>
      <c r="M1194" s="37">
        <v>36738</v>
      </c>
      <c r="N1194">
        <v>11.060802000000001</v>
      </c>
      <c r="O1194" s="36">
        <f>IF(ISBLANK(N1195),"",Long2[[#This Row],[Adj Close]]/N1195-1)</f>
        <v>7.4766658452650514E-2</v>
      </c>
      <c r="P1194" s="29">
        <v>36738</v>
      </c>
      <c r="Q1194">
        <v>4.9261970000000002</v>
      </c>
      <c r="R1194" s="33">
        <f>IF(ISBLANK(Q1195),"",Long3[[#This Row],[Adj Close]]/Q1195-1)</f>
        <v>9.2232290735908107E-2</v>
      </c>
      <c r="S1194" s="37">
        <v>36738</v>
      </c>
      <c r="T1194" s="35">
        <v>23.979808999999999</v>
      </c>
      <c r="U1194" s="36">
        <f>IF(ISBLANK(T1195),"",Long4[[#This Row],[Adj Close]]/T1195-1)</f>
        <v>-0.14772720527964101</v>
      </c>
      <c r="Y1194" s="37">
        <v>36738</v>
      </c>
      <c r="Z1194" s="35">
        <v>22.779150000000001</v>
      </c>
      <c r="AA1194" s="36">
        <f>IF(ISBLANK(Z1195),"",Long6[[#This Row],[Adj Close]]/Z1195-1)</f>
        <v>-9.2233151120964529E-2</v>
      </c>
      <c r="AK1194" s="37">
        <v>36738</v>
      </c>
      <c r="AL1194" s="39">
        <v>19.740542999999999</v>
      </c>
      <c r="AM1194" s="36">
        <f>IF(ISBLANK(AL1195),"",Short1[[#This Row],[Adj Close]]/AL1195-1)</f>
        <v>-2.0833160760338476E-2</v>
      </c>
      <c r="AN1194" s="29">
        <v>36738</v>
      </c>
      <c r="AO1194" s="44">
        <v>9.2470339999999993</v>
      </c>
      <c r="AP1194" s="33">
        <f>IF(ISBLANK(AO1195),"",Short2[[#This Row],[Adj Close]]/AO1195-1)</f>
        <v>9.1397957970887456E-2</v>
      </c>
    </row>
    <row r="1195" spans="1:42" x14ac:dyDescent="0.25">
      <c r="A1195" s="37">
        <v>36731</v>
      </c>
      <c r="B1195" s="39">
        <v>1419.8900149999999</v>
      </c>
      <c r="C1195" s="36">
        <f>IF(ISBLANK(B1196), "", GSPC[[#This Row],[Adj Close]]/B1196-1)</f>
        <v>-4.0737964993372566E-2</v>
      </c>
      <c r="D119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9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95" s="11" t="e">
        <f>IF(ISBLANK(GSPC[[#This Row],[Long Exp.]]), "", (GSPC[[#This Row],[Long Exp.]]/D1196-1)+(E1196/GSPC[[#This Row],[Short Exp.]]-1))</f>
        <v>#VALUE!</v>
      </c>
      <c r="G1195" s="37">
        <v>36731</v>
      </c>
      <c r="H1195">
        <v>8.2511279999999996</v>
      </c>
      <c r="I1195" s="36">
        <f>IF(ISBLANK(H1196), "", Long0[[#This Row],[Adj Close]]/H1196-1)</f>
        <v>8.2279086209124053E-2</v>
      </c>
      <c r="M1195" s="37">
        <v>36731</v>
      </c>
      <c r="N1195">
        <v>10.291352</v>
      </c>
      <c r="O1195" s="36">
        <f>IF(ISBLANK(N1196),"",Long2[[#This Row],[Adj Close]]/N1196-1)</f>
        <v>1.4218180424139915E-2</v>
      </c>
      <c r="P1195" s="29">
        <v>36731</v>
      </c>
      <c r="Q1195">
        <v>4.5102099999999998</v>
      </c>
      <c r="R1195" s="33">
        <f>IF(ISBLANK(Q1196),"",Long3[[#This Row],[Adj Close]]/Q1196-1)</f>
        <v>0.11653094391983143</v>
      </c>
      <c r="S1195" s="37">
        <v>36731</v>
      </c>
      <c r="T1195" s="35">
        <v>28.136306999999999</v>
      </c>
      <c r="U1195" s="36">
        <f>IF(ISBLANK(T1196),"",Long4[[#This Row],[Adj Close]]/T1196-1)</f>
        <v>-3.649634361611831E-2</v>
      </c>
      <c r="Y1195" s="37">
        <v>36731</v>
      </c>
      <c r="Z1195" s="35">
        <v>25.093613000000001</v>
      </c>
      <c r="AA1195" s="36">
        <f>IF(ISBLANK(Z1196),"",Long6[[#This Row],[Adj Close]]/Z1196-1)</f>
        <v>-0.19215672980619025</v>
      </c>
      <c r="AK1195" s="37">
        <v>36731</v>
      </c>
      <c r="AL1195" s="39">
        <v>20.160551000000002</v>
      </c>
      <c r="AM1195" s="36">
        <f>IF(ISBLANK(AL1196),"",Short1[[#This Row],[Adj Close]]/AL1196-1)</f>
        <v>-3.919963132199844E-2</v>
      </c>
      <c r="AN1195" s="29">
        <v>36731</v>
      </c>
      <c r="AO1195" s="44">
        <v>8.4726510000000008</v>
      </c>
      <c r="AP1195" s="33">
        <f>IF(ISBLANK(AO1196),"",Short2[[#This Row],[Adj Close]]/AO1196-1)</f>
        <v>-1.0638786075133355E-2</v>
      </c>
    </row>
    <row r="1196" spans="1:42" x14ac:dyDescent="0.25">
      <c r="A1196" s="37">
        <v>36724</v>
      </c>
      <c r="B1196" s="39">
        <v>1480.1899410000001</v>
      </c>
      <c r="C1196" s="36">
        <f>IF(ISBLANK(B1197), "", GSPC[[#This Row],[Adj Close]]/B1197-1)</f>
        <v>-1.9728764218450046E-2</v>
      </c>
      <c r="D119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9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96" s="11" t="e">
        <f>IF(ISBLANK(GSPC[[#This Row],[Long Exp.]]), "", (GSPC[[#This Row],[Long Exp.]]/D1197-1)+(E1197/GSPC[[#This Row],[Short Exp.]]-1))</f>
        <v>#VALUE!</v>
      </c>
      <c r="G1196" s="37">
        <v>36724</v>
      </c>
      <c r="H1196">
        <v>7.6238450000000002</v>
      </c>
      <c r="I1196" s="36">
        <f>IF(ISBLANK(H1197), "", Long0[[#This Row],[Adj Close]]/H1197-1)</f>
        <v>5.333311964126275E-2</v>
      </c>
      <c r="M1196" s="37">
        <v>36724</v>
      </c>
      <c r="N1196">
        <v>10.147079</v>
      </c>
      <c r="O1196" s="36">
        <f>IF(ISBLANK(N1197),"",Long2[[#This Row],[Adj Close]]/N1197-1)</f>
        <v>-9.0517579037054929E-2</v>
      </c>
      <c r="P1196" s="29">
        <v>36724</v>
      </c>
      <c r="Q1196">
        <v>4.039485</v>
      </c>
      <c r="R1196" s="33">
        <f>IF(ISBLANK(Q1197),"",Long3[[#This Row],[Adj Close]]/Q1197-1)</f>
        <v>2.5000513834323002E-2</v>
      </c>
      <c r="S1196" s="37">
        <v>36724</v>
      </c>
      <c r="T1196" s="35">
        <v>29.202076000000002</v>
      </c>
      <c r="U1196" s="36">
        <f>IF(ISBLANK(T1197),"",Long4[[#This Row],[Adj Close]]/T1197-1)</f>
        <v>1.6697618614326393E-2</v>
      </c>
      <c r="Y1196" s="37">
        <v>36724</v>
      </c>
      <c r="Z1196" s="35">
        <v>31.062477000000001</v>
      </c>
      <c r="AA1196" s="36">
        <f>IF(ISBLANK(Z1197),"",Long6[[#This Row],[Adj Close]]/Z1197-1)</f>
        <v>8.9743576700165306E-2</v>
      </c>
      <c r="AK1196" s="37">
        <v>36724</v>
      </c>
      <c r="AL1196" s="39">
        <v>20.983080000000001</v>
      </c>
      <c r="AM1196" s="36">
        <f>IF(ISBLANK(AL1197),"",Short1[[#This Row],[Adj Close]]/AL1197-1)</f>
        <v>-3.6947426424725371E-2</v>
      </c>
      <c r="AN1196" s="29">
        <v>36724</v>
      </c>
      <c r="AO1196" s="44">
        <v>8.5637589999999992</v>
      </c>
      <c r="AP1196" s="33">
        <f>IF(ISBLANK(AO1197),"",Short2[[#This Row],[Adj Close]]/AO1197-1)</f>
        <v>2.173929643085093E-2</v>
      </c>
    </row>
    <row r="1197" spans="1:42" x14ac:dyDescent="0.25">
      <c r="A1197" s="37">
        <v>36717</v>
      </c>
      <c r="B1197" s="39">
        <v>1509.9799800000001</v>
      </c>
      <c r="C1197" s="36">
        <f>IF(ISBLANK(B1198), "", GSPC[[#This Row],[Adj Close]]/B1198-1)</f>
        <v>2.1015589624468145E-2</v>
      </c>
      <c r="D119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9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97" s="11" t="e">
        <f>IF(ISBLANK(GSPC[[#This Row],[Long Exp.]]), "", (GSPC[[#This Row],[Long Exp.]]/D1198-1)+(E1198/GSPC[[#This Row],[Short Exp.]]-1))</f>
        <v>#VALUE!</v>
      </c>
      <c r="G1197" s="37">
        <v>36717</v>
      </c>
      <c r="H1197">
        <v>7.2378289999999996</v>
      </c>
      <c r="I1197" s="36">
        <f>IF(ISBLANK(H1198), "", Long0[[#This Row],[Adj Close]]/H1198-1)</f>
        <v>-4.1533259899468544E-2</v>
      </c>
      <c r="M1197" s="37">
        <v>36717</v>
      </c>
      <c r="N1197">
        <v>11.156981999999999</v>
      </c>
      <c r="O1197" s="36">
        <f>IF(ISBLANK(N1198),"",Long2[[#This Row],[Adj Close]]/N1198-1)</f>
        <v>3.5714524422739258E-2</v>
      </c>
      <c r="P1197" s="29">
        <v>36717</v>
      </c>
      <c r="Q1197">
        <v>3.9409589999999999</v>
      </c>
      <c r="R1197" s="33">
        <f>IF(ISBLANK(Q1198),"",Long3[[#This Row],[Adj Close]]/Q1198-1)</f>
        <v>0</v>
      </c>
      <c r="S1197" s="37">
        <v>36717</v>
      </c>
      <c r="T1197" s="35">
        <v>28.722479</v>
      </c>
      <c r="U1197" s="36">
        <f>IF(ISBLANK(T1198),"",Long4[[#This Row],[Adj Close]]/T1198-1)</f>
        <v>-6.2608680440887077E-2</v>
      </c>
      <c r="Y1197" s="37">
        <v>36717</v>
      </c>
      <c r="Z1197" s="35">
        <v>28.504390999999998</v>
      </c>
      <c r="AA1197" s="36">
        <f>IF(ISBLANK(Z1198),"",Long6[[#This Row],[Adj Close]]/Z1198-1)</f>
        <v>-5.8349984481685935E-2</v>
      </c>
      <c r="AK1197" s="37">
        <v>36717</v>
      </c>
      <c r="AL1197" s="39">
        <v>21.788094000000001</v>
      </c>
      <c r="AM1197" s="36">
        <f>IF(ISBLANK(AL1198),"",Short1[[#This Row],[Adj Close]]/AL1198-1)</f>
        <v>9.9823381887792273E-2</v>
      </c>
      <c r="AN1197" s="29">
        <v>36717</v>
      </c>
      <c r="AO1197" s="44">
        <v>8.3815500000000007</v>
      </c>
      <c r="AP1197" s="33">
        <f>IF(ISBLANK(AO1198),"",Short2[[#This Row],[Adj Close]]/AO1198-1)</f>
        <v>2.7932644353370284E-2</v>
      </c>
    </row>
    <row r="1198" spans="1:42" x14ac:dyDescent="0.25">
      <c r="A1198" s="37">
        <v>36710</v>
      </c>
      <c r="B1198" s="39">
        <v>1478.900024</v>
      </c>
      <c r="C1198" s="36">
        <f>IF(ISBLANK(B1199), "", GSPC[[#This Row],[Adj Close]]/B1199-1)</f>
        <v>1.6705656813512881E-2</v>
      </c>
      <c r="D119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9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98" s="11" t="e">
        <f>IF(ISBLANK(GSPC[[#This Row],[Long Exp.]]), "", (GSPC[[#This Row],[Long Exp.]]/D1199-1)+(E1199/GSPC[[#This Row],[Short Exp.]]-1))</f>
        <v>#VALUE!</v>
      </c>
      <c r="G1198" s="37">
        <v>36710</v>
      </c>
      <c r="H1198">
        <v>7.5514659999999996</v>
      </c>
      <c r="I1198" s="36">
        <f>IF(ISBLANK(H1199), "", Long0[[#This Row],[Adj Close]]/H1199-1)</f>
        <v>8.1809459998226419E-2</v>
      </c>
      <c r="M1198" s="37">
        <v>36710</v>
      </c>
      <c r="N1198">
        <v>10.772256</v>
      </c>
      <c r="O1198" s="36">
        <f>IF(ISBLANK(N1199),"",Long2[[#This Row],[Adj Close]]/N1199-1)</f>
        <v>7.5630225249909255E-2</v>
      </c>
      <c r="P1198" s="29">
        <v>36710</v>
      </c>
      <c r="Q1198">
        <v>3.9409589999999999</v>
      </c>
      <c r="R1198" s="33">
        <f>IF(ISBLANK(Q1199),"",Long3[[#This Row],[Adj Close]]/Q1199-1)</f>
        <v>2.5640765389455922E-2</v>
      </c>
      <c r="S1198" s="37">
        <v>36710</v>
      </c>
      <c r="T1198" s="35">
        <v>30.640863</v>
      </c>
      <c r="U1198" s="36">
        <f>IF(ISBLANK(T1199),"",Long4[[#This Row],[Adj Close]]/T1199-1)</f>
        <v>0.15694170771415972</v>
      </c>
      <c r="Y1198" s="37">
        <v>36710</v>
      </c>
      <c r="Z1198" s="35">
        <v>30.270685</v>
      </c>
      <c r="AA1198" s="36">
        <f>IF(ISBLANK(Z1199),"",Long6[[#This Row],[Adj Close]]/Z1199-1)</f>
        <v>4.6315686796513766E-2</v>
      </c>
      <c r="AK1198" s="37">
        <v>36710</v>
      </c>
      <c r="AL1198" s="39">
        <v>19.810538999999999</v>
      </c>
      <c r="AM1198" s="36">
        <f>IF(ISBLANK(AL1199),"",Short1[[#This Row],[Adj Close]]/AL1199-1)</f>
        <v>0.11857675059979988</v>
      </c>
      <c r="AN1198" s="29">
        <v>36710</v>
      </c>
      <c r="AO1198" s="44">
        <v>8.1537930000000003</v>
      </c>
      <c r="AP1198" s="33">
        <f>IF(ISBLANK(AO1199),"",Short2[[#This Row],[Adj Close]]/AO1199-1)</f>
        <v>0.10408611602866635</v>
      </c>
    </row>
    <row r="1199" spans="1:42" x14ac:dyDescent="0.25">
      <c r="A1199" s="37">
        <v>36703</v>
      </c>
      <c r="B1199" s="39">
        <v>1454.599976</v>
      </c>
      <c r="C1199" s="36">
        <f>IF(ISBLANK(B1200), "", GSPC[[#This Row],[Adj Close]]/B1200-1)</f>
        <v>9.1017538793705111E-3</v>
      </c>
      <c r="D119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19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199" s="11" t="e">
        <f>IF(ISBLANK(GSPC[[#This Row],[Long Exp.]]), "", (GSPC[[#This Row],[Long Exp.]]/D1200-1)+(E1200/GSPC[[#This Row],[Short Exp.]]-1))</f>
        <v>#VALUE!</v>
      </c>
      <c r="G1199" s="37">
        <v>36703</v>
      </c>
      <c r="H1199">
        <v>6.9804029999999999</v>
      </c>
      <c r="I1199" s="36">
        <f>IF(ISBLANK(H1200), "", Long0[[#This Row],[Adj Close]]/H1200-1)</f>
        <v>6.6176406572827196E-2</v>
      </c>
      <c r="M1199" s="37">
        <v>36703</v>
      </c>
      <c r="N1199">
        <v>10.014832</v>
      </c>
      <c r="O1199" s="36">
        <f>IF(ISBLANK(N1200),"",Long2[[#This Row],[Adj Close]]/N1200-1)</f>
        <v>-2.2300513254469134E-2</v>
      </c>
      <c r="P1199" s="29">
        <v>36703</v>
      </c>
      <c r="Q1199">
        <v>3.8424360000000002</v>
      </c>
      <c r="R1199" s="33">
        <f>IF(ISBLANK(Q1200),"",Long3[[#This Row],[Adj Close]]/Q1200-1)</f>
        <v>-2.7700557654964486E-2</v>
      </c>
      <c r="S1199" s="37">
        <v>36703</v>
      </c>
      <c r="T1199" s="35">
        <v>26.484362000000001</v>
      </c>
      <c r="U1199" s="36">
        <f>IF(ISBLANK(T1200),"",Long4[[#This Row],[Adj Close]]/T1200-1)</f>
        <v>-2.3575910054888571E-2</v>
      </c>
      <c r="Y1199" s="37">
        <v>36703</v>
      </c>
      <c r="Z1199" s="35">
        <v>28.930738000000002</v>
      </c>
      <c r="AA1199" s="36">
        <f>IF(ISBLANK(Z1200),"",Long6[[#This Row],[Adj Close]]/Z1200-1)</f>
        <v>0.15853644178925363</v>
      </c>
      <c r="AK1199" s="37">
        <v>36703</v>
      </c>
      <c r="AL1199" s="39">
        <v>17.710487000000001</v>
      </c>
      <c r="AM1199" s="36">
        <f>IF(ISBLANK(AL1200),"",Short1[[#This Row],[Adj Close]]/AL1200-1)</f>
        <v>-4.9159508598194401E-3</v>
      </c>
      <c r="AN1199" s="29">
        <v>36703</v>
      </c>
      <c r="AO1199" s="44">
        <v>7.3851060000000004</v>
      </c>
      <c r="AP1199" s="33">
        <f>IF(ISBLANK(AO1200),"",Short2[[#This Row],[Adj Close]]/AO1200-1)</f>
        <v>0.10665597938547555</v>
      </c>
    </row>
    <row r="1200" spans="1:42" x14ac:dyDescent="0.25">
      <c r="A1200" s="37">
        <v>36696</v>
      </c>
      <c r="B1200" s="39">
        <v>1441.4799800000001</v>
      </c>
      <c r="C1200" s="36">
        <f>IF(ISBLANK(B1201), "", GSPC[[#This Row],[Adj Close]]/B1201-1)</f>
        <v>-1.5691778274571688E-2</v>
      </c>
      <c r="D120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0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00" s="11" t="e">
        <f>IF(ISBLANK(GSPC[[#This Row],[Long Exp.]]), "", (GSPC[[#This Row],[Long Exp.]]/D1201-1)+(E1201/GSPC[[#This Row],[Short Exp.]]-1))</f>
        <v>#VALUE!</v>
      </c>
      <c r="G1200" s="37">
        <v>36696</v>
      </c>
      <c r="H1200">
        <v>6.5471370000000002</v>
      </c>
      <c r="I1200" s="36">
        <f>IF(ISBLANK(H1201), "", Long0[[#This Row],[Adj Close]]/H1201-1)</f>
        <v>-6.2068909201947187E-2</v>
      </c>
      <c r="M1200" s="37">
        <v>36696</v>
      </c>
      <c r="N1200">
        <v>10.243262</v>
      </c>
      <c r="O1200" s="36">
        <f>IF(ISBLANK(N1201),"",Long2[[#This Row],[Adj Close]]/N1201-1)</f>
        <v>-0.10011960908080231</v>
      </c>
      <c r="P1200" s="29">
        <v>36696</v>
      </c>
      <c r="Q1200">
        <v>3.9519060000000001</v>
      </c>
      <c r="R1200" s="33">
        <f>IF(ISBLANK(Q1201),"",Long3[[#This Row],[Adj Close]]/Q1201-1)</f>
        <v>-2.8263404911271661E-2</v>
      </c>
      <c r="S1200" s="37">
        <v>36696</v>
      </c>
      <c r="T1200" s="35">
        <v>27.123830999999999</v>
      </c>
      <c r="U1200" s="36">
        <f>IF(ISBLANK(T1201),"",Long4[[#This Row],[Adj Close]]/T1201-1)</f>
        <v>-1.9606568997241336E-3</v>
      </c>
      <c r="Y1200" s="37">
        <v>36696</v>
      </c>
      <c r="Z1200" s="35">
        <v>24.971798</v>
      </c>
      <c r="AA1200" s="36">
        <f>IF(ISBLANK(Z1201),"",Long6[[#This Row],[Adj Close]]/Z1201-1)</f>
        <v>0.15819240378813415</v>
      </c>
      <c r="AK1200" s="37">
        <v>36696</v>
      </c>
      <c r="AL1200" s="39">
        <v>17.797981</v>
      </c>
      <c r="AM1200" s="36">
        <f>IF(ISBLANK(AL1201),"",Short1[[#This Row],[Adj Close]]/AL1201-1)</f>
        <v>-8.4608627596039598E-2</v>
      </c>
      <c r="AN1200" s="29">
        <v>36696</v>
      </c>
      <c r="AO1200" s="44">
        <v>6.6733529999999996</v>
      </c>
      <c r="AP1200" s="33">
        <f>IF(ISBLANK(AO1201),"",Short2[[#This Row],[Adj Close]]/AO1201-1)</f>
        <v>-3.6184428117720047E-2</v>
      </c>
    </row>
    <row r="1201" spans="1:42" x14ac:dyDescent="0.25">
      <c r="A1201" s="37">
        <v>36689</v>
      </c>
      <c r="B1201" s="39">
        <v>1464.459961</v>
      </c>
      <c r="C1201" s="36">
        <f>IF(ISBLANK(B1202), "", GSPC[[#This Row],[Adj Close]]/B1202-1)</f>
        <v>5.15461083261326E-3</v>
      </c>
      <c r="D120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0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01" s="11" t="e">
        <f>IF(ISBLANK(GSPC[[#This Row],[Long Exp.]]), "", (GSPC[[#This Row],[Long Exp.]]/D1202-1)+(E1202/GSPC[[#This Row],[Short Exp.]]-1))</f>
        <v>#VALUE!</v>
      </c>
      <c r="G1201" s="37">
        <v>36689</v>
      </c>
      <c r="H1201">
        <v>6.9804029999999999</v>
      </c>
      <c r="I1201" s="36">
        <f>IF(ISBLANK(H1202), "", Long0[[#This Row],[Adj Close]]/H1202-1)</f>
        <v>4.6931625063535876E-2</v>
      </c>
      <c r="M1201" s="37">
        <v>36689</v>
      </c>
      <c r="N1201">
        <v>11.382915000000001</v>
      </c>
      <c r="O1201" s="36">
        <f>IF(ISBLANK(N1202),"",Long2[[#This Row],[Adj Close]]/N1202-1)</f>
        <v>1.7093881155762602E-2</v>
      </c>
      <c r="P1201" s="29">
        <v>36689</v>
      </c>
      <c r="Q1201">
        <v>4.0668490000000004</v>
      </c>
      <c r="R1201" s="33">
        <f>IF(ISBLANK(Q1202),"",Long3[[#This Row],[Adj Close]]/Q1202-1)</f>
        <v>2.111735024897432E-2</v>
      </c>
      <c r="S1201" s="37">
        <v>36689</v>
      </c>
      <c r="T1201" s="35">
        <v>27.177116000000002</v>
      </c>
      <c r="U1201" s="36">
        <f>IF(ISBLANK(T1202),"",Long4[[#This Row],[Adj Close]]/T1202-1)</f>
        <v>8.0508535392576741E-2</v>
      </c>
      <c r="Y1201" s="37">
        <v>36689</v>
      </c>
      <c r="Z1201" s="35">
        <v>21.56101</v>
      </c>
      <c r="AA1201" s="36">
        <f>IF(ISBLANK(Z1202),"",Long6[[#This Row],[Adj Close]]/Z1202-1)</f>
        <v>9.2592357988650065E-2</v>
      </c>
      <c r="AK1201" s="37">
        <v>36689</v>
      </c>
      <c r="AL1201" s="39">
        <v>19.443028999999999</v>
      </c>
      <c r="AM1201" s="36">
        <f>IF(ISBLANK(AL1202),"",Short1[[#This Row],[Adj Close]]/AL1202-1)</f>
        <v>0.11211202760262151</v>
      </c>
      <c r="AN1201" s="29">
        <v>36689</v>
      </c>
      <c r="AO1201" s="44">
        <v>6.9238900000000001</v>
      </c>
      <c r="AP1201" s="33">
        <f>IF(ISBLANK(AO1202),"",Short2[[#This Row],[Adj Close]]/AO1202-1)</f>
        <v>-2.5640939041501998E-2</v>
      </c>
    </row>
    <row r="1202" spans="1:42" x14ac:dyDescent="0.25">
      <c r="A1202" s="37">
        <v>36682</v>
      </c>
      <c r="B1202" s="39">
        <v>1456.9499510000001</v>
      </c>
      <c r="C1202" s="36">
        <f>IF(ISBLANK(B1203), "", GSPC[[#This Row],[Adj Close]]/B1203-1)</f>
        <v>-1.3748465986024971E-2</v>
      </c>
      <c r="D120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0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02" s="11" t="e">
        <f>IF(ISBLANK(GSPC[[#This Row],[Long Exp.]]), "", (GSPC[[#This Row],[Long Exp.]]/D1203-1)+(E1203/GSPC[[#This Row],[Short Exp.]]-1))</f>
        <v>#VALUE!</v>
      </c>
      <c r="G1202" s="37">
        <v>36682</v>
      </c>
      <c r="H1202">
        <v>6.6674870000000004</v>
      </c>
      <c r="I1202" s="36">
        <f>IF(ISBLANK(H1203), "", Long0[[#This Row],[Adj Close]]/H1203-1)</f>
        <v>-0.35431246514926806</v>
      </c>
      <c r="M1202" s="37">
        <v>36682</v>
      </c>
      <c r="N1202">
        <v>11.191606999999999</v>
      </c>
      <c r="O1202" s="36">
        <f>IF(ISBLANK(N1203),"",Long2[[#This Row],[Adj Close]]/N1203-1)</f>
        <v>-5.645142796826097E-2</v>
      </c>
      <c r="P1202" s="29">
        <v>36682</v>
      </c>
      <c r="Q1202">
        <v>3.9827439999999998</v>
      </c>
      <c r="R1202" s="33">
        <f>IF(ISBLANK(Q1203),"",Long3[[#This Row],[Adj Close]]/Q1203-1)</f>
        <v>-1.8666493203649992E-2</v>
      </c>
      <c r="S1202" s="37">
        <v>36682</v>
      </c>
      <c r="T1202" s="35">
        <v>25.152152999999998</v>
      </c>
      <c r="U1202" s="36">
        <f>IF(ISBLANK(T1203),"",Long4[[#This Row],[Adj Close]]/T1203-1)</f>
        <v>-0.14181818591253581</v>
      </c>
      <c r="Y1202" s="37">
        <v>36682</v>
      </c>
      <c r="Z1202" s="35">
        <v>19.733809999999998</v>
      </c>
      <c r="AA1202" s="36">
        <f>IF(ISBLANK(Z1203),"",Long6[[#This Row],[Adj Close]]/Z1203-1)</f>
        <v>0.31174104623755539</v>
      </c>
      <c r="AK1202" s="37">
        <v>36682</v>
      </c>
      <c r="AL1202" s="39">
        <v>17.482977000000002</v>
      </c>
      <c r="AM1202" s="36">
        <f>IF(ISBLANK(AL1203),"",Short1[[#This Row],[Adj Close]]/AL1203-1)</f>
        <v>-0.16888543125504496</v>
      </c>
      <c r="AN1202" s="29">
        <v>36682</v>
      </c>
      <c r="AO1202" s="44">
        <v>7.1060970000000001</v>
      </c>
      <c r="AP1202" s="33">
        <f>IF(ISBLANK(AO1203),"",Short2[[#This Row],[Adj Close]]/AO1203-1)</f>
        <v>-9.5235533226852853E-3</v>
      </c>
    </row>
    <row r="1203" spans="1:42" x14ac:dyDescent="0.25">
      <c r="A1203" s="37">
        <v>36675</v>
      </c>
      <c r="B1203" s="39">
        <v>1477.26001</v>
      </c>
      <c r="C1203" s="36">
        <f>IF(ISBLANK(B1204), "", GSPC[[#This Row],[Adj Close]]/B1204-1)</f>
        <v>7.2016363013361673E-2</v>
      </c>
      <c r="D120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0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03" s="11" t="e">
        <f>IF(ISBLANK(GSPC[[#This Row],[Long Exp.]]), "", (GSPC[[#This Row],[Long Exp.]]/D1204-1)+(E1204/GSPC[[#This Row],[Short Exp.]]-1))</f>
        <v>#VALUE!</v>
      </c>
      <c r="G1203" s="37">
        <v>36675</v>
      </c>
      <c r="H1203">
        <v>10.326181999999999</v>
      </c>
      <c r="I1203" s="36">
        <f>IF(ISBLANK(H1204), "", Long0[[#This Row],[Adj Close]]/H1204-1)</f>
        <v>-1.1643204695123144E-3</v>
      </c>
      <c r="M1203" s="37">
        <v>36675</v>
      </c>
      <c r="N1203">
        <v>11.861188</v>
      </c>
      <c r="O1203" s="36">
        <f>IF(ISBLANK(N1204),"",Long2[[#This Row],[Adj Close]]/N1204-1)</f>
        <v>0</v>
      </c>
      <c r="P1203" s="29">
        <v>36675</v>
      </c>
      <c r="Q1203">
        <v>4.0585019999999998</v>
      </c>
      <c r="R1203" s="33">
        <f>IF(ISBLANK(Q1204),"",Long3[[#This Row],[Adj Close]]/Q1204-1)</f>
        <v>-1.8324677614693585E-2</v>
      </c>
      <c r="S1203" s="37">
        <v>36675</v>
      </c>
      <c r="T1203" s="35">
        <v>29.308653</v>
      </c>
      <c r="U1203" s="36">
        <f>IF(ISBLANK(T1204),"",Long4[[#This Row],[Adj Close]]/T1204-1)</f>
        <v>0.1410788257350446</v>
      </c>
      <c r="Y1203" s="37">
        <v>36675</v>
      </c>
      <c r="Z1203" s="35">
        <v>15.043983000000001</v>
      </c>
      <c r="AA1203" s="36">
        <f>IF(ISBLANK(Z1204),"",Long6[[#This Row],[Adj Close]]/Z1204-1)</f>
        <v>1.6460887832698168E-2</v>
      </c>
      <c r="AK1203" s="37">
        <v>36675</v>
      </c>
      <c r="AL1203" s="39">
        <v>21.03558</v>
      </c>
      <c r="AM1203" s="36">
        <f>IF(ISBLANK(AL1204),"",Short1[[#This Row],[Adj Close]]/AL1204-1)</f>
        <v>0.20440858069501067</v>
      </c>
      <c r="AN1203" s="29">
        <v>36675</v>
      </c>
      <c r="AO1203" s="44">
        <v>7.174423</v>
      </c>
      <c r="AP1203" s="33">
        <f>IF(ISBLANK(AO1204),"",Short2[[#This Row],[Adj Close]]/AO1204-1)</f>
        <v>7.5085193305374442E-2</v>
      </c>
    </row>
    <row r="1204" spans="1:42" x14ac:dyDescent="0.25">
      <c r="A1204" s="37">
        <v>36668</v>
      </c>
      <c r="B1204" s="39">
        <v>1378.0200199999999</v>
      </c>
      <c r="C1204" s="36">
        <f>IF(ISBLANK(B1205), "", GSPC[[#This Row],[Adj Close]]/B1205-1)</f>
        <v>-2.0562160707591648E-2</v>
      </c>
      <c r="D120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0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04" s="11" t="e">
        <f>IF(ISBLANK(GSPC[[#This Row],[Long Exp.]]), "", (GSPC[[#This Row],[Long Exp.]]/D1205-1)+(E1205/GSPC[[#This Row],[Short Exp.]]-1))</f>
        <v>#VALUE!</v>
      </c>
      <c r="G1204" s="37">
        <v>36668</v>
      </c>
      <c r="H1204">
        <v>10.338219</v>
      </c>
      <c r="I1204" s="36">
        <f>IF(ISBLANK(H1205), "", Long0[[#This Row],[Adj Close]]/H1205-1)</f>
        <v>2.751225549269587E-2</v>
      </c>
      <c r="M1204" s="37">
        <v>36668</v>
      </c>
      <c r="N1204">
        <v>11.861188</v>
      </c>
      <c r="O1204" s="36">
        <f>IF(ISBLANK(N1205),"",Long2[[#This Row],[Adj Close]]/N1205-1)</f>
        <v>-9.1574794200263043E-2</v>
      </c>
      <c r="P1204" s="29">
        <v>36668</v>
      </c>
      <c r="Q1204">
        <v>4.1342610000000004</v>
      </c>
      <c r="R1204" s="33">
        <f>IF(ISBLANK(Q1205),"",Long3[[#This Row],[Adj Close]]/Q1205-1)</f>
        <v>1.3262509105061993E-2</v>
      </c>
      <c r="S1204" s="37">
        <v>36668</v>
      </c>
      <c r="T1204" s="35">
        <v>25.685037999999999</v>
      </c>
      <c r="U1204" s="36">
        <f>IF(ISBLANK(T1205),"",Long4[[#This Row],[Adj Close]]/T1205-1)</f>
        <v>0</v>
      </c>
      <c r="Y1204" s="37">
        <v>36668</v>
      </c>
      <c r="Z1204" s="35">
        <v>14.800356000000001</v>
      </c>
      <c r="AA1204" s="36">
        <f>IF(ISBLANK(Z1205),"",Long6[[#This Row],[Adj Close]]/Z1205-1)</f>
        <v>0.125</v>
      </c>
      <c r="AK1204" s="37">
        <v>36668</v>
      </c>
      <c r="AL1204" s="39">
        <v>17.465485000000001</v>
      </c>
      <c r="AM1204" s="36">
        <f>IF(ISBLANK(AL1205),"",Short1[[#This Row],[Adj Close]]/AL1205-1)</f>
        <v>-0.15780566851206501</v>
      </c>
      <c r="AN1204" s="29">
        <v>36668</v>
      </c>
      <c r="AO1204" s="44">
        <v>6.6733529999999996</v>
      </c>
      <c r="AP1204" s="33">
        <f>IF(ISBLANK(AO1205),"",Short2[[#This Row],[Adj Close]]/AO1205-1)</f>
        <v>1.7360995713985528E-2</v>
      </c>
    </row>
    <row r="1205" spans="1:42" x14ac:dyDescent="0.25">
      <c r="A1205" s="37">
        <v>36661</v>
      </c>
      <c r="B1205" s="39">
        <v>1406.9499510000001</v>
      </c>
      <c r="C1205" s="36">
        <f>IF(ISBLANK(B1206), "", GSPC[[#This Row],[Adj Close]]/B1206-1)</f>
        <v>-9.8595388923840011E-3</v>
      </c>
      <c r="D120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0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05" s="11" t="e">
        <f>IF(ISBLANK(GSPC[[#This Row],[Long Exp.]]), "", (GSPC[[#This Row],[Long Exp.]]/D1206-1)+(E1206/GSPC[[#This Row],[Short Exp.]]-1))</f>
        <v>#VALUE!</v>
      </c>
      <c r="G1205" s="37">
        <v>36661</v>
      </c>
      <c r="H1205">
        <v>10.061407000000001</v>
      </c>
      <c r="I1205" s="36">
        <f>IF(ISBLANK(H1206), "", Long0[[#This Row],[Adj Close]]/H1206-1)</f>
        <v>3.2098810769911834E-2</v>
      </c>
      <c r="M1205" s="37">
        <v>36661</v>
      </c>
      <c r="N1205">
        <v>13.056868</v>
      </c>
      <c r="O1205" s="36">
        <f>IF(ISBLANK(N1206),"",Long2[[#This Row],[Adj Close]]/N1206-1)</f>
        <v>-7.2728245924508217E-3</v>
      </c>
      <c r="P1205" s="29">
        <v>36661</v>
      </c>
      <c r="Q1205">
        <v>4.0801480000000003</v>
      </c>
      <c r="R1205" s="33">
        <f>IF(ISBLANK(Q1206),"",Long3[[#This Row],[Adj Close]]/Q1206-1)</f>
        <v>8.0216341266194924E-3</v>
      </c>
      <c r="S1205" s="37">
        <v>36661</v>
      </c>
      <c r="T1205" s="35">
        <v>25.685037999999999</v>
      </c>
      <c r="U1205" s="36">
        <f>IF(ISBLANK(T1206),"",Long4[[#This Row],[Adj Close]]/T1206-1)</f>
        <v>-6.2256852524637529E-2</v>
      </c>
      <c r="Y1205" s="37">
        <v>36661</v>
      </c>
      <c r="Z1205" s="35">
        <v>13.155872</v>
      </c>
      <c r="AA1205" s="36">
        <f>IF(ISBLANK(Z1206),"",Long6[[#This Row],[Adj Close]]/Z1206-1)</f>
        <v>-4.6083841904003275E-3</v>
      </c>
      <c r="AK1205" s="37">
        <v>36661</v>
      </c>
      <c r="AL1205" s="39">
        <v>20.73807</v>
      </c>
      <c r="AM1205" s="36">
        <f>IF(ISBLANK(AL1206),"",Short1[[#This Row],[Adj Close]]/AL1206-1)</f>
        <v>3.6745499985802121E-2</v>
      </c>
      <c r="AN1205" s="29">
        <v>36661</v>
      </c>
      <c r="AO1205" s="44">
        <v>6.5594739999999998</v>
      </c>
      <c r="AP1205" s="33">
        <f>IF(ISBLANK(AO1206),"",Short2[[#This Row],[Adj Close]]/AO1206-1)</f>
        <v>-4.000008195778415E-2</v>
      </c>
    </row>
    <row r="1206" spans="1:42" x14ac:dyDescent="0.25">
      <c r="A1206" s="37">
        <v>36654</v>
      </c>
      <c r="B1206" s="39">
        <v>1420.959961</v>
      </c>
      <c r="C1206" s="36">
        <f>IF(ISBLANK(B1207), "", GSPC[[#This Row],[Adj Close]]/B1207-1)</f>
        <v>-8.145888302821036E-3</v>
      </c>
      <c r="D120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0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06" s="11" t="e">
        <f>IF(ISBLANK(GSPC[[#This Row],[Long Exp.]]), "", (GSPC[[#This Row],[Long Exp.]]/D1207-1)+(E1207/GSPC[[#This Row],[Short Exp.]]-1))</f>
        <v>#VALUE!</v>
      </c>
      <c r="G1206" s="37">
        <v>36654</v>
      </c>
      <c r="H1206">
        <v>9.7484920000000006</v>
      </c>
      <c r="I1206" s="36">
        <f>IF(ISBLANK(H1207), "", Long0[[#This Row],[Adj Close]]/H1207-1)</f>
        <v>-0.21511634741248631</v>
      </c>
      <c r="M1206" s="37">
        <v>36654</v>
      </c>
      <c r="N1206">
        <v>13.152524</v>
      </c>
      <c r="O1206" s="36">
        <f>IF(ISBLANK(N1207),"",Long2[[#This Row],[Adj Close]]/N1207-1)</f>
        <v>2.9961991907226926E-2</v>
      </c>
      <c r="P1206" s="29">
        <v>36654</v>
      </c>
      <c r="Q1206">
        <v>4.0476789999999996</v>
      </c>
      <c r="R1206" s="33">
        <f>IF(ISBLANK(Q1207),"",Long3[[#This Row],[Adj Close]]/Q1207-1)</f>
        <v>4.4691999187512099E-2</v>
      </c>
      <c r="S1206" s="37">
        <v>36654</v>
      </c>
      <c r="T1206" s="35">
        <v>27.390270000000001</v>
      </c>
      <c r="U1206" s="36">
        <f>IF(ISBLANK(T1207),"",Long4[[#This Row],[Adj Close]]/T1207-1)</f>
        <v>-0.11072659641508498</v>
      </c>
      <c r="Y1206" s="37">
        <v>36654</v>
      </c>
      <c r="Z1206" s="35">
        <v>13.21678</v>
      </c>
      <c r="AA1206" s="36">
        <f>IF(ISBLANK(Z1207),"",Long6[[#This Row],[Adj Close]]/Z1207-1)</f>
        <v>-0.15891474841478537</v>
      </c>
      <c r="AK1206" s="37">
        <v>36654</v>
      </c>
      <c r="AL1206" s="39">
        <v>20.003048</v>
      </c>
      <c r="AM1206" s="36">
        <f>IF(ISBLANK(AL1207),"",Short1[[#This Row],[Adj Close]]/AL1207-1)</f>
        <v>-3.0534479894119615E-2</v>
      </c>
      <c r="AN1206" s="29">
        <v>36654</v>
      </c>
      <c r="AO1206" s="44">
        <v>6.8327859999999996</v>
      </c>
      <c r="AP1206" s="33">
        <f>IF(ISBLANK(AO1207),"",Short2[[#This Row],[Adj Close]]/AO1207-1)</f>
        <v>-2.6149152641335993E-3</v>
      </c>
    </row>
    <row r="1207" spans="1:42" x14ac:dyDescent="0.25">
      <c r="A1207" s="37">
        <v>36647</v>
      </c>
      <c r="B1207" s="39">
        <v>1432.630005</v>
      </c>
      <c r="C1207" s="36">
        <f>IF(ISBLANK(B1208), "", GSPC[[#This Row],[Adj Close]]/B1208-1)</f>
        <v>-1.3632359744602196E-2</v>
      </c>
      <c r="D120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0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07" s="11" t="e">
        <f>IF(ISBLANK(GSPC[[#This Row],[Long Exp.]]), "", (GSPC[[#This Row],[Long Exp.]]/D1208-1)+(E1208/GSPC[[#This Row],[Short Exp.]]-1))</f>
        <v>#VALUE!</v>
      </c>
      <c r="G1207" s="37">
        <v>36647</v>
      </c>
      <c r="H1207">
        <v>12.420302</v>
      </c>
      <c r="I1207" s="36">
        <f>IF(ISBLANK(H1208), "", Long0[[#This Row],[Adj Close]]/H1208-1)</f>
        <v>0.13656389035810967</v>
      </c>
      <c r="M1207" s="37">
        <v>36647</v>
      </c>
      <c r="N1207">
        <v>12.769912</v>
      </c>
      <c r="O1207" s="36">
        <f>IF(ISBLANK(N1208),"",Long2[[#This Row],[Adj Close]]/N1208-1)</f>
        <v>8.0971685965149254E-2</v>
      </c>
      <c r="P1207" s="29">
        <v>36647</v>
      </c>
      <c r="Q1207">
        <v>3.8745189999999998</v>
      </c>
      <c r="R1207" s="33">
        <f>IF(ISBLANK(Q1208),"",Long3[[#This Row],[Adj Close]]/Q1208-1)</f>
        <v>-6.2826705909472258E-2</v>
      </c>
      <c r="S1207" s="37">
        <v>36647</v>
      </c>
      <c r="T1207" s="35">
        <v>30.800730000000001</v>
      </c>
      <c r="U1207" s="36">
        <f>IF(ISBLANK(T1208),"",Long4[[#This Row],[Adj Close]]/T1208-1)</f>
        <v>0.10727970257734087</v>
      </c>
      <c r="Y1207" s="37">
        <v>36647</v>
      </c>
      <c r="Z1207" s="35">
        <v>15.71396</v>
      </c>
      <c r="AA1207" s="36">
        <f>IF(ISBLANK(Z1208),"",Long6[[#This Row],[Adj Close]]/Z1208-1)</f>
        <v>-9.7902149287757645E-2</v>
      </c>
      <c r="AK1207" s="37">
        <v>36647</v>
      </c>
      <c r="AL1207" s="39">
        <v>20.633068000000002</v>
      </c>
      <c r="AM1207" s="36">
        <f>IF(ISBLANK(AL1208),"",Short1[[#This Row],[Adj Close]]/AL1208-1)</f>
        <v>-8.7461080783421297E-2</v>
      </c>
      <c r="AN1207" s="29">
        <v>36647</v>
      </c>
      <c r="AO1207" s="44">
        <v>6.8506999999999998</v>
      </c>
      <c r="AP1207" s="33">
        <f>IF(ISBLANK(AO1208),"",Short2[[#This Row],[Adj Close]]/AO1208-1)</f>
        <v>1.0067203151677306E-2</v>
      </c>
    </row>
    <row r="1208" spans="1:42" x14ac:dyDescent="0.25">
      <c r="A1208" s="37">
        <v>36640</v>
      </c>
      <c r="B1208" s="39">
        <v>1452.4300539999999</v>
      </c>
      <c r="C1208" s="36">
        <f>IF(ISBLANK(B1209), "", GSPC[[#This Row],[Adj Close]]/B1209-1)</f>
        <v>1.2470906711304464E-2</v>
      </c>
      <c r="D120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0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08" s="11" t="e">
        <f>IF(ISBLANK(GSPC[[#This Row],[Long Exp.]]), "", (GSPC[[#This Row],[Long Exp.]]/D1209-1)+(E1209/GSPC[[#This Row],[Short Exp.]]-1))</f>
        <v>#VALUE!</v>
      </c>
      <c r="G1208" s="37">
        <v>36640</v>
      </c>
      <c r="H1208">
        <v>10.92794</v>
      </c>
      <c r="I1208" s="36">
        <f>IF(ISBLANK(H1209), "", Long0[[#This Row],[Adj Close]]/H1209-1)</f>
        <v>-1.7316210010246857E-2</v>
      </c>
      <c r="M1208" s="37">
        <v>36640</v>
      </c>
      <c r="N1208">
        <v>11.813364</v>
      </c>
      <c r="O1208" s="36">
        <f>IF(ISBLANK(N1209),"",Long2[[#This Row],[Adj Close]]/N1209-1)</f>
        <v>8.3333600803547681E-2</v>
      </c>
      <c r="P1208" s="29">
        <v>36640</v>
      </c>
      <c r="Q1208">
        <v>4.1342610000000004</v>
      </c>
      <c r="R1208" s="33">
        <f>IF(ISBLANK(Q1209),"",Long3[[#This Row],[Adj Close]]/Q1209-1)</f>
        <v>6.7038514974375074E-2</v>
      </c>
      <c r="S1208" s="37">
        <v>36640</v>
      </c>
      <c r="T1208" s="35">
        <v>27.816576000000001</v>
      </c>
      <c r="U1208" s="36">
        <f>IF(ISBLANK(T1209),"",Long4[[#This Row],[Adj Close]]/T1209-1)</f>
        <v>-6.9518749849263206E-2</v>
      </c>
      <c r="Y1208" s="37">
        <v>36640</v>
      </c>
      <c r="Z1208" s="35">
        <v>17.419352</v>
      </c>
      <c r="AA1208" s="36">
        <f>IF(ISBLANK(Z1209),"",Long6[[#This Row],[Adj Close]]/Z1209-1)</f>
        <v>-1.379297498943699E-2</v>
      </c>
      <c r="AK1208" s="37">
        <v>36640</v>
      </c>
      <c r="AL1208" s="39">
        <v>22.610617000000001</v>
      </c>
      <c r="AM1208" s="36">
        <f>IF(ISBLANK(AL1209),"",Short1[[#This Row],[Adj Close]]/AL1209-1)</f>
        <v>1.333291922715607E-2</v>
      </c>
      <c r="AN1208" s="29">
        <v>36640</v>
      </c>
      <c r="AO1208" s="44">
        <v>6.7824200000000001</v>
      </c>
      <c r="AP1208" s="33">
        <f>IF(ISBLANK(AO1209),"",Short2[[#This Row],[Adj Close]]/AO1209-1)</f>
        <v>-5.095504503276671E-2</v>
      </c>
    </row>
    <row r="1209" spans="1:42" x14ac:dyDescent="0.25">
      <c r="A1209" s="37">
        <v>36633</v>
      </c>
      <c r="B1209" s="39">
        <v>1434.540039</v>
      </c>
      <c r="C1209" s="36">
        <f>IF(ISBLANK(B1210), "", GSPC[[#This Row],[Adj Close]]/B1210-1)</f>
        <v>5.7483617833687051E-2</v>
      </c>
      <c r="D120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0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09" s="11" t="e">
        <f>IF(ISBLANK(GSPC[[#This Row],[Long Exp.]]), "", (GSPC[[#This Row],[Long Exp.]]/D1210-1)+(E1210/GSPC[[#This Row],[Short Exp.]]-1))</f>
        <v>#VALUE!</v>
      </c>
      <c r="G1209" s="37">
        <v>36633</v>
      </c>
      <c r="H1209">
        <v>11.120505</v>
      </c>
      <c r="I1209" s="36">
        <f>IF(ISBLANK(H1210), "", Long0[[#This Row],[Adj Close]]/H1210-1)</f>
        <v>0</v>
      </c>
      <c r="M1209" s="37">
        <v>36633</v>
      </c>
      <c r="N1209">
        <v>10.904641</v>
      </c>
      <c r="O1209" s="36">
        <f>IF(ISBLANK(N1210),"",Long2[[#This Row],[Adj Close]]/N1210-1)</f>
        <v>4.5871185669491332E-2</v>
      </c>
      <c r="P1209" s="29">
        <v>36633</v>
      </c>
      <c r="Q1209">
        <v>3.8745189999999998</v>
      </c>
      <c r="R1209" s="33">
        <f>IF(ISBLANK(Q1210),"",Long3[[#This Row],[Adj Close]]/Q1210-1)</f>
        <v>8.4514821261991724E-3</v>
      </c>
      <c r="S1209" s="37">
        <v>36633</v>
      </c>
      <c r="T1209" s="35">
        <v>29.894826999999999</v>
      </c>
      <c r="U1209" s="36">
        <f>IF(ISBLANK(T1210),"",Long4[[#This Row],[Adj Close]]/T1210-1)</f>
        <v>0.12424859745462169</v>
      </c>
      <c r="Y1209" s="37">
        <v>36633</v>
      </c>
      <c r="Z1209" s="35">
        <v>17.662977000000001</v>
      </c>
      <c r="AA1209" s="36">
        <f>IF(ISBLANK(Z1210),"",Long6[[#This Row],[Adj Close]]/Z1210-1)</f>
        <v>0.29464276813938861</v>
      </c>
      <c r="AK1209" s="37">
        <v>36633</v>
      </c>
      <c r="AL1209" s="39">
        <v>22.313117999999999</v>
      </c>
      <c r="AM1209" s="36">
        <f>IF(ISBLANK(AL1210),"",Short1[[#This Row],[Adj Close]]/AL1210-1)</f>
        <v>0.13636385859518008</v>
      </c>
      <c r="AN1209" s="29">
        <v>36633</v>
      </c>
      <c r="AO1209" s="44">
        <v>7.1465740000000002</v>
      </c>
      <c r="AP1209" s="33">
        <f>IF(ISBLANK(AO1210),"",Short2[[#This Row],[Adj Close]]/AO1210-1)</f>
        <v>2.950862558384193E-2</v>
      </c>
    </row>
    <row r="1210" spans="1:42" x14ac:dyDescent="0.25">
      <c r="A1210" s="37">
        <v>36626</v>
      </c>
      <c r="B1210" s="39">
        <v>1356.5600589999999</v>
      </c>
      <c r="C1210" s="36">
        <f>IF(ISBLANK(B1211), "", GSPC[[#This Row],[Adj Close]]/B1211-1)</f>
        <v>-0.10537799289680605</v>
      </c>
      <c r="D121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1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10" s="11" t="e">
        <f>IF(ISBLANK(GSPC[[#This Row],[Long Exp.]]), "", (GSPC[[#This Row],[Long Exp.]]/D1211-1)+(E1211/GSPC[[#This Row],[Short Exp.]]-1))</f>
        <v>#VALUE!</v>
      </c>
      <c r="G1210" s="37">
        <v>36626</v>
      </c>
      <c r="H1210">
        <v>11.120505</v>
      </c>
      <c r="I1210" s="36">
        <f>IF(ISBLANK(H1211), "", Long0[[#This Row],[Adj Close]]/H1211-1)</f>
        <v>-4.5454311354886978E-2</v>
      </c>
      <c r="M1210" s="37">
        <v>36626</v>
      </c>
      <c r="N1210">
        <v>10.426371</v>
      </c>
      <c r="O1210" s="36">
        <f>IF(ISBLANK(N1211),"",Long2[[#This Row],[Adj Close]]/N1211-1)</f>
        <v>-9.0905531275262685E-3</v>
      </c>
      <c r="P1210" s="29">
        <v>36626</v>
      </c>
      <c r="Q1210">
        <v>3.8420480000000001</v>
      </c>
      <c r="R1210" s="33">
        <f>IF(ISBLANK(Q1211),"",Long3[[#This Row],[Adj Close]]/Q1211-1)</f>
        <v>4.4117914823109672E-2</v>
      </c>
      <c r="S1210" s="37">
        <v>36626</v>
      </c>
      <c r="T1210" s="35">
        <v>26.59094</v>
      </c>
      <c r="U1210" s="36">
        <f>IF(ISBLANK(T1211),"",Long4[[#This Row],[Adj Close]]/T1211-1)</f>
        <v>-0.18196739638502057</v>
      </c>
      <c r="Y1210" s="37">
        <v>36626</v>
      </c>
      <c r="Z1210" s="35">
        <v>13.643128000000001</v>
      </c>
      <c r="AA1210" s="36">
        <f>IF(ISBLANK(Z1211),"",Long6[[#This Row],[Adj Close]]/Z1211-1)</f>
        <v>-0.37078670755000442</v>
      </c>
      <c r="AK1210" s="37">
        <v>36626</v>
      </c>
      <c r="AL1210" s="39">
        <v>19.635539999999999</v>
      </c>
      <c r="AM1210" s="36">
        <f>IF(ISBLANK(AL1211),"",Short1[[#This Row],[Adj Close]]/AL1211-1)</f>
        <v>-0.14220166552901026</v>
      </c>
      <c r="AN1210" s="29">
        <v>36626</v>
      </c>
      <c r="AO1210" s="44">
        <v>6.9417330000000002</v>
      </c>
      <c r="AP1210" s="33">
        <f>IF(ISBLANK(AO1211),"",Short2[[#This Row],[Adj Close]]/AO1211-1)</f>
        <v>-7.0121833192301364E-2</v>
      </c>
    </row>
    <row r="1211" spans="1:42" x14ac:dyDescent="0.25">
      <c r="A1211" s="37">
        <v>36619</v>
      </c>
      <c r="B1211" s="39">
        <v>1516.349976</v>
      </c>
      <c r="C1211" s="36">
        <f>IF(ISBLANK(B1212), "", GSPC[[#This Row],[Adj Close]]/B1212-1)</f>
        <v>1.18579058320194E-2</v>
      </c>
      <c r="D121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1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11" s="11" t="e">
        <f>IF(ISBLANK(GSPC[[#This Row],[Long Exp.]]), "", (GSPC[[#This Row],[Long Exp.]]/D1212-1)+(E1212/GSPC[[#This Row],[Short Exp.]]-1))</f>
        <v>#VALUE!</v>
      </c>
      <c r="G1211" s="37">
        <v>36619</v>
      </c>
      <c r="H1211">
        <v>11.65005</v>
      </c>
      <c r="I1211" s="36">
        <f>IF(ISBLANK(H1212), "", Long0[[#This Row],[Adj Close]]/H1212-1)</f>
        <v>0.10168676503505214</v>
      </c>
      <c r="M1211" s="37">
        <v>36619</v>
      </c>
      <c r="N1211">
        <v>10.522022</v>
      </c>
      <c r="O1211" s="36">
        <f>IF(ISBLANK(N1212),"",Long2[[#This Row],[Adj Close]]/N1212-1)</f>
        <v>-6.382973801523073E-2</v>
      </c>
      <c r="P1211" s="29">
        <v>36619</v>
      </c>
      <c r="Q1211">
        <v>3.6797070000000001</v>
      </c>
      <c r="R1211" s="33">
        <f>IF(ISBLANK(Q1212),"",Long3[[#This Row],[Adj Close]]/Q1212-1)</f>
        <v>1.4925278450924173E-2</v>
      </c>
      <c r="S1211" s="37">
        <v>36619</v>
      </c>
      <c r="T1211" s="35">
        <v>32.505966000000001</v>
      </c>
      <c r="U1211" s="36">
        <f>IF(ISBLANK(T1212),"",Long4[[#This Row],[Adj Close]]/T1212-1)</f>
        <v>0.10507279461323882</v>
      </c>
      <c r="Y1211" s="37">
        <v>36619</v>
      </c>
      <c r="Z1211" s="35">
        <v>21.682835000000001</v>
      </c>
      <c r="AA1211" s="36">
        <f>IF(ISBLANK(Z1212),"",Long6[[#This Row],[Adj Close]]/Z1212-1)</f>
        <v>-0.10552736973831223</v>
      </c>
      <c r="AK1211" s="37">
        <v>36619</v>
      </c>
      <c r="AL1211" s="39">
        <v>22.890625</v>
      </c>
      <c r="AM1211" s="36">
        <f>IF(ISBLANK(AL1212),"",Short1[[#This Row],[Adj Close]]/AL1212-1)</f>
        <v>-4.9418387840993727E-2</v>
      </c>
      <c r="AN1211" s="29">
        <v>36619</v>
      </c>
      <c r="AO1211" s="44">
        <v>7.4652070000000004</v>
      </c>
      <c r="AP1211" s="33">
        <f>IF(ISBLANK(AO1212),"",Short2[[#This Row],[Adj Close]]/AO1212-1)</f>
        <v>-5.4755669029564191E-2</v>
      </c>
    </row>
    <row r="1212" spans="1:42" x14ac:dyDescent="0.25">
      <c r="A1212" s="37">
        <v>36612</v>
      </c>
      <c r="B1212" s="39">
        <v>1498.579956</v>
      </c>
      <c r="C1212" s="36">
        <f>IF(ISBLANK(B1213), "", GSPC[[#This Row],[Adj Close]]/B1213-1)</f>
        <v>-1.8907209182159379E-2</v>
      </c>
      <c r="D121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1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12" s="11" t="e">
        <f>IF(ISBLANK(GSPC[[#This Row],[Long Exp.]]), "", (GSPC[[#This Row],[Long Exp.]]/D1213-1)+(E1213/GSPC[[#This Row],[Short Exp.]]-1))</f>
        <v>#VALUE!</v>
      </c>
      <c r="G1212" s="37">
        <v>36612</v>
      </c>
      <c r="H1212">
        <v>10.574738999999999</v>
      </c>
      <c r="I1212" s="36">
        <f>IF(ISBLANK(H1213), "", Long0[[#This Row],[Adj Close]]/H1213-1)</f>
        <v>-1.3452916053266484E-2</v>
      </c>
      <c r="M1212" s="37">
        <v>36612</v>
      </c>
      <c r="N1212">
        <v>11.239432000000001</v>
      </c>
      <c r="O1212" s="36">
        <f>IF(ISBLANK(N1213),"",Long2[[#This Row],[Adj Close]]/N1213-1)</f>
        <v>-3.292189709700144E-2</v>
      </c>
      <c r="P1212" s="29">
        <v>36612</v>
      </c>
      <c r="Q1212">
        <v>3.625594</v>
      </c>
      <c r="R1212" s="33">
        <f>IF(ISBLANK(Q1213),"",Long3[[#This Row],[Adj Close]]/Q1213-1)</f>
        <v>-2.9765555004952482E-3</v>
      </c>
      <c r="S1212" s="37">
        <v>36612</v>
      </c>
      <c r="T1212" s="35">
        <v>29.415226000000001</v>
      </c>
      <c r="U1212" s="36">
        <f>IF(ISBLANK(T1213),"",Long4[[#This Row],[Adj Close]]/T1213-1)</f>
        <v>1.4705755529646813E-2</v>
      </c>
      <c r="Y1212" s="37">
        <v>36612</v>
      </c>
      <c r="Z1212" s="35">
        <v>24.240915000000001</v>
      </c>
      <c r="AA1212" s="36">
        <f>IF(ISBLANK(Z1213),"",Long6[[#This Row],[Adj Close]]/Z1213-1)</f>
        <v>-0.20399995284600159</v>
      </c>
      <c r="AK1212" s="37">
        <v>36612</v>
      </c>
      <c r="AL1212" s="39">
        <v>24.080652000000001</v>
      </c>
      <c r="AM1212" s="36">
        <f>IF(ISBLANK(AL1213),"",Short1[[#This Row],[Adj Close]]/AL1213-1)</f>
        <v>0.10344796616172314</v>
      </c>
      <c r="AN1212" s="29">
        <v>36612</v>
      </c>
      <c r="AO1212" s="44">
        <v>7.8976480000000002</v>
      </c>
      <c r="AP1212" s="33">
        <f>IF(ISBLANK(AO1213),"",Short2[[#This Row],[Adj Close]]/AO1213-1)</f>
        <v>2.9673332071281866E-2</v>
      </c>
    </row>
    <row r="1213" spans="1:42" x14ac:dyDescent="0.25">
      <c r="A1213" s="37">
        <v>36605</v>
      </c>
      <c r="B1213" s="39">
        <v>1527.459961</v>
      </c>
      <c r="C1213" s="36">
        <f>IF(ISBLANK(B1214), "", GSPC[[#This Row],[Adj Close]]/B1214-1)</f>
        <v>4.3012141762789335E-2</v>
      </c>
      <c r="D121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1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13" s="11" t="e">
        <f>IF(ISBLANK(GSPC[[#This Row],[Long Exp.]]), "", (GSPC[[#This Row],[Long Exp.]]/D1214-1)+(E1214/GSPC[[#This Row],[Short Exp.]]-1))</f>
        <v>#VALUE!</v>
      </c>
      <c r="G1213" s="37">
        <v>36605</v>
      </c>
      <c r="H1213">
        <v>10.71894</v>
      </c>
      <c r="I1213" s="36">
        <f>IF(ISBLANK(H1214), "", Long0[[#This Row],[Adj Close]]/H1214-1)</f>
        <v>-4.9040642628200626E-2</v>
      </c>
      <c r="M1213" s="37">
        <v>36605</v>
      </c>
      <c r="N1213">
        <v>11.622052</v>
      </c>
      <c r="O1213" s="36">
        <f>IF(ISBLANK(N1214),"",Long2[[#This Row],[Adj Close]]/N1214-1)</f>
        <v>2.3062644304928437E-2</v>
      </c>
      <c r="P1213" s="29">
        <v>36605</v>
      </c>
      <c r="Q1213">
        <v>3.6364179999999999</v>
      </c>
      <c r="R1213" s="33">
        <f>IF(ISBLANK(Q1214),"",Long3[[#This Row],[Adj Close]]/Q1214-1)</f>
        <v>3.0674926612533016E-2</v>
      </c>
      <c r="S1213" s="37">
        <v>36605</v>
      </c>
      <c r="T1213" s="35">
        <v>28.988921999999999</v>
      </c>
      <c r="U1213" s="36">
        <f>IF(ISBLANK(T1214),"",Long4[[#This Row],[Adj Close]]/T1214-1)</f>
        <v>-7.7966097597816808E-2</v>
      </c>
      <c r="Y1213" s="37">
        <v>36605</v>
      </c>
      <c r="Z1213" s="35">
        <v>30.453409000000001</v>
      </c>
      <c r="AA1213" s="36">
        <f>IF(ISBLANK(Z1214),"",Long6[[#This Row],[Adj Close]]/Z1214-1)</f>
        <v>7.2961493908198616E-2</v>
      </c>
      <c r="AK1213" s="37">
        <v>36605</v>
      </c>
      <c r="AL1213" s="39">
        <v>21.823097000000001</v>
      </c>
      <c r="AM1213" s="36">
        <f>IF(ISBLANK(AL1214),"",Short1[[#This Row],[Adj Close]]/AL1214-1)</f>
        <v>4.6141123584991783E-2</v>
      </c>
      <c r="AN1213" s="29">
        <v>36605</v>
      </c>
      <c r="AO1213" s="44">
        <v>7.6700520000000001</v>
      </c>
      <c r="AP1213" s="33">
        <f>IF(ISBLANK(AO1214),"",Short2[[#This Row],[Adj Close]]/AO1214-1)</f>
        <v>1.5060779495223109E-2</v>
      </c>
    </row>
    <row r="1214" spans="1:42" x14ac:dyDescent="0.25">
      <c r="A1214" s="37">
        <v>36598</v>
      </c>
      <c r="B1214" s="39">
        <v>1464.469971</v>
      </c>
      <c r="C1214" s="36">
        <f>IF(ISBLANK(B1215), "", GSPC[[#This Row],[Adj Close]]/B1215-1)</f>
        <v>4.9746627542931687E-2</v>
      </c>
      <c r="D121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1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14" s="11" t="e">
        <f>IF(ISBLANK(GSPC[[#This Row],[Long Exp.]]), "", (GSPC[[#This Row],[Long Exp.]]/D1215-1)+(E1215/GSPC[[#This Row],[Short Exp.]]-1))</f>
        <v>#VALUE!</v>
      </c>
      <c r="G1214" s="37">
        <v>36598</v>
      </c>
      <c r="H1214">
        <v>11.271712000000001</v>
      </c>
      <c r="I1214" s="36">
        <f>IF(ISBLANK(H1215), "", Long0[[#This Row],[Adj Close]]/H1215-1)</f>
        <v>5.156965147673187E-2</v>
      </c>
      <c r="M1214" s="37">
        <v>36598</v>
      </c>
      <c r="N1214">
        <v>11.360059</v>
      </c>
      <c r="O1214" s="36">
        <f>IF(ISBLANK(N1215),"",Long2[[#This Row],[Adj Close]]/N1215-1)</f>
        <v>0.15458947950848079</v>
      </c>
      <c r="P1214" s="29">
        <v>36598</v>
      </c>
      <c r="Q1214">
        <v>3.5281910000000001</v>
      </c>
      <c r="R1214" s="33">
        <f>IF(ISBLANK(Q1215),"",Long3[[#This Row],[Adj Close]]/Q1215-1)</f>
        <v>7.3167964507073746E-2</v>
      </c>
      <c r="S1214" s="37">
        <v>36598</v>
      </c>
      <c r="T1214" s="35">
        <v>31.440190999999999</v>
      </c>
      <c r="U1214" s="36">
        <f>IF(ISBLANK(T1215),"",Long4[[#This Row],[Adj Close]]/T1215-1)</f>
        <v>-5.7507943834769426E-2</v>
      </c>
      <c r="Y1214" s="37">
        <v>36598</v>
      </c>
      <c r="Z1214" s="35">
        <v>28.382574000000002</v>
      </c>
      <c r="AA1214" s="36">
        <f>IF(ISBLANK(Z1215),"",Long6[[#This Row],[Adj Close]]/Z1215-1)</f>
        <v>-6.0484047155054066E-2</v>
      </c>
      <c r="AK1214" s="37">
        <v>36598</v>
      </c>
      <c r="AL1214" s="39">
        <v>20.860567</v>
      </c>
      <c r="AM1214" s="36">
        <f>IF(ISBLANK(AL1215),"",Short1[[#This Row],[Adj Close]]/AL1215-1)</f>
        <v>0.19438807453672191</v>
      </c>
      <c r="AN1214" s="29">
        <v>36598</v>
      </c>
      <c r="AO1214" s="44">
        <v>7.5562490000000002</v>
      </c>
      <c r="AP1214" s="33">
        <f>IF(ISBLANK(AO1215),"",Short2[[#This Row],[Adj Close]]/AO1215-1)</f>
        <v>0.22962948136438821</v>
      </c>
    </row>
    <row r="1215" spans="1:42" x14ac:dyDescent="0.25">
      <c r="A1215" s="37">
        <v>36591</v>
      </c>
      <c r="B1215" s="39">
        <v>1395.0699460000001</v>
      </c>
      <c r="C1215" s="36">
        <f>IF(ISBLANK(B1216), "", GSPC[[#This Row],[Adj Close]]/B1216-1)</f>
        <v>-1.0005959224038019E-2</v>
      </c>
      <c r="D121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1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15" s="11" t="e">
        <f>IF(ISBLANK(GSPC[[#This Row],[Long Exp.]]), "", (GSPC[[#This Row],[Long Exp.]]/D1216-1)+(E1216/GSPC[[#This Row],[Short Exp.]]-1))</f>
        <v>#VALUE!</v>
      </c>
      <c r="G1215" s="37">
        <v>36591</v>
      </c>
      <c r="H1215">
        <v>10.71894</v>
      </c>
      <c r="I1215" s="36">
        <f>IF(ISBLANK(H1216), "", Long0[[#This Row],[Adj Close]]/H1216-1)</f>
        <v>-5.5084750618641376E-2</v>
      </c>
      <c r="M1215" s="37">
        <v>36591</v>
      </c>
      <c r="N1215">
        <v>9.8390459999999997</v>
      </c>
      <c r="O1215" s="36">
        <f>IF(ISBLANK(N1216),"",Long2[[#This Row],[Adj Close]]/N1216-1)</f>
        <v>-6.7567713562386333E-2</v>
      </c>
      <c r="P1215" s="29">
        <v>36591</v>
      </c>
      <c r="Q1215">
        <v>3.2876409999999998</v>
      </c>
      <c r="R1215" s="33">
        <f>IF(ISBLANK(Q1216),"",Long3[[#This Row],[Adj Close]]/Q1216-1)</f>
        <v>-6.3830229511931291E-2</v>
      </c>
      <c r="S1215" s="37">
        <v>36591</v>
      </c>
      <c r="T1215" s="35">
        <v>33.358573999999997</v>
      </c>
      <c r="U1215" s="36">
        <f>IF(ISBLANK(T1216),"",Long4[[#This Row],[Adj Close]]/T1216-1)</f>
        <v>-2.1874931277619192E-2</v>
      </c>
      <c r="Y1215" s="37">
        <v>36591</v>
      </c>
      <c r="Z1215" s="35">
        <v>30.209783999999999</v>
      </c>
      <c r="AA1215" s="36">
        <f>IF(ISBLANK(Z1216),"",Long6[[#This Row],[Adj Close]]/Z1216-1)</f>
        <v>8.7719262871760684E-2</v>
      </c>
      <c r="AK1215" s="37">
        <v>36591</v>
      </c>
      <c r="AL1215" s="39">
        <v>17.465485000000001</v>
      </c>
      <c r="AM1215" s="36">
        <f>IF(ISBLANK(AL1216),"",Short1[[#This Row],[Adj Close]]/AL1216-1)</f>
        <v>3.0992004588303645E-2</v>
      </c>
      <c r="AN1215" s="29">
        <v>36591</v>
      </c>
      <c r="AO1215" s="44">
        <v>6.145143</v>
      </c>
      <c r="AP1215" s="33">
        <f>IF(ISBLANK(AO1216),"",Short2[[#This Row],[Adj Close]]/AO1216-1)</f>
        <v>-1.0988952625461401E-2</v>
      </c>
    </row>
    <row r="1216" spans="1:42" x14ac:dyDescent="0.25">
      <c r="A1216" s="37">
        <v>36584</v>
      </c>
      <c r="B1216" s="39">
        <v>1409.170044</v>
      </c>
      <c r="C1216" s="36">
        <f>IF(ISBLANK(B1217), "", GSPC[[#This Row],[Adj Close]]/B1217-1)</f>
        <v>5.6856407761479266E-2</v>
      </c>
      <c r="D121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1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16" s="11" t="e">
        <f>IF(ISBLANK(GSPC[[#This Row],[Long Exp.]]), "", (GSPC[[#This Row],[Long Exp.]]/D1217-1)+(E1217/GSPC[[#This Row],[Short Exp.]]-1))</f>
        <v>#VALUE!</v>
      </c>
      <c r="G1216" s="37">
        <v>36584</v>
      </c>
      <c r="H1216">
        <v>11.343811000000001</v>
      </c>
      <c r="I1216" s="36">
        <f>IF(ISBLANK(H1217), "", Long0[[#This Row],[Adj Close]]/H1217-1)</f>
        <v>0.26541593210189718</v>
      </c>
      <c r="M1216" s="37">
        <v>36584</v>
      </c>
      <c r="N1216">
        <v>10.552021999999999</v>
      </c>
      <c r="O1216" s="36">
        <f>IF(ISBLANK(N1217),"",Long2[[#This Row],[Adj Close]]/N1217-1)</f>
        <v>-5.9322048252435033E-2</v>
      </c>
      <c r="P1216" s="29">
        <v>36584</v>
      </c>
      <c r="Q1216">
        <v>3.5118</v>
      </c>
      <c r="R1216" s="33">
        <f>IF(ISBLANK(Q1217),"",Long3[[#This Row],[Adj Close]]/Q1217-1)</f>
        <v>3.1348071016705115E-2</v>
      </c>
      <c r="S1216" s="37">
        <v>36584</v>
      </c>
      <c r="T1216" s="35">
        <v>34.104610000000001</v>
      </c>
      <c r="U1216" s="36">
        <f>IF(ISBLANK(T1217),"",Long4[[#This Row],[Adj Close]]/T1217-1)</f>
        <v>-3.1154423641408524E-3</v>
      </c>
      <c r="Y1216" s="37">
        <v>36584</v>
      </c>
      <c r="Z1216" s="35">
        <v>27.773512</v>
      </c>
      <c r="AA1216" s="36">
        <f>IF(ISBLANK(Z1217),"",Long6[[#This Row],[Adj Close]]/Z1217-1)</f>
        <v>1.0176994596416695</v>
      </c>
      <c r="AK1216" s="37">
        <v>36584</v>
      </c>
      <c r="AL1216" s="39">
        <v>16.940466000000001</v>
      </c>
      <c r="AM1216" s="36">
        <f>IF(ISBLANK(AL1217),"",Short1[[#This Row],[Adj Close]]/AL1217-1)</f>
        <v>0.2604167340941308</v>
      </c>
      <c r="AN1216" s="29">
        <v>36584</v>
      </c>
      <c r="AO1216" s="44">
        <v>6.2134219999999996</v>
      </c>
      <c r="AP1216" s="33">
        <f>IF(ISBLANK(AO1217),"",Short2[[#This Row],[Adj Close]]/AO1217-1)</f>
        <v>9.2000362042163886E-2</v>
      </c>
    </row>
    <row r="1217" spans="1:42" x14ac:dyDescent="0.25">
      <c r="A1217" s="37">
        <v>36577</v>
      </c>
      <c r="B1217" s="39">
        <v>1333.3599850000001</v>
      </c>
      <c r="C1217" s="36">
        <f>IF(ISBLANK(B1218), "", GSPC[[#This Row],[Adj Close]]/B1218-1)</f>
        <v>-9.4570060854312077E-3</v>
      </c>
      <c r="D121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1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17" s="11" t="e">
        <f>IF(ISBLANK(GSPC[[#This Row],[Long Exp.]]), "", (GSPC[[#This Row],[Long Exp.]]/D1218-1)+(E1218/GSPC[[#This Row],[Short Exp.]]-1))</f>
        <v>#VALUE!</v>
      </c>
      <c r="G1217" s="37">
        <v>36577</v>
      </c>
      <c r="H1217">
        <v>8.9644919999999999</v>
      </c>
      <c r="I1217" s="36">
        <f>IF(ISBLANK(H1218), "", Long0[[#This Row],[Adj Close]]/H1218-1)</f>
        <v>-4.6036025806693304E-2</v>
      </c>
      <c r="M1217" s="37">
        <v>36577</v>
      </c>
      <c r="N1217">
        <v>11.217465000000001</v>
      </c>
      <c r="O1217" s="36">
        <f>IF(ISBLANK(N1218),"",Long2[[#This Row],[Adj Close]]/N1218-1)</f>
        <v>-1.6666535175264952E-2</v>
      </c>
      <c r="P1217" s="29">
        <v>36577</v>
      </c>
      <c r="Q1217">
        <v>3.4050579999999999</v>
      </c>
      <c r="R1217" s="33">
        <f>IF(ISBLANK(Q1218),"",Long3[[#This Row],[Adj Close]]/Q1218-1)</f>
        <v>-5.3413006523138185E-2</v>
      </c>
      <c r="S1217" s="37">
        <v>36577</v>
      </c>
      <c r="T1217" s="35">
        <v>34.211193000000002</v>
      </c>
      <c r="U1217" s="36">
        <f>IF(ISBLANK(T1218),"",Long4[[#This Row],[Adj Close]]/T1218-1)</f>
        <v>0.12829526335343311</v>
      </c>
      <c r="Y1217" s="37">
        <v>36577</v>
      </c>
      <c r="Z1217" s="35">
        <v>13.764939999999999</v>
      </c>
      <c r="AA1217" s="36">
        <f>IF(ISBLANK(Z1218),"",Long6[[#This Row],[Adj Close]]/Z1218-1)</f>
        <v>-1.7391216203000437E-2</v>
      </c>
      <c r="AK1217" s="37">
        <v>36577</v>
      </c>
      <c r="AL1217" s="39">
        <v>13.440369</v>
      </c>
      <c r="AM1217" s="36">
        <f>IF(ISBLANK(AL1218),"",Short1[[#This Row],[Adj Close]]/AL1218-1)</f>
        <v>-0.14476590422901014</v>
      </c>
      <c r="AN1217" s="29">
        <v>36577</v>
      </c>
      <c r="AO1217" s="44">
        <v>5.6899449999999998</v>
      </c>
      <c r="AP1217" s="33">
        <f>IF(ISBLANK(AO1218),"",Short2[[#This Row],[Adj Close]]/AO1218-1)</f>
        <v>-6.0150767149028117E-2</v>
      </c>
    </row>
    <row r="1218" spans="1:42" x14ac:dyDescent="0.25">
      <c r="A1218" s="37">
        <v>36570</v>
      </c>
      <c r="B1218" s="39">
        <v>1346.089966</v>
      </c>
      <c r="C1218" s="36">
        <f>IF(ISBLANK(B1219), "", GSPC[[#This Row],[Adj Close]]/B1219-1)</f>
        <v>-2.9579293174272214E-2</v>
      </c>
      <c r="D121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1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18" s="11" t="e">
        <f>IF(ISBLANK(GSPC[[#This Row],[Long Exp.]]), "", (GSPC[[#This Row],[Long Exp.]]/D1219-1)+(E1219/GSPC[[#This Row],[Short Exp.]]-1))</f>
        <v>#VALUE!</v>
      </c>
      <c r="G1218" s="37">
        <v>36570</v>
      </c>
      <c r="H1218">
        <v>9.3970970000000005</v>
      </c>
      <c r="I1218" s="36">
        <f>IF(ISBLANK(H1219), "", Long0[[#This Row],[Adj Close]]/H1219-1)</f>
        <v>2.5641564555791696E-3</v>
      </c>
      <c r="M1218" s="37">
        <v>36570</v>
      </c>
      <c r="N1218">
        <v>11.407590000000001</v>
      </c>
      <c r="O1218" s="36">
        <f>IF(ISBLANK(N1219),"",Long2[[#This Row],[Adj Close]]/N1219-1)</f>
        <v>0</v>
      </c>
      <c r="P1218" s="29">
        <v>36570</v>
      </c>
      <c r="Q1218">
        <v>3.5971950000000001</v>
      </c>
      <c r="R1218" s="33">
        <f>IF(ISBLANK(Q1219),"",Long3[[#This Row],[Adj Close]]/Q1219-1)</f>
        <v>-3.4383687257132478E-2</v>
      </c>
      <c r="S1218" s="37">
        <v>36570</v>
      </c>
      <c r="T1218" s="35">
        <v>30.321135000000002</v>
      </c>
      <c r="U1218" s="36">
        <f>IF(ISBLANK(T1219),"",Long4[[#This Row],[Adj Close]]/T1219-1)</f>
        <v>0.17078201217922961</v>
      </c>
      <c r="Y1218" s="37">
        <v>36570</v>
      </c>
      <c r="Z1218" s="35">
        <v>14.008566</v>
      </c>
      <c r="AA1218" s="36">
        <f>IF(ISBLANK(Z1219),"",Long6[[#This Row],[Adj Close]]/Z1219-1)</f>
        <v>-3.361368074005322E-2</v>
      </c>
      <c r="AK1218" s="37">
        <v>36570</v>
      </c>
      <c r="AL1218" s="39">
        <v>15.715427</v>
      </c>
      <c r="AM1218" s="36">
        <f>IF(ISBLANK(AL1219),"",Short1[[#This Row],[Adj Close]]/AL1219-1)</f>
        <v>4.5401661474945509E-2</v>
      </c>
      <c r="AN1218" s="29">
        <v>36570</v>
      </c>
      <c r="AO1218" s="44">
        <v>6.0541039999999997</v>
      </c>
      <c r="AP1218" s="33">
        <f>IF(ISBLANK(AO1219),"",Short2[[#This Row],[Adj Close]]/AO1219-1)</f>
        <v>5.1383716336197205E-2</v>
      </c>
    </row>
    <row r="1219" spans="1:42" x14ac:dyDescent="0.25">
      <c r="A1219" s="37">
        <v>36563</v>
      </c>
      <c r="B1219" s="39">
        <v>1387.119995</v>
      </c>
      <c r="C1219" s="36">
        <f>IF(ISBLANK(B1220), "", GSPC[[#This Row],[Adj Close]]/B1220-1)</f>
        <v>-2.6151912867274363E-2</v>
      </c>
      <c r="D121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1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19" s="11" t="e">
        <f>IF(ISBLANK(GSPC[[#This Row],[Long Exp.]]), "", (GSPC[[#This Row],[Long Exp.]]/D1220-1)+(E1220/GSPC[[#This Row],[Short Exp.]]-1))</f>
        <v>#VALUE!</v>
      </c>
      <c r="G1219" s="37">
        <v>36563</v>
      </c>
      <c r="H1219">
        <v>9.3730630000000001</v>
      </c>
      <c r="I1219" s="36">
        <f>IF(ISBLANK(H1220), "", Long0[[#This Row],[Adj Close]]/H1220-1)</f>
        <v>-2.7431881259704305E-2</v>
      </c>
      <c r="M1219" s="37">
        <v>36563</v>
      </c>
      <c r="N1219">
        <v>11.407590000000001</v>
      </c>
      <c r="O1219" s="36">
        <f>IF(ISBLANK(N1220),"",Long2[[#This Row],[Adj Close]]/N1220-1)</f>
        <v>-8.3969704710137094E-2</v>
      </c>
      <c r="P1219" s="29">
        <v>36563</v>
      </c>
      <c r="Q1219">
        <v>3.7252839999999998</v>
      </c>
      <c r="R1219" s="33">
        <f>IF(ISBLANK(Q1220),"",Long3[[#This Row],[Adj Close]]/Q1220-1)</f>
        <v>-2.7854731598758287E-2</v>
      </c>
      <c r="S1219" s="37">
        <v>36563</v>
      </c>
      <c r="T1219" s="35">
        <v>25.89819</v>
      </c>
      <c r="U1219" s="36">
        <f>IF(ISBLANK(T1220),"",Long4[[#This Row],[Adj Close]]/T1220-1)</f>
        <v>4.5161349685749697E-2</v>
      </c>
      <c r="Y1219" s="37">
        <v>36563</v>
      </c>
      <c r="Z1219" s="35">
        <v>14.495824000000001</v>
      </c>
      <c r="AA1219" s="36">
        <f>IF(ISBLANK(Z1220),"",Long6[[#This Row],[Adj Close]]/Z1220-1)</f>
        <v>-3.6437092490732015E-2</v>
      </c>
      <c r="AK1219" s="37">
        <v>36563</v>
      </c>
      <c r="AL1219" s="39">
        <v>15.032908000000001</v>
      </c>
      <c r="AM1219" s="36">
        <f>IF(ISBLANK(AL1220),"",Short1[[#This Row],[Adj Close]]/AL1220-1)</f>
        <v>-5.604435770969951E-2</v>
      </c>
      <c r="AN1219" s="29">
        <v>36563</v>
      </c>
      <c r="AO1219" s="44">
        <v>5.7582250000000004</v>
      </c>
      <c r="AP1219" s="33">
        <f>IF(ISBLANK(AO1220),"",Short2[[#This Row],[Adj Close]]/AO1220-1)</f>
        <v>-4.8098884080894244E-2</v>
      </c>
    </row>
    <row r="1220" spans="1:42" x14ac:dyDescent="0.25">
      <c r="A1220" s="37">
        <v>36556</v>
      </c>
      <c r="B1220" s="39">
        <v>1424.369995</v>
      </c>
      <c r="C1220" s="36">
        <f>IF(ISBLANK(B1221), "", GSPC[[#This Row],[Adj Close]]/B1221-1)</f>
        <v>4.7207651596091527E-2</v>
      </c>
      <c r="D122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2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20" s="11" t="e">
        <f>IF(ISBLANK(GSPC[[#This Row],[Long Exp.]]), "", (GSPC[[#This Row],[Long Exp.]]/D1221-1)+(E1221/GSPC[[#This Row],[Short Exp.]]-1))</f>
        <v>#VALUE!</v>
      </c>
      <c r="G1220" s="37">
        <v>36556</v>
      </c>
      <c r="H1220">
        <v>9.6374359999999992</v>
      </c>
      <c r="I1220" s="36">
        <f>IF(ISBLANK(H1221), "", Long0[[#This Row],[Adj Close]]/H1221-1)</f>
        <v>-4.5237752981478585E-2</v>
      </c>
      <c r="M1220" s="37">
        <v>36556</v>
      </c>
      <c r="N1220">
        <v>12.453289</v>
      </c>
      <c r="O1220" s="36">
        <f>IF(ISBLANK(N1221),"",Long2[[#This Row],[Adj Close]]/N1221-1)</f>
        <v>-2.9629622126144062E-2</v>
      </c>
      <c r="P1220" s="29">
        <v>36556</v>
      </c>
      <c r="Q1220">
        <v>3.8320240000000001</v>
      </c>
      <c r="R1220" s="33">
        <f>IF(ISBLANK(Q1221),"",Long3[[#This Row],[Adj Close]]/Q1221-1)</f>
        <v>1.1267166297779907E-2</v>
      </c>
      <c r="S1220" s="37">
        <v>36556</v>
      </c>
      <c r="T1220" s="35">
        <v>24.779131</v>
      </c>
      <c r="U1220" s="36">
        <f>IF(ISBLANK(T1221),"",Long4[[#This Row],[Adj Close]]/T1221-1)</f>
        <v>0.15098995575082697</v>
      </c>
      <c r="Y1220" s="37">
        <v>36556</v>
      </c>
      <c r="Z1220" s="35">
        <v>15.043983000000001</v>
      </c>
      <c r="AA1220" s="36">
        <f>IF(ISBLANK(Z1221),"",Long6[[#This Row],[Adj Close]]/Z1221-1)</f>
        <v>-1.2000101138099128E-2</v>
      </c>
      <c r="AK1220" s="37">
        <v>36556</v>
      </c>
      <c r="AL1220" s="39">
        <v>15.925439000000001</v>
      </c>
      <c r="AM1220" s="36">
        <f>IF(ISBLANK(AL1221),"",Short1[[#This Row],[Adj Close]]/AL1221-1)</f>
        <v>0.13749991339525125</v>
      </c>
      <c r="AN1220" s="29">
        <v>36556</v>
      </c>
      <c r="AO1220" s="44">
        <v>6.0491840000000003</v>
      </c>
      <c r="AP1220" s="33">
        <f>IF(ISBLANK(AO1221),"",Short2[[#This Row],[Adj Close]]/AO1221-1)</f>
        <v>5.5555904546726875E-2</v>
      </c>
    </row>
    <row r="1221" spans="1:42" x14ac:dyDescent="0.25">
      <c r="A1221" s="37">
        <v>36549</v>
      </c>
      <c r="B1221" s="39">
        <v>1360.160034</v>
      </c>
      <c r="C1221" s="36">
        <f>IF(ISBLANK(B1222), "", GSPC[[#This Row],[Adj Close]]/B1222-1)</f>
        <v>-5.6335649556692791E-2</v>
      </c>
      <c r="D122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2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21" s="11" t="e">
        <f>IF(ISBLANK(GSPC[[#This Row],[Long Exp.]]), "", (GSPC[[#This Row],[Long Exp.]]/D1222-1)+(E1222/GSPC[[#This Row],[Short Exp.]]-1))</f>
        <v>#VALUE!</v>
      </c>
      <c r="G1221" s="37">
        <v>36549</v>
      </c>
      <c r="H1221">
        <v>10.094068999999999</v>
      </c>
      <c r="I1221" s="36">
        <f>IF(ISBLANK(H1222), "", Long0[[#This Row],[Adj Close]]/H1222-1)</f>
        <v>-1.8691686001373942E-2</v>
      </c>
      <c r="M1221" s="37">
        <v>36549</v>
      </c>
      <c r="N1221">
        <v>12.833542</v>
      </c>
      <c r="O1221" s="36">
        <f>IF(ISBLANK(N1222),"",Long2[[#This Row],[Adj Close]]/N1222-1)</f>
        <v>-1.8181578932671583E-2</v>
      </c>
      <c r="P1221" s="29">
        <v>36549</v>
      </c>
      <c r="Q1221">
        <v>3.7893289999999999</v>
      </c>
      <c r="R1221" s="33">
        <f>IF(ISBLANK(Q1222),"",Long3[[#This Row],[Adj Close]]/Q1222-1)</f>
        <v>-6.0846136630685832E-2</v>
      </c>
      <c r="S1221" s="37">
        <v>36549</v>
      </c>
      <c r="T1221" s="35">
        <v>21.528538000000001</v>
      </c>
      <c r="U1221" s="36">
        <f>IF(ISBLANK(T1222),"",Long4[[#This Row],[Adj Close]]/T1222-1)</f>
        <v>-0.18548373671714868</v>
      </c>
      <c r="Y1221" s="37">
        <v>36549</v>
      </c>
      <c r="Z1221" s="35">
        <v>15.226705000000001</v>
      </c>
      <c r="AA1221" s="36">
        <f>IF(ISBLANK(Z1222),"",Long6[[#This Row],[Adj Close]]/Z1222-1)</f>
        <v>0.12612612945753643</v>
      </c>
      <c r="AK1221" s="37">
        <v>36549</v>
      </c>
      <c r="AL1221" s="39">
        <v>14.000387</v>
      </c>
      <c r="AM1221" s="36">
        <f>IF(ISBLANK(AL1222),"",Short1[[#This Row],[Adj Close]]/AL1222-1)</f>
        <v>-7.4876501078763313E-2</v>
      </c>
      <c r="AN1221" s="29">
        <v>36549</v>
      </c>
      <c r="AO1221" s="44">
        <v>5.730804</v>
      </c>
      <c r="AP1221" s="33">
        <f>IF(ISBLANK(AO1222),"",Short2[[#This Row],[Adj Close]]/AO1222-1)</f>
        <v>-3.4483153673554146E-2</v>
      </c>
    </row>
    <row r="1222" spans="1:42" x14ac:dyDescent="0.25">
      <c r="A1222" s="37">
        <v>36542</v>
      </c>
      <c r="B1222" s="39">
        <v>1441.3599850000001</v>
      </c>
      <c r="C1222" s="36">
        <f>IF(ISBLANK(B1223), "", GSPC[[#This Row],[Adj Close]]/B1223-1)</f>
        <v>-1.6237271685701438E-2</v>
      </c>
      <c r="D122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2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22" s="11" t="e">
        <f>IF(ISBLANK(GSPC[[#This Row],[Long Exp.]]), "", (GSPC[[#This Row],[Long Exp.]]/D1223-1)+(E1223/GSPC[[#This Row],[Short Exp.]]-1))</f>
        <v>#VALUE!</v>
      </c>
      <c r="G1222" s="37">
        <v>36542</v>
      </c>
      <c r="H1222">
        <v>10.286338000000001</v>
      </c>
      <c r="I1222" s="36">
        <f>IF(ISBLANK(H1223), "", Long0[[#This Row],[Adj Close]]/H1223-1)</f>
        <v>-2.0594546035352046E-2</v>
      </c>
      <c r="M1222" s="37">
        <v>36542</v>
      </c>
      <c r="N1222">
        <v>13.071197</v>
      </c>
      <c r="O1222" s="36">
        <f>IF(ISBLANK(N1223),"",Long2[[#This Row],[Adj Close]]/N1223-1)</f>
        <v>-5.1723905280318672E-2</v>
      </c>
      <c r="P1222" s="29">
        <v>36542</v>
      </c>
      <c r="Q1222">
        <v>4.0348329999999999</v>
      </c>
      <c r="R1222" s="33">
        <f>IF(ISBLANK(Q1223),"",Long3[[#This Row],[Adj Close]]/Q1223-1)</f>
        <v>2.4389866168778251E-2</v>
      </c>
      <c r="S1222" s="37">
        <v>36542</v>
      </c>
      <c r="T1222" s="35">
        <v>26.431072</v>
      </c>
      <c r="U1222" s="36">
        <f>IF(ISBLANK(T1223),"",Long4[[#This Row],[Adj Close]]/T1223-1)</f>
        <v>0</v>
      </c>
      <c r="Y1222" s="37">
        <v>36542</v>
      </c>
      <c r="Z1222" s="35">
        <v>13.521314</v>
      </c>
      <c r="AA1222" s="36">
        <f>IF(ISBLANK(Z1223),"",Long6[[#This Row],[Adj Close]]/Z1223-1)</f>
        <v>3.7383212704499957E-2</v>
      </c>
      <c r="AK1222" s="37">
        <v>36542</v>
      </c>
      <c r="AL1222" s="39">
        <v>15.133533</v>
      </c>
      <c r="AM1222" s="36">
        <f>IF(ISBLANK(AL1223),"",Short1[[#This Row],[Adj Close]]/AL1223-1)</f>
        <v>-1.3968472600847548E-2</v>
      </c>
      <c r="AN1222" s="29">
        <v>36542</v>
      </c>
      <c r="AO1222" s="44">
        <v>5.9354779999999998</v>
      </c>
      <c r="AP1222" s="33">
        <f>IF(ISBLANK(AO1223),"",Short2[[#This Row],[Adj Close]]/AO1223-1)</f>
        <v>-1.5094146761887139E-2</v>
      </c>
    </row>
    <row r="1223" spans="1:42" x14ac:dyDescent="0.25">
      <c r="A1223" s="37">
        <v>36535</v>
      </c>
      <c r="B1223" s="39">
        <v>1465.150024</v>
      </c>
      <c r="C1223" s="36">
        <f>IF(ISBLANK(B1224), "", GSPC[[#This Row],[Adj Close]]/B1224-1)</f>
        <v>1.64277116252185E-2</v>
      </c>
      <c r="D122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2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23" s="11" t="e">
        <f>IF(ISBLANK(GSPC[[#This Row],[Long Exp.]]), "", (GSPC[[#This Row],[Long Exp.]]/D1224-1)+(E1224/GSPC[[#This Row],[Short Exp.]]-1))</f>
        <v>#VALUE!</v>
      </c>
      <c r="G1223" s="37">
        <v>36535</v>
      </c>
      <c r="H1223">
        <v>10.502635</v>
      </c>
      <c r="I1223" s="36">
        <f>IF(ISBLANK(H1224), "", Long0[[#This Row],[Adj Close]]/H1224-1)</f>
        <v>9.249953190338478E-2</v>
      </c>
      <c r="M1223" s="37">
        <v>36535</v>
      </c>
      <c r="N1223">
        <v>13.784167999999999</v>
      </c>
      <c r="O1223" s="36">
        <f>IF(ISBLANK(N1224),"",Long2[[#This Row],[Adj Close]]/N1224-1)</f>
        <v>3.5713808051750062E-2</v>
      </c>
      <c r="P1223" s="29">
        <v>36535</v>
      </c>
      <c r="Q1223">
        <v>3.9387669999999999</v>
      </c>
      <c r="R1223" s="33">
        <f>IF(ISBLANK(Q1224),"",Long3[[#This Row],[Adj Close]]/Q1224-1)</f>
        <v>-1.336927396566101E-2</v>
      </c>
      <c r="S1223" s="37">
        <v>36535</v>
      </c>
      <c r="T1223" s="35">
        <v>26.431072</v>
      </c>
      <c r="U1223" s="36">
        <f>IF(ISBLANK(T1224),"",Long4[[#This Row],[Adj Close]]/T1224-1)</f>
        <v>-8.000156131365066E-3</v>
      </c>
      <c r="Y1223" s="37">
        <v>36535</v>
      </c>
      <c r="Z1223" s="35">
        <v>13.034058999999999</v>
      </c>
      <c r="AA1223" s="36">
        <f>IF(ISBLANK(Z1224),"",Long6[[#This Row],[Adj Close]]/Z1224-1)</f>
        <v>-0.20446087056513673</v>
      </c>
      <c r="AK1223" s="37">
        <v>36535</v>
      </c>
      <c r="AL1223" s="39">
        <v>15.34792</v>
      </c>
      <c r="AM1223" s="36">
        <f>IF(ISBLANK(AL1224),"",Short1[[#This Row],[Adj Close]]/AL1224-1)</f>
        <v>-5.9012279009586166E-2</v>
      </c>
      <c r="AN1223" s="29">
        <v>36535</v>
      </c>
      <c r="AO1223" s="44">
        <v>6.0264420000000003</v>
      </c>
      <c r="AP1223" s="33">
        <f>IF(ISBLANK(AO1224),"",Short2[[#This Row],[Adj Close]]/AO1224-1)</f>
        <v>2.3165546603843845E-2</v>
      </c>
    </row>
    <row r="1224" spans="1:42" x14ac:dyDescent="0.25">
      <c r="A1224" s="37">
        <v>36528</v>
      </c>
      <c r="B1224" s="39">
        <v>1441.469971</v>
      </c>
      <c r="C1224" s="36">
        <f>IF(ISBLANK(B1225), "", GSPC[[#This Row],[Adj Close]]/B1225-1)</f>
        <v>-1.8907625659350003E-2</v>
      </c>
      <c r="D122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2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24" s="11" t="e">
        <f>IF(ISBLANK(GSPC[[#This Row],[Long Exp.]]), "", (GSPC[[#This Row],[Long Exp.]]/D1225-1)+(E1225/GSPC[[#This Row],[Short Exp.]]-1))</f>
        <v>#VALUE!</v>
      </c>
      <c r="G1224" s="37">
        <v>36528</v>
      </c>
      <c r="H1224">
        <v>9.6134000000000004</v>
      </c>
      <c r="I1224" s="36">
        <f>IF(ISBLANK(H1225), "", Long0[[#This Row],[Adj Close]]/H1225-1)</f>
        <v>-5.8166561440464726E-3</v>
      </c>
      <c r="M1224" s="37">
        <v>36528</v>
      </c>
      <c r="N1224">
        <v>13.308858000000001</v>
      </c>
      <c r="O1224" s="36">
        <f>IF(ISBLANK(N1225),"",Long2[[#This Row],[Adj Close]]/N1225-1)</f>
        <v>6.8702252071721759E-2</v>
      </c>
      <c r="P1224" s="29">
        <v>36528</v>
      </c>
      <c r="Q1224">
        <v>3.9921389999999999</v>
      </c>
      <c r="R1224" s="33">
        <f>IF(ISBLANK(Q1225),"",Long3[[#This Row],[Adj Close]]/Q1225-1)</f>
        <v>2.1858355704904131E-2</v>
      </c>
      <c r="S1224" s="37">
        <v>36528</v>
      </c>
      <c r="T1224" s="35">
        <v>26.64423</v>
      </c>
      <c r="U1224" s="36">
        <f>IF(ISBLANK(T1225),"",Long4[[#This Row],[Adj Close]]/T1225-1)</f>
        <v>-7.2786210928528217E-2</v>
      </c>
      <c r="Y1224" s="37">
        <v>36528</v>
      </c>
      <c r="Z1224">
        <v>16.383932000000001</v>
      </c>
      <c r="AA1224" s="36">
        <f>IF(ISBLANK(Z1225),"",Long6[[#This Row],[Adj Close]]/Z1225-1)</f>
        <v>3.7312319583862052E-3</v>
      </c>
      <c r="AK1224" s="37">
        <v>36528</v>
      </c>
      <c r="AL1224" s="39">
        <v>16.310435999999999</v>
      </c>
      <c r="AM1224" s="36">
        <f>IF(ISBLANK(AL1225),"",Short1[[#This Row],[Adj Close]]/AL1225-1)</f>
        <v>0.1592035780694212</v>
      </c>
      <c r="AN1224" s="29">
        <v>36528</v>
      </c>
      <c r="AO1224" s="44">
        <v>5.8899970000000001</v>
      </c>
      <c r="AP1224" s="33">
        <f>IF(ISBLANK(AO1225),"",Short2[[#This Row],[Adj Close]]/AO1225-1)</f>
        <v>-3.8457661563106038E-3</v>
      </c>
    </row>
    <row r="1225" spans="1:42" x14ac:dyDescent="0.25">
      <c r="A1225" s="37">
        <v>36521</v>
      </c>
      <c r="B1225" s="39">
        <v>1469.25</v>
      </c>
      <c r="C1225" s="36">
        <f>IF(ISBLANK(B1226), "", GSPC[[#This Row],[Adj Close]]/B1226-1)</f>
        <v>7.4811321463845726E-3</v>
      </c>
      <c r="D122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2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25" s="11" t="e">
        <f>IF(ISBLANK(GSPC[[#This Row],[Long Exp.]]), "", (GSPC[[#This Row],[Long Exp.]]/D1226-1)+(E1226/GSPC[[#This Row],[Short Exp.]]-1))</f>
        <v>#VALUE!</v>
      </c>
      <c r="G1225" s="37">
        <v>36521</v>
      </c>
      <c r="H1225">
        <v>9.6696449999999992</v>
      </c>
      <c r="I1225" s="36">
        <f>IF(ISBLANK(H1226), "", Long0[[#This Row],[Adj Close]]/H1226-1)</f>
        <v>2.2842811954181474E-2</v>
      </c>
      <c r="M1225" s="37">
        <v>36521</v>
      </c>
      <c r="N1225">
        <v>12.453289</v>
      </c>
      <c r="O1225" s="36">
        <f>IF(ISBLANK(N1226),"",Long2[[#This Row],[Adj Close]]/N1226-1)</f>
        <v>5.6451798988856661E-2</v>
      </c>
      <c r="P1225" s="29">
        <v>36521</v>
      </c>
      <c r="Q1225">
        <v>3.9067440000000002</v>
      </c>
      <c r="R1225" s="33">
        <f>IF(ISBLANK(Q1226),"",Long3[[#This Row],[Adj Close]]/Q1226-1)</f>
        <v>1.6666935574952912E-2</v>
      </c>
      <c r="S1225" s="37">
        <v>36521</v>
      </c>
      <c r="T1225" s="35">
        <v>28.735800000000001</v>
      </c>
      <c r="U1225" s="36">
        <f>IF(ISBLANK(T1226),"",Long4[[#This Row],[Adj Close]]/T1226-1)</f>
        <v>2.5189892990065577E-2</v>
      </c>
      <c r="Y1225" s="37">
        <v>36521</v>
      </c>
      <c r="Z1225">
        <v>16.323027</v>
      </c>
      <c r="AA1225" s="36">
        <f>IF(ISBLANK(Z1226),"",Long6[[#This Row],[Adj Close]]/Z1226-1)</f>
        <v>0.86111082923449889</v>
      </c>
      <c r="AK1225" s="37">
        <v>36521</v>
      </c>
      <c r="AL1225" s="39">
        <v>14.070380999999999</v>
      </c>
      <c r="AM1225" s="36">
        <f>IF(ISBLANK(AL1226),"",Short1[[#This Row],[Adj Close]]/AL1226-1)</f>
        <v>0.1166661521305723</v>
      </c>
      <c r="AN1225" s="29">
        <v>36521</v>
      </c>
      <c r="AO1225" s="44">
        <v>5.9127359999999998</v>
      </c>
      <c r="AP1225" s="33">
        <f>IF(ISBLANK(AO1226),"",Short2[[#This Row],[Adj Close]]/AO1226-1)</f>
        <v>1.5624796024303222E-2</v>
      </c>
    </row>
    <row r="1226" spans="1:42" x14ac:dyDescent="0.25">
      <c r="A1226" s="37">
        <v>36514</v>
      </c>
      <c r="B1226" s="39">
        <v>1458.339966</v>
      </c>
      <c r="C1226" s="36">
        <f>IF(ISBLANK(B1227), "", GSPC[[#This Row],[Adj Close]]/B1227-1)</f>
        <v>2.6255558460123174E-2</v>
      </c>
      <c r="D122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2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26" s="11" t="e">
        <f>IF(ISBLANK(GSPC[[#This Row],[Long Exp.]]), "", (GSPC[[#This Row],[Long Exp.]]/D1227-1)+(E1227/GSPC[[#This Row],[Short Exp.]]-1))</f>
        <v>#VALUE!</v>
      </c>
      <c r="G1226" s="37">
        <v>36514</v>
      </c>
      <c r="H1226">
        <v>9.4536960000000008</v>
      </c>
      <c r="I1226" s="36">
        <f>IF(ISBLANK(H1227), "", Long0[[#This Row],[Adj Close]]/H1227-1)</f>
        <v>0.2048927816138717</v>
      </c>
      <c r="M1226" s="37">
        <v>36514</v>
      </c>
      <c r="N1226">
        <v>11.787844</v>
      </c>
      <c r="O1226" s="36">
        <f>IF(ISBLANK(N1227),"",Long2[[#This Row],[Adj Close]]/N1227-1)</f>
        <v>-2.2192411654811117E-2</v>
      </c>
      <c r="P1226" s="29">
        <v>36514</v>
      </c>
      <c r="Q1226">
        <v>3.8426979999999999</v>
      </c>
      <c r="R1226" s="33">
        <f>IF(ISBLANK(Q1227),"",Long3[[#This Row],[Adj Close]]/Q1227-1)</f>
        <v>1.4084023846965943E-2</v>
      </c>
      <c r="S1226" s="37">
        <v>36514</v>
      </c>
      <c r="T1226" s="35">
        <v>28.029734000000001</v>
      </c>
      <c r="U1226" s="36">
        <f>IF(ISBLANK(T1227),"",Long4[[#This Row],[Adj Close]]/T1227-1)</f>
        <v>9.3555219600690576E-2</v>
      </c>
      <c r="Y1226" s="37">
        <v>36514</v>
      </c>
      <c r="Z1226">
        <v>8.7705830000000002</v>
      </c>
      <c r="AA1226" s="36">
        <f>IF(ISBLANK(Z1227),"",Long6[[#This Row],[Adj Close]]/Z1227-1)</f>
        <v>-6.1889165454530493E-2</v>
      </c>
      <c r="AK1226" s="37">
        <v>36514</v>
      </c>
      <c r="AL1226" s="39">
        <v>12.600346999999999</v>
      </c>
      <c r="AM1226" s="36">
        <f>IF(ISBLANK(AL1227),"",Short1[[#This Row],[Adj Close]]/AL1227-1)</f>
        <v>-4.7618878455479963E-2</v>
      </c>
      <c r="AN1226" s="29">
        <v>36514</v>
      </c>
      <c r="AO1226" s="44">
        <v>5.8217720000000002</v>
      </c>
      <c r="AP1226" s="33">
        <f>IF(ISBLANK(AO1227),"",Short2[[#This Row],[Adj Close]]/AO1227-1)</f>
        <v>3.2258361939345725E-2</v>
      </c>
    </row>
    <row r="1227" spans="1:42" x14ac:dyDescent="0.25">
      <c r="A1227" s="37">
        <v>36507</v>
      </c>
      <c r="B1227" s="39">
        <v>1421.030029</v>
      </c>
      <c r="C1227" s="36">
        <f>IF(ISBLANK(B1228), "", GSPC[[#This Row],[Adj Close]]/B1228-1)</f>
        <v>2.8157214264854513E-3</v>
      </c>
      <c r="D122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2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27" s="11" t="e">
        <f>IF(ISBLANK(GSPC[[#This Row],[Long Exp.]]), "", (GSPC[[#This Row],[Long Exp.]]/D1228-1)+(E1228/GSPC[[#This Row],[Short Exp.]]-1))</f>
        <v>#VALUE!</v>
      </c>
      <c r="G1227" s="37">
        <v>36507</v>
      </c>
      <c r="H1227">
        <v>7.8460890000000001</v>
      </c>
      <c r="I1227" s="36">
        <f>IF(ISBLANK(H1228), "", Long0[[#This Row],[Adj Close]]/H1228-1)</f>
        <v>-9.9173696996973537E-2</v>
      </c>
      <c r="M1227" s="37">
        <v>36507</v>
      </c>
      <c r="N1227">
        <v>12.055382</v>
      </c>
      <c r="O1227" s="36">
        <f>IF(ISBLANK(N1228),"",Long2[[#This Row],[Adj Close]]/N1228-1)</f>
        <v>7.142865395586373E-2</v>
      </c>
      <c r="P1227" s="29">
        <v>36507</v>
      </c>
      <c r="Q1227">
        <v>3.7893289999999999</v>
      </c>
      <c r="R1227" s="33">
        <f>IF(ISBLANK(Q1228),"",Long3[[#This Row],[Adj Close]]/Q1228-1)</f>
        <v>7.1642210609609513E-2</v>
      </c>
      <c r="S1227" s="37">
        <v>36507</v>
      </c>
      <c r="T1227" s="35">
        <v>25.63175</v>
      </c>
      <c r="U1227" s="36">
        <f>IF(ISBLANK(T1228),"",Long4[[#This Row],[Adj Close]]/T1228-1)</f>
        <v>0.12383190078298512</v>
      </c>
      <c r="Y1227" s="37">
        <v>36507</v>
      </c>
      <c r="Z1227">
        <v>9.3491970000000002</v>
      </c>
      <c r="AA1227" s="36">
        <f>IF(ISBLANK(Z1228),"",Long6[[#This Row],[Adj Close]]/Z1228-1)</f>
        <v>-2.8480740704178054E-2</v>
      </c>
      <c r="AK1227" s="37">
        <v>36507</v>
      </c>
      <c r="AL1227" s="39">
        <v>13.230362</v>
      </c>
      <c r="AM1227" s="36">
        <f>IF(ISBLANK(AL1228),"",Short1[[#This Row],[Adj Close]]/AL1228-1)</f>
        <v>-1.8181694049594355E-2</v>
      </c>
      <c r="AN1227" s="29">
        <v>36507</v>
      </c>
      <c r="AO1227" s="44">
        <v>5.6398400000000004</v>
      </c>
      <c r="AP1227" s="33">
        <f>IF(ISBLANK(AO1228),"",Short2[[#This Row],[Adj Close]]/AO1228-1)</f>
        <v>-4.0161890812352441E-3</v>
      </c>
    </row>
    <row r="1228" spans="1:42" x14ac:dyDescent="0.25">
      <c r="A1228" s="37">
        <v>36500</v>
      </c>
      <c r="B1228" s="39">
        <v>1417.040039</v>
      </c>
      <c r="C1228" s="36">
        <f>IF(ISBLANK(B1229), "", GSPC[[#This Row],[Adj Close]]/B1229-1)</f>
        <v>-1.1344456460002483E-2</v>
      </c>
      <c r="D122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2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28" s="11" t="e">
        <f>IF(ISBLANK(GSPC[[#This Row],[Long Exp.]]), "", (GSPC[[#This Row],[Long Exp.]]/D1229-1)+(E1229/GSPC[[#This Row],[Short Exp.]]-1))</f>
        <v>#VALUE!</v>
      </c>
      <c r="G1228" s="37">
        <v>36500</v>
      </c>
      <c r="H1228">
        <v>8.7098800000000001</v>
      </c>
      <c r="I1228" s="36">
        <f>IF(ISBLANK(H1229), "", Long0[[#This Row],[Adj Close]]/H1229-1)</f>
        <v>-4.4736871833179648E-2</v>
      </c>
      <c r="M1228" s="37">
        <v>36500</v>
      </c>
      <c r="N1228">
        <v>11.251689000000001</v>
      </c>
      <c r="O1228" s="36">
        <f>IF(ISBLANK(N1229),"",Long2[[#This Row],[Adj Close]]/N1229-1)</f>
        <v>-5.9288375293781836E-2</v>
      </c>
      <c r="P1228" s="29">
        <v>36500</v>
      </c>
      <c r="Q1228">
        <v>3.5360019999999999</v>
      </c>
      <c r="R1228" s="33">
        <f>IF(ISBLANK(Q1229),"",Long3[[#This Row],[Adj Close]]/Q1229-1)</f>
        <v>-8.7193848061746571E-2</v>
      </c>
      <c r="S1228" s="37">
        <v>36500</v>
      </c>
      <c r="T1228" s="35">
        <v>22.807459000000001</v>
      </c>
      <c r="U1228" s="36">
        <f>IF(ISBLANK(T1229),"",Long4[[#This Row],[Adj Close]]/T1229-1)</f>
        <v>0.16304328038202676</v>
      </c>
      <c r="Y1228" s="37">
        <v>36500</v>
      </c>
      <c r="Z1228">
        <v>9.6232749999999996</v>
      </c>
      <c r="AA1228" s="36">
        <f>IF(ISBLANK(Z1229),"",Long6[[#This Row],[Adj Close]]/Z1229-1)</f>
        <v>0.68085064017392471</v>
      </c>
      <c r="AK1228" s="37">
        <v>36500</v>
      </c>
      <c r="AL1228" s="39">
        <v>13.475367</v>
      </c>
      <c r="AM1228" s="36">
        <f>IF(ISBLANK(AL1229),"",Short1[[#This Row],[Adj Close]]/AL1229-1)</f>
        <v>-0.14822988026808637</v>
      </c>
      <c r="AN1228" s="29">
        <v>36500</v>
      </c>
      <c r="AO1228" s="44">
        <v>5.6625819999999996</v>
      </c>
      <c r="AP1228" s="33">
        <f>IF(ISBLANK(AO1229),"",Short2[[#This Row],[Adj Close]]/AO1229-1)</f>
        <v>-8.1181192014854187E-2</v>
      </c>
    </row>
    <row r="1229" spans="1:42" x14ac:dyDescent="0.25">
      <c r="A1229" s="37">
        <v>36493</v>
      </c>
      <c r="B1229" s="39">
        <v>1433.3000489999999</v>
      </c>
      <c r="C1229" s="36">
        <f>IF(ISBLANK(B1230), "", GSPC[[#This Row],[Adj Close]]/B1230-1)</f>
        <v>1.1774543673584104E-2</v>
      </c>
      <c r="D122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2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29" s="11" t="e">
        <f>IF(ISBLANK(GSPC[[#This Row],[Long Exp.]]), "", (GSPC[[#This Row],[Long Exp.]]/D1230-1)+(E1230/GSPC[[#This Row],[Short Exp.]]-1))</f>
        <v>#VALUE!</v>
      </c>
      <c r="G1229" s="37">
        <v>36493</v>
      </c>
      <c r="H1229">
        <v>9.1177810000000008</v>
      </c>
      <c r="I1229" s="36">
        <f>IF(ISBLANK(H1230), "", Long0[[#This Row],[Adj Close]]/H1230-1)</f>
        <v>5.2631694395600226E-2</v>
      </c>
      <c r="M1229" s="37">
        <v>36493</v>
      </c>
      <c r="N1229">
        <v>11.960827</v>
      </c>
      <c r="O1229" s="36">
        <f>IF(ISBLANK(N1230),"",Long2[[#This Row],[Adj Close]]/N1230-1)</f>
        <v>-1.1718832626491205E-2</v>
      </c>
      <c r="P1229" s="29">
        <v>36493</v>
      </c>
      <c r="Q1229">
        <v>3.8737710000000001</v>
      </c>
      <c r="R1229" s="33">
        <f>IF(ISBLANK(Q1230),"",Long3[[#This Row],[Adj Close]]/Q1230-1)</f>
        <v>-2.6525114950457618E-2</v>
      </c>
      <c r="S1229" s="37">
        <v>36493</v>
      </c>
      <c r="T1229" s="35">
        <v>19.610154999999999</v>
      </c>
      <c r="U1229" s="36">
        <f>IF(ISBLANK(T1230),"",Long4[[#This Row],[Adj Close]]/T1230-1)</f>
        <v>-2.1276707243518267E-2</v>
      </c>
      <c r="Y1229" s="37">
        <v>36493</v>
      </c>
      <c r="Z1229">
        <v>5.7252409999999996</v>
      </c>
      <c r="AA1229" s="36">
        <f>IF(ISBLANK(Z1230),"",Long6[[#This Row],[Adj Close]]/Z1230-1)</f>
        <v>0.14634127295589416</v>
      </c>
      <c r="AK1229" s="37">
        <v>36493</v>
      </c>
      <c r="AL1229" s="39">
        <v>15.820427</v>
      </c>
      <c r="AM1229" s="36">
        <f>IF(ISBLANK(AL1230),"",Short1[[#This Row],[Adj Close]]/AL1230-1)</f>
        <v>-2.3758075761856956E-2</v>
      </c>
      <c r="AN1229" s="29">
        <v>36493</v>
      </c>
      <c r="AO1229" s="44">
        <v>6.1628930000000004</v>
      </c>
      <c r="AP1229" s="33">
        <f>IF(ISBLANK(AO1230),"",Short2[[#This Row],[Adj Close]]/AO1230-1)</f>
        <v>0</v>
      </c>
    </row>
    <row r="1230" spans="1:42" x14ac:dyDescent="0.25">
      <c r="A1230" s="37">
        <v>36486</v>
      </c>
      <c r="B1230" s="39">
        <v>1416.619995</v>
      </c>
      <c r="C1230" s="36">
        <f>IF(ISBLANK(B1231), "", GSPC[[#This Row],[Adj Close]]/B1231-1)</f>
        <v>-3.7834071729957452E-3</v>
      </c>
      <c r="D123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3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30" s="11" t="e">
        <f>IF(ISBLANK(GSPC[[#This Row],[Long Exp.]]), "", (GSPC[[#This Row],[Long Exp.]]/D1231-1)+(E1231/GSPC[[#This Row],[Short Exp.]]-1))</f>
        <v>#VALUE!</v>
      </c>
      <c r="G1230" s="37">
        <v>36486</v>
      </c>
      <c r="H1230">
        <v>8.6618910000000007</v>
      </c>
      <c r="I1230" s="36">
        <f>IF(ISBLANK(H1231), "", Long0[[#This Row],[Adj Close]]/H1231-1)</f>
        <v>0</v>
      </c>
      <c r="M1230" s="37">
        <v>36486</v>
      </c>
      <c r="N1230">
        <v>12.102656</v>
      </c>
      <c r="O1230" s="36">
        <f>IF(ISBLANK(N1231),"",Long2[[#This Row],[Adj Close]]/N1231-1)</f>
        <v>1.9920318725099584E-2</v>
      </c>
      <c r="P1230" s="29">
        <v>36486</v>
      </c>
      <c r="Q1230">
        <v>3.9793229999999999</v>
      </c>
      <c r="R1230" s="33">
        <f>IF(ISBLANK(Q1231),"",Long3[[#This Row],[Adj Close]]/Q1231-1)</f>
        <v>-3.8264957161673885E-2</v>
      </c>
      <c r="S1230" s="37">
        <v>36486</v>
      </c>
      <c r="T1230" s="35">
        <v>20.036465</v>
      </c>
      <c r="U1230" s="36">
        <f>IF(ISBLANK(T1231),"",Long4[[#This Row],[Adj Close]]/T1231-1)</f>
        <v>8.3573859046623067E-2</v>
      </c>
      <c r="Y1230" s="37">
        <v>36486</v>
      </c>
      <c r="Z1230">
        <v>4.9943600000000004</v>
      </c>
      <c r="AA1230" s="36">
        <f>IF(ISBLANK(Z1231),"",Long6[[#This Row],[Adj Close]]/Z1231-1)</f>
        <v>0.51851887887021109</v>
      </c>
      <c r="AK1230" s="37">
        <v>36486</v>
      </c>
      <c r="AL1230" s="39">
        <v>16.205437</v>
      </c>
      <c r="AM1230" s="36">
        <f>IF(ISBLANK(AL1231),"",Short1[[#This Row],[Adj Close]]/AL1231-1)</f>
        <v>0.15174116464934384</v>
      </c>
      <c r="AN1230" s="29">
        <v>36486</v>
      </c>
      <c r="AO1230" s="44">
        <v>6.1628930000000004</v>
      </c>
      <c r="AP1230" s="33">
        <f>IF(ISBLANK(AO1231),"",Short2[[#This Row],[Adj Close]]/AO1231-1)</f>
        <v>-1.8115392483441517E-2</v>
      </c>
    </row>
    <row r="1231" spans="1:42" x14ac:dyDescent="0.25">
      <c r="A1231" s="37">
        <v>36479</v>
      </c>
      <c r="B1231" s="39">
        <v>1422</v>
      </c>
      <c r="C1231" s="36">
        <f>IF(ISBLANK(B1232), "", GSPC[[#This Row],[Adj Close]]/B1232-1)</f>
        <v>1.8580820239625595E-2</v>
      </c>
      <c r="D123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3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31" s="11" t="e">
        <f>IF(ISBLANK(GSPC[[#This Row],[Long Exp.]]), "", (GSPC[[#This Row],[Long Exp.]]/D1232-1)+(E1232/GSPC[[#This Row],[Short Exp.]]-1))</f>
        <v>#VALUE!</v>
      </c>
      <c r="G1231" s="37">
        <v>36479</v>
      </c>
      <c r="H1231">
        <v>8.6618910000000007</v>
      </c>
      <c r="I1231" s="36">
        <f>IF(ISBLANK(H1232), "", Long0[[#This Row],[Adj Close]]/H1232-1)</f>
        <v>8.7349045569938388E-2</v>
      </c>
      <c r="M1231" s="37">
        <v>36479</v>
      </c>
      <c r="N1231">
        <v>11.866275999999999</v>
      </c>
      <c r="O1231" s="36">
        <f>IF(ISBLANK(N1232),"",Long2[[#This Row],[Adj Close]]/N1232-1)</f>
        <v>7.7253023292127132E-2</v>
      </c>
      <c r="P1231" s="29">
        <v>36479</v>
      </c>
      <c r="Q1231">
        <v>4.1376499999999998</v>
      </c>
      <c r="R1231" s="33">
        <f>IF(ISBLANK(Q1232),"",Long3[[#This Row],[Adj Close]]/Q1232-1)</f>
        <v>-4.1565257716364989E-2</v>
      </c>
      <c r="S1231" s="37">
        <v>36479</v>
      </c>
      <c r="T1231" s="35">
        <v>18.491092999999999</v>
      </c>
      <c r="U1231" s="36">
        <f>IF(ISBLANK(T1232),"",Long4[[#This Row],[Adj Close]]/T1232-1)</f>
        <v>0.3991935703553755</v>
      </c>
      <c r="Y1231" s="37">
        <v>36479</v>
      </c>
      <c r="Z1231">
        <v>3.2889680000000001</v>
      </c>
      <c r="AA1231" s="36">
        <f>IF(ISBLANK(Z1232),"",Long6[[#This Row],[Adj Close]]/Z1232-1)</f>
        <v>-9.174190318130826E-3</v>
      </c>
      <c r="AK1231" s="37">
        <v>36479</v>
      </c>
      <c r="AL1231" s="39">
        <v>14.070380999999999</v>
      </c>
      <c r="AM1231" s="36">
        <f>IF(ISBLANK(AL1232),"",Short1[[#This Row],[Adj Close]]/AL1232-1)</f>
        <v>-4.739362579385098E-2</v>
      </c>
      <c r="AN1231" s="29">
        <v>36479</v>
      </c>
      <c r="AO1231" s="44">
        <v>6.2765959999999996</v>
      </c>
      <c r="AP1231" s="33">
        <f>IF(ISBLANK(AO1232),"",Short2[[#This Row],[Adj Close]]/AO1232-1)</f>
        <v>1.4705528116524036E-2</v>
      </c>
    </row>
    <row r="1232" spans="1:42" x14ac:dyDescent="0.25">
      <c r="A1232" s="37">
        <v>36472</v>
      </c>
      <c r="B1232" s="39">
        <v>1396.0600589999999</v>
      </c>
      <c r="C1232" s="36">
        <f>IF(ISBLANK(B1233), "", GSPC[[#This Row],[Adj Close]]/B1233-1)</f>
        <v>1.8850907787026916E-2</v>
      </c>
      <c r="D123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3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32" s="11" t="e">
        <f>IF(ISBLANK(GSPC[[#This Row],[Long Exp.]]), "", (GSPC[[#This Row],[Long Exp.]]/D1233-1)+(E1233/GSPC[[#This Row],[Short Exp.]]-1))</f>
        <v>#VALUE!</v>
      </c>
      <c r="G1232" s="37">
        <v>36472</v>
      </c>
      <c r="H1232">
        <v>7.9660630000000001</v>
      </c>
      <c r="I1232" s="36">
        <f>IF(ISBLANK(H1233), "", Long0[[#This Row],[Adj Close]]/H1233-1)</f>
        <v>1.8405038955666253E-2</v>
      </c>
      <c r="M1232" s="37">
        <v>36472</v>
      </c>
      <c r="N1232">
        <v>11.015309999999999</v>
      </c>
      <c r="O1232" s="36">
        <f>IF(ISBLANK(N1233),"",Long2[[#This Row],[Adj Close]]/N1233-1)</f>
        <v>4.9549740111547225E-2</v>
      </c>
      <c r="P1232" s="29">
        <v>36472</v>
      </c>
      <c r="Q1232">
        <v>4.3170909999999996</v>
      </c>
      <c r="R1232" s="33">
        <f>IF(ISBLANK(Q1233),"",Long3[[#This Row],[Adj Close]]/Q1233-1)</f>
        <v>-3.9906318893387027E-2</v>
      </c>
      <c r="S1232" s="37">
        <v>36472</v>
      </c>
      <c r="T1232" s="35">
        <v>13.215536</v>
      </c>
      <c r="U1232" s="36">
        <f>IF(ISBLANK(T1233),"",Long4[[#This Row],[Adj Close]]/T1233-1)</f>
        <v>0.20388349868334288</v>
      </c>
      <c r="Y1232" s="37">
        <v>36472</v>
      </c>
      <c r="Z1232">
        <v>3.3194210000000002</v>
      </c>
      <c r="AA1232" s="36">
        <f>IF(ISBLANK(Z1233),"",Long6[[#This Row],[Adj Close]]/Z1233-1)</f>
        <v>-0.10655755795738497</v>
      </c>
      <c r="AK1232" s="37">
        <v>36472</v>
      </c>
      <c r="AL1232" s="39">
        <v>14.770403999999999</v>
      </c>
      <c r="AM1232" s="36">
        <f>IF(ISBLANK(AL1233),"",Short1[[#This Row],[Adj Close]]/AL1233-1)</f>
        <v>4.1975067918761377E-2</v>
      </c>
      <c r="AN1232" s="29">
        <v>36472</v>
      </c>
      <c r="AO1232" s="44">
        <v>6.1856330000000002</v>
      </c>
      <c r="AP1232" s="33">
        <f>IF(ISBLANK(AO1233),"",Short2[[#This Row],[Adj Close]]/AO1233-1)</f>
        <v>-3.4725116753537733E-2</v>
      </c>
    </row>
    <row r="1233" spans="1:42" x14ac:dyDescent="0.25">
      <c r="A1233" s="37">
        <v>36465</v>
      </c>
      <c r="B1233" s="39">
        <v>1370.2299800000001</v>
      </c>
      <c r="C1233" s="36">
        <f>IF(ISBLANK(B1234), "", GSPC[[#This Row],[Adj Close]]/B1234-1)</f>
        <v>5.3560532901713032E-3</v>
      </c>
      <c r="D123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3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33" s="11" t="e">
        <f>IF(ISBLANK(GSPC[[#This Row],[Long Exp.]]), "", (GSPC[[#This Row],[Long Exp.]]/D1234-1)+(E1234/GSPC[[#This Row],[Short Exp.]]-1))</f>
        <v>#VALUE!</v>
      </c>
      <c r="G1233" s="37">
        <v>36465</v>
      </c>
      <c r="H1233">
        <v>7.8220970000000003</v>
      </c>
      <c r="I1233" s="36">
        <f>IF(ISBLANK(H1234), "", Long0[[#This Row],[Adj Close]]/H1234-1)</f>
        <v>0.13588861052718415</v>
      </c>
      <c r="M1233" s="37">
        <v>36465</v>
      </c>
      <c r="N1233">
        <v>10.495272</v>
      </c>
      <c r="O1233" s="36">
        <f>IF(ISBLANK(N1234),"",Long2[[#This Row],[Adj Close]]/N1234-1)</f>
        <v>8.8234842769434607E-2</v>
      </c>
      <c r="P1233" s="29">
        <v>36465</v>
      </c>
      <c r="Q1233">
        <v>4.4965310000000001</v>
      </c>
      <c r="R1233" s="33">
        <f>IF(ISBLANK(Q1234),"",Long3[[#This Row],[Adj Close]]/Q1234-1)</f>
        <v>-1.6165924502277162E-2</v>
      </c>
      <c r="S1233" s="37">
        <v>36465</v>
      </c>
      <c r="T1233" s="35">
        <v>10.977421</v>
      </c>
      <c r="U1233" s="36">
        <f>IF(ISBLANK(T1234),"",Long4[[#This Row],[Adj Close]]/T1234-1)</f>
        <v>-9.2511277245731494E-2</v>
      </c>
      <c r="Y1233" s="37">
        <v>36465</v>
      </c>
      <c r="Z1233">
        <v>3.7153160000000001</v>
      </c>
      <c r="AA1233" s="36">
        <f>IF(ISBLANK(Z1234),"",Long6[[#This Row],[Adj Close]]/Z1234-1)</f>
        <v>1.6666716834377482E-2</v>
      </c>
      <c r="AK1233" s="37">
        <v>36465</v>
      </c>
      <c r="AL1233" s="39">
        <v>14.175390999999999</v>
      </c>
      <c r="AM1233" s="36">
        <f>IF(ISBLANK(AL1234),"",Short1[[#This Row],[Adj Close]]/AL1234-1)</f>
        <v>-9.1928391736475268E-2</v>
      </c>
      <c r="AN1233" s="29">
        <v>36465</v>
      </c>
      <c r="AO1233" s="44">
        <v>6.4081570000000001</v>
      </c>
      <c r="AP1233" s="33">
        <f>IF(ISBLANK(AO1234),"",Short2[[#This Row],[Adj Close]]/AO1234-1)</f>
        <v>7.2243120151033846E-2</v>
      </c>
    </row>
    <row r="1234" spans="1:42" x14ac:dyDescent="0.25">
      <c r="A1234" s="37">
        <v>36458</v>
      </c>
      <c r="B1234" s="39">
        <v>1362.9300539999999</v>
      </c>
      <c r="C1234" s="36">
        <f>IF(ISBLANK(B1235), "", GSPC[[#This Row],[Adj Close]]/B1235-1)</f>
        <v>4.707872997357998E-2</v>
      </c>
      <c r="D123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3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34" s="11" t="e">
        <f>IF(ISBLANK(GSPC[[#This Row],[Long Exp.]]), "", (GSPC[[#This Row],[Long Exp.]]/D1235-1)+(E1235/GSPC[[#This Row],[Short Exp.]]-1))</f>
        <v>#VALUE!</v>
      </c>
      <c r="G1234" s="37">
        <v>36458</v>
      </c>
      <c r="H1234">
        <v>6.8863240000000001</v>
      </c>
      <c r="I1234" s="36">
        <f>IF(ISBLANK(H1235), "", Long0[[#This Row],[Adj Close]]/H1235-1)</f>
        <v>-1.0345043651416308E-2</v>
      </c>
      <c r="M1234" s="37">
        <v>36458</v>
      </c>
      <c r="N1234">
        <v>9.6443080000000005</v>
      </c>
      <c r="O1234" s="36">
        <f>IF(ISBLANK(N1235),"",Long2[[#This Row],[Adj Close]]/N1235-1)</f>
        <v>-3.3175051379731535E-2</v>
      </c>
      <c r="P1234" s="29">
        <v>36458</v>
      </c>
      <c r="Q1234">
        <v>4.5704159999999998</v>
      </c>
      <c r="R1234" s="33">
        <f>IF(ISBLANK(Q1235),"",Long3[[#This Row],[Adj Close]]/Q1235-1)</f>
        <v>3.8369367756499351E-2</v>
      </c>
      <c r="S1234" s="37">
        <v>36458</v>
      </c>
      <c r="T1234" s="35">
        <v>12.096482</v>
      </c>
      <c r="U1234" s="36">
        <f>IF(ISBLANK(T1235),"",Long4[[#This Row],[Adj Close]]/T1235-1)</f>
        <v>0.18848169751182375</v>
      </c>
      <c r="Y1234" s="37">
        <v>36458</v>
      </c>
      <c r="Z1234">
        <v>3.6544089999999998</v>
      </c>
      <c r="AA1234" s="36">
        <f>IF(ISBLANK(Z1235),"",Long6[[#This Row],[Adj Close]]/Z1235-1)</f>
        <v>-6.2499935865138245E-2</v>
      </c>
      <c r="AK1234" s="37">
        <v>36458</v>
      </c>
      <c r="AL1234" s="39">
        <v>15.610433</v>
      </c>
      <c r="AM1234" s="36">
        <f>IF(ISBLANK(AL1235),"",Short1[[#This Row],[Adj Close]]/AL1235-1)</f>
        <v>-6.0062960186069936E-2</v>
      </c>
      <c r="AN1234" s="29">
        <v>36458</v>
      </c>
      <c r="AO1234" s="44">
        <v>5.9764030000000004</v>
      </c>
      <c r="AP1234" s="33">
        <f>IF(ISBLANK(AO1235),"",Short2[[#This Row],[Adj Close]]/AO1235-1)</f>
        <v>0.20642214983818574</v>
      </c>
    </row>
    <row r="1235" spans="1:42" x14ac:dyDescent="0.25">
      <c r="A1235" s="37">
        <v>36451</v>
      </c>
      <c r="B1235" s="39">
        <v>1301.650024</v>
      </c>
      <c r="C1235" s="36">
        <f>IF(ISBLANK(B1236), "", GSPC[[#This Row],[Adj Close]]/B1236-1)</f>
        <v>4.3482085698855366E-2</v>
      </c>
      <c r="D123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3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35" s="11" t="e">
        <f>IF(ISBLANK(GSPC[[#This Row],[Long Exp.]]), "", (GSPC[[#This Row],[Long Exp.]]/D1236-1)+(E1236/GSPC[[#This Row],[Short Exp.]]-1))</f>
        <v>#VALUE!</v>
      </c>
      <c r="G1235" s="37">
        <v>36451</v>
      </c>
      <c r="H1235">
        <v>6.9583079999999997</v>
      </c>
      <c r="I1235" s="36">
        <f>IF(ISBLANK(H1236), "", Long0[[#This Row],[Adj Close]]/H1236-1)</f>
        <v>1.3986211680289351E-2</v>
      </c>
      <c r="M1235" s="37">
        <v>36451</v>
      </c>
      <c r="N1235">
        <v>9.9752369999999999</v>
      </c>
      <c r="O1235" s="36">
        <f>IF(ISBLANK(N1236),"",Long2[[#This Row],[Adj Close]]/N1236-1)</f>
        <v>-4.5248773066145831E-2</v>
      </c>
      <c r="P1235" s="29">
        <v>36451</v>
      </c>
      <c r="Q1235">
        <v>4.4015319999999996</v>
      </c>
      <c r="R1235" s="33">
        <f>IF(ISBLANK(Q1236),"",Long3[[#This Row],[Adj Close]]/Q1236-1)</f>
        <v>2.4035647639317759E-3</v>
      </c>
      <c r="S1235" s="37">
        <v>36451</v>
      </c>
      <c r="T1235" s="35">
        <v>10.178096999999999</v>
      </c>
      <c r="U1235" s="36">
        <f>IF(ISBLANK(T1236),"",Long4[[#This Row],[Adj Close]]/T1236-1)</f>
        <v>-9.0475958563344783E-2</v>
      </c>
      <c r="Y1235" s="37">
        <v>36451</v>
      </c>
      <c r="Z1235">
        <v>3.8980359999999998</v>
      </c>
      <c r="AA1235" s="36">
        <f>IF(ISBLANK(Z1236),"",Long6[[#This Row],[Adj Close]]/Z1236-1)</f>
        <v>-1.5384662017109196E-2</v>
      </c>
      <c r="AK1235" s="37">
        <v>36451</v>
      </c>
      <c r="AL1235" s="39">
        <v>16.607956000000001</v>
      </c>
      <c r="AM1235" s="36">
        <f>IF(ISBLANK(AL1236),"",Short1[[#This Row],[Adj Close]]/AL1236-1)</f>
        <v>-3.9473643117013291E-2</v>
      </c>
      <c r="AN1235" s="29">
        <v>36451</v>
      </c>
      <c r="AO1235" s="44">
        <v>4.953824</v>
      </c>
      <c r="AP1235" s="33">
        <f>IF(ISBLANK(AO1236),"",Short2[[#This Row],[Adj Close]]/AO1236-1)</f>
        <v>-6.0344919157201526E-2</v>
      </c>
    </row>
    <row r="1236" spans="1:42" x14ac:dyDescent="0.25">
      <c r="A1236" s="37">
        <v>36444</v>
      </c>
      <c r="B1236" s="39">
        <v>1247.410034</v>
      </c>
      <c r="C1236" s="36">
        <f>IF(ISBLANK(B1237), "", GSPC[[#This Row],[Adj Close]]/B1237-1)</f>
        <v>-6.632384595554186E-2</v>
      </c>
      <c r="D123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3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36" s="11" t="e">
        <f>IF(ISBLANK(GSPC[[#This Row],[Long Exp.]]), "", (GSPC[[#This Row],[Long Exp.]]/D1237-1)+(E1237/GSPC[[#This Row],[Short Exp.]]-1))</f>
        <v>#VALUE!</v>
      </c>
      <c r="G1236" s="37">
        <v>36444</v>
      </c>
      <c r="H1236">
        <v>6.86233</v>
      </c>
      <c r="I1236" s="36">
        <f>IF(ISBLANK(H1237), "", Long0[[#This Row],[Adj Close]]/H1237-1)</f>
        <v>1.4184300732713595E-2</v>
      </c>
      <c r="M1236" s="37">
        <v>36444</v>
      </c>
      <c r="N1236">
        <v>10.447996</v>
      </c>
      <c r="O1236" s="36">
        <f>IF(ISBLANK(N1237),"",Long2[[#This Row],[Adj Close]]/N1237-1)</f>
        <v>-6.7510548523206704E-2</v>
      </c>
      <c r="P1236" s="29">
        <v>36444</v>
      </c>
      <c r="Q1236">
        <v>4.3909779999999996</v>
      </c>
      <c r="R1236" s="33">
        <f>IF(ISBLANK(Q1237),"",Long3[[#This Row],[Adj Close]]/Q1237-1)</f>
        <v>-3.2557862847700458E-2</v>
      </c>
      <c r="S1236" s="37">
        <v>36444</v>
      </c>
      <c r="T1236" s="35">
        <v>11.190575000000001</v>
      </c>
      <c r="U1236" s="36">
        <f>IF(ISBLANK(T1237),"",Long4[[#This Row],[Adj Close]]/T1237-1)</f>
        <v>-5.4054179707622163E-2</v>
      </c>
      <c r="Y1236" s="37">
        <v>36444</v>
      </c>
      <c r="Z1236">
        <v>3.9589430000000001</v>
      </c>
      <c r="AA1236" s="36">
        <f>IF(ISBLANK(Z1237),"",Long6[[#This Row],[Adj Close]]/Z1237-1)</f>
        <v>0.10169464169085152</v>
      </c>
      <c r="AK1236" s="37">
        <v>36444</v>
      </c>
      <c r="AL1236" s="39">
        <v>17.290474</v>
      </c>
      <c r="AM1236" s="36">
        <f>IF(ISBLANK(AL1237),"",Short1[[#This Row],[Adj Close]]/AL1237-1)</f>
        <v>-8.1784424718662874E-2</v>
      </c>
      <c r="AN1236" s="29">
        <v>36444</v>
      </c>
      <c r="AO1236" s="44">
        <v>5.27196</v>
      </c>
      <c r="AP1236" s="33">
        <f>IF(ISBLANK(AO1237),"",Short2[[#This Row],[Adj Close]]/AO1237-1)</f>
        <v>-3.3333204981305431E-2</v>
      </c>
    </row>
    <row r="1237" spans="1:42" x14ac:dyDescent="0.25">
      <c r="A1237" s="37">
        <v>36437</v>
      </c>
      <c r="B1237" s="39">
        <v>1336.0200199999999</v>
      </c>
      <c r="C1237" s="36">
        <f>IF(ISBLANK(B1238), "", GSPC[[#This Row],[Adj Close]]/B1238-1)</f>
        <v>4.1479220268571426E-2</v>
      </c>
      <c r="D123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3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37" s="11" t="e">
        <f>IF(ISBLANK(GSPC[[#This Row],[Long Exp.]]), "", (GSPC[[#This Row],[Long Exp.]]/D1238-1)+(E1238/GSPC[[#This Row],[Short Exp.]]-1))</f>
        <v>#VALUE!</v>
      </c>
      <c r="G1237" s="37">
        <v>36437</v>
      </c>
      <c r="H1237">
        <v>6.7663539999999998</v>
      </c>
      <c r="I1237" s="36">
        <f>IF(ISBLANK(H1238), "", Long0[[#This Row],[Adj Close]]/H1238-1)</f>
        <v>-6.1028823213994277E-2</v>
      </c>
      <c r="M1237" s="37">
        <v>36437</v>
      </c>
      <c r="N1237">
        <v>11.204412</v>
      </c>
      <c r="O1237" s="36">
        <f>IF(ISBLANK(N1238),"",Long2[[#This Row],[Adj Close]]/N1238-1)</f>
        <v>5.333353138233754E-2</v>
      </c>
      <c r="P1237" s="29">
        <v>36437</v>
      </c>
      <c r="Q1237">
        <v>4.5387500000000003</v>
      </c>
      <c r="R1237" s="33">
        <f>IF(ISBLANK(Q1238),"",Long3[[#This Row],[Adj Close]]/Q1238-1)</f>
        <v>-2.050175343943883E-2</v>
      </c>
      <c r="S1237" s="37">
        <v>36437</v>
      </c>
      <c r="T1237" s="35">
        <v>11.830038</v>
      </c>
      <c r="U1237" s="36">
        <f>IF(ISBLANK(T1238),"",Long4[[#This Row],[Adj Close]]/T1238-1)</f>
        <v>4.5246770926312685E-3</v>
      </c>
      <c r="Y1237" s="37">
        <v>36437</v>
      </c>
      <c r="Z1237">
        <v>3.5935030000000001</v>
      </c>
      <c r="AA1237" s="36">
        <f>IF(ISBLANK(Z1238),"",Long6[[#This Row],[Adj Close]]/Z1238-1)</f>
        <v>9.2592874117352286E-2</v>
      </c>
      <c r="AK1237" s="37">
        <v>36437</v>
      </c>
      <c r="AL1237" s="39">
        <v>18.830517</v>
      </c>
      <c r="AM1237" s="36">
        <f>IF(ISBLANK(AL1238),"",Short1[[#This Row],[Adj Close]]/AL1238-1)</f>
        <v>0.10245914236419895</v>
      </c>
      <c r="AN1237" s="29">
        <v>36437</v>
      </c>
      <c r="AO1237" s="44">
        <v>5.4537509999999996</v>
      </c>
      <c r="AP1237" s="33">
        <f>IF(ISBLANK(AO1238),"",Short2[[#This Row],[Adj Close]]/AO1238-1)</f>
        <v>-4.0000063369225569E-2</v>
      </c>
    </row>
    <row r="1238" spans="1:42" x14ac:dyDescent="0.25">
      <c r="A1238" s="37">
        <v>36430</v>
      </c>
      <c r="B1238" s="39">
        <v>1282.8100589999999</v>
      </c>
      <c r="C1238" s="36">
        <f>IF(ISBLANK(B1239), "", GSPC[[#This Row],[Adj Close]]/B1239-1)</f>
        <v>4.2666703701383923E-3</v>
      </c>
      <c r="D123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3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38" s="11" t="e">
        <f>IF(ISBLANK(GSPC[[#This Row],[Long Exp.]]), "", (GSPC[[#This Row],[Long Exp.]]/D1239-1)+(E1239/GSPC[[#This Row],[Short Exp.]]-1))</f>
        <v>#VALUE!</v>
      </c>
      <c r="G1238" s="37">
        <v>36430</v>
      </c>
      <c r="H1238">
        <v>7.2061359999999999</v>
      </c>
      <c r="I1238" s="36">
        <f>IF(ISBLANK(H1239), "", Long0[[#This Row],[Adj Close]]/H1239-1)</f>
        <v>1.006712067901705E-2</v>
      </c>
      <c r="M1238" s="37">
        <v>36430</v>
      </c>
      <c r="N1238">
        <v>10.637098</v>
      </c>
      <c r="O1238" s="36">
        <f>IF(ISBLANK(N1239),"",Long2[[#This Row],[Adj Close]]/N1239-1)</f>
        <v>-8.5365868338954765E-2</v>
      </c>
      <c r="P1238" s="29">
        <v>36430</v>
      </c>
      <c r="Q1238">
        <v>4.63375</v>
      </c>
      <c r="R1238" s="33">
        <f>IF(ISBLANK(Q1239),"",Long3[[#This Row],[Adj Close]]/Q1239-1)</f>
        <v>5.5288821761348084E-2</v>
      </c>
      <c r="S1238" s="37">
        <v>36430</v>
      </c>
      <c r="T1238" s="35">
        <v>11.776752</v>
      </c>
      <c r="U1238" s="36">
        <f>IF(ISBLANK(T1239),"",Long4[[#This Row],[Adj Close]]/T1239-1)</f>
        <v>0.12755136967775593</v>
      </c>
      <c r="Y1238" s="37">
        <v>36430</v>
      </c>
      <c r="Z1238">
        <v>3.2889680000000001</v>
      </c>
      <c r="AA1238" s="36">
        <f>IF(ISBLANK(Z1239),"",Long6[[#This Row],[Adj Close]]/Z1239-1)</f>
        <v>-3.5714390424248732E-2</v>
      </c>
      <c r="AK1238" s="37">
        <v>36430</v>
      </c>
      <c r="AL1238" s="39">
        <v>17.080466999999999</v>
      </c>
      <c r="AM1238" s="36">
        <f>IF(ISBLANK(AL1239),"",Short1[[#This Row],[Adj Close]]/AL1239-1)</f>
        <v>7.4889899168266716E-2</v>
      </c>
      <c r="AN1238" s="29">
        <v>36430</v>
      </c>
      <c r="AO1238" s="44">
        <v>5.6809909999999997</v>
      </c>
      <c r="AP1238" s="33">
        <f>IF(ISBLANK(AO1239),"",Short2[[#This Row],[Adj Close]]/AO1239-1)</f>
        <v>-2.723756262778132E-2</v>
      </c>
    </row>
    <row r="1239" spans="1:42" x14ac:dyDescent="0.25">
      <c r="A1239" s="37">
        <v>36423</v>
      </c>
      <c r="B1239" s="39">
        <v>1277.3599850000001</v>
      </c>
      <c r="C1239" s="36">
        <f>IF(ISBLANK(B1240), "", GSPC[[#This Row],[Adj Close]]/B1240-1)</f>
        <v>-4.3477001308211527E-2</v>
      </c>
      <c r="D123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3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39" s="11" t="e">
        <f>IF(ISBLANK(GSPC[[#This Row],[Long Exp.]]), "", (GSPC[[#This Row],[Long Exp.]]/D1240-1)+(E1240/GSPC[[#This Row],[Short Exp.]]-1))</f>
        <v>#VALUE!</v>
      </c>
      <c r="G1239" s="37">
        <v>36423</v>
      </c>
      <c r="H1239">
        <v>7.1343139999999998</v>
      </c>
      <c r="I1239" s="36">
        <f>IF(ISBLANK(H1240), "", Long0[[#This Row],[Adj Close]]/H1240-1)</f>
        <v>-4.1800969573080327E-2</v>
      </c>
      <c r="M1239" s="37">
        <v>36423</v>
      </c>
      <c r="N1239">
        <v>11.629894</v>
      </c>
      <c r="O1239" s="36">
        <f>IF(ISBLANK(N1240),"",Long2[[#This Row],[Adj Close]]/N1240-1)</f>
        <v>-5.9938784724989591E-2</v>
      </c>
      <c r="P1239" s="29">
        <v>36423</v>
      </c>
      <c r="Q1239">
        <v>4.3909779999999996</v>
      </c>
      <c r="R1239" s="33">
        <f>IF(ISBLANK(Q1240),"",Long3[[#This Row],[Adj Close]]/Q1240-1)</f>
        <v>-3.7036663406332604E-2</v>
      </c>
      <c r="S1239" s="37">
        <v>36423</v>
      </c>
      <c r="T1239" s="35">
        <v>10.444537</v>
      </c>
      <c r="U1239" s="36">
        <f>IF(ISBLANK(T1240),"",Long4[[#This Row],[Adj Close]]/T1240-1)</f>
        <v>-0.12500024085551209</v>
      </c>
      <c r="Y1239" s="37">
        <v>36423</v>
      </c>
      <c r="Z1239">
        <v>3.4107820000000002</v>
      </c>
      <c r="AA1239" s="36">
        <f>IF(ISBLANK(Z1240),"",Long6[[#This Row],[Adj Close]]/Z1240-1)</f>
        <v>-6.6666593695451026E-2</v>
      </c>
      <c r="AK1239" s="37">
        <v>36423</v>
      </c>
      <c r="AL1239" s="39">
        <v>15.890434000000001</v>
      </c>
      <c r="AM1239" s="36">
        <f>IF(ISBLANK(AL1240),"",Short1[[#This Row],[Adj Close]]/AL1240-1)</f>
        <v>8.8885799027138557E-3</v>
      </c>
      <c r="AN1239" s="29">
        <v>36423</v>
      </c>
      <c r="AO1239" s="44">
        <v>5.8400600000000003</v>
      </c>
      <c r="AP1239" s="33">
        <f>IF(ISBLANK(AO1240),"",Short2[[#This Row],[Adj Close]]/AO1240-1)</f>
        <v>-9.8245039202004447E-2</v>
      </c>
    </row>
    <row r="1240" spans="1:42" x14ac:dyDescent="0.25">
      <c r="A1240" s="37">
        <v>36416</v>
      </c>
      <c r="B1240" s="39">
        <v>1335.420044</v>
      </c>
      <c r="C1240" s="36">
        <f>IF(ISBLANK(B1241), "", GSPC[[#This Row],[Adj Close]]/B1241-1)</f>
        <v>-1.2014848106398968E-2</v>
      </c>
      <c r="D124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4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40" s="11" t="e">
        <f>IF(ISBLANK(GSPC[[#This Row],[Long Exp.]]), "", (GSPC[[#This Row],[Long Exp.]]/D1241-1)+(E1241/GSPC[[#This Row],[Short Exp.]]-1))</f>
        <v>#VALUE!</v>
      </c>
      <c r="G1240" s="37">
        <v>36416</v>
      </c>
      <c r="H1240">
        <v>7.4455450000000001</v>
      </c>
      <c r="I1240" s="36">
        <f>IF(ISBLANK(H1241), "", Long0[[#This Row],[Adj Close]]/H1241-1)</f>
        <v>2.3026651156821787E-2</v>
      </c>
      <c r="M1240" s="37">
        <v>36416</v>
      </c>
      <c r="N1240">
        <v>12.371422000000001</v>
      </c>
      <c r="O1240" s="36">
        <f>IF(ISBLANK(N1241),"",Long2[[#This Row],[Adj Close]]/N1241-1)</f>
        <v>2.7343716588697609E-2</v>
      </c>
      <c r="P1240" s="29">
        <v>36416</v>
      </c>
      <c r="Q1240">
        <v>4.5598599999999996</v>
      </c>
      <c r="R1240" s="33">
        <f>IF(ISBLANK(Q1241),"",Long3[[#This Row],[Adj Close]]/Q1241-1)</f>
        <v>-9.2770150859587952E-3</v>
      </c>
      <c r="S1240" s="37">
        <v>36416</v>
      </c>
      <c r="T1240" s="35">
        <v>11.936617</v>
      </c>
      <c r="U1240" s="36">
        <f>IF(ISBLANK(T1241),"",Long4[[#This Row],[Adj Close]]/T1241-1)</f>
        <v>9.0091849240043764E-3</v>
      </c>
      <c r="Y1240" s="37">
        <v>36416</v>
      </c>
      <c r="Z1240">
        <v>3.6544089999999998</v>
      </c>
      <c r="AA1240" s="36">
        <f>IF(ISBLANK(Z1241),"",Long6[[#This Row],[Adj Close]]/Z1241-1)</f>
        <v>-3.2258158482695531E-2</v>
      </c>
      <c r="AK1240" s="37">
        <v>36416</v>
      </c>
      <c r="AL1240" s="39">
        <v>15.750435</v>
      </c>
      <c r="AM1240" s="36">
        <f>IF(ISBLANK(AL1241),"",Short1[[#This Row],[Adj Close]]/AL1241-1)</f>
        <v>-5.2631512467205321E-2</v>
      </c>
      <c r="AN1240" s="29">
        <v>36416</v>
      </c>
      <c r="AO1240" s="44">
        <v>6.4763270000000004</v>
      </c>
      <c r="AP1240" s="33">
        <f>IF(ISBLANK(AO1241),"",Short2[[#This Row],[Adj Close]]/AO1241-1)</f>
        <v>1.0638004031424453E-2</v>
      </c>
    </row>
    <row r="1241" spans="1:42" x14ac:dyDescent="0.25">
      <c r="A1241" s="37">
        <v>36409</v>
      </c>
      <c r="B1241" s="39">
        <v>1351.660034</v>
      </c>
      <c r="C1241" s="36">
        <f>IF(ISBLANK(B1242), "", GSPC[[#This Row],[Adj Close]]/B1242-1)</f>
        <v>-4.1112522774988669E-3</v>
      </c>
      <c r="D124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4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41" s="11" t="e">
        <f>IF(ISBLANK(GSPC[[#This Row],[Long Exp.]]), "", (GSPC[[#This Row],[Long Exp.]]/D1242-1)+(E1242/GSPC[[#This Row],[Short Exp.]]-1))</f>
        <v>#VALUE!</v>
      </c>
      <c r="G1241" s="37">
        <v>36409</v>
      </c>
      <c r="H1241">
        <v>7.2779579999999999</v>
      </c>
      <c r="I1241" s="36">
        <f>IF(ISBLANK(H1242), "", Long0[[#This Row],[Adj Close]]/H1242-1)</f>
        <v>3.3003782593836739E-3</v>
      </c>
      <c r="M1241" s="37">
        <v>36409</v>
      </c>
      <c r="N1241">
        <v>12.042145</v>
      </c>
      <c r="O1241" s="36">
        <f>IF(ISBLANK(N1242),"",Long2[[#This Row],[Adj Close]]/N1242-1)</f>
        <v>-1.1583020773414998E-2</v>
      </c>
      <c r="P1241" s="29">
        <v>36409</v>
      </c>
      <c r="Q1241">
        <v>4.6025580000000001</v>
      </c>
      <c r="R1241" s="33">
        <f>IF(ISBLANK(Q1242),"",Long3[[#This Row],[Adj Close]]/Q1242-1)</f>
        <v>-2.6547991266643423E-2</v>
      </c>
      <c r="S1241" s="37">
        <v>36409</v>
      </c>
      <c r="T1241" s="35">
        <v>11.830038</v>
      </c>
      <c r="U1241" s="36">
        <f>IF(ISBLANK(T1242),"",Long4[[#This Row],[Adj Close]]/T1242-1)</f>
        <v>0.24022323527179346</v>
      </c>
      <c r="Y1241" s="37">
        <v>36409</v>
      </c>
      <c r="Z1241">
        <v>3.7762229999999999</v>
      </c>
      <c r="AA1241" s="36">
        <f>IF(ISBLANK(Z1242),"",Long6[[#This Row],[Adj Close]]/Z1242-1)</f>
        <v>0</v>
      </c>
      <c r="AK1241" s="37">
        <v>36409</v>
      </c>
      <c r="AL1241" s="39">
        <v>16.625457999999998</v>
      </c>
      <c r="AM1241" s="36">
        <f>IF(ISBLANK(AL1242),"",Short1[[#This Row],[Adj Close]]/AL1242-1)</f>
        <v>6.3563042384622293E-3</v>
      </c>
      <c r="AN1241" s="29">
        <v>36409</v>
      </c>
      <c r="AO1241" s="44">
        <v>6.4081570000000001</v>
      </c>
      <c r="AP1241" s="33">
        <f>IF(ISBLANK(AO1242),"",Short2[[#This Row],[Adj Close]]/AO1242-1)</f>
        <v>-7.8432026751277806E-2</v>
      </c>
    </row>
    <row r="1242" spans="1:42" x14ac:dyDescent="0.25">
      <c r="A1242" s="37">
        <v>36402</v>
      </c>
      <c r="B1242" s="39">
        <v>1357.23999</v>
      </c>
      <c r="C1242" s="36">
        <f>IF(ISBLANK(B1243), "", GSPC[[#This Row],[Adj Close]]/B1243-1)</f>
        <v>6.6529477530028469E-3</v>
      </c>
      <c r="D124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4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42" s="11" t="e">
        <f>IF(ISBLANK(GSPC[[#This Row],[Long Exp.]]), "", (GSPC[[#This Row],[Long Exp.]]/D1243-1)+(E1243/GSPC[[#This Row],[Short Exp.]]-1))</f>
        <v>#VALUE!</v>
      </c>
      <c r="G1242" s="37">
        <v>36402</v>
      </c>
      <c r="H1242">
        <v>7.2540170000000002</v>
      </c>
      <c r="I1242" s="36">
        <f>IF(ISBLANK(H1243), "", Long0[[#This Row],[Adj Close]]/H1243-1)</f>
        <v>-9.2814694016392751E-2</v>
      </c>
      <c r="M1242" s="37">
        <v>36402</v>
      </c>
      <c r="N1242">
        <v>12.183263999999999</v>
      </c>
      <c r="O1242" s="36">
        <f>IF(ISBLANK(N1243),"",Long2[[#This Row],[Adj Close]]/N1243-1)</f>
        <v>-7.4999984815234844E-2</v>
      </c>
      <c r="P1242" s="29">
        <v>36402</v>
      </c>
      <c r="Q1242">
        <v>4.7280790000000001</v>
      </c>
      <c r="R1242" s="33">
        <f>IF(ISBLANK(Q1243),"",Long3[[#This Row],[Adj Close]]/Q1243-1)</f>
        <v>-4.4057677802620265E-3</v>
      </c>
      <c r="S1242" s="37">
        <v>36402</v>
      </c>
      <c r="T1242" s="35">
        <v>9.5386360000000003</v>
      </c>
      <c r="U1242" s="36">
        <f>IF(ISBLANK(T1243),"",Long4[[#This Row],[Adj Close]]/T1243-1)</f>
        <v>1.1299656055937746E-2</v>
      </c>
      <c r="Y1242" s="37">
        <v>36402</v>
      </c>
      <c r="Z1242">
        <v>3.7762229999999999</v>
      </c>
      <c r="AA1242" s="36">
        <f>IF(ISBLANK(Z1243),"",Long6[[#This Row],[Adj Close]]/Z1243-1)</f>
        <v>-3.1249839662845558E-2</v>
      </c>
      <c r="AK1242" s="37">
        <v>36402</v>
      </c>
      <c r="AL1242" s="39">
        <v>16.520448999999999</v>
      </c>
      <c r="AM1242" s="36">
        <f>IF(ISBLANK(AL1243),"",Short1[[#This Row],[Adj Close]]/AL1243-1)</f>
        <v>-0.18620714760648449</v>
      </c>
      <c r="AN1242" s="29">
        <v>36402</v>
      </c>
      <c r="AO1242" s="44">
        <v>6.9535369999999999</v>
      </c>
      <c r="AP1242" s="33">
        <f>IF(ISBLANK(AO1243),"",Short2[[#This Row],[Adj Close]]/AO1243-1)</f>
        <v>0</v>
      </c>
    </row>
    <row r="1243" spans="1:42" x14ac:dyDescent="0.25">
      <c r="A1243" s="37">
        <v>36395</v>
      </c>
      <c r="B1243" s="39">
        <v>1348.2700199999999</v>
      </c>
      <c r="C1243" s="36">
        <f>IF(ISBLANK(B1244), "", GSPC[[#This Row],[Adj Close]]/B1244-1)</f>
        <v>8.7235881303100449E-3</v>
      </c>
      <c r="D124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4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43" s="11" t="e">
        <f>IF(ISBLANK(GSPC[[#This Row],[Long Exp.]]), "", (GSPC[[#This Row],[Long Exp.]]/D1244-1)+(E1244/GSPC[[#This Row],[Short Exp.]]-1))</f>
        <v>#VALUE!</v>
      </c>
      <c r="G1243" s="37">
        <v>36395</v>
      </c>
      <c r="H1243">
        <v>7.9961799999999998</v>
      </c>
      <c r="I1243" s="36">
        <f>IF(ISBLANK(H1244), "", Long0[[#This Row],[Adj Close]]/H1244-1)</f>
        <v>-4.2979383707437924E-2</v>
      </c>
      <c r="M1243" s="37">
        <v>36395</v>
      </c>
      <c r="N1243">
        <v>13.171096</v>
      </c>
      <c r="O1243" s="36">
        <f>IF(ISBLANK(N1244),"",Long2[[#This Row],[Adj Close]]/N1244-1)</f>
        <v>-6.9767560119302741E-2</v>
      </c>
      <c r="P1243" s="29">
        <v>36395</v>
      </c>
      <c r="Q1243">
        <v>4.7490019999999999</v>
      </c>
      <c r="R1243" s="33">
        <f>IF(ISBLANK(Q1244),"",Long3[[#This Row],[Adj Close]]/Q1244-1)</f>
        <v>-4.3858159525460572E-3</v>
      </c>
      <c r="S1243" s="37">
        <v>36395</v>
      </c>
      <c r="T1243" s="35">
        <v>9.4320570000000004</v>
      </c>
      <c r="U1243" s="36">
        <f>IF(ISBLANK(T1244),"",Long4[[#This Row],[Adj Close]]/T1244-1)</f>
        <v>1.1428580619978757E-2</v>
      </c>
      <c r="Y1243" s="37">
        <v>36395</v>
      </c>
      <c r="Z1243">
        <v>3.8980359999999998</v>
      </c>
      <c r="AA1243" s="36">
        <f>IF(ISBLANK(Z1244),"",Long6[[#This Row],[Adj Close]]/Z1244-1)</f>
        <v>-5.8823699846245359E-2</v>
      </c>
      <c r="AK1243" s="37">
        <v>36395</v>
      </c>
      <c r="AL1243" s="39">
        <v>20.300557999999999</v>
      </c>
      <c r="AM1243" s="36">
        <f>IF(ISBLANK(AL1244),"",Short1[[#This Row],[Adj Close]]/AL1244-1)</f>
        <v>-1.7211231676061978E-3</v>
      </c>
      <c r="AN1243" s="29">
        <v>36395</v>
      </c>
      <c r="AO1243" s="44">
        <v>6.9535369999999999</v>
      </c>
      <c r="AP1243" s="33">
        <f>IF(ISBLANK(AO1244),"",Short2[[#This Row],[Adj Close]]/AO1244-1)</f>
        <v>5.154755945782874E-2</v>
      </c>
    </row>
    <row r="1244" spans="1:42" x14ac:dyDescent="0.25">
      <c r="A1244" s="37">
        <v>36388</v>
      </c>
      <c r="B1244" s="39">
        <v>1336.6099850000001</v>
      </c>
      <c r="C1244" s="36">
        <f>IF(ISBLANK(B1245), "", GSPC[[#This Row],[Adj Close]]/B1245-1)</f>
        <v>6.7259660737510885E-3</v>
      </c>
      <c r="D124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4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44" s="11" t="e">
        <f>IF(ISBLANK(GSPC[[#This Row],[Long Exp.]]), "", (GSPC[[#This Row],[Long Exp.]]/D1245-1)+(E1245/GSPC[[#This Row],[Short Exp.]]-1))</f>
        <v>#VALUE!</v>
      </c>
      <c r="G1244" s="37">
        <v>36388</v>
      </c>
      <c r="H1244">
        <v>8.3552850000000003</v>
      </c>
      <c r="I1244" s="36">
        <f>IF(ISBLANK(H1245), "", Long0[[#This Row],[Adj Close]]/H1245-1)</f>
        <v>-3.0555882689080049E-2</v>
      </c>
      <c r="M1244" s="37">
        <v>36388</v>
      </c>
      <c r="N1244">
        <v>14.15893</v>
      </c>
      <c r="O1244" s="36">
        <f>IF(ISBLANK(N1245),"",Long2[[#This Row],[Adj Close]]/N1245-1)</f>
        <v>-1.9543851237497134E-2</v>
      </c>
      <c r="P1244" s="29">
        <v>36388</v>
      </c>
      <c r="Q1244">
        <v>4.7699220000000002</v>
      </c>
      <c r="R1244" s="33">
        <f>IF(ISBLANK(Q1245),"",Long3[[#This Row],[Adj Close]]/Q1245-1)</f>
        <v>2.1979379597816262E-3</v>
      </c>
      <c r="S1244" s="37">
        <v>36388</v>
      </c>
      <c r="T1244" s="35">
        <v>9.3254800000000007</v>
      </c>
      <c r="U1244" s="36">
        <f>IF(ISBLANK(T1245),"",Long4[[#This Row],[Adj Close]]/T1245-1)</f>
        <v>-1.1299444013114002E-2</v>
      </c>
      <c r="Y1244" s="37">
        <v>36388</v>
      </c>
      <c r="Z1244">
        <v>4.1416639999999996</v>
      </c>
      <c r="AA1244" s="36">
        <f>IF(ISBLANK(Z1245),"",Long6[[#This Row],[Adj Close]]/Z1245-1)</f>
        <v>4.6153986051327145E-2</v>
      </c>
      <c r="AK1244" s="37">
        <v>36388</v>
      </c>
      <c r="AL1244" s="39">
        <v>20.335557999999999</v>
      </c>
      <c r="AM1244" s="36">
        <f>IF(ISBLANK(AL1245),"",Short1[[#This Row],[Adj Close]]/AL1245-1)</f>
        <v>5.063318868213651E-2</v>
      </c>
      <c r="AN1244" s="29">
        <v>36388</v>
      </c>
      <c r="AO1244" s="44">
        <v>6.6126699999999996</v>
      </c>
      <c r="AP1244" s="33">
        <f>IF(ISBLANK(AO1245),"",Short2[[#This Row],[Adj Close]]/AO1245-1)</f>
        <v>-1.3560380412057871E-2</v>
      </c>
    </row>
    <row r="1245" spans="1:42" x14ac:dyDescent="0.25">
      <c r="A1245" s="37">
        <v>36381</v>
      </c>
      <c r="B1245" s="39">
        <v>1327.6800539999999</v>
      </c>
      <c r="C1245" s="36">
        <f>IF(ISBLANK(B1246), "", GSPC[[#This Row],[Adj Close]]/B1246-1)</f>
        <v>2.1064542662392771E-2</v>
      </c>
      <c r="D124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4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45" s="11" t="e">
        <f>IF(ISBLANK(GSPC[[#This Row],[Long Exp.]]), "", (GSPC[[#This Row],[Long Exp.]]/D1246-1)+(E1246/GSPC[[#This Row],[Short Exp.]]-1))</f>
        <v>#VALUE!</v>
      </c>
      <c r="G1245" s="37">
        <v>36381</v>
      </c>
      <c r="H1245">
        <v>8.6186349999999994</v>
      </c>
      <c r="I1245" s="36">
        <f>IF(ISBLANK(H1246), "", Long0[[#This Row],[Adj Close]]/H1246-1)</f>
        <v>-2.770123166981775E-3</v>
      </c>
      <c r="M1245" s="37">
        <v>36381</v>
      </c>
      <c r="N1245">
        <v>14.441166000000001</v>
      </c>
      <c r="O1245" s="36">
        <f>IF(ISBLANK(N1246),"",Long2[[#This Row],[Adj Close]]/N1246-1)</f>
        <v>-3.7617455836605362E-2</v>
      </c>
      <c r="P1245" s="29">
        <v>36381</v>
      </c>
      <c r="Q1245">
        <v>4.7594609999999999</v>
      </c>
      <c r="R1245" s="33">
        <f>IF(ISBLANK(Q1246),"",Long3[[#This Row],[Adj Close]]/Q1246-1)</f>
        <v>-2.3604771174533412E-2</v>
      </c>
      <c r="S1245" s="37">
        <v>36381</v>
      </c>
      <c r="T1245" s="35">
        <v>9.4320570000000004</v>
      </c>
      <c r="U1245" s="36">
        <f>IF(ISBLANK(T1246),"",Long4[[#This Row],[Adj Close]]/T1246-1)</f>
        <v>-4.8386989373718881E-2</v>
      </c>
      <c r="Y1245" s="37">
        <v>36381</v>
      </c>
      <c r="Z1245">
        <v>3.9589430000000001</v>
      </c>
      <c r="AA1245" s="36">
        <f>IF(ISBLANK(Z1246),"",Long6[[#This Row],[Adj Close]]/Z1246-1)</f>
        <v>-9.7222488263039142E-2</v>
      </c>
      <c r="AK1245" s="37">
        <v>36381</v>
      </c>
      <c r="AL1245" s="39">
        <v>19.355526000000001</v>
      </c>
      <c r="AM1245" s="36">
        <f>IF(ISBLANK(AL1246),"",Short1[[#This Row],[Adj Close]]/AL1246-1)</f>
        <v>5.0332257922901302E-2</v>
      </c>
      <c r="AN1245" s="29">
        <v>36381</v>
      </c>
      <c r="AO1245" s="44">
        <v>6.7035729999999996</v>
      </c>
      <c r="AP1245" s="33">
        <f>IF(ISBLANK(AO1246),"",Short2[[#This Row],[Adj Close]]/AO1246-1)</f>
        <v>-2.8967692433157222E-2</v>
      </c>
    </row>
    <row r="1246" spans="1:42" x14ac:dyDescent="0.25">
      <c r="A1246" s="37">
        <v>36374</v>
      </c>
      <c r="B1246" s="39">
        <v>1300.290039</v>
      </c>
      <c r="C1246" s="36">
        <f>IF(ISBLANK(B1247), "", GSPC[[#This Row],[Adj Close]]/B1247-1)</f>
        <v>-2.1396481290639091E-2</v>
      </c>
      <c r="D124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4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46" s="11" t="e">
        <f>IF(ISBLANK(GSPC[[#This Row],[Long Exp.]]), "", (GSPC[[#This Row],[Long Exp.]]/D1247-1)+(E1247/GSPC[[#This Row],[Short Exp.]]-1))</f>
        <v>#VALUE!</v>
      </c>
      <c r="G1246" s="37">
        <v>36374</v>
      </c>
      <c r="H1246">
        <v>8.642576</v>
      </c>
      <c r="I1246" s="36">
        <f>IF(ISBLANK(H1247), "", Long0[[#This Row],[Adj Close]]/H1247-1)</f>
        <v>-1.366117193940064E-2</v>
      </c>
      <c r="M1246" s="37">
        <v>36374</v>
      </c>
      <c r="N1246">
        <v>15.00564</v>
      </c>
      <c r="O1246" s="36">
        <f>IF(ISBLANK(N1247),"",Long2[[#This Row],[Adj Close]]/N1247-1)</f>
        <v>9.2466163568808435E-2</v>
      </c>
      <c r="P1246" s="29">
        <v>36374</v>
      </c>
      <c r="Q1246">
        <v>4.8745229999999999</v>
      </c>
      <c r="R1246" s="33">
        <f>IF(ISBLANK(Q1247),"",Long3[[#This Row],[Adj Close]]/Q1247-1)</f>
        <v>6.4788479386845843E-3</v>
      </c>
      <c r="S1246" s="37">
        <v>36374</v>
      </c>
      <c r="T1246" s="35">
        <v>9.9116520000000001</v>
      </c>
      <c r="U1246" s="36">
        <f>IF(ISBLANK(T1247),"",Long4[[#This Row],[Adj Close]]/T1247-1)</f>
        <v>-3.6269508643542614E-2</v>
      </c>
      <c r="Y1246" s="37">
        <v>36374</v>
      </c>
      <c r="Z1246">
        <v>4.3852919999999997</v>
      </c>
      <c r="AA1246" s="36">
        <f>IF(ISBLANK(Z1247),"",Long6[[#This Row],[Adj Close]]/Z1247-1)</f>
        <v>7.4627085121706571E-2</v>
      </c>
      <c r="AK1246" s="37">
        <v>36374</v>
      </c>
      <c r="AL1246" s="39">
        <v>18.428003</v>
      </c>
      <c r="AM1246" s="36">
        <f>IF(ISBLANK(AL1247),"",Short1[[#This Row],[Adj Close]]/AL1247-1)</f>
        <v>-0.11809077499555165</v>
      </c>
      <c r="AN1246" s="29">
        <v>36374</v>
      </c>
      <c r="AO1246" s="44">
        <v>6.9035529999999996</v>
      </c>
      <c r="AP1246" s="33">
        <f>IF(ISBLANK(AO1247),"",Short2[[#This Row],[Adj Close]]/AO1247-1)</f>
        <v>-2.8753924839482248E-2</v>
      </c>
    </row>
    <row r="1247" spans="1:42" x14ac:dyDescent="0.25">
      <c r="A1247" s="37">
        <v>36367</v>
      </c>
      <c r="B1247" s="39">
        <v>1328.719971</v>
      </c>
      <c r="C1247" s="36">
        <f>IF(ISBLANK(B1248), "", GSPC[[#This Row],[Adj Close]]/B1248-1)</f>
        <v>-2.0796771579443152E-2</v>
      </c>
      <c r="D124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4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47" s="11" t="e">
        <f>IF(ISBLANK(GSPC[[#This Row],[Long Exp.]]), "", (GSPC[[#This Row],[Long Exp.]]/D1248-1)+(E1248/GSPC[[#This Row],[Short Exp.]]-1))</f>
        <v>#VALUE!</v>
      </c>
      <c r="G1247" s="37">
        <v>36367</v>
      </c>
      <c r="H1247">
        <v>8.7622789999999995</v>
      </c>
      <c r="I1247" s="36">
        <f>IF(ISBLANK(H1248), "", Long0[[#This Row],[Adj Close]]/H1248-1)</f>
        <v>-0.12440191770059794</v>
      </c>
      <c r="M1247" s="37">
        <v>36367</v>
      </c>
      <c r="N1247">
        <v>13.735564999999999</v>
      </c>
      <c r="O1247" s="36">
        <f>IF(ISBLANK(N1248),"",Long2[[#This Row],[Adj Close]]/N1248-1)</f>
        <v>8.1481197449242204E-2</v>
      </c>
      <c r="P1247" s="29">
        <v>36367</v>
      </c>
      <c r="Q1247">
        <v>4.8431449999999998</v>
      </c>
      <c r="R1247" s="33">
        <f>IF(ISBLANK(Q1248),"",Long3[[#This Row],[Adj Close]]/Q1248-1)</f>
        <v>-4.3388527287103074E-2</v>
      </c>
      <c r="S1247" s="37">
        <v>36367</v>
      </c>
      <c r="T1247" s="35">
        <v>10.284672</v>
      </c>
      <c r="U1247" s="36">
        <f>IF(ISBLANK(T1248),"",Long4[[#This Row],[Adj Close]]/T1248-1)</f>
        <v>0.10919532296138823</v>
      </c>
      <c r="Y1247" s="37">
        <v>36367</v>
      </c>
      <c r="Z1247">
        <v>4.0807570000000002</v>
      </c>
      <c r="AA1247" s="36">
        <f>IF(ISBLANK(Z1248),"",Long6[[#This Row],[Adj Close]]/Z1248-1)</f>
        <v>-8.2191796226798619E-2</v>
      </c>
      <c r="AK1247" s="37">
        <v>36367</v>
      </c>
      <c r="AL1247" s="39">
        <v>20.895578</v>
      </c>
      <c r="AM1247" s="36">
        <f>IF(ISBLANK(AL1248),"",Short1[[#This Row],[Adj Close]]/AL1248-1)</f>
        <v>6.9893088917355906E-2</v>
      </c>
      <c r="AN1247" s="29">
        <v>36367</v>
      </c>
      <c r="AO1247" s="44">
        <v>7.1079340000000002</v>
      </c>
      <c r="AP1247" s="33">
        <f>IF(ISBLANK(AO1248),"",Short2[[#This Row],[Adj Close]]/AO1248-1)</f>
        <v>-5.4381044873415219E-2</v>
      </c>
    </row>
    <row r="1248" spans="1:42" x14ac:dyDescent="0.25">
      <c r="A1248" s="37">
        <v>36360</v>
      </c>
      <c r="B1248" s="39">
        <v>1356.9399410000001</v>
      </c>
      <c r="C1248" s="36">
        <f>IF(ISBLANK(B1249), "", GSPC[[#This Row],[Adj Close]]/B1249-1)</f>
        <v>-4.3586804674426327E-2</v>
      </c>
      <c r="D124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4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48" s="11" t="e">
        <f>IF(ISBLANK(GSPC[[#This Row],[Long Exp.]]), "", (GSPC[[#This Row],[Long Exp.]]/D1249-1)+(E1249/GSPC[[#This Row],[Short Exp.]]-1))</f>
        <v>#VALUE!</v>
      </c>
      <c r="G1248" s="37">
        <v>36360</v>
      </c>
      <c r="H1248">
        <v>10.007192999999999</v>
      </c>
      <c r="I1248" s="36">
        <f>IF(ISBLANK(H1249), "", Long0[[#This Row],[Adj Close]]/H1249-1)</f>
        <v>-0.13277994778408198</v>
      </c>
      <c r="M1248" s="37">
        <v>36360</v>
      </c>
      <c r="N1248">
        <v>12.700697</v>
      </c>
      <c r="O1248" s="36">
        <f>IF(ISBLANK(N1249),"",Long2[[#This Row],[Adj Close]]/N1249-1)</f>
        <v>-3.571449179324182E-2</v>
      </c>
      <c r="P1248" s="29">
        <v>36360</v>
      </c>
      <c r="Q1248">
        <v>5.0628130000000002</v>
      </c>
      <c r="R1248" s="33">
        <f>IF(ISBLANK(Q1249),"",Long3[[#This Row],[Adj Close]]/Q1249-1)</f>
        <v>-2.0613919500850342E-3</v>
      </c>
      <c r="S1248" s="37">
        <v>36360</v>
      </c>
      <c r="T1248" s="35">
        <v>9.2721920000000004</v>
      </c>
      <c r="U1248" s="36">
        <f>IF(ISBLANK(T1249),"",Long4[[#This Row],[Adj Close]]/T1249-1)</f>
        <v>-1.6949113008965067E-2</v>
      </c>
      <c r="Y1248" s="37">
        <v>36360</v>
      </c>
      <c r="Z1248">
        <v>4.4461979999999999</v>
      </c>
      <c r="AA1248" s="36">
        <f>IF(ISBLANK(Z1249),"",Long6[[#This Row],[Adj Close]]/Z1249-1)</f>
        <v>-1.3513552491011493E-2</v>
      </c>
      <c r="AK1248" s="37">
        <v>36360</v>
      </c>
      <c r="AL1248" s="39">
        <v>19.530529000000001</v>
      </c>
      <c r="AM1248" s="36">
        <f>IF(ISBLANK(AL1249),"",Short1[[#This Row],[Adj Close]]/AL1249-1)</f>
        <v>-7.8447867018485828E-2</v>
      </c>
      <c r="AN1248" s="29">
        <v>36360</v>
      </c>
      <c r="AO1248" s="44">
        <v>7.5167000000000002</v>
      </c>
      <c r="AP1248" s="33">
        <f>IF(ISBLANK(AO1249),"",Short2[[#This Row],[Adj Close]]/AO1249-1)</f>
        <v>-4.0579601374717833E-2</v>
      </c>
    </row>
    <row r="1249" spans="1:42" x14ac:dyDescent="0.25">
      <c r="A1249" s="37">
        <v>36353</v>
      </c>
      <c r="B1249" s="39">
        <v>1418.780029</v>
      </c>
      <c r="C1249" s="36">
        <f>IF(ISBLANK(B1250), "", GSPC[[#This Row],[Adj Close]]/B1250-1)</f>
        <v>1.1045550196453258E-2</v>
      </c>
      <c r="D124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4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49" s="11" t="e">
        <f>IF(ISBLANK(GSPC[[#This Row],[Long Exp.]]), "", (GSPC[[#This Row],[Long Exp.]]/D1250-1)+(E1250/GSPC[[#This Row],[Short Exp.]]-1))</f>
        <v>#VALUE!</v>
      </c>
      <c r="G1249" s="37">
        <v>36353</v>
      </c>
      <c r="H1249">
        <v>11.539393</v>
      </c>
      <c r="I1249" s="36">
        <f>IF(ISBLANK(H1250), "", Long0[[#This Row],[Adj Close]]/H1250-1)</f>
        <v>7.8299602148190317E-2</v>
      </c>
      <c r="M1249" s="37">
        <v>36353</v>
      </c>
      <c r="N1249">
        <v>13.171096</v>
      </c>
      <c r="O1249" s="36">
        <f>IF(ISBLANK(N1250),"",Long2[[#This Row],[Adj Close]]/N1250-1)</f>
        <v>2.9411842862767879E-2</v>
      </c>
      <c r="P1249" s="29">
        <v>36353</v>
      </c>
      <c r="Q1249">
        <v>5.0732710000000001</v>
      </c>
      <c r="R1249" s="33">
        <f>IF(ISBLANK(Q1250),"",Long3[[#This Row],[Adj Close]]/Q1250-1)</f>
        <v>-2.8056310332533418E-2</v>
      </c>
      <c r="S1249" s="37">
        <v>36353</v>
      </c>
      <c r="T1249" s="35">
        <v>9.4320570000000004</v>
      </c>
      <c r="U1249" s="36">
        <f>IF(ISBLANK(T1250),"",Long4[[#This Row],[Adj Close]]/T1250-1)</f>
        <v>8.9230563495568349E-2</v>
      </c>
      <c r="Y1249" s="37">
        <v>36353</v>
      </c>
      <c r="Z1249">
        <v>4.5071050000000001</v>
      </c>
      <c r="AA1249" s="36">
        <f>IF(ISBLANK(Z1250),"",Long6[[#This Row],[Adj Close]]/Z1250-1)</f>
        <v>-2.6316073727780998E-2</v>
      </c>
      <c r="AK1249" s="37">
        <v>36353</v>
      </c>
      <c r="AL1249" s="39">
        <v>21.193080999999999</v>
      </c>
      <c r="AM1249" s="36">
        <f>IF(ISBLANK(AL1250),"",Short1[[#This Row],[Adj Close]]/AL1250-1)</f>
        <v>-4.1120574299922108E-3</v>
      </c>
      <c r="AN1249" s="29">
        <v>36353</v>
      </c>
      <c r="AO1249" s="44">
        <v>7.8346260000000001</v>
      </c>
      <c r="AP1249" s="33">
        <f>IF(ISBLANK(AO1250),"",Short2[[#This Row],[Adj Close]]/AO1250-1)</f>
        <v>-5.9945465835155587E-2</v>
      </c>
    </row>
    <row r="1250" spans="1:42" x14ac:dyDescent="0.25">
      <c r="A1250" s="37">
        <v>36346</v>
      </c>
      <c r="B1250" s="39">
        <v>1403.280029</v>
      </c>
      <c r="C1250" s="36">
        <f>IF(ISBLANK(B1251), "", GSPC[[#This Row],[Adj Close]]/B1251-1)</f>
        <v>8.6686924076653238E-3</v>
      </c>
      <c r="D125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5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50" s="11" t="e">
        <f>IF(ISBLANK(GSPC[[#This Row],[Long Exp.]]), "", (GSPC[[#This Row],[Long Exp.]]/D1251-1)+(E1251/GSPC[[#This Row],[Short Exp.]]-1))</f>
        <v>#VALUE!</v>
      </c>
      <c r="G1250" s="37">
        <v>36346</v>
      </c>
      <c r="H1250">
        <v>10.701472000000001</v>
      </c>
      <c r="I1250" s="36">
        <f>IF(ISBLANK(H1251), "", Long0[[#This Row],[Adj Close]]/H1251-1)</f>
        <v>3.1600319308680014E-2</v>
      </c>
      <c r="M1250" s="37">
        <v>36346</v>
      </c>
      <c r="N1250">
        <v>12.794778000000001</v>
      </c>
      <c r="O1250" s="36">
        <f>IF(ISBLANK(N1251),"",Long2[[#This Row],[Adj Close]]/N1251-1)</f>
        <v>-3.5461120154003156E-2</v>
      </c>
      <c r="P1250" s="29">
        <v>36346</v>
      </c>
      <c r="Q1250">
        <v>5.2197170000000002</v>
      </c>
      <c r="R1250" s="33">
        <f>IF(ISBLANK(Q1251),"",Long3[[#This Row],[Adj Close]]/Q1251-1)</f>
        <v>-9.9201140512471531E-3</v>
      </c>
      <c r="S1250" s="37">
        <v>36346</v>
      </c>
      <c r="T1250" s="35">
        <v>8.659376</v>
      </c>
      <c r="U1250" s="36">
        <f>IF(ISBLANK(T1251),"",Long4[[#This Row],[Adj Close]]/T1251-1)</f>
        <v>-3.0672282742219004E-3</v>
      </c>
      <c r="Y1250" s="37">
        <v>36346</v>
      </c>
      <c r="Z1250">
        <v>4.6289199999999999</v>
      </c>
      <c r="AA1250" s="36">
        <f>IF(ISBLANK(Z1251),"",Long6[[#This Row],[Adj Close]]/Z1251-1)</f>
        <v>-7.31705363650198E-2</v>
      </c>
      <c r="AK1250" s="37">
        <v>36346</v>
      </c>
      <c r="AL1250" s="39">
        <v>21.280588000000002</v>
      </c>
      <c r="AM1250" s="36">
        <f>IF(ISBLANK(AL1251),"",Short1[[#This Row],[Adj Close]]/AL1251-1)</f>
        <v>4.1095981553932681E-2</v>
      </c>
      <c r="AN1250" s="29">
        <v>36346</v>
      </c>
      <c r="AO1250" s="44">
        <v>8.334225</v>
      </c>
      <c r="AP1250" s="33">
        <f>IF(ISBLANK(AO1251),"",Short2[[#This Row],[Adj Close]]/AO1251-1)</f>
        <v>-2.3935994228565516E-2</v>
      </c>
    </row>
    <row r="1251" spans="1:42" x14ac:dyDescent="0.25">
      <c r="A1251" s="37">
        <v>36339</v>
      </c>
      <c r="B1251" s="39">
        <v>1391.219971</v>
      </c>
      <c r="C1251" s="36">
        <f>IF(ISBLANK(B1252), "", GSPC[[#This Row],[Adj Close]]/B1252-1)</f>
        <v>5.7712560989393369E-2</v>
      </c>
      <c r="D125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5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51" s="11" t="e">
        <f>IF(ISBLANK(GSPC[[#This Row],[Long Exp.]]), "", (GSPC[[#This Row],[Long Exp.]]/D1252-1)+(E1252/GSPC[[#This Row],[Short Exp.]]-1))</f>
        <v>#VALUE!</v>
      </c>
      <c r="G1251" s="37">
        <v>36339</v>
      </c>
      <c r="H1251">
        <v>10.373661</v>
      </c>
      <c r="I1251" s="36">
        <f>IF(ISBLANK(H1252), "", Long0[[#This Row],[Adj Close]]/H1252-1)</f>
        <v>8.2294188107291166E-2</v>
      </c>
      <c r="M1251" s="37">
        <v>36339</v>
      </c>
      <c r="N1251">
        <v>13.265176</v>
      </c>
      <c r="O1251" s="36">
        <f>IF(ISBLANK(N1252),"",Long2[[#This Row],[Adj Close]]/N1252-1)</f>
        <v>-4.0816494758292521E-2</v>
      </c>
      <c r="P1251" s="29">
        <v>36339</v>
      </c>
      <c r="Q1251">
        <v>5.2720159999999998</v>
      </c>
      <c r="R1251" s="33">
        <f>IF(ISBLANK(Q1252),"",Long3[[#This Row],[Adj Close]]/Q1252-1)</f>
        <v>0</v>
      </c>
      <c r="S1251" s="37">
        <v>36339</v>
      </c>
      <c r="T1251" s="35">
        <v>8.6860180000000007</v>
      </c>
      <c r="U1251" s="36">
        <f>IF(ISBLANK(T1252),"",Long4[[#This Row],[Adj Close]]/T1252-1)</f>
        <v>3.1645414015454731E-2</v>
      </c>
      <c r="Y1251" s="37">
        <v>36339</v>
      </c>
      <c r="Z1251">
        <v>4.9943600000000004</v>
      </c>
      <c r="AA1251" s="36">
        <f>IF(ISBLANK(Z1252),"",Long6[[#This Row],[Adj Close]]/Z1252-1)</f>
        <v>0.3666669494301269</v>
      </c>
      <c r="AK1251" s="37">
        <v>36339</v>
      </c>
      <c r="AL1251" s="39">
        <v>20.440563000000001</v>
      </c>
      <c r="AM1251" s="36">
        <f>IF(ISBLANK(AL1252),"",Short1[[#This Row],[Adj Close]]/AL1252-1)</f>
        <v>0.1507391916392431</v>
      </c>
      <c r="AN1251" s="29">
        <v>36339</v>
      </c>
      <c r="AO1251" s="44">
        <v>8.5386050000000004</v>
      </c>
      <c r="AP1251" s="33">
        <f>IF(ISBLANK(AO1252),"",Short2[[#This Row],[Adj Close]]/AO1252-1)</f>
        <v>8.0426374892568209E-3</v>
      </c>
    </row>
    <row r="1252" spans="1:42" x14ac:dyDescent="0.25">
      <c r="A1252" s="37">
        <v>36332</v>
      </c>
      <c r="B1252" s="39">
        <v>1315.3100589999999</v>
      </c>
      <c r="C1252" s="36">
        <f>IF(ISBLANK(B1253), "", GSPC[[#This Row],[Adj Close]]/B1253-1)</f>
        <v>-2.0501256811714552E-2</v>
      </c>
      <c r="D125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5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52" s="11" t="e">
        <f>IF(ISBLANK(GSPC[[#This Row],[Long Exp.]]), "", (GSPC[[#This Row],[Long Exp.]]/D1253-1)+(E1253/GSPC[[#This Row],[Short Exp.]]-1))</f>
        <v>#VALUE!</v>
      </c>
      <c r="G1252" s="37">
        <v>36332</v>
      </c>
      <c r="H1252">
        <v>9.5848809999999993</v>
      </c>
      <c r="I1252" s="36">
        <f>IF(ISBLANK(H1253), "", Long0[[#This Row],[Adj Close]]/H1253-1)</f>
        <v>-1.715634627001339E-2</v>
      </c>
      <c r="M1252" s="37">
        <v>36332</v>
      </c>
      <c r="N1252">
        <v>13.829654</v>
      </c>
      <c r="O1252" s="36">
        <f>IF(ISBLANK(N1253),"",Long2[[#This Row],[Adj Close]]/N1253-1)</f>
        <v>-5.4662064676540334E-2</v>
      </c>
      <c r="P1252" s="29">
        <v>36332</v>
      </c>
      <c r="Q1252">
        <v>5.2720159999999998</v>
      </c>
      <c r="R1252" s="33">
        <f>IF(ISBLANK(Q1253),"",Long3[[#This Row],[Adj Close]]/Q1253-1)</f>
        <v>7.9995380653463677E-3</v>
      </c>
      <c r="S1252" s="37">
        <v>36332</v>
      </c>
      <c r="T1252" s="35">
        <v>8.4195770000000003</v>
      </c>
      <c r="U1252" s="36">
        <f>IF(ISBLANK(T1253),"",Long4[[#This Row],[Adj Close]]/T1253-1)</f>
        <v>0.27419379736092431</v>
      </c>
      <c r="Y1252" s="37">
        <v>36332</v>
      </c>
      <c r="Z1252">
        <v>3.6544089999999998</v>
      </c>
      <c r="AA1252" s="36">
        <f>IF(ISBLANK(Z1253),"",Long6[[#This Row],[Adj Close]]/Z1253-1)</f>
        <v>3.448257315583203E-2</v>
      </c>
      <c r="AK1252" s="37">
        <v>36332</v>
      </c>
      <c r="AL1252" s="39">
        <v>17.762985</v>
      </c>
      <c r="AM1252" s="36">
        <f>IF(ISBLANK(AL1253),"",Short1[[#This Row],[Adj Close]]/AL1253-1)</f>
        <v>5.7291523131419053E-2</v>
      </c>
      <c r="AN1252" s="29">
        <v>36332</v>
      </c>
      <c r="AO1252" s="44">
        <v>8.4704800000000002</v>
      </c>
      <c r="AP1252" s="33">
        <f>IF(ISBLANK(AO1253),"",Short2[[#This Row],[Adj Close]]/AO1253-1)</f>
        <v>-2.0997093208046658E-2</v>
      </c>
    </row>
    <row r="1253" spans="1:42" x14ac:dyDescent="0.25">
      <c r="A1253" s="37">
        <v>36325</v>
      </c>
      <c r="B1253" s="39">
        <v>1342.839966</v>
      </c>
      <c r="C1253" s="36">
        <f>IF(ISBLANK(B1254), "", GSPC[[#This Row],[Adj Close]]/B1254-1)</f>
        <v>3.8032180845920971E-2</v>
      </c>
      <c r="D125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5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53" s="11" t="e">
        <f>IF(ISBLANK(GSPC[[#This Row],[Long Exp.]]), "", (GSPC[[#This Row],[Long Exp.]]/D1254-1)+(E1254/GSPC[[#This Row],[Short Exp.]]-1))</f>
        <v>#VALUE!</v>
      </c>
      <c r="G1253" s="37">
        <v>36325</v>
      </c>
      <c r="H1253">
        <v>9.7521930000000001</v>
      </c>
      <c r="I1253" s="36">
        <f>IF(ISBLANK(H1254), "", Long0[[#This Row],[Adj Close]]/H1254-1)</f>
        <v>-5.7737007738442592E-2</v>
      </c>
      <c r="M1253" s="37">
        <v>36325</v>
      </c>
      <c r="N1253">
        <v>14.629322999999999</v>
      </c>
      <c r="O1253" s="36">
        <f>IF(ISBLANK(N1254),"",Long2[[#This Row],[Adj Close]]/N1254-1)</f>
        <v>-2.7356805902030046E-2</v>
      </c>
      <c r="P1253" s="29">
        <v>36325</v>
      </c>
      <c r="Q1253">
        <v>5.2301770000000003</v>
      </c>
      <c r="R1253" s="33">
        <f>IF(ISBLANK(Q1254),"",Long3[[#This Row],[Adj Close]]/Q1254-1)</f>
        <v>6.8223906041960047E-2</v>
      </c>
      <c r="S1253" s="37">
        <v>36325</v>
      </c>
      <c r="T1253" s="35">
        <v>6.6077680000000001</v>
      </c>
      <c r="U1253" s="36">
        <f>IF(ISBLANK(T1254),"",Long4[[#This Row],[Adj Close]]/T1254-1)</f>
        <v>-2.3622140322600238E-2</v>
      </c>
      <c r="Y1253" s="37">
        <v>36325</v>
      </c>
      <c r="Z1253">
        <v>3.5325959999999998</v>
      </c>
      <c r="AA1253" s="36">
        <f>IF(ISBLANK(Z1254),"",Long6[[#This Row],[Adj Close]]/Z1254-1)</f>
        <v>3.5714390424248732E-2</v>
      </c>
      <c r="AK1253" s="37">
        <v>36325</v>
      </c>
      <c r="AL1253" s="39">
        <v>16.800460999999999</v>
      </c>
      <c r="AM1253" s="36">
        <f>IF(ISBLANK(AL1254),"",Short1[[#This Row],[Adj Close]]/AL1254-1)</f>
        <v>0.11757891420608702</v>
      </c>
      <c r="AN1253" s="29">
        <v>36325</v>
      </c>
      <c r="AO1253" s="44">
        <v>8.6521500000000007</v>
      </c>
      <c r="AP1253" s="33">
        <f>IF(ISBLANK(AO1254),"",Short2[[#This Row],[Adj Close]]/AO1254-1)</f>
        <v>1.6000199157011785E-2</v>
      </c>
    </row>
    <row r="1254" spans="1:42" x14ac:dyDescent="0.25">
      <c r="A1254" s="37">
        <v>36318</v>
      </c>
      <c r="B1254" s="39">
        <v>1293.6400149999999</v>
      </c>
      <c r="C1254" s="36">
        <f>IF(ISBLANK(B1255), "", GSPC[[#This Row],[Adj Close]]/B1255-1)</f>
        <v>-2.5690065900960346E-2</v>
      </c>
      <c r="D125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5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54" s="11" t="e">
        <f>IF(ISBLANK(GSPC[[#This Row],[Long Exp.]]), "", (GSPC[[#This Row],[Long Exp.]]/D1255-1)+(E1255/GSPC[[#This Row],[Short Exp.]]-1))</f>
        <v>#VALUE!</v>
      </c>
      <c r="G1254" s="37">
        <v>36318</v>
      </c>
      <c r="H1254">
        <v>10.349757</v>
      </c>
      <c r="I1254" s="36">
        <f>IF(ISBLANK(H1255), "", Long0[[#This Row],[Adj Close]]/H1255-1)</f>
        <v>8.5212805266519753E-2</v>
      </c>
      <c r="M1254" s="37">
        <v>36318</v>
      </c>
      <c r="N1254">
        <v>15.040791</v>
      </c>
      <c r="O1254" s="36">
        <f>IF(ISBLANK(N1255),"",Long2[[#This Row],[Adj Close]]/N1255-1)</f>
        <v>-3.1057191216471436E-3</v>
      </c>
      <c r="P1254" s="29">
        <v>36318</v>
      </c>
      <c r="Q1254">
        <v>4.8961430000000004</v>
      </c>
      <c r="R1254" s="33">
        <f>IF(ISBLANK(Q1255),"",Long3[[#This Row],[Adj Close]]/Q1255-1)</f>
        <v>-1.8710495783244019E-2</v>
      </c>
      <c r="S1254" s="37">
        <v>36318</v>
      </c>
      <c r="T1254" s="35">
        <v>6.7676340000000001</v>
      </c>
      <c r="U1254" s="36">
        <f>IF(ISBLANK(T1255),"",Long4[[#This Row],[Adj Close]]/T1255-1)</f>
        <v>5.8333300753837358E-2</v>
      </c>
      <c r="Y1254" s="37">
        <v>36318</v>
      </c>
      <c r="Z1254">
        <v>3.4107820000000002</v>
      </c>
      <c r="AA1254" s="36">
        <f>IF(ISBLANK(Z1255),"",Long6[[#This Row],[Adj Close]]/Z1255-1)</f>
        <v>-5.0847599125421583E-2</v>
      </c>
      <c r="AK1254" s="37">
        <v>36318</v>
      </c>
      <c r="AL1254" s="39">
        <v>15.032908000000001</v>
      </c>
      <c r="AM1254" s="36">
        <f>IF(ISBLANK(AL1255),"",Short1[[#This Row],[Adj Close]]/AL1255-1)</f>
        <v>-7.4353518210895975E-2</v>
      </c>
      <c r="AN1254" s="29">
        <v>36318</v>
      </c>
      <c r="AO1254" s="44">
        <v>8.5158939999999994</v>
      </c>
      <c r="AP1254" s="33">
        <f>IF(ISBLANK(AO1255),"",Short2[[#This Row],[Adj Close]]/AO1255-1)</f>
        <v>-1.0554756181669789E-2</v>
      </c>
    </row>
    <row r="1255" spans="1:42" x14ac:dyDescent="0.25">
      <c r="A1255" s="37">
        <v>36311</v>
      </c>
      <c r="B1255" s="39">
        <v>1327.75</v>
      </c>
      <c r="C1255" s="36">
        <f>IF(ISBLANK(B1256), "", GSPC[[#This Row],[Adj Close]]/B1256-1)</f>
        <v>1.9902626034450588E-2</v>
      </c>
      <c r="D125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5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55" s="11" t="e">
        <f>IF(ISBLANK(GSPC[[#This Row],[Long Exp.]]), "", (GSPC[[#This Row],[Long Exp.]]/D1256-1)+(E1256/GSPC[[#This Row],[Short Exp.]]-1))</f>
        <v>#VALUE!</v>
      </c>
      <c r="G1255" s="37">
        <v>36311</v>
      </c>
      <c r="H1255">
        <v>9.5370760000000008</v>
      </c>
      <c r="I1255" s="36">
        <f>IF(ISBLANK(H1256), "", Long0[[#This Row],[Adj Close]]/H1256-1)</f>
        <v>-1.72410630652724E-2</v>
      </c>
      <c r="M1255" s="37">
        <v>36311</v>
      </c>
      <c r="N1255">
        <v>15.087649000000001</v>
      </c>
      <c r="O1255" s="36">
        <f>IF(ISBLANK(N1256),"",Long2[[#This Row],[Adj Close]]/N1256-1)</f>
        <v>-3.8806111826756751E-2</v>
      </c>
      <c r="P1255" s="29">
        <v>36311</v>
      </c>
      <c r="Q1255">
        <v>4.9894990000000004</v>
      </c>
      <c r="R1255" s="33">
        <f>IF(ISBLANK(Q1256),"",Long3[[#This Row],[Adj Close]]/Q1256-1)</f>
        <v>-4.1413119669923004E-3</v>
      </c>
      <c r="S1255" s="37">
        <v>36311</v>
      </c>
      <c r="T1255" s="35">
        <v>6.3946149999999999</v>
      </c>
      <c r="U1255" s="36">
        <f>IF(ISBLANK(T1256),"",Long4[[#This Row],[Adj Close]]/T1256-1)</f>
        <v>0</v>
      </c>
      <c r="Y1255" s="37">
        <v>36311</v>
      </c>
      <c r="Z1255">
        <v>3.5935030000000001</v>
      </c>
      <c r="AA1255" s="36">
        <f>IF(ISBLANK(Z1256),"",Long6[[#This Row],[Adj Close]]/Z1256-1)</f>
        <v>-1.6666443192319136E-2</v>
      </c>
      <c r="AK1255" s="37">
        <v>36311</v>
      </c>
      <c r="AL1255" s="39">
        <v>16.240442000000002</v>
      </c>
      <c r="AM1255" s="36">
        <f>IF(ISBLANK(AL1256),"",Short1[[#This Row],[Adj Close]]/AL1256-1)</f>
        <v>0.27472534890339717</v>
      </c>
      <c r="AN1255" s="29">
        <v>36311</v>
      </c>
      <c r="AO1255" s="44">
        <v>8.6067359999999997</v>
      </c>
      <c r="AP1255" s="33">
        <f>IF(ISBLANK(AO1256),"",Short2[[#This Row],[Adj Close]]/AO1256-1)</f>
        <v>4.696156522331485E-2</v>
      </c>
    </row>
    <row r="1256" spans="1:42" x14ac:dyDescent="0.25">
      <c r="A1256" s="37">
        <v>36304</v>
      </c>
      <c r="B1256" s="39">
        <v>1301.839966</v>
      </c>
      <c r="C1256" s="36">
        <f>IF(ISBLANK(B1257), "", GSPC[[#This Row],[Adj Close]]/B1257-1)</f>
        <v>-2.1386368510574072E-2</v>
      </c>
      <c r="D125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5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56" s="11" t="e">
        <f>IF(ISBLANK(GSPC[[#This Row],[Long Exp.]]), "", (GSPC[[#This Row],[Long Exp.]]/D1257-1)+(E1257/GSPC[[#This Row],[Short Exp.]]-1))</f>
        <v>#VALUE!</v>
      </c>
      <c r="G1256" s="37">
        <v>36304</v>
      </c>
      <c r="H1256">
        <v>9.7043900000000001</v>
      </c>
      <c r="I1256" s="36">
        <f>IF(ISBLANK(H1257), "", Long0[[#This Row],[Adj Close]]/H1257-1)</f>
        <v>3.3078693501787271E-2</v>
      </c>
      <c r="M1256" s="37">
        <v>36304</v>
      </c>
      <c r="N1256">
        <v>15.69678</v>
      </c>
      <c r="O1256" s="36">
        <f>IF(ISBLANK(N1257),"",Long2[[#This Row],[Adj Close]]/N1257-1)</f>
        <v>-9.4594433243760601E-2</v>
      </c>
      <c r="P1256" s="29">
        <v>36304</v>
      </c>
      <c r="Q1256">
        <v>5.0102479999999998</v>
      </c>
      <c r="R1256" s="33">
        <f>IF(ISBLANK(Q1257),"",Long3[[#This Row],[Adj Close]]/Q1257-1)</f>
        <v>2.1141681796207346E-2</v>
      </c>
      <c r="S1256" s="37">
        <v>36304</v>
      </c>
      <c r="T1256" s="35">
        <v>6.3946149999999999</v>
      </c>
      <c r="U1256" s="36">
        <f>IF(ISBLANK(T1257),"",Long4[[#This Row],[Adj Close]]/T1257-1)</f>
        <v>8.4032884599707369E-3</v>
      </c>
      <c r="Y1256" s="37">
        <v>36304</v>
      </c>
      <c r="Z1256">
        <v>3.6544089999999998</v>
      </c>
      <c r="AA1256" s="36">
        <f>IF(ISBLANK(Z1257),"",Long6[[#This Row],[Adj Close]]/Z1257-1)</f>
        <v>3.448257315583203E-2</v>
      </c>
      <c r="AK1256" s="37">
        <v>36304</v>
      </c>
      <c r="AL1256" s="39">
        <v>12.740346000000001</v>
      </c>
      <c r="AM1256" s="36">
        <f>IF(ISBLANK(AL1257),"",Short1[[#This Row],[Adj Close]]/AL1257-1)</f>
        <v>-1.4885114676552735E-2</v>
      </c>
      <c r="AN1256" s="29">
        <v>36304</v>
      </c>
      <c r="AO1256" s="44">
        <v>8.2206799999999998</v>
      </c>
      <c r="AP1256" s="33">
        <f>IF(ISBLANK(AO1257),"",Short2[[#This Row],[Adj Close]]/AO1257-1)</f>
        <v>2.5495424884868889E-2</v>
      </c>
    </row>
    <row r="1257" spans="1:42" x14ac:dyDescent="0.25">
      <c r="A1257" s="37">
        <v>36297</v>
      </c>
      <c r="B1257" s="39">
        <v>1330.290039</v>
      </c>
      <c r="C1257" s="36">
        <f>IF(ISBLANK(B1258), "", GSPC[[#This Row],[Adj Close]]/B1258-1)</f>
        <v>-5.6137013940265046E-3</v>
      </c>
      <c r="D125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5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57" s="11" t="e">
        <f>IF(ISBLANK(GSPC[[#This Row],[Long Exp.]]), "", (GSPC[[#This Row],[Long Exp.]]/D1258-1)+(E1258/GSPC[[#This Row],[Short Exp.]]-1))</f>
        <v>#VALUE!</v>
      </c>
      <c r="G1257" s="37">
        <v>36297</v>
      </c>
      <c r="H1257">
        <v>9.3936600000000006</v>
      </c>
      <c r="I1257" s="36">
        <f>IF(ISBLANK(H1258), "", Long0[[#This Row],[Adj Close]]/H1258-1)</f>
        <v>-1.7499681517803456E-2</v>
      </c>
      <c r="M1257" s="37">
        <v>36297</v>
      </c>
      <c r="N1257">
        <v>17.336739000000001</v>
      </c>
      <c r="O1257" s="36">
        <f>IF(ISBLANK(N1258),"",Long2[[#This Row],[Adj Close]]/N1258-1)</f>
        <v>-1.5957262034824504E-2</v>
      </c>
      <c r="P1257" s="29">
        <v>36297</v>
      </c>
      <c r="Q1257">
        <v>4.9065159999999999</v>
      </c>
      <c r="R1257" s="33">
        <f>IF(ISBLANK(Q1258),"",Long3[[#This Row],[Adj Close]]/Q1258-1)</f>
        <v>1.939620112279683E-2</v>
      </c>
      <c r="S1257" s="37">
        <v>36297</v>
      </c>
      <c r="T1257" s="35">
        <v>6.3413269999999997</v>
      </c>
      <c r="U1257" s="36">
        <f>IF(ISBLANK(T1258),"",Long4[[#This Row],[Adj Close]]/T1258-1)</f>
        <v>0.25263155607493992</v>
      </c>
      <c r="Y1257" s="37">
        <v>36297</v>
      </c>
      <c r="Z1257">
        <v>3.5325959999999998</v>
      </c>
      <c r="AA1257" s="36">
        <f>IF(ISBLANK(Z1258),"",Long6[[#This Row],[Adj Close]]/Z1258-1)</f>
        <v>0</v>
      </c>
      <c r="AK1257" s="37">
        <v>36297</v>
      </c>
      <c r="AL1257" s="39">
        <v>12.932853</v>
      </c>
      <c r="AM1257" s="36">
        <f>IF(ISBLANK(AL1258),"",Short1[[#This Row],[Adj Close]]/AL1258-1)</f>
        <v>6.8121937996541426E-3</v>
      </c>
      <c r="AN1257" s="29">
        <v>36297</v>
      </c>
      <c r="AO1257" s="44">
        <v>8.0163010000000003</v>
      </c>
      <c r="AP1257" s="33">
        <f>IF(ISBLANK(AO1258),"",Short2[[#This Row],[Adj Close]]/AO1258-1)</f>
        <v>-4.0760293370820766E-2</v>
      </c>
    </row>
    <row r="1258" spans="1:42" x14ac:dyDescent="0.25">
      <c r="A1258" s="37">
        <v>36290</v>
      </c>
      <c r="B1258" s="39">
        <v>1337.8000489999999</v>
      </c>
      <c r="C1258" s="36">
        <f>IF(ISBLANK(B1259), "", GSPC[[#This Row],[Adj Close]]/B1259-1)</f>
        <v>-5.3531234200744349E-3</v>
      </c>
      <c r="D125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5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58" s="11" t="e">
        <f>IF(ISBLANK(GSPC[[#This Row],[Long Exp.]]), "", (GSPC[[#This Row],[Long Exp.]]/D1259-1)+(E1259/GSPC[[#This Row],[Short Exp.]]-1))</f>
        <v>#VALUE!</v>
      </c>
      <c r="G1258" s="37">
        <v>36290</v>
      </c>
      <c r="H1258">
        <v>9.5609739999999999</v>
      </c>
      <c r="I1258" s="36">
        <f>IF(ISBLANK(H1259), "", Long0[[#This Row],[Adj Close]]/H1259-1)</f>
        <v>0.12994336794949057</v>
      </c>
      <c r="M1258" s="37">
        <v>36290</v>
      </c>
      <c r="N1258">
        <v>17.617871999999998</v>
      </c>
      <c r="O1258" s="36">
        <f>IF(ISBLANK(N1259),"",Long2[[#This Row],[Adj Close]]/N1259-1)</f>
        <v>-8.7378710179821018E-2</v>
      </c>
      <c r="P1258" s="29">
        <v>36290</v>
      </c>
      <c r="Q1258">
        <v>4.8131589999999997</v>
      </c>
      <c r="R1258" s="33">
        <f>IF(ISBLANK(Q1259),"",Long3[[#This Row],[Adj Close]]/Q1259-1)</f>
        <v>8.6961278078254711E-3</v>
      </c>
      <c r="S1258" s="37">
        <v>36290</v>
      </c>
      <c r="T1258" s="35">
        <v>5.0624039999999999</v>
      </c>
      <c r="U1258" s="36">
        <f>IF(ISBLANK(T1259),"",Long4[[#This Row],[Adj Close]]/T1259-1)</f>
        <v>-3.0612172601602872E-2</v>
      </c>
      <c r="Y1258" s="37">
        <v>36290</v>
      </c>
      <c r="Z1258">
        <v>3.5325959999999998</v>
      </c>
      <c r="AA1258" s="36">
        <f>IF(ISBLANK(Z1259),"",Long6[[#This Row],[Adj Close]]/Z1259-1)</f>
        <v>0</v>
      </c>
      <c r="AK1258" s="37">
        <v>36290</v>
      </c>
      <c r="AL1258" s="39">
        <v>12.845348</v>
      </c>
      <c r="AM1258" s="36">
        <f>IF(ISBLANK(AL1259),"",Short1[[#This Row],[Adj Close]]/AL1259-1)</f>
        <v>-1.6085512835734117E-2</v>
      </c>
      <c r="AN1258" s="29">
        <v>36290</v>
      </c>
      <c r="AO1258" s="44">
        <v>8.3569320000000005</v>
      </c>
      <c r="AP1258" s="33">
        <f>IF(ISBLANK(AO1259),"",Short2[[#This Row],[Adj Close]]/AO1259-1)</f>
        <v>-1.0243242667070884E-2</v>
      </c>
    </row>
    <row r="1259" spans="1:42" x14ac:dyDescent="0.25">
      <c r="A1259" s="37">
        <v>36283</v>
      </c>
      <c r="B1259" s="39">
        <v>1345</v>
      </c>
      <c r="C1259" s="36">
        <f>IF(ISBLANK(B1260), "", GSPC[[#This Row],[Adj Close]]/B1260-1)</f>
        <v>7.3547728417460156E-3</v>
      </c>
      <c r="D125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5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59" s="11" t="e">
        <f>IF(ISBLANK(GSPC[[#This Row],[Long Exp.]]), "", (GSPC[[#This Row],[Long Exp.]]/D1260-1)+(E1260/GSPC[[#This Row],[Short Exp.]]-1))</f>
        <v>#VALUE!</v>
      </c>
      <c r="G1259" s="37">
        <v>36283</v>
      </c>
      <c r="H1259">
        <v>8.4614630000000002</v>
      </c>
      <c r="I1259" s="36">
        <f>IF(ISBLANK(H1260), "", Long0[[#This Row],[Adj Close]]/H1260-1)</f>
        <v>-2.4793282702040287E-2</v>
      </c>
      <c r="M1259" s="37">
        <v>36283</v>
      </c>
      <c r="N1259">
        <v>19.304690999999998</v>
      </c>
      <c r="O1259" s="36">
        <f>IF(ISBLANK(N1260),"",Long2[[#This Row],[Adj Close]]/N1260-1)</f>
        <v>2.9999694810020294E-2</v>
      </c>
      <c r="P1259" s="29">
        <v>36283</v>
      </c>
      <c r="Q1259">
        <v>4.7716640000000003</v>
      </c>
      <c r="R1259" s="33">
        <f>IF(ISBLANK(Q1260),"",Long3[[#This Row],[Adj Close]]/Q1260-1)</f>
        <v>2.9082469126430421E-2</v>
      </c>
      <c r="S1259" s="37">
        <v>36283</v>
      </c>
      <c r="T1259" s="35">
        <v>5.2222689999999998</v>
      </c>
      <c r="U1259" s="36">
        <f>IF(ISBLANK(T1260),"",Long4[[#This Row],[Adj Close]]/T1260-1)</f>
        <v>-7.5471751557958822E-2</v>
      </c>
      <c r="Y1259" s="37">
        <v>36283</v>
      </c>
      <c r="Z1259">
        <v>3.5325959999999998</v>
      </c>
      <c r="AA1259" s="36">
        <f>IF(ISBLANK(Z1260),"",Long6[[#This Row],[Adj Close]]/Z1260-1)</f>
        <v>-6.4516052150521808E-2</v>
      </c>
      <c r="AK1259" s="37">
        <v>36283</v>
      </c>
      <c r="AL1259" s="39">
        <v>13.055350000000001</v>
      </c>
      <c r="AM1259" s="36">
        <f>IF(ISBLANK(AL1260),"",Short1[[#This Row],[Adj Close]]/AL1260-1)</f>
        <v>-2.0997778613150553E-2</v>
      </c>
      <c r="AN1259" s="29">
        <v>36283</v>
      </c>
      <c r="AO1259" s="44">
        <v>8.4434199999999997</v>
      </c>
      <c r="AP1259" s="33">
        <f>IF(ISBLANK(AO1260),"",Short2[[#This Row],[Adj Close]]/AO1260-1)</f>
        <v>-3.8759746403668194E-2</v>
      </c>
    </row>
    <row r="1260" spans="1:42" x14ac:dyDescent="0.25">
      <c r="A1260" s="37">
        <v>36276</v>
      </c>
      <c r="B1260" s="39">
        <v>1335.1800539999999</v>
      </c>
      <c r="C1260" s="36">
        <f>IF(ISBLANK(B1261), "", GSPC[[#This Row],[Adj Close]]/B1261-1)</f>
        <v>-1.5970757551164949E-2</v>
      </c>
      <c r="D126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6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60" s="11" t="e">
        <f>IF(ISBLANK(GSPC[[#This Row],[Long Exp.]]), "", (GSPC[[#This Row],[Long Exp.]]/D1261-1)+(E1261/GSPC[[#This Row],[Short Exp.]]-1))</f>
        <v>#VALUE!</v>
      </c>
      <c r="G1260" s="37">
        <v>36276</v>
      </c>
      <c r="H1260">
        <v>8.6765840000000001</v>
      </c>
      <c r="I1260" s="36">
        <f>IF(ISBLANK(H1261), "", Long0[[#This Row],[Adj Close]]/H1261-1)</f>
        <v>-4.7244321020596614E-2</v>
      </c>
      <c r="M1260" s="37">
        <v>36276</v>
      </c>
      <c r="N1260">
        <v>18.742424</v>
      </c>
      <c r="O1260" s="36">
        <f>IF(ISBLANK(N1261),"",Long2[[#This Row],[Adj Close]]/N1261-1)</f>
        <v>5.8201457306133797E-2</v>
      </c>
      <c r="P1260" s="29">
        <v>36276</v>
      </c>
      <c r="Q1260">
        <v>4.6368140000000002</v>
      </c>
      <c r="R1260" s="33">
        <f>IF(ISBLANK(Q1261),"",Long3[[#This Row],[Adj Close]]/Q1261-1)</f>
        <v>3.4722271811936878E-2</v>
      </c>
      <c r="S1260" s="37">
        <v>36276</v>
      </c>
      <c r="T1260" s="35">
        <v>5.6485770000000004</v>
      </c>
      <c r="U1260" s="36">
        <f>IF(ISBLANK(T1261),"",Long4[[#This Row],[Adj Close]]/T1261-1)</f>
        <v>-6.1946710132448124E-2</v>
      </c>
      <c r="Y1260" s="37">
        <v>36276</v>
      </c>
      <c r="Z1260">
        <v>3.7762229999999999</v>
      </c>
      <c r="AA1260" s="36">
        <f>IF(ISBLANK(Z1261),"",Long6[[#This Row],[Adj Close]]/Z1261-1)</f>
        <v>0.10714287808484957</v>
      </c>
      <c r="AK1260" s="37">
        <v>36276</v>
      </c>
      <c r="AL1260" s="39">
        <v>13.335362999999999</v>
      </c>
      <c r="AM1260" s="36">
        <f>IF(ISBLANK(AL1261),"",Short1[[#This Row],[Adj Close]]/AL1261-1)</f>
        <v>-6.6176423217632507E-2</v>
      </c>
      <c r="AN1260" s="29">
        <v>36276</v>
      </c>
      <c r="AO1260" s="44">
        <v>8.7838809999999992</v>
      </c>
      <c r="AP1260" s="33">
        <f>IF(ISBLANK(AO1261),"",Short2[[#This Row],[Adj Close]]/AO1261-1)</f>
        <v>-6.5217500038045273E-2</v>
      </c>
    </row>
    <row r="1261" spans="1:42" x14ac:dyDescent="0.25">
      <c r="A1261" s="37">
        <v>36269</v>
      </c>
      <c r="B1261" s="39">
        <v>1356.849976</v>
      </c>
      <c r="C1261" s="36">
        <f>IF(ISBLANK(B1262), "", GSPC[[#This Row],[Adj Close]]/B1262-1)</f>
        <v>2.869596360879445E-2</v>
      </c>
      <c r="D126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6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61" s="11" t="e">
        <f>IF(ISBLANK(GSPC[[#This Row],[Long Exp.]]), "", (GSPC[[#This Row],[Long Exp.]]/D1262-1)+(E1262/GSPC[[#This Row],[Short Exp.]]-1))</f>
        <v>#VALUE!</v>
      </c>
      <c r="G1261" s="37">
        <v>36269</v>
      </c>
      <c r="H1261">
        <v>9.1068300000000004</v>
      </c>
      <c r="I1261" s="36">
        <f>IF(ISBLANK(H1262), "", Long0[[#This Row],[Adj Close]]/H1262-1)</f>
        <v>2.4193321644543131E-2</v>
      </c>
      <c r="M1261" s="37">
        <v>36269</v>
      </c>
      <c r="N1261">
        <v>17.711583999999998</v>
      </c>
      <c r="O1261" s="36">
        <f>IF(ISBLANK(N1262),"",Long2[[#This Row],[Adj Close]]/N1262-1)</f>
        <v>7.0821461236465044E-2</v>
      </c>
      <c r="P1261" s="29">
        <v>36269</v>
      </c>
      <c r="Q1261">
        <v>4.4812159999999999</v>
      </c>
      <c r="R1261" s="33">
        <f>IF(ISBLANK(Q1262),"",Long3[[#This Row],[Adj Close]]/Q1262-1)</f>
        <v>4.3478665836767405E-2</v>
      </c>
      <c r="S1261" s="37">
        <v>36269</v>
      </c>
      <c r="T1261" s="35">
        <v>6.0215949999999996</v>
      </c>
      <c r="U1261" s="36">
        <f>IF(ISBLANK(T1262),"",Long4[[#This Row],[Adj Close]]/T1262-1)</f>
        <v>6.6037517059606143E-2</v>
      </c>
      <c r="Y1261" s="37">
        <v>36269</v>
      </c>
      <c r="Z1261">
        <v>3.4107820000000002</v>
      </c>
      <c r="AA1261" s="36">
        <f>IF(ISBLANK(Z1262),"",Long6[[#This Row],[Adj Close]]/Z1262-1)</f>
        <v>-1.7543910183199007E-2</v>
      </c>
      <c r="AK1261" s="37">
        <v>36269</v>
      </c>
      <c r="AL1261" s="39">
        <v>14.280388</v>
      </c>
      <c r="AM1261" s="36">
        <f>IF(ISBLANK(AL1262),"",Short1[[#This Row],[Adj Close]]/AL1262-1)</f>
        <v>-2.2754488723214839E-2</v>
      </c>
      <c r="AN1261" s="29">
        <v>36269</v>
      </c>
      <c r="AO1261" s="44">
        <v>9.3967109999999998</v>
      </c>
      <c r="AP1261" s="33">
        <f>IF(ISBLANK(AO1262),"",Short2[[#This Row],[Adj Close]]/AO1262-1)</f>
        <v>-4.8071928059231217E-3</v>
      </c>
    </row>
    <row r="1262" spans="1:42" x14ac:dyDescent="0.25">
      <c r="A1262" s="37">
        <v>36262</v>
      </c>
      <c r="B1262" s="39">
        <v>1319</v>
      </c>
      <c r="C1262" s="36">
        <f>IF(ISBLANK(B1263), "", GSPC[[#This Row],[Adj Close]]/B1263-1)</f>
        <v>-2.1767327861768715E-2</v>
      </c>
      <c r="D126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6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62" s="11" t="e">
        <f>IF(ISBLANK(GSPC[[#This Row],[Long Exp.]]), "", (GSPC[[#This Row],[Long Exp.]]/D1263-1)+(E1263/GSPC[[#This Row],[Short Exp.]]-1))</f>
        <v>#VALUE!</v>
      </c>
      <c r="G1262" s="37">
        <v>36262</v>
      </c>
      <c r="H1262">
        <v>8.8917099999999998</v>
      </c>
      <c r="I1262" s="36">
        <f>IF(ISBLANK(H1263), "", Long0[[#This Row],[Adj Close]]/H1263-1)</f>
        <v>-8.8234820619321197E-2</v>
      </c>
      <c r="M1262" s="37">
        <v>36262</v>
      </c>
      <c r="N1262">
        <v>16.540184</v>
      </c>
      <c r="O1262" s="36">
        <f>IF(ISBLANK(N1263),"",Long2[[#This Row],[Adj Close]]/N1263-1)</f>
        <v>0.1242039922255429</v>
      </c>
      <c r="P1262" s="29">
        <v>36262</v>
      </c>
      <c r="Q1262">
        <v>4.2944969999999998</v>
      </c>
      <c r="R1262" s="33">
        <f>IF(ISBLANK(Q1263),"",Long3[[#This Row],[Adj Close]]/Q1263-1)</f>
        <v>1.2224484182346229E-2</v>
      </c>
      <c r="S1262" s="37">
        <v>36262</v>
      </c>
      <c r="T1262" s="35">
        <v>5.6485770000000004</v>
      </c>
      <c r="U1262" s="36">
        <f>IF(ISBLANK(T1263),"",Long4[[#This Row],[Adj Close]]/T1263-1)</f>
        <v>7.0707022840048372E-2</v>
      </c>
      <c r="Y1262" s="37">
        <v>36262</v>
      </c>
      <c r="Z1262">
        <v>3.471689</v>
      </c>
      <c r="AA1262" s="36">
        <f>IF(ISBLANK(Z1263),"",Long6[[#This Row],[Adj Close]]/Z1263-1)</f>
        <v>-2.564096087367862E-2</v>
      </c>
      <c r="AK1262" s="37">
        <v>36262</v>
      </c>
      <c r="AL1262" s="39">
        <v>14.612897</v>
      </c>
      <c r="AM1262" s="36">
        <f>IF(ISBLANK(AL1263),"",Short1[[#This Row],[Adj Close]]/AL1263-1)</f>
        <v>-2.9070226364507179E-2</v>
      </c>
      <c r="AN1262" s="29">
        <v>36262</v>
      </c>
      <c r="AO1262" s="44">
        <v>9.4421009999999992</v>
      </c>
      <c r="AP1262" s="33">
        <f>IF(ISBLANK(AO1263),"",Short2[[#This Row],[Adj Close]]/AO1263-1)</f>
        <v>0.15877402969974064</v>
      </c>
    </row>
    <row r="1263" spans="1:42" x14ac:dyDescent="0.25">
      <c r="A1263" s="37">
        <v>36255</v>
      </c>
      <c r="B1263" s="39">
        <v>1348.349976</v>
      </c>
      <c r="C1263" s="36">
        <f>IF(ISBLANK(B1264), "", GSPC[[#This Row],[Adj Close]]/B1264-1)</f>
        <v>4.2227070946251999E-2</v>
      </c>
      <c r="D126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6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63" s="11" t="e">
        <f>IF(ISBLANK(GSPC[[#This Row],[Long Exp.]]), "", (GSPC[[#This Row],[Long Exp.]]/D1264-1)+(E1264/GSPC[[#This Row],[Short Exp.]]-1))</f>
        <v>#VALUE!</v>
      </c>
      <c r="G1263" s="37">
        <v>36255</v>
      </c>
      <c r="H1263">
        <v>9.7521930000000001</v>
      </c>
      <c r="I1263" s="36">
        <f>IF(ISBLANK(H1264), "", Long0[[#This Row],[Adj Close]]/H1264-1)</f>
        <v>-6.7130547674979946E-2</v>
      </c>
      <c r="M1263" s="37">
        <v>36255</v>
      </c>
      <c r="N1263">
        <v>14.712796000000001</v>
      </c>
      <c r="O1263" s="36">
        <f>IF(ISBLANK(N1264),"",Long2[[#This Row],[Adj Close]]/N1264-1)</f>
        <v>-2.1807031292436663E-2</v>
      </c>
      <c r="P1263" s="29">
        <v>36255</v>
      </c>
      <c r="Q1263">
        <v>4.2426329999999997</v>
      </c>
      <c r="R1263" s="33">
        <f>IF(ISBLANK(Q1264),"",Long3[[#This Row],[Adj Close]]/Q1264-1)</f>
        <v>1.4888066797515531E-2</v>
      </c>
      <c r="S1263" s="37">
        <v>36255</v>
      </c>
      <c r="T1263" s="35">
        <v>5.2755580000000002</v>
      </c>
      <c r="U1263" s="36">
        <f>IF(ISBLANK(T1264),"",Long4[[#This Row],[Adj Close]]/T1264-1)</f>
        <v>-3.8834625986798321E-2</v>
      </c>
      <c r="Y1263" s="37">
        <v>36255</v>
      </c>
      <c r="Z1263">
        <v>3.5630489999999999</v>
      </c>
      <c r="AA1263" s="36">
        <f>IF(ISBLANK(Z1264),"",Long6[[#This Row],[Adj Close]]/Z1264-1)</f>
        <v>-3.3057945437863001E-2</v>
      </c>
      <c r="AK1263" s="37">
        <v>36255</v>
      </c>
      <c r="AL1263" s="39">
        <v>15.050416</v>
      </c>
      <c r="AM1263" s="36">
        <f>IF(ISBLANK(AL1264),"",Short1[[#This Row],[Adj Close]]/AL1264-1)</f>
        <v>4.62290463666859E-2</v>
      </c>
      <c r="AN1263" s="29">
        <v>36255</v>
      </c>
      <c r="AO1263" s="44">
        <v>8.1483539999999994</v>
      </c>
      <c r="AP1263" s="33">
        <f>IF(ISBLANK(AO1264),"",Short2[[#This Row],[Adj Close]]/AO1264-1)</f>
        <v>1.4124315934538778E-2</v>
      </c>
    </row>
    <row r="1264" spans="1:42" x14ac:dyDescent="0.25">
      <c r="A1264" s="37">
        <v>36248</v>
      </c>
      <c r="B1264" s="39">
        <v>1293.719971</v>
      </c>
      <c r="C1264" s="36">
        <f>IF(ISBLANK(B1265), "", GSPC[[#This Row],[Adj Close]]/B1265-1)</f>
        <v>8.5125674952324371E-3</v>
      </c>
      <c r="D126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6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64" s="11" t="e">
        <f>IF(ISBLANK(GSPC[[#This Row],[Long Exp.]]), "", (GSPC[[#This Row],[Long Exp.]]/D1265-1)+(E1265/GSPC[[#This Row],[Short Exp.]]-1))</f>
        <v>#VALUE!</v>
      </c>
      <c r="G1264" s="37">
        <v>36248</v>
      </c>
      <c r="H1264">
        <v>10.453974000000001</v>
      </c>
      <c r="I1264" s="36">
        <f>IF(ISBLANK(H1265), "", Long0[[#This Row],[Adj Close]]/H1265-1)</f>
        <v>0</v>
      </c>
      <c r="M1264" s="37">
        <v>36248</v>
      </c>
      <c r="N1264">
        <v>15.040791</v>
      </c>
      <c r="O1264" s="36">
        <f>IF(ISBLANK(N1265),"",Long2[[#This Row],[Adj Close]]/N1265-1)</f>
        <v>-1.5337795023880996E-2</v>
      </c>
      <c r="P1264" s="29">
        <v>36248</v>
      </c>
      <c r="Q1264">
        <v>4.1803949999999999</v>
      </c>
      <c r="R1264" s="33">
        <f>IF(ISBLANK(Q1265),"",Long3[[#This Row],[Adj Close]]/Q1265-1)</f>
        <v>-2.1844729481388159E-2</v>
      </c>
      <c r="S1264" s="37">
        <v>36248</v>
      </c>
      <c r="T1264" s="35">
        <v>5.4887100000000002</v>
      </c>
      <c r="U1264" s="36">
        <f>IF(ISBLANK(T1265),"",Long4[[#This Row],[Adj Close]]/T1265-1)</f>
        <v>2.9999741032110894E-2</v>
      </c>
      <c r="Y1264" s="37">
        <v>36248</v>
      </c>
      <c r="Z1264">
        <v>3.684863</v>
      </c>
      <c r="AA1264" s="36">
        <f>IF(ISBLANK(Z1265),"",Long6[[#This Row],[Adj Close]]/Z1265-1)</f>
        <v>-3.9682523135781245E-2</v>
      </c>
      <c r="AK1264" s="37">
        <v>36248</v>
      </c>
      <c r="AL1264" s="39">
        <v>14.385393000000001</v>
      </c>
      <c r="AM1264" s="36">
        <f>IF(ISBLANK(AL1265),"",Short1[[#This Row],[Adj Close]]/AL1265-1)</f>
        <v>3.0075005456348336E-2</v>
      </c>
      <c r="AN1264" s="29">
        <v>36248</v>
      </c>
      <c r="AO1264" s="44">
        <v>8.0348670000000002</v>
      </c>
      <c r="AP1264" s="33">
        <f>IF(ISBLANK(AO1265),"",Short2[[#This Row],[Adj Close]]/AO1265-1)</f>
        <v>-5.6180109011315649E-3</v>
      </c>
    </row>
    <row r="1265" spans="1:42" x14ac:dyDescent="0.25">
      <c r="A1265" s="37">
        <v>36241</v>
      </c>
      <c r="B1265" s="39">
        <v>1282.8000489999999</v>
      </c>
      <c r="C1265" s="36">
        <f>IF(ISBLANK(B1266), "", GSPC[[#This Row],[Adj Close]]/B1266-1)</f>
        <v>-1.2691538844314953E-2</v>
      </c>
      <c r="D126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6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65" s="11" t="e">
        <f>IF(ISBLANK(GSPC[[#This Row],[Long Exp.]]), "", (GSPC[[#This Row],[Long Exp.]]/D1266-1)+(E1266/GSPC[[#This Row],[Short Exp.]]-1))</f>
        <v>#VALUE!</v>
      </c>
      <c r="G1265" s="37">
        <v>36241</v>
      </c>
      <c r="H1265">
        <v>10.453974000000001</v>
      </c>
      <c r="I1265" s="36">
        <f>IF(ISBLANK(H1266), "", Long0[[#This Row],[Adj Close]]/H1266-1)</f>
        <v>-8.1760820672817758E-2</v>
      </c>
      <c r="M1265" s="37">
        <v>36241</v>
      </c>
      <c r="N1265">
        <v>15.275077</v>
      </c>
      <c r="O1265" s="36">
        <f>IF(ISBLANK(N1266),"",Long2[[#This Row],[Adj Close]]/N1266-1)</f>
        <v>-1.212087621558644E-2</v>
      </c>
      <c r="P1265" s="29">
        <v>36241</v>
      </c>
      <c r="Q1265">
        <v>4.2737540000000003</v>
      </c>
      <c r="R1265" s="33">
        <f>IF(ISBLANK(Q1266),"",Long3[[#This Row],[Adj Close]]/Q1266-1)</f>
        <v>7.3353033363952047E-3</v>
      </c>
      <c r="S1265" s="37">
        <v>36241</v>
      </c>
      <c r="T1265" s="35">
        <v>5.3288460000000004</v>
      </c>
      <c r="U1265" s="36">
        <f>IF(ISBLANK(T1266),"",Long4[[#This Row],[Adj Close]]/T1266-1)</f>
        <v>0</v>
      </c>
      <c r="Y1265" s="37">
        <v>36241</v>
      </c>
      <c r="Z1265">
        <v>3.8371300000000002</v>
      </c>
      <c r="AA1265" s="36">
        <f>IF(ISBLANK(Z1266),"",Long6[[#This Row],[Adj Close]]/Z1266-1)</f>
        <v>0.1052631730549598</v>
      </c>
      <c r="AK1265" s="37">
        <v>36241</v>
      </c>
      <c r="AL1265" s="39">
        <v>13.965384</v>
      </c>
      <c r="AM1265" s="36">
        <f>IF(ISBLANK(AL1266),"",Short1[[#This Row],[Adj Close]]/AL1266-1)</f>
        <v>-9.9253582940131979E-3</v>
      </c>
      <c r="AN1265" s="29">
        <v>36241</v>
      </c>
      <c r="AO1265" s="44">
        <v>8.0802619999999994</v>
      </c>
      <c r="AP1265" s="33">
        <f>IF(ISBLANK(AO1266),"",Short2[[#This Row],[Adj Close]]/AO1266-1)</f>
        <v>2.8901779738626621E-2</v>
      </c>
    </row>
    <row r="1266" spans="1:42" x14ac:dyDescent="0.25">
      <c r="A1266" s="37">
        <v>36234</v>
      </c>
      <c r="B1266" s="39">
        <v>1299.290039</v>
      </c>
      <c r="C1266" s="36">
        <f>IF(ISBLANK(B1267), "", GSPC[[#This Row],[Adj Close]]/B1267-1)</f>
        <v>3.6305495357129569E-3</v>
      </c>
      <c r="D126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6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66" s="11" t="e">
        <f>IF(ISBLANK(GSPC[[#This Row],[Long Exp.]]), "", (GSPC[[#This Row],[Long Exp.]]/D1267-1)+(E1267/GSPC[[#This Row],[Short Exp.]]-1))</f>
        <v>#VALUE!</v>
      </c>
      <c r="G1266" s="37">
        <v>36234</v>
      </c>
      <c r="H1266">
        <v>11.384805</v>
      </c>
      <c r="I1266" s="36">
        <f>IF(ISBLANK(H1267), "", Long0[[#This Row],[Adj Close]]/H1267-1)</f>
        <v>8.4567433295887895E-3</v>
      </c>
      <c r="M1266" s="37">
        <v>36234</v>
      </c>
      <c r="N1266">
        <v>15.462496</v>
      </c>
      <c r="O1266" s="36">
        <f>IF(ISBLANK(N1267),"",Long2[[#This Row],[Adj Close]]/N1267-1)</f>
        <v>4.8407593042680608E-2</v>
      </c>
      <c r="P1266" s="29">
        <v>36234</v>
      </c>
      <c r="Q1266">
        <v>4.2426329999999997</v>
      </c>
      <c r="R1266" s="33">
        <f>IF(ISBLANK(Q1267),"",Long3[[#This Row],[Adj Close]]/Q1267-1)</f>
        <v>-9.8657917196335321E-3</v>
      </c>
      <c r="S1266" s="37">
        <v>36234</v>
      </c>
      <c r="T1266" s="35">
        <v>5.3288460000000004</v>
      </c>
      <c r="U1266" s="36">
        <f>IF(ISBLANK(T1267),"",Long4[[#This Row],[Adj Close]]/T1267-1)</f>
        <v>-9.090915294475288E-2</v>
      </c>
      <c r="Y1266" s="37">
        <v>36234</v>
      </c>
      <c r="Z1266">
        <v>3.471689</v>
      </c>
      <c r="AA1266" s="36">
        <f>IF(ISBLANK(Z1267),"",Long6[[#This Row],[Adj Close]]/Z1267-1)</f>
        <v>-3.3898399416947722E-2</v>
      </c>
      <c r="AK1266" s="37">
        <v>36234</v>
      </c>
      <c r="AL1266" s="39">
        <v>14.105385</v>
      </c>
      <c r="AM1266" s="36">
        <f>IF(ISBLANK(AL1267),"",Short1[[#This Row],[Adj Close]]/AL1267-1)</f>
        <v>4.9876091723046745E-3</v>
      </c>
      <c r="AN1266" s="29">
        <v>36234</v>
      </c>
      <c r="AO1266" s="44">
        <v>7.853288</v>
      </c>
      <c r="AP1266" s="33">
        <f>IF(ISBLANK(AO1267),"",Short2[[#This Row],[Adj Close]]/AO1267-1)</f>
        <v>-2.5352200075333009E-2</v>
      </c>
    </row>
    <row r="1267" spans="1:42" x14ac:dyDescent="0.25">
      <c r="A1267" s="37">
        <v>36227</v>
      </c>
      <c r="B1267" s="39">
        <v>1294.589966</v>
      </c>
      <c r="C1267" s="36">
        <f>IF(ISBLANK(B1268), "", GSPC[[#This Row],[Adj Close]]/B1268-1)</f>
        <v>1.4990548922927172E-2</v>
      </c>
      <c r="D126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6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67" s="11" t="e">
        <f>IF(ISBLANK(GSPC[[#This Row],[Long Exp.]]), "", (GSPC[[#This Row],[Long Exp.]]/D1268-1)+(E1268/GSPC[[#This Row],[Short Exp.]]-1))</f>
        <v>#VALUE!</v>
      </c>
      <c r="G1267" s="37">
        <v>36227</v>
      </c>
      <c r="H1267">
        <v>11.289334</v>
      </c>
      <c r="I1267" s="36">
        <f>IF(ISBLANK(H1268), "", Long0[[#This Row],[Adj Close]]/H1268-1)</f>
        <v>2.1185983679150588E-3</v>
      </c>
      <c r="M1267" s="37">
        <v>36227</v>
      </c>
      <c r="N1267">
        <v>14.748554</v>
      </c>
      <c r="O1267" s="36">
        <f>IF(ISBLANK(N1268),"",Long2[[#This Row],[Adj Close]]/N1268-1)</f>
        <v>3.9473342013140567E-2</v>
      </c>
      <c r="P1267" s="29">
        <v>36227</v>
      </c>
      <c r="Q1267">
        <v>4.2849069999999996</v>
      </c>
      <c r="R1267" s="33">
        <f>IF(ISBLANK(Q1268),"",Long3[[#This Row],[Adj Close]]/Q1268-1)</f>
        <v>-1.8823652793882983E-2</v>
      </c>
      <c r="S1267" s="37">
        <v>36227</v>
      </c>
      <c r="T1267" s="35">
        <v>5.8617309999999998</v>
      </c>
      <c r="U1267" s="36">
        <f>IF(ISBLANK(T1268),"",Long4[[#This Row],[Adj Close]]/T1268-1)</f>
        <v>7.8431231859740658E-2</v>
      </c>
      <c r="Y1267" s="37">
        <v>36227</v>
      </c>
      <c r="Z1267">
        <v>3.5935030000000001</v>
      </c>
      <c r="AA1267" s="36">
        <f>IF(ISBLANK(Z1268),"",Long6[[#This Row],[Adj Close]]/Z1268-1)</f>
        <v>-9.2307466917305958E-2</v>
      </c>
      <c r="AK1267" s="37">
        <v>36227</v>
      </c>
      <c r="AL1267" s="39">
        <v>14.035382</v>
      </c>
      <c r="AM1267" s="36">
        <f>IF(ISBLANK(AL1268),"",Short1[[#This Row],[Adj Close]]/AL1268-1)</f>
        <v>8.9674299122088907E-2</v>
      </c>
      <c r="AN1267" s="29">
        <v>36227</v>
      </c>
      <c r="AO1267" s="44">
        <v>8.0575650000000003</v>
      </c>
      <c r="AP1267" s="33">
        <f>IF(ISBLANK(AO1268),"",Short2[[#This Row],[Adj Close]]/AO1268-1)</f>
        <v>-6.8242060144995786E-2</v>
      </c>
    </row>
    <row r="1268" spans="1:42" x14ac:dyDescent="0.25">
      <c r="A1268" s="37">
        <v>36220</v>
      </c>
      <c r="B1268" s="39">
        <v>1275.469971</v>
      </c>
      <c r="C1268" s="36">
        <f>IF(ISBLANK(B1269), "", GSPC[[#This Row],[Adj Close]]/B1269-1)</f>
        <v>2.9992018540816012E-2</v>
      </c>
      <c r="D126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6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68" s="11" t="e">
        <f>IF(ISBLANK(GSPC[[#This Row],[Long Exp.]]), "", (GSPC[[#This Row],[Long Exp.]]/D1269-1)+(E1269/GSPC[[#This Row],[Short Exp.]]-1))</f>
        <v>#VALUE!</v>
      </c>
      <c r="G1268" s="37">
        <v>36220</v>
      </c>
      <c r="H1268">
        <v>11.265466999999999</v>
      </c>
      <c r="I1268" s="36">
        <f>IF(ISBLANK(H1269), "", Long0[[#This Row],[Adj Close]]/H1269-1)</f>
        <v>8.0091220540690511E-2</v>
      </c>
      <c r="M1268" s="37">
        <v>36220</v>
      </c>
      <c r="N1268">
        <v>14.188487</v>
      </c>
      <c r="O1268" s="36">
        <f>IF(ISBLANK(N1269),"",Long2[[#This Row],[Adj Close]]/N1269-1)</f>
        <v>-4.7021059050493919E-2</v>
      </c>
      <c r="P1268" s="29">
        <v>36220</v>
      </c>
      <c r="Q1268">
        <v>4.3671119999999997</v>
      </c>
      <c r="R1268" s="33">
        <f>IF(ISBLANK(Q1269),"",Long3[[#This Row],[Adj Close]]/Q1269-1)</f>
        <v>4.4226284512443259E-2</v>
      </c>
      <c r="S1268" s="37">
        <v>36220</v>
      </c>
      <c r="T1268" s="35">
        <v>5.4354240000000003</v>
      </c>
      <c r="U1268" s="36">
        <f>IF(ISBLANK(T1269),"",Long4[[#This Row],[Adj Close]]/T1269-1)</f>
        <v>-8.9285606573923482E-2</v>
      </c>
      <c r="Y1268" s="37">
        <v>36220</v>
      </c>
      <c r="Z1268">
        <v>3.9589430000000001</v>
      </c>
      <c r="AA1268" s="36">
        <f>IF(ISBLANK(Z1269),"",Long6[[#This Row],[Adj Close]]/Z1269-1)</f>
        <v>-0.10958913660615199</v>
      </c>
      <c r="AK1268" s="37">
        <v>36220</v>
      </c>
      <c r="AL1268" s="39">
        <v>12.880345999999999</v>
      </c>
      <c r="AM1268" s="36">
        <f>IF(ISBLANK(AL1269),"",Short1[[#This Row],[Adj Close]]/AL1269-1)</f>
        <v>-8.0869545529664855E-3</v>
      </c>
      <c r="AN1268" s="29">
        <v>36220</v>
      </c>
      <c r="AO1268" s="44">
        <v>8.6477020000000007</v>
      </c>
      <c r="AP1268" s="33">
        <f>IF(ISBLANK(AO1269),"",Short2[[#This Row],[Adj Close]]/AO1269-1)</f>
        <v>2.6954567451139999E-2</v>
      </c>
    </row>
    <row r="1269" spans="1:42" x14ac:dyDescent="0.25">
      <c r="A1269" s="37">
        <v>36213</v>
      </c>
      <c r="B1269" s="39">
        <v>1238.329956</v>
      </c>
      <c r="C1269" s="36">
        <f>IF(ISBLANK(B1270), "", GSPC[[#This Row],[Adj Close]]/B1270-1)</f>
        <v>-7.1820582368575803E-4</v>
      </c>
      <c r="D126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6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69" s="11" t="e">
        <f>IF(ISBLANK(GSPC[[#This Row],[Long Exp.]]), "", (GSPC[[#This Row],[Long Exp.]]/D1270-1)+(E1270/GSPC[[#This Row],[Short Exp.]]-1))</f>
        <v>#VALUE!</v>
      </c>
      <c r="G1269" s="37">
        <v>36213</v>
      </c>
      <c r="H1269">
        <v>10.430107</v>
      </c>
      <c r="I1269" s="36">
        <f>IF(ISBLANK(H1270), "", Long0[[#This Row],[Adj Close]]/H1270-1)</f>
        <v>2.8235673141921769E-2</v>
      </c>
      <c r="M1269" s="37">
        <v>36213</v>
      </c>
      <c r="N1269">
        <v>14.888563</v>
      </c>
      <c r="O1269" s="36">
        <f>IF(ISBLANK(N1270),"",Long2[[#This Row],[Adj Close]]/N1270-1)</f>
        <v>3.5713152809216941E-2</v>
      </c>
      <c r="P1269" s="29">
        <v>36213</v>
      </c>
      <c r="Q1269">
        <v>4.1821510000000002</v>
      </c>
      <c r="R1269" s="33">
        <f>IF(ISBLANK(Q1270),"",Long3[[#This Row],[Adj Close]]/Q1270-1)</f>
        <v>-3.325420728435835E-2</v>
      </c>
      <c r="S1269" s="37">
        <v>36213</v>
      </c>
      <c r="T1269" s="35">
        <v>5.9683080000000004</v>
      </c>
      <c r="U1269" s="36">
        <f>IF(ISBLANK(T1270),"",Long4[[#This Row],[Adj Close]]/T1270-1)</f>
        <v>-2.6086735163438624E-2</v>
      </c>
      <c r="Y1269" s="37">
        <v>36213</v>
      </c>
      <c r="Z1269">
        <v>4.4461979999999999</v>
      </c>
      <c r="AA1269" s="36">
        <f>IF(ISBLANK(Z1270),"",Long6[[#This Row],[Adj Close]]/Z1270-1)</f>
        <v>3.5460979694363903E-2</v>
      </c>
      <c r="AK1269" s="37">
        <v>36213</v>
      </c>
      <c r="AL1269" s="39">
        <v>12.985358</v>
      </c>
      <c r="AM1269" s="36">
        <f>IF(ISBLANK(AL1270),"",Short1[[#This Row],[Adj Close]]/AL1270-1)</f>
        <v>8.0058535312989454E-2</v>
      </c>
      <c r="AN1269" s="29">
        <v>36213</v>
      </c>
      <c r="AO1269" s="44">
        <v>8.4207249999999991</v>
      </c>
      <c r="AP1269" s="33">
        <f>IF(ISBLANK(AO1270),"",Short2[[#This Row],[Adj Close]]/AO1270-1)</f>
        <v>-3.1331206740066064E-2</v>
      </c>
    </row>
    <row r="1270" spans="1:42" x14ac:dyDescent="0.25">
      <c r="A1270" s="37">
        <v>36206</v>
      </c>
      <c r="B1270" s="39">
        <v>1239.219971</v>
      </c>
      <c r="C1270" s="36">
        <f>IF(ISBLANK(B1271), "", GSPC[[#This Row],[Adj Close]]/B1271-1)</f>
        <v>7.3894352329044732E-3</v>
      </c>
      <c r="D127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7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70" s="11" t="e">
        <f>IF(ISBLANK(GSPC[[#This Row],[Long Exp.]]), "", (GSPC[[#This Row],[Long Exp.]]/D1271-1)+(E1271/GSPC[[#This Row],[Short Exp.]]-1))</f>
        <v>#VALUE!</v>
      </c>
      <c r="G1270" s="37">
        <v>36206</v>
      </c>
      <c r="H1270">
        <v>10.143693000000001</v>
      </c>
      <c r="I1270" s="36">
        <f>IF(ISBLANK(H1271), "", Long0[[#This Row],[Adj Close]]/H1271-1)</f>
        <v>-5.3452353358124927E-2</v>
      </c>
      <c r="M1270" s="37">
        <v>36206</v>
      </c>
      <c r="N1270">
        <v>14.37518</v>
      </c>
      <c r="O1270" s="36">
        <f>IF(ISBLANK(N1271),"",Long2[[#This Row],[Adj Close]]/N1271-1)</f>
        <v>-3.7499230009025664E-2</v>
      </c>
      <c r="P1270" s="29">
        <v>36206</v>
      </c>
      <c r="Q1270">
        <v>4.326009</v>
      </c>
      <c r="R1270" s="33">
        <f>IF(ISBLANK(Q1271),"",Long3[[#This Row],[Adj Close]]/Q1271-1)</f>
        <v>3.4398088447786801E-2</v>
      </c>
      <c r="S1270" s="37">
        <v>36206</v>
      </c>
      <c r="T1270" s="35">
        <v>6.1281720000000002</v>
      </c>
      <c r="U1270" s="36">
        <f>IF(ISBLANK(T1271),"",Long4[[#This Row],[Adj Close]]/T1271-1)</f>
        <v>-4.1666777436952795E-2</v>
      </c>
      <c r="Y1270" s="37">
        <v>36206</v>
      </c>
      <c r="Z1270">
        <v>4.2939309999999997</v>
      </c>
      <c r="AA1270" s="36">
        <f>IF(ISBLANK(Z1271),"",Long6[[#This Row],[Adj Close]]/Z1271-1)</f>
        <v>-3.4246563018561105E-2</v>
      </c>
      <c r="AK1270" s="37">
        <v>36206</v>
      </c>
      <c r="AL1270" s="39">
        <v>12.022828000000001</v>
      </c>
      <c r="AM1270" s="36">
        <f>IF(ISBLANK(AL1271),"",Short1[[#This Row],[Adj Close]]/AL1271-1)</f>
        <v>-1.8571331897671572E-2</v>
      </c>
      <c r="AN1270" s="29">
        <v>36206</v>
      </c>
      <c r="AO1270" s="44">
        <v>8.6930899999999998</v>
      </c>
      <c r="AP1270" s="33">
        <f>IF(ISBLANK(AO1271),"",Short2[[#This Row],[Adj Close]]/AO1271-1)</f>
        <v>-5.194836404708747E-3</v>
      </c>
    </row>
    <row r="1271" spans="1:42" x14ac:dyDescent="0.25">
      <c r="A1271" s="37">
        <v>36199</v>
      </c>
      <c r="B1271" s="39">
        <v>1230.130005</v>
      </c>
      <c r="C1271" s="36">
        <f>IF(ISBLANK(B1272), "", GSPC[[#This Row],[Adj Close]]/B1272-1)</f>
        <v>-7.4794407136464791E-3</v>
      </c>
      <c r="D127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7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71" s="11" t="e">
        <f>IF(ISBLANK(GSPC[[#This Row],[Long Exp.]]), "", (GSPC[[#This Row],[Long Exp.]]/D1272-1)+(E1272/GSPC[[#This Row],[Short Exp.]]-1))</f>
        <v>#VALUE!</v>
      </c>
      <c r="G1271" s="37">
        <v>36199</v>
      </c>
      <c r="H1271">
        <v>10.716516</v>
      </c>
      <c r="I1271" s="36">
        <f>IF(ISBLANK(H1272), "", Long0[[#This Row],[Adj Close]]/H1272-1)</f>
        <v>-3.8543609045221694E-2</v>
      </c>
      <c r="M1271" s="37">
        <v>36199</v>
      </c>
      <c r="N1271">
        <v>14.93524</v>
      </c>
      <c r="O1271" s="36">
        <f>IF(ISBLANK(N1272),"",Long2[[#This Row],[Adj Close]]/N1272-1)</f>
        <v>-3.9039525950084197E-2</v>
      </c>
      <c r="P1271" s="29">
        <v>36199</v>
      </c>
      <c r="Q1271">
        <v>4.1821510000000002</v>
      </c>
      <c r="R1271" s="33">
        <f>IF(ISBLANK(Q1272),"",Long3[[#This Row],[Adj Close]]/Q1272-1)</f>
        <v>-1.2135974502595737E-2</v>
      </c>
      <c r="S1271" s="37">
        <v>36199</v>
      </c>
      <c r="T1271" s="35">
        <v>6.3946149999999999</v>
      </c>
      <c r="U1271" s="36">
        <f>IF(ISBLANK(T1272),"",Long4[[#This Row],[Adj Close]]/T1272-1)</f>
        <v>-0.24999997067845259</v>
      </c>
      <c r="Y1271" s="37">
        <v>36199</v>
      </c>
      <c r="Z1271">
        <v>4.4461979999999999</v>
      </c>
      <c r="AA1271" s="36">
        <f>IF(ISBLANK(Z1272),"",Long6[[#This Row],[Adj Close]]/Z1272-1)</f>
        <v>3.5460979694363903E-2</v>
      </c>
      <c r="AK1271" s="37">
        <v>36199</v>
      </c>
      <c r="AL1271" s="39">
        <v>12.250332999999999</v>
      </c>
      <c r="AM1271" s="36">
        <f>IF(ISBLANK(AL1272),"",Short1[[#This Row],[Adj Close]]/AL1272-1)</f>
        <v>2.3391846086050272E-2</v>
      </c>
      <c r="AN1271" s="29">
        <v>36199</v>
      </c>
      <c r="AO1271" s="44">
        <v>8.7384850000000007</v>
      </c>
      <c r="AP1271" s="33">
        <f>IF(ISBLANK(AO1272),"",Short2[[#This Row],[Adj Close]]/AO1272-1)</f>
        <v>-5.8270102198641593E-2</v>
      </c>
    </row>
    <row r="1272" spans="1:42" x14ac:dyDescent="0.25">
      <c r="A1272" s="37">
        <v>36192</v>
      </c>
      <c r="B1272" s="39">
        <v>1239.400024</v>
      </c>
      <c r="C1272" s="36">
        <f>IF(ISBLANK(B1273), "", GSPC[[#This Row],[Adj Close]]/B1273-1)</f>
        <v>-3.1446336882486325E-2</v>
      </c>
      <c r="D127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7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72" s="11" t="e">
        <f>IF(ISBLANK(GSPC[[#This Row],[Long Exp.]]), "", (GSPC[[#This Row],[Long Exp.]]/D1273-1)+(E1273/GSPC[[#This Row],[Short Exp.]]-1))</f>
        <v>#VALUE!</v>
      </c>
      <c r="G1272" s="37">
        <v>36192</v>
      </c>
      <c r="H1272">
        <v>11.146127999999999</v>
      </c>
      <c r="I1272" s="36">
        <f>IF(ISBLANK(H1273), "", Long0[[#This Row],[Adj Close]]/H1273-1)</f>
        <v>-4.3033054131030202E-2</v>
      </c>
      <c r="M1272" s="37">
        <v>36192</v>
      </c>
      <c r="N1272">
        <v>15.541992</v>
      </c>
      <c r="O1272" s="36">
        <f>IF(ISBLANK(N1273),"",Long2[[#This Row],[Adj Close]]/N1273-1)</f>
        <v>0.14432996066777903</v>
      </c>
      <c r="P1272" s="29">
        <v>36192</v>
      </c>
      <c r="Q1272">
        <v>4.2335289999999999</v>
      </c>
      <c r="R1272" s="33">
        <f>IF(ISBLANK(Q1273),"",Long3[[#This Row],[Adj Close]]/Q1273-1)</f>
        <v>-3.5128731429175719E-2</v>
      </c>
      <c r="S1272" s="37">
        <v>36192</v>
      </c>
      <c r="T1272" s="35">
        <v>8.5261530000000008</v>
      </c>
      <c r="U1272" s="36">
        <f>IF(ISBLANK(T1273),"",Long4[[#This Row],[Adj Close]]/T1273-1)</f>
        <v>-0.17525777085055738</v>
      </c>
      <c r="Y1272" s="37">
        <v>36192</v>
      </c>
      <c r="Z1272">
        <v>4.2939309999999997</v>
      </c>
      <c r="AA1272" s="36">
        <f>IF(ISBLANK(Z1273),"",Long6[[#This Row],[Adj Close]]/Z1273-1)</f>
        <v>-1.3986054131060688E-2</v>
      </c>
      <c r="AK1272" s="37">
        <v>36192</v>
      </c>
      <c r="AL1272" s="39">
        <v>11.970325000000001</v>
      </c>
      <c r="AM1272" s="36">
        <f>IF(ISBLANK(AL1273),"",Short1[[#This Row],[Adj Close]]/AL1273-1)</f>
        <v>-5.7851391229220228E-2</v>
      </c>
      <c r="AN1272" s="29">
        <v>36192</v>
      </c>
      <c r="AO1272" s="44">
        <v>9.2791840000000008</v>
      </c>
      <c r="AP1272" s="33">
        <f>IF(ISBLANK(AO1273),"",Short2[[#This Row],[Adj Close]]/AO1273-1)</f>
        <v>-6.6209834057536998E-2</v>
      </c>
    </row>
    <row r="1273" spans="1:42" x14ac:dyDescent="0.25">
      <c r="A1273" s="37">
        <v>36185</v>
      </c>
      <c r="B1273" s="39">
        <v>1279.6400149999999</v>
      </c>
      <c r="C1273" s="36">
        <f>IF(ISBLANK(B1274), "", GSPC[[#This Row],[Adj Close]]/B1274-1)</f>
        <v>4.444214907245958E-2</v>
      </c>
      <c r="D127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7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73" s="11" t="e">
        <f>IF(ISBLANK(GSPC[[#This Row],[Long Exp.]]), "", (GSPC[[#This Row],[Long Exp.]]/D1274-1)+(E1274/GSPC[[#This Row],[Short Exp.]]-1))</f>
        <v>#VALUE!</v>
      </c>
      <c r="G1273" s="37">
        <v>36185</v>
      </c>
      <c r="H1273">
        <v>11.647349</v>
      </c>
      <c r="I1273" s="36">
        <f>IF(ISBLANK(H1274), "", Long0[[#This Row],[Adj Close]]/H1274-1)</f>
        <v>2.0533433957226066E-3</v>
      </c>
      <c r="M1273" s="37">
        <v>36185</v>
      </c>
      <c r="N1273">
        <v>13.58174</v>
      </c>
      <c r="O1273" s="36">
        <f>IF(ISBLANK(N1274),"",Long2[[#This Row],[Adj Close]]/N1274-1)</f>
        <v>-8.2018505704071321E-2</v>
      </c>
      <c r="P1273" s="29">
        <v>36185</v>
      </c>
      <c r="Q1273">
        <v>4.3876619999999997</v>
      </c>
      <c r="R1273" s="33">
        <f>IF(ISBLANK(Q1274),"",Long3[[#This Row],[Adj Close]]/Q1274-1)</f>
        <v>-1.1574346801482505E-2</v>
      </c>
      <c r="S1273" s="37">
        <v>36185</v>
      </c>
      <c r="T1273" s="35">
        <v>10.337961</v>
      </c>
      <c r="U1273" s="36">
        <f>IF(ISBLANK(T1274),"",Long4[[#This Row],[Adj Close]]/T1274-1)</f>
        <v>0.11494250766161862</v>
      </c>
      <c r="Y1273" s="37">
        <v>36185</v>
      </c>
      <c r="Z1273">
        <v>4.354838</v>
      </c>
      <c r="AA1273" s="36">
        <f>IF(ISBLANK(Z1274),"",Long6[[#This Row],[Adj Close]]/Z1274-1)</f>
        <v>-2.7210743030895324E-2</v>
      </c>
      <c r="AK1273" s="37">
        <v>36185</v>
      </c>
      <c r="AL1273" s="39">
        <v>12.705347</v>
      </c>
      <c r="AM1273" s="36">
        <f>IF(ISBLANK(AL1274),"",Short1[[#This Row],[Adj Close]]/AL1274-1)</f>
        <v>0.1451105161445807</v>
      </c>
      <c r="AN1273" s="29">
        <v>36185</v>
      </c>
      <c r="AO1273" s="44">
        <v>9.9371189999999991</v>
      </c>
      <c r="AP1273" s="33">
        <f>IF(ISBLANK(AO1274),"",Short2[[#This Row],[Adj Close]]/AO1274-1)</f>
        <v>3.3018781131441743E-2</v>
      </c>
    </row>
    <row r="1274" spans="1:42" x14ac:dyDescent="0.25">
      <c r="A1274" s="37">
        <v>36178</v>
      </c>
      <c r="B1274" s="39">
        <v>1225.1899410000001</v>
      </c>
      <c r="C1274" s="36">
        <f>IF(ISBLANK(B1275), "", GSPC[[#This Row],[Adj Close]]/B1275-1)</f>
        <v>-1.4534424701716175E-2</v>
      </c>
      <c r="D127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7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74" s="11" t="e">
        <f>IF(ISBLANK(GSPC[[#This Row],[Long Exp.]]), "", (GSPC[[#This Row],[Long Exp.]]/D1275-1)+(E1275/GSPC[[#This Row],[Short Exp.]]-1))</f>
        <v>#VALUE!</v>
      </c>
      <c r="G1274" s="37">
        <v>36178</v>
      </c>
      <c r="H1274">
        <v>11.623481999999999</v>
      </c>
      <c r="I1274" s="36">
        <f>IF(ISBLANK(H1275), "", Long0[[#This Row],[Adj Close]]/H1275-1)</f>
        <v>1.4583542641248615E-2</v>
      </c>
      <c r="M1274" s="37">
        <v>36178</v>
      </c>
      <c r="N1274">
        <v>14.795222000000001</v>
      </c>
      <c r="O1274" s="36">
        <f>IF(ISBLANK(N1275),"",Long2[[#This Row],[Adj Close]]/N1275-1)</f>
        <v>-5.3731752230972152E-2</v>
      </c>
      <c r="P1274" s="29">
        <v>36178</v>
      </c>
      <c r="Q1274">
        <v>4.4390409999999996</v>
      </c>
      <c r="R1274" s="33">
        <f>IF(ISBLANK(Q1275),"",Long3[[#This Row],[Adj Close]]/Q1275-1)</f>
        <v>9.3464297797876128E-3</v>
      </c>
      <c r="S1274" s="37">
        <v>36178</v>
      </c>
      <c r="T1274" s="35">
        <v>9.2721920000000004</v>
      </c>
      <c r="U1274" s="36">
        <f>IF(ISBLANK(T1275),"",Long4[[#This Row],[Adj Close]]/T1275-1)</f>
        <v>-7.4468229523931839E-2</v>
      </c>
      <c r="Y1274" s="37">
        <v>36178</v>
      </c>
      <c r="Z1274">
        <v>4.4766510000000004</v>
      </c>
      <c r="AA1274" s="36">
        <f>IF(ISBLANK(Z1275),"",Long6[[#This Row],[Adj Close]]/Z1275-1)</f>
        <v>6.5217474069438675E-2</v>
      </c>
      <c r="AK1274" s="37">
        <v>36178</v>
      </c>
      <c r="AL1274" s="39">
        <v>11.095302</v>
      </c>
      <c r="AM1274" s="36">
        <f>IF(ISBLANK(AL1275),"",Short1[[#This Row],[Adj Close]]/AL1275-1)</f>
        <v>1.6025383918024216E-2</v>
      </c>
      <c r="AN1274" s="29">
        <v>36178</v>
      </c>
      <c r="AO1274" s="44">
        <v>9.6194950000000006</v>
      </c>
      <c r="AP1274" s="33">
        <f>IF(ISBLANK(AO1275),"",Short2[[#This Row],[Adj Close]]/AO1275-1)</f>
        <v>1.4354181515029207E-2</v>
      </c>
    </row>
    <row r="1275" spans="1:42" x14ac:dyDescent="0.25">
      <c r="A1275" s="37">
        <v>36171</v>
      </c>
      <c r="B1275" s="39">
        <v>1243.26001</v>
      </c>
      <c r="C1275" s="36">
        <f>IF(ISBLANK(B1276), "", GSPC[[#This Row],[Adj Close]]/B1276-1)</f>
        <v>-2.4962909950465462E-2</v>
      </c>
      <c r="D127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7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75" s="11" t="e">
        <f>IF(ISBLANK(GSPC[[#This Row],[Long Exp.]]), "", (GSPC[[#This Row],[Long Exp.]]/D1276-1)+(E1276/GSPC[[#This Row],[Short Exp.]]-1))</f>
        <v>#VALUE!</v>
      </c>
      <c r="G1275" s="37">
        <v>36171</v>
      </c>
      <c r="H1275">
        <v>11.456407</v>
      </c>
      <c r="I1275" s="36">
        <f>IF(ISBLANK(H1276), "", Long0[[#This Row],[Adj Close]]/H1276-1)</f>
        <v>8.4032674062652912E-3</v>
      </c>
      <c r="M1275" s="37">
        <v>36171</v>
      </c>
      <c r="N1275">
        <v>15.635336000000001</v>
      </c>
      <c r="O1275" s="36">
        <f>IF(ISBLANK(N1276),"",Long2[[#This Row],[Adj Close]]/N1276-1)</f>
        <v>1.5151632216422239E-2</v>
      </c>
      <c r="P1275" s="29">
        <v>36171</v>
      </c>
      <c r="Q1275">
        <v>4.3979359999999996</v>
      </c>
      <c r="R1275" s="33">
        <f>IF(ISBLANK(Q1276),"",Long3[[#This Row],[Adj Close]]/Q1276-1)</f>
        <v>-2.5057149596273032E-2</v>
      </c>
      <c r="S1275" s="37">
        <v>36171</v>
      </c>
      <c r="T1275" s="35">
        <v>10.018231999999999</v>
      </c>
      <c r="U1275" s="36">
        <f>IF(ISBLANK(T1276),"",Long4[[#This Row],[Adj Close]]/T1276-1)</f>
        <v>8.0459938707049927E-2</v>
      </c>
      <c r="Y1275" s="37">
        <v>36171</v>
      </c>
      <c r="Z1275">
        <v>4.2025699999999997</v>
      </c>
      <c r="AA1275" s="36">
        <f>IF(ISBLANK(Z1276),"",Long6[[#This Row],[Adj Close]]/Z1276-1)</f>
        <v>2.9850588996110261E-2</v>
      </c>
      <c r="AK1275" s="37">
        <v>36171</v>
      </c>
      <c r="AL1275" s="39">
        <v>10.920299999999999</v>
      </c>
      <c r="AM1275" s="36">
        <f>IF(ISBLANK(AL1276),"",Short1[[#This Row],[Adj Close]]/AL1276-1)</f>
        <v>0.11727848260561813</v>
      </c>
      <c r="AN1275" s="29">
        <v>36171</v>
      </c>
      <c r="AO1275" s="44">
        <v>9.4833689999999997</v>
      </c>
      <c r="AP1275" s="33">
        <f>IF(ISBLANK(AO1276),"",Short2[[#This Row],[Adj Close]]/AO1276-1)</f>
        <v>3.7220697932792257E-2</v>
      </c>
    </row>
    <row r="1276" spans="1:42" x14ac:dyDescent="0.25">
      <c r="A1276" s="37">
        <v>36164</v>
      </c>
      <c r="B1276" s="39">
        <v>1275.089966</v>
      </c>
      <c r="C1276" s="36">
        <f>IF(ISBLANK(B1277), "", GSPC[[#This Row],[Adj Close]]/B1277-1)</f>
        <v>3.7307897420464808E-2</v>
      </c>
      <c r="D127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7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76" s="11" t="e">
        <f>IF(ISBLANK(GSPC[[#This Row],[Long Exp.]]), "", (GSPC[[#This Row],[Long Exp.]]/D1277-1)+(E1277/GSPC[[#This Row],[Short Exp.]]-1))</f>
        <v>#VALUE!</v>
      </c>
      <c r="G1276" s="37">
        <v>36164</v>
      </c>
      <c r="H1276">
        <v>11.360938000000001</v>
      </c>
      <c r="I1276" s="36">
        <f>IF(ISBLANK(H1277), "", Long0[[#This Row],[Adj Close]]/H1277-1)</f>
        <v>-5.4264660330485603E-2</v>
      </c>
      <c r="M1276" s="37">
        <v>36164</v>
      </c>
      <c r="N1276">
        <v>15.401971</v>
      </c>
      <c r="O1276" s="36">
        <f>IF(ISBLANK(N1277),"",Long2[[#This Row],[Adj Close]]/N1277-1)</f>
        <v>-3.5087134577406309E-2</v>
      </c>
      <c r="P1276" s="29">
        <v>36164</v>
      </c>
      <c r="Q1276">
        <v>4.5109680000000001</v>
      </c>
      <c r="R1276" s="33">
        <f>IF(ISBLANK(Q1277),"",Long3[[#This Row],[Adj Close]]/Q1277-1)</f>
        <v>-1.5695308950799292E-2</v>
      </c>
      <c r="S1276" s="37">
        <v>36164</v>
      </c>
      <c r="T1276" s="35">
        <v>9.2721920000000004</v>
      </c>
      <c r="U1276" s="36">
        <f>IF(ISBLANK(T1277),"",Long4[[#This Row],[Adj Close]]/T1277-1)</f>
        <v>6.0975415790882392E-2</v>
      </c>
      <c r="Y1276" s="37">
        <v>36164</v>
      </c>
      <c r="Z1276">
        <v>4.0807570000000002</v>
      </c>
      <c r="AA1276" s="36">
        <f>IF(ISBLANK(Z1277),"",Long6[[#This Row],[Adj Close]]/Z1277-1)</f>
        <v>6.3491984894960662E-2</v>
      </c>
      <c r="AK1276" s="37">
        <v>36164</v>
      </c>
      <c r="AL1276" s="39">
        <v>9.7740179999999999</v>
      </c>
      <c r="AM1276" s="36">
        <f>IF(ISBLANK(AL1277),"",Short1[[#This Row],[Adj Close]]/AL1277-1)</f>
        <v>0.13747449008092416</v>
      </c>
      <c r="AN1276" s="29">
        <v>36164</v>
      </c>
      <c r="AO1276" s="44">
        <v>9.1430579999999999</v>
      </c>
      <c r="AP1276" s="33">
        <f>IF(ISBLANK(AO1277),"",Short2[[#This Row],[Adj Close]]/AO1277-1)</f>
        <v>-2.4750854922415133E-3</v>
      </c>
    </row>
    <row r="1277" spans="1:42" x14ac:dyDescent="0.25">
      <c r="A1277" s="37">
        <v>36157</v>
      </c>
      <c r="B1277" s="39">
        <v>1229.2299800000001</v>
      </c>
      <c r="C1277" s="36">
        <f>IF(ISBLANK(B1278), "", GSPC[[#This Row],[Adj Close]]/B1278-1)</f>
        <v>2.4137913768780273E-3</v>
      </c>
      <c r="D127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7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77" s="11" t="e">
        <f>IF(ISBLANK(GSPC[[#This Row],[Long Exp.]]), "", (GSPC[[#This Row],[Long Exp.]]/D1278-1)+(E1278/GSPC[[#This Row],[Short Exp.]]-1))</f>
        <v>#VALUE!</v>
      </c>
      <c r="G1277" s="37">
        <v>36157</v>
      </c>
      <c r="H1277">
        <v>12.012809000000001</v>
      </c>
      <c r="I1277" s="36">
        <f>IF(ISBLANK(H1278), "", Long0[[#This Row],[Adj Close]]/H1278-1)</f>
        <v>0.16397198942573787</v>
      </c>
      <c r="M1277" s="37">
        <v>36157</v>
      </c>
      <c r="N1277">
        <v>15.962033</v>
      </c>
      <c r="O1277" s="36">
        <f>IF(ISBLANK(N1278),"",Long2[[#This Row],[Adj Close]]/N1278-1)</f>
        <v>8.9171520345739275E-2</v>
      </c>
      <c r="P1277" s="29">
        <v>36157</v>
      </c>
      <c r="Q1277">
        <v>4.5828980000000001</v>
      </c>
      <c r="R1277" s="33">
        <f>IF(ISBLANK(Q1278),"",Long3[[#This Row],[Adj Close]]/Q1278-1)</f>
        <v>-1.3274477280047603E-2</v>
      </c>
      <c r="S1277" s="37">
        <v>36157</v>
      </c>
      <c r="T1277" s="35">
        <v>8.7393090000000004</v>
      </c>
      <c r="U1277" s="36">
        <f>IF(ISBLANK(T1278),"",Long4[[#This Row],[Adj Close]]/T1278-1)</f>
        <v>0.17142868632114849</v>
      </c>
      <c r="Y1277" s="37">
        <v>36157</v>
      </c>
      <c r="Z1277">
        <v>3.8371300000000002</v>
      </c>
      <c r="AA1277" s="36">
        <f>IF(ISBLANK(Z1278),"",Long6[[#This Row],[Adj Close]]/Z1278-1)</f>
        <v>-9.3525101676721012E-2</v>
      </c>
      <c r="AK1277" s="37">
        <v>36157</v>
      </c>
      <c r="AL1277" s="39">
        <v>8.5927360000000004</v>
      </c>
      <c r="AM1277" s="36">
        <f>IF(ISBLANK(AL1278),"",Short1[[#This Row],[Adj Close]]/AL1278-1)</f>
        <v>5.5913914013304034E-2</v>
      </c>
      <c r="AN1277" s="29">
        <v>36157</v>
      </c>
      <c r="AO1277" s="44">
        <v>9.1657440000000001</v>
      </c>
      <c r="AP1277" s="33">
        <f>IF(ISBLANK(AO1278),"",Short2[[#This Row],[Adj Close]]/AO1278-1)</f>
        <v>4.6632514845217354E-2</v>
      </c>
    </row>
    <row r="1278" spans="1:42" x14ac:dyDescent="0.25">
      <c r="A1278" s="37">
        <v>36150</v>
      </c>
      <c r="B1278" s="39">
        <v>1226.2700199999999</v>
      </c>
      <c r="C1278" s="36">
        <f>IF(ISBLANK(B1279), "", GSPC[[#This Row],[Adj Close]]/B1279-1)</f>
        <v>3.2187731005577147E-2</v>
      </c>
      <c r="D127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7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78" s="11" t="e">
        <f>IF(ISBLANK(GSPC[[#This Row],[Long Exp.]]), "", (GSPC[[#This Row],[Long Exp.]]/D1279-1)+(E1279/GSPC[[#This Row],[Short Exp.]]-1))</f>
        <v>#VALUE!</v>
      </c>
      <c r="G1278" s="37">
        <v>36150</v>
      </c>
      <c r="H1278">
        <v>10.320531000000001</v>
      </c>
      <c r="I1278" s="36">
        <f>IF(ISBLANK(H1279), "", Long0[[#This Row],[Adj Close]]/H1279-1)</f>
        <v>-9.9792073134990722E-2</v>
      </c>
      <c r="M1278" s="37">
        <v>36150</v>
      </c>
      <c r="N1278">
        <v>14.655206</v>
      </c>
      <c r="O1278" s="36">
        <f>IF(ISBLANK(N1279),"",Long2[[#This Row],[Adj Close]]/N1279-1)</f>
        <v>1.6181500847429975E-2</v>
      </c>
      <c r="P1278" s="29">
        <v>36150</v>
      </c>
      <c r="Q1278">
        <v>4.644552</v>
      </c>
      <c r="R1278" s="33">
        <f>IF(ISBLANK(Q1279),"",Long3[[#This Row],[Adj Close]]/Q1279-1)</f>
        <v>-1.0940542529612962E-2</v>
      </c>
      <c r="S1278" s="37">
        <v>36150</v>
      </c>
      <c r="T1278" s="35">
        <v>7.4603849999999996</v>
      </c>
      <c r="U1278" s="36">
        <f>IF(ISBLANK(T1279),"",Long4[[#This Row],[Adj Close]]/T1279-1)</f>
        <v>1.4493039386679563E-2</v>
      </c>
      <c r="Y1278" s="37">
        <v>36150</v>
      </c>
      <c r="Z1278">
        <v>4.2330240000000003</v>
      </c>
      <c r="AA1278" s="36">
        <f>IF(ISBLANK(Z1279),"",Long6[[#This Row],[Adj Close]]/Z1279-1)</f>
        <v>2.2058766717918399E-2</v>
      </c>
      <c r="AK1278" s="37">
        <v>36150</v>
      </c>
      <c r="AL1278" s="39">
        <v>8.1377240000000004</v>
      </c>
      <c r="AM1278" s="36">
        <f>IF(ISBLANK(AL1279),"",Short1[[#This Row],[Adj Close]]/AL1279-1)</f>
        <v>0.12727283809219858</v>
      </c>
      <c r="AN1278" s="29">
        <v>36150</v>
      </c>
      <c r="AO1278" s="44">
        <v>8.7573659999999993</v>
      </c>
      <c r="AP1278" s="33">
        <f>IF(ISBLANK(AO1279),"",Short2[[#This Row],[Adj Close]]/AO1279-1)</f>
        <v>2.6595291363513907E-2</v>
      </c>
    </row>
    <row r="1279" spans="1:42" x14ac:dyDescent="0.25">
      <c r="A1279" s="37">
        <v>36143</v>
      </c>
      <c r="B1279" s="39">
        <v>1188.030029</v>
      </c>
      <c r="C1279" s="36">
        <f>IF(ISBLANK(B1280), "", GSPC[[#This Row],[Adj Close]]/B1280-1)</f>
        <v>1.849190604151385E-2</v>
      </c>
      <c r="D127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7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79" s="11" t="e">
        <f>IF(ISBLANK(GSPC[[#This Row],[Long Exp.]]), "", (GSPC[[#This Row],[Long Exp.]]/D1280-1)+(E1280/GSPC[[#This Row],[Short Exp.]]-1))</f>
        <v>#VALUE!</v>
      </c>
      <c r="G1279" s="37">
        <v>36143</v>
      </c>
      <c r="H1279">
        <v>11.464608</v>
      </c>
      <c r="I1279" s="36">
        <f>IF(ISBLANK(H1280), "", Long0[[#This Row],[Adj Close]]/H1280-1)</f>
        <v>6.415915649995596E-2</v>
      </c>
      <c r="M1279" s="37">
        <v>36143</v>
      </c>
      <c r="N1279">
        <v>14.421839</v>
      </c>
      <c r="O1279" s="36">
        <f>IF(ISBLANK(N1280),"",Long2[[#This Row],[Adj Close]]/N1280-1)</f>
        <v>-5.1203479126079032E-2</v>
      </c>
      <c r="P1279" s="29">
        <v>36143</v>
      </c>
      <c r="Q1279">
        <v>4.6959280000000003</v>
      </c>
      <c r="R1279" s="33">
        <f>IF(ISBLANK(Q1280),"",Long3[[#This Row],[Adj Close]]/Q1280-1)</f>
        <v>8.3769813547653449E-2</v>
      </c>
      <c r="S1279" s="37">
        <v>36143</v>
      </c>
      <c r="T1279" s="35">
        <v>7.3538059999999996</v>
      </c>
      <c r="U1279" s="36">
        <f>IF(ISBLANK(T1280),"",Long4[[#This Row],[Adj Close]]/T1280-1)</f>
        <v>-7.3825626764802976E-2</v>
      </c>
      <c r="Y1279" s="37">
        <v>36143</v>
      </c>
      <c r="Z1279">
        <v>4.1416639999999996</v>
      </c>
      <c r="AA1279" s="36">
        <f>IF(ISBLANK(Z1280),"",Long6[[#This Row],[Adj Close]]/Z1280-1)</f>
        <v>-2.8571053290789128E-2</v>
      </c>
      <c r="AK1279" s="37">
        <v>36143</v>
      </c>
      <c r="AL1279" s="39">
        <v>7.2189480000000001</v>
      </c>
      <c r="AM1279" s="36">
        <f>IF(ISBLANK(AL1280),"",Short1[[#This Row],[Adj Close]]/AL1280-1)</f>
        <v>4.035328744063027E-2</v>
      </c>
      <c r="AN1279" s="29">
        <v>36143</v>
      </c>
      <c r="AO1279" s="44">
        <v>8.5304950000000002</v>
      </c>
      <c r="AP1279" s="33">
        <f>IF(ISBLANK(AO1280),"",Short2[[#This Row],[Adj Close]]/AO1280-1)</f>
        <v>-2.5906305617465208E-2</v>
      </c>
    </row>
    <row r="1280" spans="1:42" x14ac:dyDescent="0.25">
      <c r="A1280" s="37">
        <v>36136</v>
      </c>
      <c r="B1280" s="39">
        <v>1166.459961</v>
      </c>
      <c r="C1280" s="36">
        <f>IF(ISBLANK(B1281), "", GSPC[[#This Row],[Adj Close]]/B1281-1)</f>
        <v>-8.7360241747201917E-3</v>
      </c>
      <c r="D128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8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80" s="11" t="e">
        <f>IF(ISBLANK(GSPC[[#This Row],[Long Exp.]]), "", (GSPC[[#This Row],[Long Exp.]]/D1281-1)+(E1281/GSPC[[#This Row],[Short Exp.]]-1))</f>
        <v>#VALUE!</v>
      </c>
      <c r="G1280" s="37">
        <v>36136</v>
      </c>
      <c r="H1280">
        <v>10.773396</v>
      </c>
      <c r="I1280" s="36">
        <f>IF(ISBLANK(H1281), "", Long0[[#This Row],[Adj Close]]/H1281-1)</f>
        <v>-0.17818170556155932</v>
      </c>
      <c r="M1280" s="37">
        <v>36136</v>
      </c>
      <c r="N1280">
        <v>15.200139</v>
      </c>
      <c r="O1280" s="36">
        <f>IF(ISBLANK(N1281),"",Long2[[#This Row],[Adj Close]]/N1281-1)</f>
        <v>-5.4912677527900522E-2</v>
      </c>
      <c r="P1280" s="29">
        <v>36136</v>
      </c>
      <c r="Q1280">
        <v>4.3329570000000004</v>
      </c>
      <c r="R1280" s="33">
        <f>IF(ISBLANK(Q1281),"",Long3[[#This Row],[Adj Close]]/Q1281-1)</f>
        <v>-2.227179985459149E-2</v>
      </c>
      <c r="S1280" s="37">
        <v>36136</v>
      </c>
      <c r="T1280" s="35">
        <v>7.9399800000000003</v>
      </c>
      <c r="U1280" s="36">
        <f>IF(ISBLANK(T1281),"",Long4[[#This Row],[Adj Close]]/T1281-1)</f>
        <v>-7.4534217959629556E-2</v>
      </c>
      <c r="Y1280" s="37">
        <v>36136</v>
      </c>
      <c r="Z1280">
        <v>4.2634759999999998</v>
      </c>
      <c r="AA1280" s="36">
        <f>IF(ISBLANK(Z1281),"",Long6[[#This Row],[Adj Close]]/Z1281-1)</f>
        <v>-2.7778309859411876E-2</v>
      </c>
      <c r="AK1280" s="37">
        <v>36136</v>
      </c>
      <c r="AL1280" s="39">
        <v>6.9389390000000004</v>
      </c>
      <c r="AM1280" s="36">
        <f>IF(ISBLANK(AL1281),"",Short1[[#This Row],[Adj Close]]/AL1281-1)</f>
        <v>-8.2176056819608156E-2</v>
      </c>
      <c r="AN1280" s="29">
        <v>36136</v>
      </c>
      <c r="AO1280" s="44">
        <v>8.7573659999999993</v>
      </c>
      <c r="AP1280" s="33">
        <f>IF(ISBLANK(AO1281),"",Short2[[#This Row],[Adj Close]]/AO1281-1)</f>
        <v>2.387192607198374E-2</v>
      </c>
    </row>
    <row r="1281" spans="1:42" x14ac:dyDescent="0.25">
      <c r="A1281" s="37">
        <v>36129</v>
      </c>
      <c r="B1281" s="39">
        <v>1176.73999</v>
      </c>
      <c r="C1281" s="36">
        <f>IF(ISBLANK(B1282), "", GSPC[[#This Row],[Adj Close]]/B1282-1)</f>
        <v>-1.3075211204372383E-2</v>
      </c>
      <c r="D128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8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81" s="11" t="e">
        <f>IF(ISBLANK(GSPC[[#This Row],[Long Exp.]]), "", (GSPC[[#This Row],[Long Exp.]]/D1282-1)+(E1282/GSPC[[#This Row],[Short Exp.]]-1))</f>
        <v>#VALUE!</v>
      </c>
      <c r="G1281" s="37">
        <v>36129</v>
      </c>
      <c r="H1281">
        <v>13.109219</v>
      </c>
      <c r="I1281" s="36">
        <f>IF(ISBLANK(H1282), "", Long0[[#This Row],[Adj Close]]/H1282-1)</f>
        <v>1.8214213796536871E-3</v>
      </c>
      <c r="M1281" s="37">
        <v>36129</v>
      </c>
      <c r="N1281">
        <v>16.083317000000001</v>
      </c>
      <c r="O1281" s="36">
        <f>IF(ISBLANK(N1282),"",Long2[[#This Row],[Adj Close]]/N1282-1)</f>
        <v>-9.1863356558881004E-2</v>
      </c>
      <c r="P1281" s="29">
        <v>36129</v>
      </c>
      <c r="Q1281">
        <v>4.4316579999999997</v>
      </c>
      <c r="R1281" s="33">
        <f>IF(ISBLANK(Q1282),"",Long3[[#This Row],[Adj Close]]/Q1282-1)</f>
        <v>1.1261420069383465E-2</v>
      </c>
      <c r="S1281" s="37">
        <v>36129</v>
      </c>
      <c r="T1281" s="35">
        <v>8.5794420000000002</v>
      </c>
      <c r="U1281" s="36">
        <f>IF(ISBLANK(T1282),"",Long4[[#This Row],[Adj Close]]/T1282-1)</f>
        <v>8.7837979198120086E-2</v>
      </c>
      <c r="Y1281" s="37">
        <v>36129</v>
      </c>
      <c r="Z1281">
        <v>4.3852919999999997</v>
      </c>
      <c r="AA1281" s="36">
        <f>IF(ISBLANK(Z1282),"",Long6[[#This Row],[Adj Close]]/Z1282-1)</f>
        <v>0.12500038480917053</v>
      </c>
      <c r="AK1281" s="37">
        <v>36129</v>
      </c>
      <c r="AL1281" s="39">
        <v>7.5602070000000001</v>
      </c>
      <c r="AM1281" s="36">
        <f>IF(ISBLANK(AL1282),"",Short1[[#This Row],[Adj Close]]/AL1282-1)</f>
        <v>-6.2906852764634147E-2</v>
      </c>
      <c r="AN1281" s="29">
        <v>36129</v>
      </c>
      <c r="AO1281" s="44">
        <v>8.5531849999999991</v>
      </c>
      <c r="AP1281" s="33">
        <f>IF(ISBLANK(AO1282),"",Short2[[#This Row],[Adj Close]]/AO1282-1)</f>
        <v>1.0723983194433018E-2</v>
      </c>
    </row>
    <row r="1282" spans="1:42" x14ac:dyDescent="0.25">
      <c r="A1282" s="37">
        <v>36122</v>
      </c>
      <c r="B1282" s="39">
        <v>1192.329956</v>
      </c>
      <c r="C1282" s="36">
        <f>IF(ISBLANK(B1283), "", GSPC[[#This Row],[Adj Close]]/B1283-1)</f>
        <v>2.4734567305235045E-2</v>
      </c>
      <c r="D128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8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82" s="11" t="e">
        <f>IF(ISBLANK(GSPC[[#This Row],[Long Exp.]]), "", (GSPC[[#This Row],[Long Exp.]]/D1283-1)+(E1283/GSPC[[#This Row],[Short Exp.]]-1))</f>
        <v>#VALUE!</v>
      </c>
      <c r="G1282" s="37">
        <v>36122</v>
      </c>
      <c r="H1282">
        <v>13.085385</v>
      </c>
      <c r="I1282" s="36">
        <f>IF(ISBLANK(H1283), "", Long0[[#This Row],[Adj Close]]/H1283-1)</f>
        <v>9.1915868984024929E-3</v>
      </c>
      <c r="M1282" s="37">
        <v>36122</v>
      </c>
      <c r="N1282">
        <v>17.710239000000001</v>
      </c>
      <c r="O1282" s="36">
        <f>IF(ISBLANK(N1283),"",Long2[[#This Row],[Adj Close]]/N1283-1)</f>
        <v>-8.851707589518909E-2</v>
      </c>
      <c r="P1282" s="29">
        <v>36122</v>
      </c>
      <c r="Q1282">
        <v>4.382307</v>
      </c>
      <c r="R1282" s="33">
        <f>IF(ISBLANK(Q1283),"",Long3[[#This Row],[Adj Close]]/Q1283-1)</f>
        <v>6.8029101963473781E-3</v>
      </c>
      <c r="S1282" s="37">
        <v>36122</v>
      </c>
      <c r="T1282" s="35">
        <v>7.8866909999999999</v>
      </c>
      <c r="U1282" s="36">
        <f>IF(ISBLANK(T1283),"",Long4[[#This Row],[Adj Close]]/T1283-1)</f>
        <v>1.3698512168521804E-2</v>
      </c>
      <c r="Y1282" s="37">
        <v>36122</v>
      </c>
      <c r="Z1282">
        <v>3.8980359999999998</v>
      </c>
      <c r="AA1282" s="36">
        <f>IF(ISBLANK(Z1283),"",Long6[[#This Row],[Adj Close]]/Z1283-1)</f>
        <v>-1.5384662017109196E-2</v>
      </c>
      <c r="AK1282" s="37">
        <v>36122</v>
      </c>
      <c r="AL1282" s="39">
        <v>8.0677219999999998</v>
      </c>
      <c r="AM1282" s="36">
        <f>IF(ISBLANK(AL1283),"",Short1[[#This Row],[Adj Close]]/AL1283-1)</f>
        <v>0.15974833111524545</v>
      </c>
      <c r="AN1282" s="29">
        <v>36122</v>
      </c>
      <c r="AO1282" s="44">
        <v>8.462434</v>
      </c>
      <c r="AP1282" s="33">
        <f>IF(ISBLANK(AO1283),"",Short2[[#This Row],[Adj Close]]/AO1283-1)</f>
        <v>1.3587508527975523E-2</v>
      </c>
    </row>
    <row r="1283" spans="1:42" x14ac:dyDescent="0.25">
      <c r="A1283" s="37">
        <v>36115</v>
      </c>
      <c r="B1283" s="39">
        <v>1163.5500489999999</v>
      </c>
      <c r="C1283" s="36">
        <f>IF(ISBLANK(B1284), "", GSPC[[#This Row],[Adj Close]]/B1284-1)</f>
        <v>3.3605229519375612E-2</v>
      </c>
      <c r="D128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8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83" s="11" t="e">
        <f>IF(ISBLANK(GSPC[[#This Row],[Long Exp.]]), "", (GSPC[[#This Row],[Long Exp.]]/D1284-1)+(E1284/GSPC[[#This Row],[Short Exp.]]-1))</f>
        <v>#VALUE!</v>
      </c>
      <c r="G1283" s="37">
        <v>36115</v>
      </c>
      <c r="H1283">
        <v>12.966205</v>
      </c>
      <c r="I1283" s="36">
        <f>IF(ISBLANK(H1284), "", Long0[[#This Row],[Adj Close]]/H1284-1)</f>
        <v>-3.2028914748821191E-2</v>
      </c>
      <c r="M1283" s="37">
        <v>36115</v>
      </c>
      <c r="N1283">
        <v>19.430137999999999</v>
      </c>
      <c r="O1283" s="36">
        <f>IF(ISBLANK(N1284),"",Long2[[#This Row],[Adj Close]]/N1284-1)</f>
        <v>9.6619231080612433E-3</v>
      </c>
      <c r="P1283" s="29">
        <v>36115</v>
      </c>
      <c r="Q1283">
        <v>4.3526959999999999</v>
      </c>
      <c r="R1283" s="33">
        <f>IF(ISBLANK(Q1284),"",Long3[[#This Row],[Adj Close]]/Q1284-1)</f>
        <v>-4.5144181674514616E-3</v>
      </c>
      <c r="S1283" s="37">
        <v>36115</v>
      </c>
      <c r="T1283" s="35">
        <v>7.7801150000000003</v>
      </c>
      <c r="U1283" s="36">
        <f>IF(ISBLANK(T1284),"",Long4[[#This Row],[Adj Close]]/T1284-1)</f>
        <v>-3.9473713450848269E-2</v>
      </c>
      <c r="Y1283" s="37">
        <v>36115</v>
      </c>
      <c r="Z1283">
        <v>3.9589430000000001</v>
      </c>
      <c r="AA1283" s="36">
        <f>IF(ISBLANK(Z1284),"",Long6[[#This Row],[Adj Close]]/Z1284-1)</f>
        <v>-3.7037262256790049E-2</v>
      </c>
      <c r="AK1283" s="37">
        <v>36115</v>
      </c>
      <c r="AL1283" s="39">
        <v>6.956442</v>
      </c>
      <c r="AM1283" s="36">
        <f>IF(ISBLANK(AL1284),"",Short1[[#This Row],[Adj Close]]/AL1284-1)</f>
        <v>0.1134459908167349</v>
      </c>
      <c r="AN1283" s="29">
        <v>36115</v>
      </c>
      <c r="AO1283" s="44">
        <v>8.3489920000000009</v>
      </c>
      <c r="AP1283" s="33">
        <f>IF(ISBLANK(AO1284),"",Short2[[#This Row],[Adj Close]]/AO1284-1)</f>
        <v>4.5454460077788861E-2</v>
      </c>
    </row>
    <row r="1284" spans="1:42" x14ac:dyDescent="0.25">
      <c r="A1284" s="37">
        <v>36108</v>
      </c>
      <c r="B1284" s="39">
        <v>1125.719971</v>
      </c>
      <c r="C1284" s="36">
        <f>IF(ISBLANK(B1285), "", GSPC[[#This Row],[Adj Close]]/B1285-1)</f>
        <v>-1.3400442472892959E-2</v>
      </c>
      <c r="D128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8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84" s="11" t="e">
        <f>IF(ISBLANK(GSPC[[#This Row],[Long Exp.]]), "", (GSPC[[#This Row],[Long Exp.]]/D1285-1)+(E1285/GSPC[[#This Row],[Short Exp.]]-1))</f>
        <v>#VALUE!</v>
      </c>
      <c r="G1284" s="37">
        <v>36108</v>
      </c>
      <c r="H1284">
        <v>13.395239999999999</v>
      </c>
      <c r="I1284" s="36">
        <f>IF(ISBLANK(H1285), "", Long0[[#This Row],[Adj Close]]/H1285-1)</f>
        <v>3.8817256977535575E-2</v>
      </c>
      <c r="M1284" s="37">
        <v>36108</v>
      </c>
      <c r="N1284">
        <v>19.244202000000001</v>
      </c>
      <c r="O1284" s="36">
        <f>IF(ISBLANK(N1285),"",Long2[[#This Row],[Adj Close]]/N1285-1)</f>
        <v>-2.3585262502571758E-2</v>
      </c>
      <c r="P1284" s="29">
        <v>36108</v>
      </c>
      <c r="Q1284">
        <v>4.3724350000000003</v>
      </c>
      <c r="R1284" s="33">
        <f>IF(ISBLANK(Q1285),"",Long3[[#This Row],[Adj Close]]/Q1285-1)</f>
        <v>2.07364912942547E-2</v>
      </c>
      <c r="S1284" s="37">
        <v>36108</v>
      </c>
      <c r="T1284" s="35">
        <v>8.0998459999999994</v>
      </c>
      <c r="U1284" s="36">
        <f>IF(ISBLANK(T1285),"",Long4[[#This Row],[Adj Close]]/T1285-1)</f>
        <v>1.3333216568438111E-2</v>
      </c>
      <c r="Y1284" s="37">
        <v>36108</v>
      </c>
      <c r="Z1284">
        <v>4.1112109999999999</v>
      </c>
      <c r="AA1284" s="36">
        <f>IF(ISBLANK(Z1285),"",Long6[[#This Row],[Adj Close]]/Z1285-1)</f>
        <v>5.0583873355815712E-2</v>
      </c>
      <c r="AK1284" s="37">
        <v>36108</v>
      </c>
      <c r="AL1284" s="39">
        <v>6.2476690000000001</v>
      </c>
      <c r="AM1284" s="36">
        <f>IF(ISBLANK(AL1285),"",Short1[[#This Row],[Adj Close]]/AL1285-1)</f>
        <v>-5.0532348578253283E-2</v>
      </c>
      <c r="AN1284" s="29">
        <v>36108</v>
      </c>
      <c r="AO1284" s="44">
        <v>7.9859929999999997</v>
      </c>
      <c r="AP1284" s="33">
        <f>IF(ISBLANK(AO1285),"",Short2[[#This Row],[Adj Close]]/AO1285-1)</f>
        <v>-3.7701852636429334E-2</v>
      </c>
    </row>
    <row r="1285" spans="1:42" x14ac:dyDescent="0.25">
      <c r="A1285" s="37">
        <v>36101</v>
      </c>
      <c r="B1285" s="39">
        <v>1141.01001</v>
      </c>
      <c r="C1285" s="36">
        <f>IF(ISBLANK(B1286), "", GSPC[[#This Row],[Adj Close]]/B1286-1)</f>
        <v>3.8537471947310165E-2</v>
      </c>
      <c r="D128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8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85" s="11" t="e">
        <f>IF(ISBLANK(GSPC[[#This Row],[Long Exp.]]), "", (GSPC[[#This Row],[Long Exp.]]/D1286-1)+(E1286/GSPC[[#This Row],[Short Exp.]]-1))</f>
        <v>#VALUE!</v>
      </c>
      <c r="G1285" s="37">
        <v>36101</v>
      </c>
      <c r="H1285">
        <v>12.894703</v>
      </c>
      <c r="I1285" s="36">
        <f>IF(ISBLANK(H1286), "", Long0[[#This Row],[Adj Close]]/H1286-1)</f>
        <v>-1.8149088833551041E-2</v>
      </c>
      <c r="M1285" s="37">
        <v>36101</v>
      </c>
      <c r="N1285">
        <v>19.709045</v>
      </c>
      <c r="O1285" s="36">
        <f>IF(ISBLANK(N1286),"",Long2[[#This Row],[Adj Close]]/N1286-1)</f>
        <v>1.9230991998209435E-2</v>
      </c>
      <c r="P1285" s="29">
        <v>36101</v>
      </c>
      <c r="Q1285">
        <v>4.2836080000000001</v>
      </c>
      <c r="R1285" s="33">
        <f>IF(ISBLANK(Q1286),"",Long3[[#This Row],[Adj Close]]/Q1286-1)</f>
        <v>0</v>
      </c>
      <c r="S1285" s="37">
        <v>36101</v>
      </c>
      <c r="T1285" s="35">
        <v>7.9932699999999999</v>
      </c>
      <c r="U1285" s="36">
        <f>IF(ISBLANK(T1286),"",Long4[[#This Row],[Adj Close]]/T1286-1)</f>
        <v>-5.0632828703864874E-2</v>
      </c>
      <c r="Y1285" s="37">
        <v>36101</v>
      </c>
      <c r="Z1285">
        <v>3.9132630000000002</v>
      </c>
      <c r="AA1285" s="36">
        <f>IF(ISBLANK(Z1286),"",Long6[[#This Row],[Adj Close]]/Z1286-1)</f>
        <v>-6.8840495220781506E-2</v>
      </c>
      <c r="AK1285" s="37">
        <v>36101</v>
      </c>
      <c r="AL1285" s="39">
        <v>6.5801809999999996</v>
      </c>
      <c r="AM1285" s="36">
        <f>IF(ISBLANK(AL1286),"",Short1[[#This Row],[Adj Close]]/AL1286-1)</f>
        <v>-2.0833209328792179E-2</v>
      </c>
      <c r="AN1285" s="29">
        <v>36101</v>
      </c>
      <c r="AO1285" s="44">
        <v>8.2988759999999999</v>
      </c>
      <c r="AP1285" s="33">
        <f>IF(ISBLANK(AO1286),"",Short2[[#This Row],[Adj Close]]/AO1286-1)</f>
        <v>0.12962977835159251</v>
      </c>
    </row>
    <row r="1286" spans="1:42" x14ac:dyDescent="0.25">
      <c r="A1286" s="37">
        <v>36094</v>
      </c>
      <c r="B1286" s="39">
        <v>1098.670044</v>
      </c>
      <c r="C1286" s="36">
        <f>IF(ISBLANK(B1287), "", GSPC[[#This Row],[Adj Close]]/B1287-1)</f>
        <v>2.6151847767583503E-2</v>
      </c>
      <c r="D128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8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86" s="11" t="e">
        <f>IF(ISBLANK(GSPC[[#This Row],[Long Exp.]]), "", (GSPC[[#This Row],[Long Exp.]]/D1287-1)+(E1287/GSPC[[#This Row],[Short Exp.]]-1))</f>
        <v>#VALUE!</v>
      </c>
      <c r="G1286" s="37">
        <v>36094</v>
      </c>
      <c r="H1286">
        <v>13.133056</v>
      </c>
      <c r="I1286" s="36">
        <f>IF(ISBLANK(H1287), "", Long0[[#This Row],[Adj Close]]/H1287-1)</f>
        <v>5.1526837199630915E-2</v>
      </c>
      <c r="M1286" s="37">
        <v>36094</v>
      </c>
      <c r="N1286">
        <v>19.337171999999999</v>
      </c>
      <c r="O1286" s="36">
        <f>IF(ISBLANK(N1287),"",Long2[[#This Row],[Adj Close]]/N1287-1)</f>
        <v>0.10933333027371095</v>
      </c>
      <c r="P1286" s="29">
        <v>36094</v>
      </c>
      <c r="Q1286">
        <v>4.2836080000000001</v>
      </c>
      <c r="R1286" s="33">
        <f>IF(ISBLANK(Q1287),"",Long3[[#This Row],[Adj Close]]/Q1287-1)</f>
        <v>1.4019078748959135E-2</v>
      </c>
      <c r="S1286" s="37">
        <v>36094</v>
      </c>
      <c r="T1286" s="35">
        <v>8.4195770000000003</v>
      </c>
      <c r="U1286" s="36">
        <f>IF(ISBLANK(T1287),"",Long4[[#This Row],[Adj Close]]/T1287-1)</f>
        <v>-2.4691262207899523E-2</v>
      </c>
      <c r="Y1286" s="37">
        <v>36094</v>
      </c>
      <c r="Z1286">
        <v>4.2025699999999997</v>
      </c>
      <c r="AA1286" s="36">
        <f>IF(ISBLANK(Z1287),"",Long6[[#This Row],[Adj Close]]/Z1287-1)</f>
        <v>2.9850588996110261E-2</v>
      </c>
      <c r="AK1286" s="37">
        <v>36094</v>
      </c>
      <c r="AL1286" s="39">
        <v>6.7201839999999997</v>
      </c>
      <c r="AM1286" s="36">
        <f>IF(ISBLANK(AL1287),"",Short1[[#This Row],[Adj Close]]/AL1287-1)</f>
        <v>0.10503588226230831</v>
      </c>
      <c r="AN1286" s="29">
        <v>36094</v>
      </c>
      <c r="AO1286" s="44">
        <v>7.3465449999999999</v>
      </c>
      <c r="AP1286" s="33">
        <f>IF(ISBLANK(AO1287),"",Short2[[#This Row],[Adj Close]]/AO1287-1)</f>
        <v>-4.7058657191747844E-2</v>
      </c>
    </row>
    <row r="1287" spans="1:42" x14ac:dyDescent="0.25">
      <c r="A1287" s="37">
        <v>36087</v>
      </c>
      <c r="B1287" s="39">
        <v>1070.670044</v>
      </c>
      <c r="C1287" s="36">
        <f>IF(ISBLANK(B1288), "", GSPC[[#This Row],[Adj Close]]/B1288-1)</f>
        <v>1.348895269541095E-2</v>
      </c>
      <c r="D128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8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87" s="11" t="e">
        <f>IF(ISBLANK(GSPC[[#This Row],[Long Exp.]]), "", (GSPC[[#This Row],[Long Exp.]]/D1288-1)+(E1288/GSPC[[#This Row],[Short Exp.]]-1))</f>
        <v>#VALUE!</v>
      </c>
      <c r="G1287" s="37">
        <v>36087</v>
      </c>
      <c r="H1287">
        <v>12.489511</v>
      </c>
      <c r="I1287" s="36">
        <f>IF(ISBLANK(H1288), "", Long0[[#This Row],[Adj Close]]/H1288-1)</f>
        <v>6.0728353988337647E-2</v>
      </c>
      <c r="M1287" s="37">
        <v>36087</v>
      </c>
      <c r="N1287">
        <v>17.431345</v>
      </c>
      <c r="O1287" s="36">
        <f>IF(ISBLANK(N1288),"",Long2[[#This Row],[Adj Close]]/N1288-1)</f>
        <v>0.15030653996805521</v>
      </c>
      <c r="P1287" s="29">
        <v>36087</v>
      </c>
      <c r="Q1287">
        <v>4.224386</v>
      </c>
      <c r="R1287" s="33">
        <f>IF(ISBLANK(Q1288),"",Long3[[#This Row],[Adj Close]]/Q1288-1)</f>
        <v>3.1325354150009366E-2</v>
      </c>
      <c r="S1287" s="37">
        <v>36087</v>
      </c>
      <c r="T1287" s="35">
        <v>8.6327300000000005</v>
      </c>
      <c r="U1287" s="36">
        <f>IF(ISBLANK(T1288),"",Long4[[#This Row],[Adj Close]]/T1288-1)</f>
        <v>6.5789398958943313E-2</v>
      </c>
      <c r="Y1287" s="37">
        <v>36087</v>
      </c>
      <c r="Z1287">
        <v>4.0807570000000002</v>
      </c>
      <c r="AA1287" s="36">
        <f>IF(ISBLANK(Z1288),"",Long6[[#This Row],[Adj Close]]/Z1288-1)</f>
        <v>4.6875144303438976E-2</v>
      </c>
      <c r="AK1287" s="37">
        <v>36087</v>
      </c>
      <c r="AL1287" s="39">
        <v>6.0814170000000001</v>
      </c>
      <c r="AM1287" s="36">
        <f>IF(ISBLANK(AL1288),"",Short1[[#This Row],[Adj Close]]/AL1288-1)</f>
        <v>5.9451520132902447E-2</v>
      </c>
      <c r="AN1287" s="29">
        <v>36087</v>
      </c>
      <c r="AO1287" s="44">
        <v>7.7093360000000004</v>
      </c>
      <c r="AP1287" s="33">
        <f>IF(ISBLANK(AO1288),"",Short2[[#This Row],[Adj Close]]/AO1288-1)</f>
        <v>0.18055520887902987</v>
      </c>
    </row>
    <row r="1288" spans="1:42" x14ac:dyDescent="0.25">
      <c r="A1288" s="37">
        <v>36080</v>
      </c>
      <c r="B1288" s="39">
        <v>1056.420044</v>
      </c>
      <c r="C1288" s="36">
        <f>IF(ISBLANK(B1289), "", GSPC[[#This Row],[Adj Close]]/B1289-1)</f>
        <v>7.3172246672981611E-2</v>
      </c>
      <c r="D128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8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88" s="11" t="e">
        <f>IF(ISBLANK(GSPC[[#This Row],[Long Exp.]]), "", (GSPC[[#This Row],[Long Exp.]]/D1289-1)+(E1289/GSPC[[#This Row],[Short Exp.]]-1))</f>
        <v>#VALUE!</v>
      </c>
      <c r="G1288" s="37">
        <v>36080</v>
      </c>
      <c r="H1288">
        <v>11.774467</v>
      </c>
      <c r="I1288" s="36">
        <f>IF(ISBLANK(H1289), "", Long0[[#This Row],[Adj Close]]/H1289-1)</f>
        <v>7.8603180919575744E-2</v>
      </c>
      <c r="M1288" s="37">
        <v>36080</v>
      </c>
      <c r="N1288">
        <v>15.153651999999999</v>
      </c>
      <c r="O1288" s="36">
        <f>IF(ISBLANK(N1289),"",Long2[[#This Row],[Adj Close]]/N1289-1)</f>
        <v>7.5906927156573989E-2</v>
      </c>
      <c r="P1288" s="29">
        <v>36080</v>
      </c>
      <c r="Q1288">
        <v>4.0960749999999999</v>
      </c>
      <c r="R1288" s="33">
        <f>IF(ISBLANK(Q1289),"",Long3[[#This Row],[Adj Close]]/Q1289-1)</f>
        <v>-4.1570868406065165E-2</v>
      </c>
      <c r="S1288" s="37">
        <v>36080</v>
      </c>
      <c r="T1288" s="35">
        <v>8.0998459999999994</v>
      </c>
      <c r="U1288" s="36">
        <f>IF(ISBLANK(T1289),"",Long4[[#This Row],[Adj Close]]/T1289-1)</f>
        <v>0.16030523197306201</v>
      </c>
      <c r="Y1288" s="37">
        <v>36080</v>
      </c>
      <c r="Z1288">
        <v>3.8980359999999998</v>
      </c>
      <c r="AA1288" s="36">
        <f>IF(ISBLANK(Z1289),"",Long6[[#This Row],[Adj Close]]/Z1289-1)</f>
        <v>3.2257893667826387E-2</v>
      </c>
      <c r="AK1288" s="37">
        <v>36080</v>
      </c>
      <c r="AL1288" s="39">
        <v>5.7401559999999998</v>
      </c>
      <c r="AM1288" s="36">
        <f>IF(ISBLANK(AL1289),"",Short1[[#This Row],[Adj Close]]/AL1289-1)</f>
        <v>0.21706843321963731</v>
      </c>
      <c r="AN1288" s="29">
        <v>36080</v>
      </c>
      <c r="AO1288" s="44">
        <v>6.5302629999999997</v>
      </c>
      <c r="AP1288" s="33">
        <f>IF(ISBLANK(AO1289),"",Short2[[#This Row],[Adj Close]]/AO1289-1)</f>
        <v>0.17073170294444195</v>
      </c>
    </row>
    <row r="1289" spans="1:42" x14ac:dyDescent="0.25">
      <c r="A1289" s="37">
        <v>36073</v>
      </c>
      <c r="B1289" s="39">
        <v>984.39001499999995</v>
      </c>
      <c r="C1289" s="36">
        <f>IF(ISBLANK(B1290), "", GSPC[[#This Row],[Adj Close]]/B1290-1)</f>
        <v>-1.8162738316283455E-2</v>
      </c>
      <c r="D128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8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89" s="11" t="e">
        <f>IF(ISBLANK(GSPC[[#This Row],[Long Exp.]]), "", (GSPC[[#This Row],[Long Exp.]]/D1290-1)+(E1290/GSPC[[#This Row],[Short Exp.]]-1))</f>
        <v>#VALUE!</v>
      </c>
      <c r="G1289" s="37">
        <v>36073</v>
      </c>
      <c r="H1289">
        <v>10.916403000000001</v>
      </c>
      <c r="I1289" s="36">
        <f>IF(ISBLANK(H1290), "", Long0[[#This Row],[Adj Close]]/H1290-1)</f>
        <v>-7.7161295362069726E-2</v>
      </c>
      <c r="M1289" s="37">
        <v>36073</v>
      </c>
      <c r="N1289">
        <v>14.084538</v>
      </c>
      <c r="O1289" s="36">
        <f>IF(ISBLANK(N1290),"",Long2[[#This Row],[Adj Close]]/N1290-1)</f>
        <v>-6.5567991303401296E-3</v>
      </c>
      <c r="P1289" s="29">
        <v>36073</v>
      </c>
      <c r="Q1289">
        <v>4.2737379999999998</v>
      </c>
      <c r="R1289" s="33">
        <f>IF(ISBLANK(Q1290),"",Long3[[#This Row],[Adj Close]]/Q1290-1)</f>
        <v>6.9766981580197118E-3</v>
      </c>
      <c r="S1289" s="37">
        <v>36073</v>
      </c>
      <c r="T1289" s="35">
        <v>6.9807889999999997</v>
      </c>
      <c r="U1289" s="36">
        <f>IF(ISBLANK(T1290),"",Long4[[#This Row],[Adj Close]]/T1290-1)</f>
        <v>-6.4285690349760727E-2</v>
      </c>
      <c r="Y1289" s="37">
        <v>36073</v>
      </c>
      <c r="Z1289">
        <v>3.7762229999999999</v>
      </c>
      <c r="AA1289" s="36">
        <f>IF(ISBLANK(Z1290),"",Long6[[#This Row],[Adj Close]]/Z1290-1)</f>
        <v>-6.0606226449686829E-2</v>
      </c>
      <c r="AK1289" s="37">
        <v>36073</v>
      </c>
      <c r="AL1289" s="39">
        <v>4.7163789999999999</v>
      </c>
      <c r="AM1289" s="36">
        <f>IF(ISBLANK(AL1290),"",Short1[[#This Row],[Adj Close]]/AL1290-1)</f>
        <v>-0.13897766377917531</v>
      </c>
      <c r="AN1289" s="29">
        <v>36073</v>
      </c>
      <c r="AO1289" s="44">
        <v>5.5779329999999998</v>
      </c>
      <c r="AP1289" s="33">
        <f>IF(ISBLANK(AO1290),"",Short2[[#This Row],[Adj Close]]/AO1290-1)</f>
        <v>-0.19869672447190645</v>
      </c>
    </row>
    <row r="1290" spans="1:42" x14ac:dyDescent="0.25">
      <c r="A1290" s="37">
        <v>36066</v>
      </c>
      <c r="B1290" s="39">
        <v>1002.599976</v>
      </c>
      <c r="C1290" s="36">
        <f>IF(ISBLANK(B1291), "", GSPC[[#This Row],[Adj Close]]/B1291-1)</f>
        <v>-4.0344603015075364E-2</v>
      </c>
      <c r="D129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9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90" s="11" t="e">
        <f>IF(ISBLANK(GSPC[[#This Row],[Long Exp.]]), "", (GSPC[[#This Row],[Long Exp.]]/D1291-1)+(E1291/GSPC[[#This Row],[Short Exp.]]-1))</f>
        <v>#VALUE!</v>
      </c>
      <c r="G1290" s="37">
        <v>36066</v>
      </c>
      <c r="H1290">
        <v>11.829155999999999</v>
      </c>
      <c r="I1290" s="36">
        <f>IF(ISBLANK(H1291), "", Long0[[#This Row],[Adj Close]]/H1291-1)</f>
        <v>0.10199572342983032</v>
      </c>
      <c r="M1290" s="37">
        <v>36066</v>
      </c>
      <c r="N1290">
        <v>14.177497000000001</v>
      </c>
      <c r="O1290" s="36">
        <f>IF(ISBLANK(N1291),"",Long2[[#This Row],[Adj Close]]/N1291-1)</f>
        <v>-1.61291016547217E-2</v>
      </c>
      <c r="P1290" s="29">
        <v>36066</v>
      </c>
      <c r="Q1290">
        <v>4.2441279999999999</v>
      </c>
      <c r="R1290" s="33">
        <f>IF(ISBLANK(Q1291),"",Long3[[#This Row],[Adj Close]]/Q1291-1)</f>
        <v>6.9651519355849345E-2</v>
      </c>
      <c r="S1290" s="37">
        <v>36066</v>
      </c>
      <c r="T1290" s="35">
        <v>7.4603849999999996</v>
      </c>
      <c r="U1290" s="36">
        <f>IF(ISBLANK(T1291),"",Long4[[#This Row],[Adj Close]]/T1291-1)</f>
        <v>-0.10256405629736565</v>
      </c>
      <c r="Y1290" s="37">
        <v>36066</v>
      </c>
      <c r="Z1290">
        <v>4.0198510000000001</v>
      </c>
      <c r="AA1290" s="36">
        <f>IF(ISBLANK(Z1291),"",Long6[[#This Row],[Adj Close]]/Z1291-1)</f>
        <v>-8.3333333333333259E-2</v>
      </c>
      <c r="AK1290" s="37">
        <v>36066</v>
      </c>
      <c r="AL1290" s="39">
        <v>5.4776499999999997</v>
      </c>
      <c r="AM1290" s="36">
        <f>IF(ISBLANK(AL1291),"",Short1[[#This Row],[Adj Close]]/AL1291-1)</f>
        <v>-0.20051066666900197</v>
      </c>
      <c r="AN1290" s="29">
        <v>36066</v>
      </c>
      <c r="AO1290" s="44">
        <v>6.9610760000000003</v>
      </c>
      <c r="AP1290" s="33">
        <f>IF(ISBLANK(AO1291),"",Short2[[#This Row],[Adj Close]]/AO1291-1)</f>
        <v>-0.16120255321323029</v>
      </c>
    </row>
    <row r="1291" spans="1:42" x14ac:dyDescent="0.25">
      <c r="A1291" s="37">
        <v>36059</v>
      </c>
      <c r="B1291" s="39">
        <v>1044.75</v>
      </c>
      <c r="C1291" s="36">
        <f>IF(ISBLANK(B1292), "", GSPC[[#This Row],[Adj Close]]/B1292-1)</f>
        <v>2.4174310450346237E-2</v>
      </c>
      <c r="D129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9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91" s="11" t="e">
        <f>IF(ISBLANK(GSPC[[#This Row],[Long Exp.]]), "", (GSPC[[#This Row],[Long Exp.]]/D1292-1)+(E1292/GSPC[[#This Row],[Short Exp.]]-1))</f>
        <v>#VALUE!</v>
      </c>
      <c r="G1291" s="37">
        <v>36059</v>
      </c>
      <c r="H1291">
        <v>10.734303000000001</v>
      </c>
      <c r="I1291" s="36">
        <f>IF(ISBLANK(H1292), "", Long0[[#This Row],[Adj Close]]/H1292-1)</f>
        <v>2.267552719083521E-2</v>
      </c>
      <c r="M1291" s="37">
        <v>36059</v>
      </c>
      <c r="N1291">
        <v>14.409916000000001</v>
      </c>
      <c r="O1291" s="36">
        <f>IF(ISBLANK(N1292),"",Long2[[#This Row],[Adj Close]]/N1292-1)</f>
        <v>-2.5156652353546693E-2</v>
      </c>
      <c r="P1291" s="29">
        <v>36059</v>
      </c>
      <c r="Q1291">
        <v>3.9677669999999998</v>
      </c>
      <c r="R1291" s="33">
        <f>IF(ISBLANK(Q1292),"",Long3[[#This Row],[Adj Close]]/Q1292-1)</f>
        <v>-2.4813727346161274E-3</v>
      </c>
      <c r="S1291" s="37">
        <v>36059</v>
      </c>
      <c r="T1291" s="35">
        <v>8.3130000000000006</v>
      </c>
      <c r="U1291" s="36">
        <f>IF(ISBLANK(T1292),"",Long4[[#This Row],[Adj Close]]/T1292-1)</f>
        <v>0.34482770335362489</v>
      </c>
      <c r="Y1291" s="37">
        <v>36059</v>
      </c>
      <c r="Z1291">
        <v>4.3852919999999997</v>
      </c>
      <c r="AA1291" s="36">
        <f>IF(ISBLANK(Z1292),"",Long6[[#This Row],[Adj Close]]/Z1292-1)</f>
        <v>0.12500038480917053</v>
      </c>
      <c r="AK1291" s="37">
        <v>36059</v>
      </c>
      <c r="AL1291" s="39">
        <v>6.8514359999999996</v>
      </c>
      <c r="AM1291" s="36">
        <f>IF(ISBLANK(AL1292),"",Short1[[#This Row],[Adj Close]]/AL1292-1)</f>
        <v>-1.6331645846221821E-2</v>
      </c>
      <c r="AN1291" s="29">
        <v>36059</v>
      </c>
      <c r="AO1291" s="44">
        <v>8.2988759999999999</v>
      </c>
      <c r="AP1291" s="33">
        <f>IF(ISBLANK(AO1292),"",Short2[[#This Row],[Adj Close]]/AO1292-1)</f>
        <v>0.19607869418942658</v>
      </c>
    </row>
    <row r="1292" spans="1:42" x14ac:dyDescent="0.25">
      <c r="A1292" s="37">
        <v>36052</v>
      </c>
      <c r="B1292" s="39">
        <v>1020.090027</v>
      </c>
      <c r="C1292" s="36">
        <f>IF(ISBLANK(B1293), "", GSPC[[#This Row],[Adj Close]]/B1293-1)</f>
        <v>1.0930994214280565E-2</v>
      </c>
      <c r="D129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9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92" s="11" t="e">
        <f>IF(ISBLANK(GSPC[[#This Row],[Long Exp.]]), "", (GSPC[[#This Row],[Long Exp.]]/D1293-1)+(E1293/GSPC[[#This Row],[Short Exp.]]-1))</f>
        <v>#VALUE!</v>
      </c>
      <c r="G1292" s="37">
        <v>36052</v>
      </c>
      <c r="H1292">
        <v>10.496294000000001</v>
      </c>
      <c r="I1292" s="36">
        <f>IF(ISBLANK(H1293), "", Long0[[#This Row],[Adj Close]]/H1293-1)</f>
        <v>-8.9888126317152484E-3</v>
      </c>
      <c r="M1292" s="37">
        <v>36052</v>
      </c>
      <c r="N1292">
        <v>14.781776000000001</v>
      </c>
      <c r="O1292" s="36">
        <f>IF(ISBLANK(N1293),"",Long2[[#This Row],[Adj Close]]/N1293-1)</f>
        <v>-5.8401940809390429E-2</v>
      </c>
      <c r="P1292" s="29">
        <v>36052</v>
      </c>
      <c r="Q1292">
        <v>3.9776370000000001</v>
      </c>
      <c r="R1292" s="33">
        <f>IF(ISBLANK(Q1293),"",Long3[[#This Row],[Adj Close]]/Q1293-1)</f>
        <v>3.8911816859018789E-2</v>
      </c>
      <c r="S1292" s="37">
        <v>36052</v>
      </c>
      <c r="T1292" s="35">
        <v>6.1814609999999997</v>
      </c>
      <c r="U1292" s="36">
        <f>IF(ISBLANK(T1293),"",Long4[[#This Row],[Adj Close]]/T1293-1)</f>
        <v>3.5714142098564494E-2</v>
      </c>
      <c r="Y1292" s="37">
        <v>36052</v>
      </c>
      <c r="Z1292">
        <v>3.8980359999999998</v>
      </c>
      <c r="AA1292" s="36">
        <f>IF(ISBLANK(Z1293),"",Long6[[#This Row],[Adj Close]]/Z1293-1)</f>
        <v>-5.8823699846245359E-2</v>
      </c>
      <c r="AK1292" s="37">
        <v>36052</v>
      </c>
      <c r="AL1292" s="39">
        <v>6.9651889999999996</v>
      </c>
      <c r="AM1292" s="36">
        <f>IF(ISBLANK(AL1293),"",Short1[[#This Row],[Adj Close]]/AL1293-1)</f>
        <v>1.2722591185088783E-2</v>
      </c>
      <c r="AN1292" s="29">
        <v>36052</v>
      </c>
      <c r="AO1292" s="44">
        <v>6.9384030000000001</v>
      </c>
      <c r="AP1292" s="33">
        <f>IF(ISBLANK(AO1293),"",Short2[[#This Row],[Adj Close]]/AO1293-1)</f>
        <v>-9.7092242411612739E-3</v>
      </c>
    </row>
    <row r="1293" spans="1:42" x14ac:dyDescent="0.25">
      <c r="A1293" s="37">
        <v>36045</v>
      </c>
      <c r="B1293" s="39">
        <v>1009.059998</v>
      </c>
      <c r="C1293" s="36">
        <f>IF(ISBLANK(B1294), "", GSPC[[#This Row],[Adj Close]]/B1294-1)</f>
        <v>3.6112890016641197E-2</v>
      </c>
      <c r="D129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9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93" s="11" t="e">
        <f>IF(ISBLANK(GSPC[[#This Row],[Long Exp.]]), "", (GSPC[[#This Row],[Long Exp.]]/D1294-1)+(E1294/GSPC[[#This Row],[Short Exp.]]-1))</f>
        <v>#VALUE!</v>
      </c>
      <c r="G1293" s="37">
        <v>36045</v>
      </c>
      <c r="H1293">
        <v>10.591499000000001</v>
      </c>
      <c r="I1293" s="36">
        <f>IF(ISBLANK(H1294), "", Long0[[#This Row],[Adj Close]]/H1294-1)</f>
        <v>1.3667549360967923E-2</v>
      </c>
      <c r="M1293" s="37">
        <v>36045</v>
      </c>
      <c r="N1293">
        <v>15.698605000000001</v>
      </c>
      <c r="O1293" s="36">
        <f>IF(ISBLANK(N1294),"",Long2[[#This Row],[Adj Close]]/N1294-1)</f>
        <v>1.8017726495675568E-2</v>
      </c>
      <c r="P1293" s="29">
        <v>36045</v>
      </c>
      <c r="Q1293">
        <v>3.8286570000000002</v>
      </c>
      <c r="R1293" s="33">
        <f>IF(ISBLANK(Q1294),"",Long3[[#This Row],[Adj Close]]/Q1294-1)</f>
        <v>2.3498464882089287E-2</v>
      </c>
      <c r="S1293" s="37">
        <v>36045</v>
      </c>
      <c r="T1293" s="35">
        <v>5.9683080000000004</v>
      </c>
      <c r="U1293" s="36">
        <f>IF(ISBLANK(T1294),"",Long4[[#This Row],[Adj Close]]/T1294-1)</f>
        <v>-7.8189099561714492E-2</v>
      </c>
      <c r="Y1293" s="37">
        <v>36045</v>
      </c>
      <c r="Z1293">
        <v>4.1416639999999996</v>
      </c>
      <c r="AA1293" s="36">
        <f>IF(ISBLANK(Z1294),"",Long6[[#This Row],[Adj Close]]/Z1294-1)</f>
        <v>0</v>
      </c>
      <c r="AK1293" s="37">
        <v>36045</v>
      </c>
      <c r="AL1293" s="39">
        <v>6.8776869999999999</v>
      </c>
      <c r="AM1293" s="36">
        <f>IF(ISBLANK(AL1294),"",Short1[[#This Row],[Adj Close]]/AL1294-1)</f>
        <v>6.5040086383977957E-2</v>
      </c>
      <c r="AN1293" s="29">
        <v>36045</v>
      </c>
      <c r="AO1293" s="44">
        <v>7.0064299999999999</v>
      </c>
      <c r="AP1293" s="33">
        <f>IF(ISBLANK(AO1294),"",Short2[[#This Row],[Adj Close]]/AO1294-1)</f>
        <v>6.5153720488038136E-3</v>
      </c>
    </row>
    <row r="1294" spans="1:42" x14ac:dyDescent="0.25">
      <c r="A1294" s="37">
        <v>36038</v>
      </c>
      <c r="B1294" s="39">
        <v>973.89001499999995</v>
      </c>
      <c r="C1294" s="36">
        <f>IF(ISBLANK(B1295), "", GSPC[[#This Row],[Adj Close]]/B1295-1)</f>
        <v>-5.1842980725466115E-2</v>
      </c>
      <c r="D129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9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94" s="11" t="e">
        <f>IF(ISBLANK(GSPC[[#This Row],[Long Exp.]]), "", (GSPC[[#This Row],[Long Exp.]]/D1295-1)+(E1295/GSPC[[#This Row],[Short Exp.]]-1))</f>
        <v>#VALUE!</v>
      </c>
      <c r="G1294" s="37">
        <v>36038</v>
      </c>
      <c r="H1294">
        <v>10.448691</v>
      </c>
      <c r="I1294" s="36">
        <f>IF(ISBLANK(H1295), "", Long0[[#This Row],[Adj Close]]/H1295-1)</f>
        <v>7.0731330408418946E-2</v>
      </c>
      <c r="M1294" s="37">
        <v>36038</v>
      </c>
      <c r="N1294">
        <v>15.420757999999999</v>
      </c>
      <c r="O1294" s="36">
        <f>IF(ISBLANK(N1295),"",Long2[[#This Row],[Adj Close]]/N1295-1)</f>
        <v>0.14432960237391446</v>
      </c>
      <c r="P1294" s="29">
        <v>36038</v>
      </c>
      <c r="Q1294">
        <v>3.7407550000000001</v>
      </c>
      <c r="R1294" s="33">
        <f>IF(ISBLANK(Q1295),"",Long3[[#This Row],[Adj Close]]/Q1295-1)</f>
        <v>-2.6039048974795254E-3</v>
      </c>
      <c r="S1294" s="37">
        <v>36038</v>
      </c>
      <c r="T1294" s="35">
        <v>6.4745470000000003</v>
      </c>
      <c r="U1294" s="36">
        <f>IF(ISBLANK(T1295),"",Long4[[#This Row],[Adj Close]]/T1295-1)</f>
        <v>-0.12274371850717514</v>
      </c>
      <c r="Y1294" s="37">
        <v>36038</v>
      </c>
      <c r="Z1294">
        <v>4.1416639999999996</v>
      </c>
      <c r="AA1294" s="36">
        <f>IF(ISBLANK(Z1295),"",Long6[[#This Row],[Adj Close]]/Z1295-1)</f>
        <v>-0.10526343077866984</v>
      </c>
      <c r="AK1294" s="37">
        <v>36038</v>
      </c>
      <c r="AL1294" s="39">
        <v>6.4576789999999997</v>
      </c>
      <c r="AM1294" s="36">
        <f>IF(ISBLANK(AL1295),"",Short1[[#This Row],[Adj Close]]/AL1295-1)</f>
        <v>6.9565635059248843E-2</v>
      </c>
      <c r="AN1294" s="29">
        <v>36038</v>
      </c>
      <c r="AO1294" s="44">
        <v>6.9610760000000003</v>
      </c>
      <c r="AP1294" s="33">
        <f>IF(ISBLANK(AO1295),"",Short2[[#This Row],[Adj Close]]/AO1295-1)</f>
        <v>-0.200520867429408</v>
      </c>
    </row>
    <row r="1295" spans="1:42" x14ac:dyDescent="0.25">
      <c r="A1295" s="37">
        <v>36031</v>
      </c>
      <c r="B1295" s="39">
        <v>1027.1400149999999</v>
      </c>
      <c r="C1295" s="36">
        <f>IF(ISBLANK(B1296), "", GSPC[[#This Row],[Adj Close]]/B1296-1)</f>
        <v>-5.0035122174865276E-2</v>
      </c>
      <c r="D129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9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95" s="11" t="e">
        <f>IF(ISBLANK(GSPC[[#This Row],[Long Exp.]]), "", (GSPC[[#This Row],[Long Exp.]]/D1296-1)+(E1296/GSPC[[#This Row],[Short Exp.]]-1))</f>
        <v>#VALUE!</v>
      </c>
      <c r="G1295" s="37">
        <v>36031</v>
      </c>
      <c r="H1295">
        <v>9.7584619999999997</v>
      </c>
      <c r="I1295" s="36">
        <f>IF(ISBLANK(H1296), "", Long0[[#This Row],[Adj Close]]/H1296-1)</f>
        <v>-9.292024210948624E-2</v>
      </c>
      <c r="M1295" s="37">
        <v>36031</v>
      </c>
      <c r="N1295">
        <v>13.475801000000001</v>
      </c>
      <c r="O1295" s="36">
        <f>IF(ISBLANK(N1296),"",Long2[[#This Row],[Adj Close]]/N1296-1)</f>
        <v>-4.9019412047357491E-2</v>
      </c>
      <c r="P1295" s="29">
        <v>36031</v>
      </c>
      <c r="Q1295">
        <v>3.750521</v>
      </c>
      <c r="R1295" s="33">
        <f>IF(ISBLANK(Q1296),"",Long3[[#This Row],[Adj Close]]/Q1296-1)</f>
        <v>-1.7902846114970616E-2</v>
      </c>
      <c r="S1295" s="37">
        <v>36031</v>
      </c>
      <c r="T1295" s="35">
        <v>7.3804509999999999</v>
      </c>
      <c r="U1295" s="36">
        <f>IF(ISBLANK(T1296),"",Long4[[#This Row],[Adj Close]]/T1296-1)</f>
        <v>-0.20857146227325574</v>
      </c>
      <c r="Y1295" s="37">
        <v>36031</v>
      </c>
      <c r="Z1295">
        <v>4.6289199999999999</v>
      </c>
      <c r="AA1295" s="36">
        <f>IF(ISBLANK(Z1296),"",Long6[[#This Row],[Adj Close]]/Z1296-1)</f>
        <v>-1.2986835758938664E-2</v>
      </c>
      <c r="AK1295" s="37">
        <v>36031</v>
      </c>
      <c r="AL1295" s="39">
        <v>6.0376649999999996</v>
      </c>
      <c r="AM1295" s="36">
        <f>IF(ISBLANK(AL1296),"",Short1[[#This Row],[Adj Close]]/AL1296-1)</f>
        <v>-0.17166864523266667</v>
      </c>
      <c r="AN1295" s="29">
        <v>36031</v>
      </c>
      <c r="AO1295" s="44">
        <v>8.7070139999999991</v>
      </c>
      <c r="AP1295" s="33">
        <f>IF(ISBLANK(AO1296),"",Short2[[#This Row],[Adj Close]]/AO1296-1)</f>
        <v>-0.11111122454313216</v>
      </c>
    </row>
    <row r="1296" spans="1:42" x14ac:dyDescent="0.25">
      <c r="A1296" s="37">
        <v>36024</v>
      </c>
      <c r="B1296" s="39">
        <v>1081.23999</v>
      </c>
      <c r="C1296" s="36">
        <f>IF(ISBLANK(B1297), "", GSPC[[#This Row],[Adj Close]]/B1297-1)</f>
        <v>1.7398249823570966E-2</v>
      </c>
      <c r="D129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9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96" s="11" t="e">
        <f>IF(ISBLANK(GSPC[[#This Row],[Long Exp.]]), "", (GSPC[[#This Row],[Long Exp.]]/D1297-1)+(E1297/GSPC[[#This Row],[Short Exp.]]-1))</f>
        <v>#VALUE!</v>
      </c>
      <c r="G1296" s="37">
        <v>36024</v>
      </c>
      <c r="H1296">
        <v>10.758108</v>
      </c>
      <c r="I1296" s="36">
        <f>IF(ISBLANK(H1297), "", Long0[[#This Row],[Adj Close]]/H1297-1)</f>
        <v>-3.0042766768469953E-2</v>
      </c>
      <c r="M1296" s="37">
        <v>36024</v>
      </c>
      <c r="N1296">
        <v>14.170427</v>
      </c>
      <c r="O1296" s="36">
        <f>IF(ISBLANK(N1297),"",Long2[[#This Row],[Adj Close]]/N1297-1)</f>
        <v>-0.14045005091633633</v>
      </c>
      <c r="P1296" s="29">
        <v>36024</v>
      </c>
      <c r="Q1296">
        <v>3.8188900000000001</v>
      </c>
      <c r="R1296" s="33">
        <f>IF(ISBLANK(Q1297),"",Long3[[#This Row],[Adj Close]]/Q1297-1)</f>
        <v>-2.0050161328151184E-2</v>
      </c>
      <c r="S1296" s="37">
        <v>36024</v>
      </c>
      <c r="T1296" s="35">
        <v>9.3254800000000007</v>
      </c>
      <c r="U1296" s="36">
        <f>IF(ISBLANK(T1297),"",Long4[[#This Row],[Adj Close]]/T1297-1)</f>
        <v>-3.846161777594459E-2</v>
      </c>
      <c r="Y1296" s="37">
        <v>36024</v>
      </c>
      <c r="Z1296">
        <v>4.6898260000000001</v>
      </c>
      <c r="AA1296" s="36">
        <f>IF(ISBLANK(Z1297),"",Long6[[#This Row],[Adj Close]]/Z1297-1)</f>
        <v>-9.4117358456380473E-2</v>
      </c>
      <c r="AK1296" s="37">
        <v>36024</v>
      </c>
      <c r="AL1296" s="39">
        <v>7.2889489999999997</v>
      </c>
      <c r="AM1296" s="36">
        <f>IF(ISBLANK(AL1297),"",Short1[[#This Row],[Adj Close]]/AL1297-1)</f>
        <v>-1.4201734497743868E-2</v>
      </c>
      <c r="AN1296" s="29">
        <v>36024</v>
      </c>
      <c r="AO1296" s="44">
        <v>9.7953919999999997</v>
      </c>
      <c r="AP1296" s="33">
        <f>IF(ISBLANK(AO1297),"",Short2[[#This Row],[Adj Close]]/AO1297-1)</f>
        <v>2.6128405376467212E-2</v>
      </c>
    </row>
    <row r="1297" spans="1:42" x14ac:dyDescent="0.25">
      <c r="A1297" s="37">
        <v>36017</v>
      </c>
      <c r="B1297" s="39">
        <v>1062.75</v>
      </c>
      <c r="C1297" s="36">
        <f>IF(ISBLANK(B1298), "", GSPC[[#This Row],[Adj Close]]/B1298-1)</f>
        <v>-2.4507735280076215E-2</v>
      </c>
      <c r="D129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9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97" s="11" t="e">
        <f>IF(ISBLANK(GSPC[[#This Row],[Long Exp.]]), "", (GSPC[[#This Row],[Long Exp.]]/D1298-1)+(E1298/GSPC[[#This Row],[Short Exp.]]-1))</f>
        <v>#VALUE!</v>
      </c>
      <c r="G1297" s="37">
        <v>36017</v>
      </c>
      <c r="H1297">
        <v>11.091322</v>
      </c>
      <c r="I1297" s="36">
        <f>IF(ISBLANK(H1298), "", Long0[[#This Row],[Adj Close]]/H1298-1)</f>
        <v>4.2505663073004296E-2</v>
      </c>
      <c r="M1297" s="37">
        <v>36017</v>
      </c>
      <c r="N1297">
        <v>16.485868</v>
      </c>
      <c r="O1297" s="36">
        <f>IF(ISBLANK(N1298),"",Long2[[#This Row],[Adj Close]]/N1298-1)</f>
        <v>-0.10552710652738762</v>
      </c>
      <c r="P1297" s="29">
        <v>36017</v>
      </c>
      <c r="Q1297">
        <v>3.8970259999999999</v>
      </c>
      <c r="R1297" s="33">
        <f>IF(ISBLANK(Q1298),"",Long3[[#This Row],[Adj Close]]/Q1298-1)</f>
        <v>6.1170329363615217E-2</v>
      </c>
      <c r="S1297" s="37">
        <v>36017</v>
      </c>
      <c r="T1297" s="35">
        <v>9.6984999999999992</v>
      </c>
      <c r="U1297" s="36">
        <f>IF(ISBLANK(T1298),"",Long4[[#This Row],[Adj Close]]/T1298-1)</f>
        <v>-1.0869673856750639E-2</v>
      </c>
      <c r="Y1297" s="37">
        <v>36017</v>
      </c>
      <c r="Z1297">
        <v>5.177079</v>
      </c>
      <c r="AA1297" s="36">
        <f>IF(ISBLANK(Z1298),"",Long6[[#This Row],[Adj Close]]/Z1298-1)</f>
        <v>2.4096259227506689E-2</v>
      </c>
      <c r="AK1297" s="37">
        <v>36017</v>
      </c>
      <c r="AL1297" s="39">
        <v>7.3939560000000002</v>
      </c>
      <c r="AM1297" s="36">
        <f>IF(ISBLANK(AL1298),"",Short1[[#This Row],[Adj Close]]/AL1298-1)</f>
        <v>6.1558559286761794E-2</v>
      </c>
      <c r="AN1297" s="29">
        <v>36017</v>
      </c>
      <c r="AO1297" s="44">
        <v>9.5459709999999998</v>
      </c>
      <c r="AP1297" s="33">
        <f>IF(ISBLANK(AO1298),"",Short2[[#This Row],[Adj Close]]/AO1298-1)</f>
        <v>-2.2737545061344178E-2</v>
      </c>
    </row>
    <row r="1298" spans="1:42" x14ac:dyDescent="0.25">
      <c r="A1298" s="37">
        <v>36010</v>
      </c>
      <c r="B1298" s="39">
        <v>1089.4499510000001</v>
      </c>
      <c r="C1298" s="36">
        <f>IF(ISBLANK(B1299), "", GSPC[[#This Row],[Adj Close]]/B1299-1)</f>
        <v>-2.7858416638465888E-2</v>
      </c>
      <c r="D129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9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98" s="11" t="e">
        <f>IF(ISBLANK(GSPC[[#This Row],[Long Exp.]]), "", (GSPC[[#This Row],[Long Exp.]]/D1299-1)+(E1299/GSPC[[#This Row],[Short Exp.]]-1))</f>
        <v>#VALUE!</v>
      </c>
      <c r="G1298" s="37">
        <v>36010</v>
      </c>
      <c r="H1298">
        <v>10.639099999999999</v>
      </c>
      <c r="I1298" s="36">
        <f>IF(ISBLANK(H1299), "", Long0[[#This Row],[Adj Close]]/H1299-1)</f>
        <v>2.0547644949449273E-2</v>
      </c>
      <c r="M1298" s="37">
        <v>36010</v>
      </c>
      <c r="N1298">
        <v>18.430819</v>
      </c>
      <c r="O1298" s="36">
        <f>IF(ISBLANK(N1299),"",Long2[[#This Row],[Adj Close]]/N1299-1)</f>
        <v>-2.6895096983572286E-2</v>
      </c>
      <c r="P1298" s="29">
        <v>36010</v>
      </c>
      <c r="Q1298">
        <v>3.6723849999999998</v>
      </c>
      <c r="R1298" s="33">
        <f>IF(ISBLANK(Q1299),"",Long3[[#This Row],[Adj Close]]/Q1299-1)</f>
        <v>1.3477394675772247E-2</v>
      </c>
      <c r="S1298" s="37">
        <v>36010</v>
      </c>
      <c r="T1298" s="35">
        <v>9.805078</v>
      </c>
      <c r="U1298" s="36">
        <f>IF(ISBLANK(T1299),"",Long4[[#This Row],[Adj Close]]/T1299-1)</f>
        <v>0.12883463976243181</v>
      </c>
      <c r="Y1298" s="37">
        <v>36010</v>
      </c>
      <c r="Z1298">
        <v>5.0552659999999996</v>
      </c>
      <c r="AA1298" s="36">
        <f>IF(ISBLANK(Z1299),"",Long6[[#This Row],[Adj Close]]/Z1299-1)</f>
        <v>-5.6818340830191327E-2</v>
      </c>
      <c r="AK1298" s="37">
        <v>36010</v>
      </c>
      <c r="AL1298" s="39">
        <v>6.9651889999999996</v>
      </c>
      <c r="AM1298" s="36">
        <f>IF(ISBLANK(AL1299),"",Short1[[#This Row],[Adj Close]]/AL1299-1)</f>
        <v>6.4171221038025417E-2</v>
      </c>
      <c r="AN1298" s="29">
        <v>36010</v>
      </c>
      <c r="AO1298" s="44">
        <v>9.7680729999999993</v>
      </c>
      <c r="AP1298" s="33">
        <f>IF(ISBLANK(AO1299),"",Short2[[#This Row],[Adj Close]]/AO1299-1)</f>
        <v>-2.4887250935324734E-2</v>
      </c>
    </row>
    <row r="1299" spans="1:42" x14ac:dyDescent="0.25">
      <c r="A1299" s="37">
        <v>36003</v>
      </c>
      <c r="B1299" s="39">
        <v>1120.670044</v>
      </c>
      <c r="C1299" s="36">
        <f>IF(ISBLANK(B1300), "", GSPC[[#This Row],[Adj Close]]/B1300-1)</f>
        <v>-1.7645515546432122E-2</v>
      </c>
      <c r="D129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29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299" s="11" t="e">
        <f>IF(ISBLANK(GSPC[[#This Row],[Long Exp.]]), "", (GSPC[[#This Row],[Long Exp.]]/D1300-1)+(E1300/GSPC[[#This Row],[Short Exp.]]-1))</f>
        <v>#VALUE!</v>
      </c>
      <c r="G1299" s="37">
        <v>36003</v>
      </c>
      <c r="H1299">
        <v>10.424893000000001</v>
      </c>
      <c r="I1299" s="36">
        <f>IF(ISBLANK(H1300), "", Long0[[#This Row],[Adj Close]]/H1300-1)</f>
        <v>-0.10245876304547596</v>
      </c>
      <c r="M1299" s="37">
        <v>36003</v>
      </c>
      <c r="N1299">
        <v>18.940218000000002</v>
      </c>
      <c r="O1299" s="36">
        <f>IF(ISBLANK(N1300),"",Long2[[#This Row],[Adj Close]]/N1300-1)</f>
        <v>4.9144206371605215E-3</v>
      </c>
      <c r="P1299" s="29">
        <v>36003</v>
      </c>
      <c r="Q1299">
        <v>3.6235490000000001</v>
      </c>
      <c r="R1299" s="33">
        <f>IF(ISBLANK(Q1300),"",Long3[[#This Row],[Adj Close]]/Q1300-1)</f>
        <v>1.3660949194551186E-2</v>
      </c>
      <c r="S1299" s="37">
        <v>36003</v>
      </c>
      <c r="T1299" s="35">
        <v>8.6860180000000007</v>
      </c>
      <c r="U1299" s="36">
        <f>IF(ISBLANK(T1300),"",Long4[[#This Row],[Adj Close]]/T1300-1)</f>
        <v>-0.14210541078902428</v>
      </c>
      <c r="Y1299" s="37">
        <v>36003</v>
      </c>
      <c r="Z1299">
        <v>5.359801</v>
      </c>
      <c r="AA1299" s="36">
        <f>IF(ISBLANK(Z1300),"",Long6[[#This Row],[Adj Close]]/Z1300-1)</f>
        <v>-7.3684081361209519E-2</v>
      </c>
      <c r="AK1299" s="37">
        <v>36003</v>
      </c>
      <c r="AL1299" s="39">
        <v>6.5451769999999998</v>
      </c>
      <c r="AM1299" s="36">
        <f>IF(ISBLANK(AL1300),"",Short1[[#This Row],[Adj Close]]/AL1300-1)</f>
        <v>-7.4257661707396116E-2</v>
      </c>
      <c r="AN1299" s="29">
        <v>36003</v>
      </c>
      <c r="AO1299" s="44">
        <v>10.017378000000001</v>
      </c>
      <c r="AP1299" s="33">
        <f>IF(ISBLANK(AO1300),"",Short2[[#This Row],[Adj Close]]/AO1300-1)</f>
        <v>-1.9955005921431956E-2</v>
      </c>
    </row>
    <row r="1300" spans="1:42" x14ac:dyDescent="0.25">
      <c r="A1300" s="37">
        <v>35996</v>
      </c>
      <c r="B1300" s="39">
        <v>1140.8000489999999</v>
      </c>
      <c r="C1300" s="36">
        <f>IF(ISBLANK(B1301), "", GSPC[[#This Row],[Adj Close]]/B1301-1)</f>
        <v>-3.8719149778807749E-2</v>
      </c>
      <c r="D130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0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00" s="11" t="e">
        <f>IF(ISBLANK(GSPC[[#This Row],[Long Exp.]]), "", (GSPC[[#This Row],[Long Exp.]]/D1301-1)+(E1301/GSPC[[#This Row],[Short Exp.]]-1))</f>
        <v>#VALUE!</v>
      </c>
      <c r="G1300" s="37">
        <v>35996</v>
      </c>
      <c r="H1300">
        <v>11.614946</v>
      </c>
      <c r="I1300" s="36">
        <f>IF(ISBLANK(H1301), "", Long0[[#This Row],[Adj Close]]/H1301-1)</f>
        <v>-0.12857165365082535</v>
      </c>
      <c r="M1300" s="37">
        <v>35996</v>
      </c>
      <c r="N1300">
        <v>18.847593</v>
      </c>
      <c r="O1300" s="36">
        <f>IF(ISBLANK(N1301),"",Long2[[#This Row],[Adj Close]]/N1301-1)</f>
        <v>-8.7444091549810365E-2</v>
      </c>
      <c r="P1300" s="29">
        <v>35996</v>
      </c>
      <c r="Q1300">
        <v>3.5747149999999999</v>
      </c>
      <c r="R1300" s="33">
        <f>IF(ISBLANK(Q1301),"",Long3[[#This Row],[Adj Close]]/Q1301-1)</f>
        <v>-3.1745829674440174E-2</v>
      </c>
      <c r="S1300" s="37">
        <v>35996</v>
      </c>
      <c r="T1300" s="35">
        <v>10.124808</v>
      </c>
      <c r="U1300" s="36">
        <f>IF(ISBLANK(T1301),"",Long4[[#This Row],[Adj Close]]/T1301-1)</f>
        <v>5.5555706145233419E-2</v>
      </c>
      <c r="Y1300" s="37">
        <v>35996</v>
      </c>
      <c r="Z1300">
        <v>5.7861479999999998</v>
      </c>
      <c r="AA1300" s="36">
        <f>IF(ISBLANK(Z1301),"",Long6[[#This Row],[Adj Close]]/Z1301-1)</f>
        <v>-6.8627488854721141E-2</v>
      </c>
      <c r="AK1300" s="37">
        <v>35996</v>
      </c>
      <c r="AL1300" s="39">
        <v>7.0701929999999997</v>
      </c>
      <c r="AM1300" s="36">
        <f>IF(ISBLANK(AL1301),"",Short1[[#This Row],[Adj Close]]/AL1301-1)</f>
        <v>-1.7031856474441165E-2</v>
      </c>
      <c r="AN1300" s="29">
        <v>35996</v>
      </c>
      <c r="AO1300" s="44">
        <v>10.221344999999999</v>
      </c>
      <c r="AP1300" s="33">
        <f>IF(ISBLANK(AO1301),"",Short2[[#This Row],[Adj Close]]/AO1301-1)</f>
        <v>-0.11914123952577427</v>
      </c>
    </row>
    <row r="1301" spans="1:42" x14ac:dyDescent="0.25">
      <c r="A1301" s="37">
        <v>35989</v>
      </c>
      <c r="B1301" s="39">
        <v>1186.75</v>
      </c>
      <c r="C1301" s="36">
        <f>IF(ISBLANK(B1302), "", GSPC[[#This Row],[Adj Close]]/B1302-1)</f>
        <v>1.9255747809687085E-2</v>
      </c>
      <c r="D130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0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01" s="11" t="e">
        <f>IF(ISBLANK(GSPC[[#This Row],[Long Exp.]]), "", (GSPC[[#This Row],[Long Exp.]]/D1302-1)+(E1302/GSPC[[#This Row],[Short Exp.]]-1))</f>
        <v>#VALUE!</v>
      </c>
      <c r="G1301" s="37">
        <v>35989</v>
      </c>
      <c r="H1301">
        <v>13.32863</v>
      </c>
      <c r="I1301" s="36">
        <f>IF(ISBLANK(H1302), "", Long0[[#This Row],[Adj Close]]/H1302-1)</f>
        <v>4.2830795009013656E-2</v>
      </c>
      <c r="M1301" s="37">
        <v>35989</v>
      </c>
      <c r="N1301">
        <v>20.653631000000001</v>
      </c>
      <c r="O1301" s="36">
        <f>IF(ISBLANK(N1302),"",Long2[[#This Row],[Adj Close]]/N1302-1)</f>
        <v>-4.7008504219118397E-2</v>
      </c>
      <c r="P1301" s="29">
        <v>35989</v>
      </c>
      <c r="Q1301">
        <v>3.6919179999999998</v>
      </c>
      <c r="R1301" s="33">
        <f>IF(ISBLANK(Q1302),"",Long3[[#This Row],[Adj Close]]/Q1302-1)</f>
        <v>3.5616227782284682E-2</v>
      </c>
      <c r="S1301" s="37">
        <v>35989</v>
      </c>
      <c r="T1301" s="35">
        <v>9.5919220000000003</v>
      </c>
      <c r="U1301" s="36">
        <f>IF(ISBLANK(T1302),"",Long4[[#This Row],[Adj Close]]/T1302-1)</f>
        <v>4.0462293565482366E-2</v>
      </c>
      <c r="Y1301" s="37">
        <v>35989</v>
      </c>
      <c r="Z1301">
        <v>6.2124959999999998</v>
      </c>
      <c r="AA1301" s="36">
        <f>IF(ISBLANK(Z1302),"",Long6[[#This Row],[Adj Close]]/Z1302-1)</f>
        <v>-1.923066904377424E-2</v>
      </c>
      <c r="AK1301" s="37">
        <v>35989</v>
      </c>
      <c r="AL1301" s="39">
        <v>7.192698</v>
      </c>
      <c r="AM1301" s="36">
        <f>IF(ISBLANK(AL1302),"",Short1[[#This Row],[Adj Close]]/AL1302-1)</f>
        <v>0.14166674470685181</v>
      </c>
      <c r="AN1301" s="29">
        <v>35989</v>
      </c>
      <c r="AO1301" s="44">
        <v>11.603840999999999</v>
      </c>
      <c r="AP1301" s="33">
        <f>IF(ISBLANK(AO1302),"",Short2[[#This Row],[Adj Close]]/AO1302-1)</f>
        <v>-1.5384112796236304E-2</v>
      </c>
    </row>
    <row r="1302" spans="1:42" x14ac:dyDescent="0.25">
      <c r="A1302" s="37">
        <v>35982</v>
      </c>
      <c r="B1302" s="39">
        <v>1164.329956</v>
      </c>
      <c r="C1302" s="36">
        <f>IF(ISBLANK(B1303), "", GSPC[[#This Row],[Adj Close]]/B1303-1)</f>
        <v>1.5622469350335288E-2</v>
      </c>
      <c r="D130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0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02" s="11" t="e">
        <f>IF(ISBLANK(GSPC[[#This Row],[Long Exp.]]), "", (GSPC[[#This Row],[Long Exp.]]/D1303-1)+(E1303/GSPC[[#This Row],[Short Exp.]]-1))</f>
        <v>#VALUE!</v>
      </c>
      <c r="G1302" s="37">
        <v>35982</v>
      </c>
      <c r="H1302">
        <v>12.781200999999999</v>
      </c>
      <c r="I1302" s="36">
        <f>IF(ISBLANK(H1303), "", Long0[[#This Row],[Adj Close]]/H1303-1)</f>
        <v>3.0709931126337464E-2</v>
      </c>
      <c r="M1302" s="37">
        <v>35982</v>
      </c>
      <c r="N1302">
        <v>21.672419000000001</v>
      </c>
      <c r="O1302" s="36">
        <f>IF(ISBLANK(N1303),"",Long2[[#This Row],[Adj Close]]/N1303-1)</f>
        <v>-3.1056168595113065E-2</v>
      </c>
      <c r="P1302" s="29">
        <v>35982</v>
      </c>
      <c r="Q1302">
        <v>3.5649479999999998</v>
      </c>
      <c r="R1302" s="33">
        <f>IF(ISBLANK(Q1303),"",Long3[[#This Row],[Adj Close]]/Q1303-1)</f>
        <v>1.388862818441039E-2</v>
      </c>
      <c r="S1302" s="37">
        <v>35982</v>
      </c>
      <c r="T1302">
        <v>9.2189040000000002</v>
      </c>
      <c r="U1302" s="36">
        <f>IF(ISBLANK(T1303),"",Long4[[#This Row],[Adj Close]]/T1303-1)</f>
        <v>-9.8958264101904447E-2</v>
      </c>
      <c r="Y1302" s="37">
        <v>35982</v>
      </c>
      <c r="Z1302">
        <v>6.3343090000000002</v>
      </c>
      <c r="AA1302" s="36">
        <f>IF(ISBLANK(Z1303),"",Long6[[#This Row],[Adj Close]]/Z1303-1)</f>
        <v>1.9607738982850176E-2</v>
      </c>
      <c r="AK1302" s="37">
        <v>35982</v>
      </c>
      <c r="AL1302" s="39">
        <v>6.300173</v>
      </c>
      <c r="AM1302" s="36">
        <f>IF(ISBLANK(AL1303),"",Short1[[#This Row],[Adj Close]]/AL1303-1)</f>
        <v>0.18616119262032194</v>
      </c>
      <c r="AN1302" s="29">
        <v>35982</v>
      </c>
      <c r="AO1302" s="44">
        <v>11.785145</v>
      </c>
      <c r="AP1302" s="33">
        <f>IF(ISBLANK(AO1303),"",Short2[[#This Row],[Adj Close]]/AO1303-1)</f>
        <v>-1.3282634741568655E-2</v>
      </c>
    </row>
    <row r="1303" spans="1:42" x14ac:dyDescent="0.25">
      <c r="A1303" s="37">
        <v>35975</v>
      </c>
      <c r="B1303" s="39">
        <v>1146.420044</v>
      </c>
      <c r="C1303" s="36">
        <f>IF(ISBLANK(B1304), "", GSPC[[#This Row],[Adj Close]]/B1304-1)</f>
        <v>1.1666160935088099E-2</v>
      </c>
      <c r="D130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0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03" s="11" t="e">
        <f>IF(ISBLANK(GSPC[[#This Row],[Long Exp.]]), "", (GSPC[[#This Row],[Long Exp.]]/D1304-1)+(E1304/GSPC[[#This Row],[Short Exp.]]-1))</f>
        <v>#VALUE!</v>
      </c>
      <c r="G1303" s="37">
        <v>35975</v>
      </c>
      <c r="H1303">
        <v>12.400385999999999</v>
      </c>
      <c r="I1303" s="36">
        <f>IF(ISBLANK(H1304), "", Long0[[#This Row],[Adj Close]]/H1304-1)</f>
        <v>2.4842059398988425E-2</v>
      </c>
      <c r="M1303" s="37">
        <v>35975</v>
      </c>
      <c r="N1303">
        <v>22.367054</v>
      </c>
      <c r="O1303" s="36">
        <f>IF(ISBLANK(N1304),"",Long2[[#This Row],[Adj Close]]/N1304-1)</f>
        <v>1.0460387898032275E-2</v>
      </c>
      <c r="P1303" s="29">
        <v>35975</v>
      </c>
      <c r="Q1303">
        <v>3.516114</v>
      </c>
      <c r="R1303" s="33">
        <f>IF(ISBLANK(Q1304),"",Long3[[#This Row],[Adj Close]]/Q1304-1)</f>
        <v>-2.7027341139553185E-2</v>
      </c>
      <c r="S1303" s="37">
        <v>35975</v>
      </c>
      <c r="T1303">
        <v>10.231384</v>
      </c>
      <c r="U1303" s="36">
        <f>IF(ISBLANK(T1304),"",Long4[[#This Row],[Adj Close]]/T1304-1)</f>
        <v>-3.9999939949469265E-2</v>
      </c>
      <c r="Y1303" s="37">
        <v>35975</v>
      </c>
      <c r="Z1303">
        <v>6.2124959999999998</v>
      </c>
      <c r="AA1303" s="36">
        <f>IF(ISBLANK(Z1304),"",Long6[[#This Row],[Adj Close]]/Z1304-1)</f>
        <v>4.0816100870013861E-2</v>
      </c>
      <c r="AK1303" s="37">
        <v>35975</v>
      </c>
      <c r="AL1303" s="39">
        <v>5.3113970000000004</v>
      </c>
      <c r="AM1303" s="36">
        <f>IF(ISBLANK(AL1304),"",Short1[[#This Row],[Adj Close]]/AL1304-1)</f>
        <v>9.7649622371448697E-2</v>
      </c>
      <c r="AN1303" s="29">
        <v>35975</v>
      </c>
      <c r="AO1303" s="44">
        <v>11.94379</v>
      </c>
      <c r="AP1303" s="33">
        <f>IF(ISBLANK(AO1304),"",Short2[[#This Row],[Adj Close]]/AO1304-1)</f>
        <v>5.8233081174567269E-2</v>
      </c>
    </row>
    <row r="1304" spans="1:42" x14ac:dyDescent="0.25">
      <c r="A1304" s="37">
        <v>35968</v>
      </c>
      <c r="B1304" s="39">
        <v>1133.1999510000001</v>
      </c>
      <c r="C1304" s="36">
        <f>IF(ISBLANK(B1305), "", GSPC[[#This Row],[Adj Close]]/B1305-1)</f>
        <v>2.9573366910679244E-2</v>
      </c>
      <c r="D130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0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04" s="11" t="e">
        <f>IF(ISBLANK(GSPC[[#This Row],[Long Exp.]]), "", (GSPC[[#This Row],[Long Exp.]]/D1305-1)+(E1305/GSPC[[#This Row],[Short Exp.]]-1))</f>
        <v>#VALUE!</v>
      </c>
      <c r="G1304" s="37">
        <v>35968</v>
      </c>
      <c r="H1304">
        <v>12.099802</v>
      </c>
      <c r="I1304" s="36">
        <f>IF(ISBLANK(H1305), "", Long0[[#This Row],[Adj Close]]/H1305-1)</f>
        <v>2.2088539488445802E-2</v>
      </c>
      <c r="M1304" s="37">
        <v>35968</v>
      </c>
      <c r="N1304">
        <v>22.135508000000002</v>
      </c>
      <c r="O1304" s="36">
        <f>IF(ISBLANK(N1305),"",Long2[[#This Row],[Adj Close]]/N1305-1)</f>
        <v>-3.2388515661657458E-2</v>
      </c>
      <c r="P1304" s="29">
        <v>35968</v>
      </c>
      <c r="Q1304">
        <v>3.613785</v>
      </c>
      <c r="R1304" s="33">
        <f>IF(ISBLANK(Q1305),"",Long3[[#This Row],[Adj Close]]/Q1305-1)</f>
        <v>-2.6945958230453204E-3</v>
      </c>
      <c r="S1304" s="37">
        <v>35968</v>
      </c>
      <c r="T1304">
        <v>10.657691</v>
      </c>
      <c r="U1304" s="36">
        <f>IF(ISBLANK(T1305),"",Long4[[#This Row],[Adj Close]]/T1305-1)</f>
        <v>-1.4778291880347072E-2</v>
      </c>
      <c r="Y1304" s="37">
        <v>35968</v>
      </c>
      <c r="Z1304">
        <v>5.9688699999999999</v>
      </c>
      <c r="AA1304" s="36">
        <f>IF(ISBLANK(Z1305),"",Long6[[#This Row],[Adj Close]]/Z1305-1)</f>
        <v>2.083373952079115E-2</v>
      </c>
      <c r="AK1304" s="37">
        <v>35968</v>
      </c>
      <c r="AL1304" s="39">
        <v>4.8388819999999999</v>
      </c>
      <c r="AM1304" s="36">
        <f>IF(ISBLANK(AL1305),"",Short1[[#This Row],[Adj Close]]/AL1305-1)</f>
        <v>1.2820370597896646E-2</v>
      </c>
      <c r="AN1304" s="29">
        <v>35968</v>
      </c>
      <c r="AO1304" s="44">
        <v>11.28654</v>
      </c>
      <c r="AP1304" s="33">
        <f>IF(ISBLANK(AO1305),"",Short2[[#This Row],[Adj Close]]/AO1305-1)</f>
        <v>0.14746473361761359</v>
      </c>
    </row>
    <row r="1305" spans="1:42" x14ac:dyDescent="0.25">
      <c r="A1305" s="37">
        <v>35961</v>
      </c>
      <c r="B1305" s="39">
        <v>1100.650024</v>
      </c>
      <c r="C1305" s="36">
        <f>IF(ISBLANK(B1306), "", GSPC[[#This Row],[Adj Close]]/B1306-1)</f>
        <v>1.6472444177553225E-3</v>
      </c>
      <c r="D130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0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05" s="11" t="e">
        <f>IF(ISBLANK(GSPC[[#This Row],[Long Exp.]]), "", (GSPC[[#This Row],[Long Exp.]]/D1306-1)+(E1306/GSPC[[#This Row],[Short Exp.]]-1))</f>
        <v>#VALUE!</v>
      </c>
      <c r="G1305" s="37">
        <v>35961</v>
      </c>
      <c r="H1305">
        <v>11.838310999999999</v>
      </c>
      <c r="I1305" s="36">
        <f>IF(ISBLANK(H1306), "", Long0[[#This Row],[Adj Close]]/H1306-1)</f>
        <v>-1.9685600447497897E-2</v>
      </c>
      <c r="M1305" s="37">
        <v>35961</v>
      </c>
      <c r="N1305">
        <v>22.876442000000001</v>
      </c>
      <c r="O1305" s="36">
        <f>IF(ISBLANK(N1306),"",Long2[[#This Row],[Adj Close]]/N1306-1)</f>
        <v>2.6627729717039195E-3</v>
      </c>
      <c r="P1305" s="29">
        <v>35961</v>
      </c>
      <c r="Q1305">
        <v>3.6235490000000001</v>
      </c>
      <c r="R1305" s="33">
        <f>IF(ISBLANK(Q1306),"",Long3[[#This Row],[Adj Close]]/Q1306-1)</f>
        <v>5.0516292711889843E-2</v>
      </c>
      <c r="S1305" s="37">
        <v>35961</v>
      </c>
      <c r="T1305">
        <v>10.817556</v>
      </c>
      <c r="U1305" s="36">
        <f>IF(ISBLANK(T1306),"",Long4[[#This Row],[Adj Close]]/T1306-1)</f>
        <v>1.4999965752431788E-2</v>
      </c>
      <c r="Y1305" s="37">
        <v>35961</v>
      </c>
      <c r="Z1305">
        <v>5.847054</v>
      </c>
      <c r="AA1305" s="36">
        <f>IF(ISBLANK(Z1306),"",Long6[[#This Row],[Adj Close]]/Z1306-1)</f>
        <v>-1.0309644796353656E-2</v>
      </c>
      <c r="AK1305" s="37">
        <v>35961</v>
      </c>
      <c r="AL1305" s="39">
        <v>4.7776310000000004</v>
      </c>
      <c r="AM1305" s="36">
        <f>IF(ISBLANK(AL1306),"",Short1[[#This Row],[Adj Close]]/AL1306-1)</f>
        <v>-0.13333330914654307</v>
      </c>
      <c r="AN1305" s="29">
        <v>35961</v>
      </c>
      <c r="AO1305" s="44">
        <v>9.8360669999999999</v>
      </c>
      <c r="AP1305" s="33">
        <f>IF(ISBLANK(AO1306),"",Short2[[#This Row],[Adj Close]]/AO1306-1)</f>
        <v>-6.2634835858337956E-2</v>
      </c>
    </row>
    <row r="1306" spans="1:42" x14ac:dyDescent="0.25">
      <c r="A1306" s="37">
        <v>35954</v>
      </c>
      <c r="B1306" s="39">
        <v>1098.839966</v>
      </c>
      <c r="C1306" s="36">
        <f>IF(ISBLANK(B1307), "", GSPC[[#This Row],[Adj Close]]/B1307-1)</f>
        <v>-1.3484656242498949E-2</v>
      </c>
      <c r="D130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0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06" s="11" t="e">
        <f>IF(ISBLANK(GSPC[[#This Row],[Long Exp.]]), "", (GSPC[[#This Row],[Long Exp.]]/D1307-1)+(E1307/GSPC[[#This Row],[Short Exp.]]-1))</f>
        <v>#VALUE!</v>
      </c>
      <c r="G1306" s="37">
        <v>35954</v>
      </c>
      <c r="H1306">
        <v>12.076034999999999</v>
      </c>
      <c r="I1306" s="36">
        <f>IF(ISBLANK(H1307), "", Long0[[#This Row],[Adj Close]]/H1307-1)</f>
        <v>2.0080905122360715E-2</v>
      </c>
      <c r="M1306" s="37">
        <v>35954</v>
      </c>
      <c r="N1306">
        <v>22.815688999999999</v>
      </c>
      <c r="O1306" s="36">
        <f>IF(ISBLANK(N1307),"",Long2[[#This Row],[Adj Close]]/N1307-1)</f>
        <v>-3.8910865939802197E-2</v>
      </c>
      <c r="P1306" s="29">
        <v>35954</v>
      </c>
      <c r="Q1306">
        <v>3.449303</v>
      </c>
      <c r="R1306" s="33">
        <f>IF(ISBLANK(Q1307),"",Long3[[#This Row],[Adj Close]]/Q1307-1)</f>
        <v>1.3661034372403735E-2</v>
      </c>
      <c r="S1306" s="37">
        <v>35954</v>
      </c>
      <c r="T1306">
        <v>10.657691</v>
      </c>
      <c r="U1306" s="36">
        <f>IF(ISBLANK(T1307),"",Long4[[#This Row],[Adj Close]]/T1307-1)</f>
        <v>-4.7619000810950385E-2</v>
      </c>
      <c r="Y1306" s="37">
        <v>35954</v>
      </c>
      <c r="Z1306">
        <v>5.9079629999999996</v>
      </c>
      <c r="AA1306" s="36">
        <f>IF(ISBLANK(Z1307),"",Long6[[#This Row],[Adj Close]]/Z1307-1)</f>
        <v>8.9887503645740718E-2</v>
      </c>
      <c r="AK1306" s="37">
        <v>35954</v>
      </c>
      <c r="AL1306" s="39">
        <v>5.512651</v>
      </c>
      <c r="AM1306" s="36">
        <f>IF(ISBLANK(AL1307),"",Short1[[#This Row],[Adj Close]]/AL1307-1)</f>
        <v>0.13718429946827637</v>
      </c>
      <c r="AN1306" s="29">
        <v>35954</v>
      </c>
      <c r="AO1306" s="44">
        <v>10.493314</v>
      </c>
      <c r="AP1306" s="33">
        <f>IF(ISBLANK(AO1307),"",Short2[[#This Row],[Adj Close]]/AO1307-1)</f>
        <v>-2.3206551329737035E-2</v>
      </c>
    </row>
    <row r="1307" spans="1:42" x14ac:dyDescent="0.25">
      <c r="A1307" s="37">
        <v>35947</v>
      </c>
      <c r="B1307" s="39">
        <v>1113.8599850000001</v>
      </c>
      <c r="C1307" s="36">
        <f>IF(ISBLANK(B1308), "", GSPC[[#This Row],[Adj Close]]/B1308-1)</f>
        <v>2.1121761739402611E-2</v>
      </c>
      <c r="D130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0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07" s="11" t="e">
        <f>IF(ISBLANK(GSPC[[#This Row],[Long Exp.]]), "", (GSPC[[#This Row],[Long Exp.]]/D1308-1)+(E1308/GSPC[[#This Row],[Short Exp.]]-1))</f>
        <v>#VALUE!</v>
      </c>
      <c r="G1307" s="37">
        <v>35947</v>
      </c>
      <c r="H1307">
        <v>11.838310999999999</v>
      </c>
      <c r="I1307" s="36">
        <f>IF(ISBLANK(H1308), "", Long0[[#This Row],[Adj Close]]/H1308-1)</f>
        <v>3.7499930984141505E-2</v>
      </c>
      <c r="M1307" s="37">
        <v>35947</v>
      </c>
      <c r="N1307">
        <v>23.739409999999999</v>
      </c>
      <c r="O1307" s="36">
        <f>IF(ISBLANK(N1308),"",Long2[[#This Row],[Adj Close]]/N1308-1)</f>
        <v>-1.1538307798132252E-2</v>
      </c>
      <c r="P1307" s="29">
        <v>35947</v>
      </c>
      <c r="Q1307">
        <v>3.4028170000000002</v>
      </c>
      <c r="R1307" s="33">
        <f>IF(ISBLANK(Q1308),"",Long3[[#This Row],[Adj Close]]/Q1308-1)</f>
        <v>3.3898063045955329E-2</v>
      </c>
      <c r="S1307" s="37">
        <v>35947</v>
      </c>
      <c r="T1307">
        <v>11.190575000000001</v>
      </c>
      <c r="U1307" s="36">
        <f>IF(ISBLANK(T1308),"",Long4[[#This Row],[Adj Close]]/T1308-1)</f>
        <v>-2.7777717445367389E-2</v>
      </c>
      <c r="Y1307" s="37">
        <v>35947</v>
      </c>
      <c r="Z1307">
        <v>5.4207090000000004</v>
      </c>
      <c r="AA1307" s="36">
        <f>IF(ISBLANK(Z1308),"",Long6[[#This Row],[Adj Close]]/Z1308-1)</f>
        <v>-2.1977901034943903E-2</v>
      </c>
      <c r="AK1307" s="37">
        <v>35947</v>
      </c>
      <c r="AL1307" s="39">
        <v>4.8476319999999999</v>
      </c>
      <c r="AM1307" s="36">
        <f>IF(ISBLANK(AL1308),"",Short1[[#This Row],[Adj Close]]/AL1308-1)</f>
        <v>6.538482586075145E-2</v>
      </c>
      <c r="AN1307" s="29">
        <v>35947</v>
      </c>
      <c r="AO1307" s="44">
        <v>10.742613</v>
      </c>
      <c r="AP1307" s="33">
        <f>IF(ISBLANK(AO1308),"",Short2[[#This Row],[Adj Close]]/AO1308-1)</f>
        <v>0.11792440902043388</v>
      </c>
    </row>
    <row r="1308" spans="1:42" x14ac:dyDescent="0.25">
      <c r="A1308" s="37">
        <v>35940</v>
      </c>
      <c r="B1308" s="39">
        <v>1090.8199460000001</v>
      </c>
      <c r="C1308" s="36">
        <f>IF(ISBLANK(B1309), "", GSPC[[#This Row],[Adj Close]]/B1309-1)</f>
        <v>-1.7695233111350794E-2</v>
      </c>
      <c r="D130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0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08" s="11" t="e">
        <f>IF(ISBLANK(GSPC[[#This Row],[Long Exp.]]), "", (GSPC[[#This Row],[Long Exp.]]/D1309-1)+(E1309/GSPC[[#This Row],[Short Exp.]]-1))</f>
        <v>#VALUE!</v>
      </c>
      <c r="G1308" s="37">
        <v>35940</v>
      </c>
      <c r="H1308">
        <v>11.410420999999999</v>
      </c>
      <c r="I1308" s="36">
        <f>IF(ISBLANK(H1309), "", Long0[[#This Row],[Adj Close]]/H1309-1)</f>
        <v>-4.9505444525153486E-2</v>
      </c>
      <c r="M1308" s="37">
        <v>35940</v>
      </c>
      <c r="N1308">
        <v>24.01652</v>
      </c>
      <c r="O1308" s="36">
        <f>IF(ISBLANK(N1309),"",Long2[[#This Row],[Adj Close]]/N1309-1)</f>
        <v>-2.2556176773171899E-2</v>
      </c>
      <c r="P1308" s="29">
        <v>35940</v>
      </c>
      <c r="Q1308">
        <v>3.2912499999999998</v>
      </c>
      <c r="R1308" s="33">
        <f>IF(ISBLANK(Q1309),"",Long3[[#This Row],[Adj Close]]/Q1309-1)</f>
        <v>4.1177317281882564E-2</v>
      </c>
      <c r="S1308" s="37">
        <v>35940</v>
      </c>
      <c r="T1308">
        <v>11.510305000000001</v>
      </c>
      <c r="U1308" s="36">
        <f>IF(ISBLANK(T1309),"",Long4[[#This Row],[Adj Close]]/T1309-1)</f>
        <v>5.8823101932802269E-2</v>
      </c>
      <c r="Y1308" s="37">
        <v>35940</v>
      </c>
      <c r="Z1308">
        <v>5.5425219999999999</v>
      </c>
      <c r="AA1308" s="36">
        <f>IF(ISBLANK(Z1309),"",Long6[[#This Row],[Adj Close]]/Z1309-1)</f>
        <v>-8.0807824504231074E-2</v>
      </c>
      <c r="AK1308" s="37">
        <v>35940</v>
      </c>
      <c r="AL1308" s="39">
        <v>4.5501230000000001</v>
      </c>
      <c r="AM1308" s="36">
        <f>IF(ISBLANK(AL1309),"",Short1[[#This Row],[Adj Close]]/AL1309-1)</f>
        <v>2.1610863897943977E-2</v>
      </c>
      <c r="AN1308" s="29">
        <v>35940</v>
      </c>
      <c r="AO1308" s="44">
        <v>9.6094270000000002</v>
      </c>
      <c r="AP1308" s="33">
        <f>IF(ISBLANK(AO1309),"",Short2[[#This Row],[Adj Close]]/AO1309-1)</f>
        <v>3.6674800536082408E-2</v>
      </c>
    </row>
    <row r="1309" spans="1:42" x14ac:dyDescent="0.25">
      <c r="A1309" s="37">
        <v>35933</v>
      </c>
      <c r="B1309" s="39">
        <v>1110.469971</v>
      </c>
      <c r="C1309" s="36">
        <f>IF(ISBLANK(B1310), "", GSPC[[#This Row],[Adj Close]]/B1310-1)</f>
        <v>1.5693550561335368E-3</v>
      </c>
      <c r="D130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0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09" s="11" t="e">
        <f>IF(ISBLANK(GSPC[[#This Row],[Long Exp.]]), "", (GSPC[[#This Row],[Long Exp.]]/D1310-1)+(E1310/GSPC[[#This Row],[Short Exp.]]-1))</f>
        <v>#VALUE!</v>
      </c>
      <c r="G1309" s="37">
        <v>35933</v>
      </c>
      <c r="H1309">
        <v>12.004720000000001</v>
      </c>
      <c r="I1309" s="36">
        <f>IF(ISBLANK(H1310), "", Long0[[#This Row],[Adj Close]]/H1310-1)</f>
        <v>8.6022005372609733E-2</v>
      </c>
      <c r="M1309" s="37">
        <v>35933</v>
      </c>
      <c r="N1309">
        <v>24.570741999999999</v>
      </c>
      <c r="O1309" s="36">
        <f>IF(ISBLANK(N1310),"",Long2[[#This Row],[Adj Close]]/N1310-1)</f>
        <v>-3.6232447124119327E-2</v>
      </c>
      <c r="P1309" s="29">
        <v>35933</v>
      </c>
      <c r="Q1309">
        <v>3.1610849999999999</v>
      </c>
      <c r="R1309" s="33">
        <f>IF(ISBLANK(Q1310),"",Long3[[#This Row],[Adj Close]]/Q1310-1)</f>
        <v>-2.0173165245320535E-2</v>
      </c>
      <c r="S1309" s="37">
        <v>35933</v>
      </c>
      <c r="T1309">
        <v>10.870848000000001</v>
      </c>
      <c r="U1309" s="36">
        <f>IF(ISBLANK(T1310),"",Long4[[#This Row],[Adj Close]]/T1310-1)</f>
        <v>9.9011832573117076E-3</v>
      </c>
      <c r="Y1309" s="37">
        <v>35933</v>
      </c>
      <c r="Z1309">
        <v>6.0297749999999999</v>
      </c>
      <c r="AA1309" s="36">
        <f>IF(ISBLANK(Z1310),"",Long6[[#This Row],[Adj Close]]/Z1310-1)</f>
        <v>1.0203773913655345E-2</v>
      </c>
      <c r="AK1309" s="37">
        <v>35933</v>
      </c>
      <c r="AL1309" s="39">
        <v>4.4538710000000004</v>
      </c>
      <c r="AM1309" s="36">
        <f>IF(ISBLANK(AL1310),"",Short1[[#This Row],[Adj Close]]/AL1310-1)</f>
        <v>-6.6055524124941534E-2</v>
      </c>
      <c r="AN1309" s="29">
        <v>35933</v>
      </c>
      <c r="AO1309" s="44">
        <v>9.2694709999999993</v>
      </c>
      <c r="AP1309" s="33">
        <f>IF(ISBLANK(AO1310),"",Short2[[#This Row],[Adj Close]]/AO1310-1)</f>
        <v>-3.5377343519025772E-2</v>
      </c>
    </row>
    <row r="1310" spans="1:42" x14ac:dyDescent="0.25">
      <c r="A1310" s="37">
        <v>35926</v>
      </c>
      <c r="B1310" s="39">
        <v>1108.7299800000001</v>
      </c>
      <c r="C1310" s="36">
        <f>IF(ISBLANK(B1311), "", GSPC[[#This Row],[Adj Close]]/B1311-1)</f>
        <v>5.3239210931321779E-4</v>
      </c>
      <c r="D131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1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10" s="11" t="e">
        <f>IF(ISBLANK(GSPC[[#This Row],[Long Exp.]]), "", (GSPC[[#This Row],[Long Exp.]]/D1311-1)+(E1311/GSPC[[#This Row],[Short Exp.]]-1))</f>
        <v>#VALUE!</v>
      </c>
      <c r="G1310" s="37">
        <v>35926</v>
      </c>
      <c r="H1310">
        <v>11.053846</v>
      </c>
      <c r="I1310" s="36">
        <f>IF(ISBLANK(H1311), "", Long0[[#This Row],[Adj Close]]/H1311-1)</f>
        <v>4.0268180996009928E-2</v>
      </c>
      <c r="M1310" s="37">
        <v>35926</v>
      </c>
      <c r="N1310">
        <v>25.494468999999999</v>
      </c>
      <c r="O1310" s="36">
        <f>IF(ISBLANK(N1311),"",Long2[[#This Row],[Adj Close]]/N1311-1)</f>
        <v>-1.8078245644725932E-3</v>
      </c>
      <c r="P1310" s="29">
        <v>35926</v>
      </c>
      <c r="Q1310">
        <v>3.2261669999999998</v>
      </c>
      <c r="R1310" s="33">
        <f>IF(ISBLANK(Q1311),"",Long3[[#This Row],[Adj Close]]/Q1311-1)</f>
        <v>-4.1436558477811136E-2</v>
      </c>
      <c r="S1310" s="37">
        <v>35926</v>
      </c>
      <c r="T1310">
        <v>10.764269000000001</v>
      </c>
      <c r="U1310" s="36">
        <f>IF(ISBLANK(T1311),"",Long4[[#This Row],[Adj Close]]/T1311-1)</f>
        <v>-0.10619461237474348</v>
      </c>
      <c r="Y1310" s="37">
        <v>35926</v>
      </c>
      <c r="Z1310">
        <v>5.9688699999999999</v>
      </c>
      <c r="AA1310" s="36">
        <f>IF(ISBLANK(Z1311),"",Long6[[#This Row],[Adj Close]]/Z1311-1)</f>
        <v>0</v>
      </c>
      <c r="AK1310" s="37">
        <v>35926</v>
      </c>
      <c r="AL1310" s="39">
        <v>4.7688819999999996</v>
      </c>
      <c r="AM1310" s="36">
        <f>IF(ISBLANK(AL1311),"",Short1[[#This Row],[Adj Close]]/AL1311-1)</f>
        <v>-1.8901376884300269E-2</v>
      </c>
      <c r="AN1310" s="29">
        <v>35926</v>
      </c>
      <c r="AO1310" s="44">
        <v>9.6094270000000002</v>
      </c>
      <c r="AP1310" s="33">
        <f>IF(ISBLANK(AO1311),"",Short2[[#This Row],[Adj Close]]/AO1311-1)</f>
        <v>-7.0176088766805811E-2</v>
      </c>
    </row>
    <row r="1311" spans="1:42" x14ac:dyDescent="0.25">
      <c r="A1311" s="37">
        <v>35919</v>
      </c>
      <c r="B1311" s="39">
        <v>1108.1400149999999</v>
      </c>
      <c r="C1311" s="36">
        <f>IF(ISBLANK(B1312), "", GSPC[[#This Row],[Adj Close]]/B1312-1)</f>
        <v>-1.1471886708296242E-2</v>
      </c>
      <c r="D131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1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11" s="11" t="e">
        <f>IF(ISBLANK(GSPC[[#This Row],[Long Exp.]]), "", (GSPC[[#This Row],[Long Exp.]]/D1312-1)+(E1312/GSPC[[#This Row],[Short Exp.]]-1))</f>
        <v>#VALUE!</v>
      </c>
      <c r="G1311" s="37">
        <v>35919</v>
      </c>
      <c r="H1311">
        <v>10.625958000000001</v>
      </c>
      <c r="I1311" s="36">
        <f>IF(ISBLANK(H1312), "", Long0[[#This Row],[Adj Close]]/H1312-1)</f>
        <v>4.4392765177885041E-2</v>
      </c>
      <c r="M1311" s="37">
        <v>35919</v>
      </c>
      <c r="N1311">
        <v>25.540641999999998</v>
      </c>
      <c r="O1311" s="36">
        <f>IF(ISBLANK(N1312),"",Long2[[#This Row],[Adj Close]]/N1312-1)</f>
        <v>-4.3252586730494147E-2</v>
      </c>
      <c r="P1311" s="29">
        <v>35919</v>
      </c>
      <c r="Q1311">
        <v>3.3656269999999999</v>
      </c>
      <c r="R1311" s="33">
        <f>IF(ISBLANK(Q1312),"",Long3[[#This Row],[Adj Close]]/Q1312-1)</f>
        <v>-5.4943220315695207E-3</v>
      </c>
      <c r="S1311" s="37">
        <v>35919</v>
      </c>
      <c r="T1311">
        <v>12.043191</v>
      </c>
      <c r="U1311" s="36">
        <f>IF(ISBLANK(T1312),"",Long4[[#This Row],[Adj Close]]/T1312-1)</f>
        <v>-8.1300875027395469E-2</v>
      </c>
      <c r="Y1311" s="37">
        <v>35919</v>
      </c>
      <c r="Z1311">
        <v>5.9688699999999999</v>
      </c>
      <c r="AA1311" s="36">
        <f>IF(ISBLANK(Z1312),"",Long6[[#This Row],[Adj Close]]/Z1312-1)</f>
        <v>-2.970273209084684E-2</v>
      </c>
      <c r="AK1311" s="37">
        <v>35919</v>
      </c>
      <c r="AL1311" s="39">
        <v>4.8607570000000004</v>
      </c>
      <c r="AM1311" s="36">
        <f>IF(ISBLANK(AL1312),"",Short1[[#This Row],[Adj Close]]/AL1312-1)</f>
        <v>-8.9946153578945864E-4</v>
      </c>
      <c r="AN1311" s="29">
        <v>35919</v>
      </c>
      <c r="AO1311" s="44">
        <v>10.334674</v>
      </c>
      <c r="AP1311" s="33">
        <f>IF(ISBLANK(AO1312),"",Short2[[#This Row],[Adj Close]]/AO1312-1)</f>
        <v>2.9796792313477871E-2</v>
      </c>
    </row>
    <row r="1312" spans="1:42" x14ac:dyDescent="0.25">
      <c r="A1312" s="37">
        <v>35912</v>
      </c>
      <c r="B1312" s="39">
        <v>1121</v>
      </c>
      <c r="C1312" s="36">
        <f>IF(ISBLANK(B1313), "", GSPC[[#This Row],[Adj Close]]/B1313-1)</f>
        <v>1.1824149937919026E-2</v>
      </c>
      <c r="D131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1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12" s="11" t="e">
        <f>IF(ISBLANK(GSPC[[#This Row],[Long Exp.]]), "", (GSPC[[#This Row],[Long Exp.]]/D1313-1)+(E1313/GSPC[[#This Row],[Short Exp.]]-1))</f>
        <v>#VALUE!</v>
      </c>
      <c r="G1312" s="37">
        <v>35912</v>
      </c>
      <c r="H1312">
        <v>10.174293</v>
      </c>
      <c r="I1312" s="36">
        <f>IF(ISBLANK(H1313), "", Long0[[#This Row],[Adj Close]]/H1313-1)</f>
        <v>-2.3312261039273308E-3</v>
      </c>
      <c r="M1312" s="37">
        <v>35912</v>
      </c>
      <c r="N1312">
        <v>26.695281999999999</v>
      </c>
      <c r="O1312" s="36">
        <f>IF(ISBLANK(N1313),"",Long2[[#This Row],[Adj Close]]/N1313-1)</f>
        <v>3.4720631178950523E-3</v>
      </c>
      <c r="P1312" s="29">
        <v>35912</v>
      </c>
      <c r="Q1312">
        <v>3.3842210000000001</v>
      </c>
      <c r="R1312" s="33">
        <f>IF(ISBLANK(Q1313),"",Long3[[#This Row],[Adj Close]]/Q1313-1)</f>
        <v>8.3099695202797363E-3</v>
      </c>
      <c r="S1312" s="37">
        <v>35912</v>
      </c>
      <c r="T1312">
        <v>13.108961000000001</v>
      </c>
      <c r="U1312" s="36">
        <f>IF(ISBLANK(T1313),"",Long4[[#This Row],[Adj Close]]/T1313-1)</f>
        <v>-3.9062528634321136E-2</v>
      </c>
      <c r="Y1312" s="37">
        <v>35912</v>
      </c>
      <c r="Z1312">
        <v>6.1515890000000004</v>
      </c>
      <c r="AA1312" s="36">
        <f>IF(ISBLANK(Z1313),"",Long6[[#This Row],[Adj Close]]/Z1313-1)</f>
        <v>5.7591346701846513E-2</v>
      </c>
      <c r="AK1312" s="37">
        <v>35912</v>
      </c>
      <c r="AL1312" s="39">
        <v>4.8651330000000002</v>
      </c>
      <c r="AM1312" s="36">
        <f>IF(ISBLANK(AL1313),"",Short1[[#This Row],[Adj Close]]/AL1313-1)</f>
        <v>1.0909209536322351E-2</v>
      </c>
      <c r="AN1312" s="29">
        <v>35912</v>
      </c>
      <c r="AO1312" s="44">
        <v>10.035644</v>
      </c>
      <c r="AP1312" s="33">
        <f>IF(ISBLANK(AO1313),"",Short2[[#This Row],[Adj Close]]/AO1313-1)</f>
        <v>-0.14147329811104603</v>
      </c>
    </row>
    <row r="1313" spans="1:42" x14ac:dyDescent="0.25">
      <c r="A1313" s="37">
        <v>35905</v>
      </c>
      <c r="B1313" s="39">
        <v>1107.900024</v>
      </c>
      <c r="C1313" s="36">
        <f>IF(ISBLANK(B1314), "", GSPC[[#This Row],[Adj Close]]/B1314-1)</f>
        <v>-1.3200038640801881E-2</v>
      </c>
      <c r="D131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1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13" s="11" t="e">
        <f>IF(ISBLANK(GSPC[[#This Row],[Long Exp.]]), "", (GSPC[[#This Row],[Long Exp.]]/D1314-1)+(E1314/GSPC[[#This Row],[Short Exp.]]-1))</f>
        <v>#VALUE!</v>
      </c>
      <c r="G1313" s="37">
        <v>35905</v>
      </c>
      <c r="H1313">
        <v>10.198067</v>
      </c>
      <c r="I1313" s="36">
        <f>IF(ISBLANK(H1314), "", Long0[[#This Row],[Adj Close]]/H1314-1)</f>
        <v>3.6232013648339834E-2</v>
      </c>
      <c r="M1313" s="37">
        <v>35905</v>
      </c>
      <c r="N1313">
        <v>26.602914999999999</v>
      </c>
      <c r="O1313" s="36">
        <f>IF(ISBLANK(N1314),"",Long2[[#This Row],[Adj Close]]/N1314-1)</f>
        <v>-3.3557491942351136E-2</v>
      </c>
      <c r="P1313" s="29">
        <v>35905</v>
      </c>
      <c r="Q1313">
        <v>3.3563299999999998</v>
      </c>
      <c r="R1313" s="33">
        <f>IF(ISBLANK(Q1314),"",Long3[[#This Row],[Adj Close]]/Q1314-1)</f>
        <v>-3.217164980054199E-2</v>
      </c>
      <c r="S1313" s="37">
        <v>35905</v>
      </c>
      <c r="T1313">
        <v>13.641845999999999</v>
      </c>
      <c r="U1313" s="36">
        <f>IF(ISBLANK(T1314),"",Long4[[#This Row],[Adj Close]]/T1314-1)</f>
        <v>3.6437314018295863E-2</v>
      </c>
      <c r="Y1313" s="37">
        <v>35905</v>
      </c>
      <c r="Z1313">
        <v>5.8166029999999997</v>
      </c>
      <c r="AA1313" s="36">
        <f>IF(ISBLANK(Z1314),"",Long6[[#This Row],[Adj Close]]/Z1314-1)</f>
        <v>-5.2079218013036943E-3</v>
      </c>
      <c r="AK1313" s="37">
        <v>35905</v>
      </c>
      <c r="AL1313" s="39">
        <v>4.8126309999999997</v>
      </c>
      <c r="AM1313" s="36">
        <f>IF(ISBLANK(AL1314),"",Short1[[#This Row],[Adj Close]]/AL1314-1)</f>
        <v>-5.0905948473632168E-2</v>
      </c>
      <c r="AN1313" s="29">
        <v>35905</v>
      </c>
      <c r="AO1313" s="44">
        <v>11.689379000000001</v>
      </c>
      <c r="AP1313" s="33">
        <f>IF(ISBLANK(AO1314),"",Short2[[#This Row],[Adj Close]]/AO1314-1)</f>
        <v>-0.10416679599077627</v>
      </c>
    </row>
    <row r="1314" spans="1:42" x14ac:dyDescent="0.25">
      <c r="A1314" s="37">
        <v>35898</v>
      </c>
      <c r="B1314" s="39">
        <v>1122.719971</v>
      </c>
      <c r="C1314" s="36">
        <f>IF(ISBLANK(B1315), "", GSPC[[#This Row],[Adj Close]]/B1315-1)</f>
        <v>1.0849241019054601E-2</v>
      </c>
      <c r="D131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1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14" s="11" t="e">
        <f>IF(ISBLANK(GSPC[[#This Row],[Long Exp.]]), "", (GSPC[[#This Row],[Long Exp.]]/D1315-1)+(E1315/GSPC[[#This Row],[Short Exp.]]-1))</f>
        <v>#VALUE!</v>
      </c>
      <c r="G1314" s="37">
        <v>35898</v>
      </c>
      <c r="H1314">
        <v>9.8414900000000003</v>
      </c>
      <c r="I1314" s="36">
        <f>IF(ISBLANK(H1315), "", Long0[[#This Row],[Adj Close]]/H1315-1)</f>
        <v>4.0200956692019174E-2</v>
      </c>
      <c r="M1314" s="37">
        <v>35898</v>
      </c>
      <c r="N1314">
        <v>27.52664</v>
      </c>
      <c r="O1314" s="36">
        <f>IF(ISBLANK(N1315),"",Long2[[#This Row],[Adj Close]]/N1315-1)</f>
        <v>-6.6660375625668955E-3</v>
      </c>
      <c r="P1314" s="29">
        <v>35898</v>
      </c>
      <c r="Q1314">
        <v>3.4678979999999999</v>
      </c>
      <c r="R1314" s="33">
        <f>IF(ISBLANK(Q1315),"",Long3[[#This Row],[Adj Close]]/Q1315-1)</f>
        <v>-2.8645710790080381E-2</v>
      </c>
      <c r="S1314" s="37">
        <v>35898</v>
      </c>
      <c r="T1314">
        <v>13.162248999999999</v>
      </c>
      <c r="U1314" s="36">
        <f>IF(ISBLANK(T1315),"",Long4[[#This Row],[Adj Close]]/T1315-1)</f>
        <v>-1.2000046539156983E-2</v>
      </c>
      <c r="Y1314" s="37">
        <v>35898</v>
      </c>
      <c r="Z1314">
        <v>5.847054</v>
      </c>
      <c r="AA1314" s="36">
        <f>IF(ISBLANK(Z1315),"",Long6[[#This Row],[Adj Close]]/Z1315-1)</f>
        <v>-3.9999960595539341E-2</v>
      </c>
      <c r="AK1314" s="37">
        <v>35898</v>
      </c>
      <c r="AL1314" s="39">
        <v>5.0707630000000004</v>
      </c>
      <c r="AM1314" s="36">
        <f>IF(ISBLANK(AL1315),"",Short1[[#This Row],[Adj Close]]/AL1315-1)</f>
        <v>-1.7228026145806874E-3</v>
      </c>
      <c r="AN1314" s="29">
        <v>35898</v>
      </c>
      <c r="AO1314" s="44">
        <v>13.048610999999999</v>
      </c>
      <c r="AP1314" s="33">
        <f>IF(ISBLANK(AO1315),"",Short2[[#This Row],[Adj Close]]/AO1315-1)</f>
        <v>2.4911455504053936E-2</v>
      </c>
    </row>
    <row r="1315" spans="1:42" x14ac:dyDescent="0.25">
      <c r="A1315" s="37">
        <v>35891</v>
      </c>
      <c r="B1315" s="39">
        <v>1110.670044</v>
      </c>
      <c r="C1315" s="36">
        <f>IF(ISBLANK(B1316), "", GSPC[[#This Row],[Adj Close]]/B1316-1)</f>
        <v>-1.0715157677957388E-2</v>
      </c>
      <c r="D131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1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15" s="11" t="e">
        <f>IF(ISBLANK(GSPC[[#This Row],[Long Exp.]]), "", (GSPC[[#This Row],[Long Exp.]]/D1316-1)+(E1316/GSPC[[#This Row],[Short Exp.]]-1))</f>
        <v>#VALUE!</v>
      </c>
      <c r="G1315" s="37">
        <v>35891</v>
      </c>
      <c r="H1315">
        <v>9.4611429999999999</v>
      </c>
      <c r="I1315" s="36">
        <f>IF(ISBLANK(H1316), "", Long0[[#This Row],[Adj Close]]/H1316-1)</f>
        <v>8.9256679036564091E-2</v>
      </c>
      <c r="M1315" s="37">
        <v>35891</v>
      </c>
      <c r="N1315">
        <v>27.711365000000001</v>
      </c>
      <c r="O1315" s="36">
        <f>IF(ISBLANK(N1316),"",Long2[[#This Row],[Adj Close]]/N1316-1)</f>
        <v>-2.2801422965193496E-2</v>
      </c>
      <c r="P1315" s="29">
        <v>35891</v>
      </c>
      <c r="Q1315">
        <v>3.5701679999999998</v>
      </c>
      <c r="R1315" s="33">
        <f>IF(ISBLANK(Q1316),"",Long3[[#This Row],[Adj Close]]/Q1316-1)</f>
        <v>1.8567584770363688E-2</v>
      </c>
      <c r="S1315" s="37">
        <v>35891</v>
      </c>
      <c r="T1315">
        <v>13.322115</v>
      </c>
      <c r="U1315" s="36">
        <f>IF(ISBLANK(T1316),"",Long4[[#This Row],[Adj Close]]/T1316-1)</f>
        <v>8.695659268729794E-2</v>
      </c>
      <c r="Y1315" s="37">
        <v>35891</v>
      </c>
      <c r="Z1315">
        <v>6.090681</v>
      </c>
      <c r="AA1315" s="36">
        <f>IF(ISBLANK(Z1316),"",Long6[[#This Row],[Adj Close]]/Z1316-1)</f>
        <v>0</v>
      </c>
      <c r="AK1315" s="37">
        <v>35891</v>
      </c>
      <c r="AL1315" s="39">
        <v>5.0795139999999996</v>
      </c>
      <c r="AM1315" s="36">
        <f>IF(ISBLANK(AL1316),"",Short1[[#This Row],[Adj Close]]/AL1316-1)</f>
        <v>7.8124844994322817E-3</v>
      </c>
      <c r="AN1315" s="29">
        <v>35891</v>
      </c>
      <c r="AO1315" s="44">
        <v>12.731452000000001</v>
      </c>
      <c r="AP1315" s="33">
        <f>IF(ISBLANK(AO1316),"",Short2[[#This Row],[Adj Close]]/AO1316-1)</f>
        <v>1.2612467297659968E-2</v>
      </c>
    </row>
    <row r="1316" spans="1:42" x14ac:dyDescent="0.25">
      <c r="A1316" s="37">
        <v>35884</v>
      </c>
      <c r="B1316" s="39">
        <v>1122.6999510000001</v>
      </c>
      <c r="C1316" s="36">
        <f>IF(ISBLANK(B1317), "", GSPC[[#This Row],[Adj Close]]/B1317-1)</f>
        <v>2.4884988194893598E-2</v>
      </c>
      <c r="D131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1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16" s="11" t="e">
        <f>IF(ISBLANK(GSPC[[#This Row],[Long Exp.]]), "", (GSPC[[#This Row],[Long Exp.]]/D1317-1)+(E1317/GSPC[[#This Row],[Short Exp.]]-1))</f>
        <v>#VALUE!</v>
      </c>
      <c r="G1316" s="37">
        <v>35884</v>
      </c>
      <c r="H1316">
        <v>8.6858710000000006</v>
      </c>
      <c r="I1316" s="36">
        <f>IF(ISBLANK(H1317), "", Long0[[#This Row],[Adj Close]]/H1317-1)</f>
        <v>-4.1885006182172724E-2</v>
      </c>
      <c r="M1316" s="37">
        <v>35884</v>
      </c>
      <c r="N1316">
        <v>28.357966999999999</v>
      </c>
      <c r="O1316" s="36">
        <f>IF(ISBLANK(N1317),"",Long2[[#This Row],[Adj Close]]/N1317-1)</f>
        <v>-3.2468853977221102E-3</v>
      </c>
      <c r="P1316" s="29">
        <v>35884</v>
      </c>
      <c r="Q1316">
        <v>3.5050870000000001</v>
      </c>
      <c r="R1316" s="33">
        <f>IF(ISBLANK(Q1317),"",Long3[[#This Row],[Adj Close]]/Q1317-1)</f>
        <v>1.6172542684710578E-2</v>
      </c>
      <c r="S1316" s="37">
        <v>35884</v>
      </c>
      <c r="T1316">
        <v>12.256345</v>
      </c>
      <c r="U1316" s="36">
        <f>IF(ISBLANK(T1317),"",Long4[[#This Row],[Adj Close]]/T1317-1)</f>
        <v>8.7716879602093289E-3</v>
      </c>
      <c r="Y1316" s="37">
        <v>35884</v>
      </c>
      <c r="Z1316">
        <v>6.090681</v>
      </c>
      <c r="AA1316" s="36">
        <f>IF(ISBLANK(Z1317),"",Long6[[#This Row],[Adj Close]]/Z1317-1)</f>
        <v>1.0100874410736704E-2</v>
      </c>
      <c r="AK1316" s="37">
        <v>35884</v>
      </c>
      <c r="AL1316" s="39">
        <v>5.0401379999999998</v>
      </c>
      <c r="AM1316" s="36">
        <f>IF(ISBLANK(AL1317),"",Short1[[#This Row],[Adj Close]]/AL1317-1)</f>
        <v>8.9877156475909326E-2</v>
      </c>
      <c r="AN1316" s="29">
        <v>35884</v>
      </c>
      <c r="AO1316" s="44">
        <v>12.572877</v>
      </c>
      <c r="AP1316" s="33">
        <f>IF(ISBLANK(AO1317),"",Short2[[#This Row],[Adj Close]]/AO1317-1)</f>
        <v>5.7143037316934153E-2</v>
      </c>
    </row>
    <row r="1317" spans="1:42" x14ac:dyDescent="0.25">
      <c r="A1317" s="37">
        <v>35877</v>
      </c>
      <c r="B1317" s="39">
        <v>1095.4399410000001</v>
      </c>
      <c r="C1317" s="36">
        <f>IF(ISBLANK(B1318), "", GSPC[[#This Row],[Adj Close]]/B1318-1)</f>
        <v>-3.3844871401136345E-3</v>
      </c>
      <c r="D131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1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17" s="11" t="e">
        <f>IF(ISBLANK(GSPC[[#This Row],[Long Exp.]]), "", (GSPC[[#This Row],[Long Exp.]]/D1318-1)+(E1318/GSPC[[#This Row],[Short Exp.]]-1))</f>
        <v>#VALUE!</v>
      </c>
      <c r="G1317" s="37">
        <v>35877</v>
      </c>
      <c r="H1317">
        <v>9.0655830000000002</v>
      </c>
      <c r="I1317" s="36">
        <f>IF(ISBLANK(H1318), "", Long0[[#This Row],[Adj Close]]/H1318-1)</f>
        <v>6.4066411314976035E-2</v>
      </c>
      <c r="M1317" s="37">
        <v>35877</v>
      </c>
      <c r="N1317">
        <v>28.450341999999999</v>
      </c>
      <c r="O1317" s="36">
        <f>IF(ISBLANK(N1318),"",Long2[[#This Row],[Adj Close]]/N1318-1)</f>
        <v>4.2301661628691534E-2</v>
      </c>
      <c r="P1317" s="29">
        <v>35877</v>
      </c>
      <c r="Q1317">
        <v>3.449303</v>
      </c>
      <c r="R1317" s="33">
        <f>IF(ISBLANK(Q1318),"",Long3[[#This Row],[Adj Close]]/Q1318-1)</f>
        <v>5.4195778716359388E-3</v>
      </c>
      <c r="S1317" s="37">
        <v>35877</v>
      </c>
      <c r="T1317">
        <v>12.149770999999999</v>
      </c>
      <c r="U1317" s="36">
        <f>IF(ISBLANK(T1318),"",Long4[[#This Row],[Adj Close]]/T1318-1)</f>
        <v>0.13432849894888244</v>
      </c>
      <c r="Y1317" s="37">
        <v>35877</v>
      </c>
      <c r="Z1317">
        <v>6.0297749999999999</v>
      </c>
      <c r="AA1317" s="36">
        <f>IF(ISBLANK(Z1318),"",Long6[[#This Row],[Adj Close]]/Z1318-1)</f>
        <v>3.6648882517854586E-2</v>
      </c>
      <c r="AK1317" s="37">
        <v>35877</v>
      </c>
      <c r="AL1317" s="39">
        <v>4.6245010000000004</v>
      </c>
      <c r="AM1317" s="36">
        <f>IF(ISBLANK(AL1318),"",Short1[[#This Row],[Adj Close]]/AL1318-1)</f>
        <v>-1.6744573704806531E-2</v>
      </c>
      <c r="AN1317" s="29">
        <v>35877</v>
      </c>
      <c r="AO1317" s="44">
        <v>11.89326</v>
      </c>
      <c r="AP1317" s="33">
        <f>IF(ISBLANK(AO1318),"",Short2[[#This Row],[Adj Close]]/AO1318-1)</f>
        <v>4.9999841086488139E-2</v>
      </c>
    </row>
    <row r="1318" spans="1:42" x14ac:dyDescent="0.25">
      <c r="A1318" s="37">
        <v>35870</v>
      </c>
      <c r="B1318" s="39">
        <v>1099.160034</v>
      </c>
      <c r="C1318" s="36">
        <f>IF(ISBLANK(B1319), "", GSPC[[#This Row],[Adj Close]]/B1319-1)</f>
        <v>2.8588586508481839E-2</v>
      </c>
      <c r="D131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1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18" s="11" t="e">
        <f>IF(ISBLANK(GSPC[[#This Row],[Long Exp.]]), "", (GSPC[[#This Row],[Long Exp.]]/D1319-1)+(E1319/GSPC[[#This Row],[Short Exp.]]-1))</f>
        <v>#VALUE!</v>
      </c>
      <c r="G1318" s="37">
        <v>35870</v>
      </c>
      <c r="H1318">
        <v>8.5197529999999997</v>
      </c>
      <c r="I1318" s="36">
        <f>IF(ISBLANK(H1319), "", Long0[[#This Row],[Adj Close]]/H1319-1)</f>
        <v>9.4513041912072104E-2</v>
      </c>
      <c r="M1318" s="37">
        <v>35870</v>
      </c>
      <c r="N1318">
        <v>27.295688999999999</v>
      </c>
      <c r="O1318" s="36">
        <f>IF(ISBLANK(N1319),"",Long2[[#This Row],[Adj Close]]/N1319-1)</f>
        <v>-4.5671690506429163E-3</v>
      </c>
      <c r="P1318" s="29">
        <v>35870</v>
      </c>
      <c r="Q1318">
        <v>3.4307099999999999</v>
      </c>
      <c r="R1318" s="33">
        <f>IF(ISBLANK(Q1319),"",Long3[[#This Row],[Adj Close]]/Q1319-1)</f>
        <v>3.0726725268729771E-2</v>
      </c>
      <c r="S1318" s="37">
        <v>35870</v>
      </c>
      <c r="T1318">
        <v>10.710981</v>
      </c>
      <c r="U1318" s="36">
        <f>IF(ISBLANK(T1319),"",Long4[[#This Row],[Adj Close]]/T1319-1)</f>
        <v>5.000144965734199E-3</v>
      </c>
      <c r="Y1318" s="37">
        <v>35870</v>
      </c>
      <c r="Z1318">
        <v>5.8166029999999997</v>
      </c>
      <c r="AA1318" s="36">
        <f>IF(ISBLANK(Z1319),"",Long6[[#This Row],[Adj Close]]/Z1319-1)</f>
        <v>-4.4999565730006297E-2</v>
      </c>
      <c r="AK1318" s="37">
        <v>35870</v>
      </c>
      <c r="AL1318" s="39">
        <v>4.7032550000000004</v>
      </c>
      <c r="AM1318" s="36">
        <f>IF(ISBLANK(AL1319),"",Short1[[#This Row],[Adj Close]]/AL1319-1)</f>
        <v>-1.7366987159398106E-2</v>
      </c>
      <c r="AN1318" s="29">
        <v>35870</v>
      </c>
      <c r="AO1318" s="44">
        <v>11.326916000000001</v>
      </c>
      <c r="AP1318" s="33">
        <f>IF(ISBLANK(AO1319),"",Short2[[#This Row],[Adj Close]]/AO1319-1)</f>
        <v>6.3829891146112372E-2</v>
      </c>
    </row>
    <row r="1319" spans="1:42" x14ac:dyDescent="0.25">
      <c r="A1319" s="37">
        <v>35863</v>
      </c>
      <c r="B1319" s="39">
        <v>1068.6099850000001</v>
      </c>
      <c r="C1319" s="36">
        <f>IF(ISBLANK(B1320), "", GSPC[[#This Row],[Adj Close]]/B1320-1)</f>
        <v>1.2238483571948677E-2</v>
      </c>
      <c r="D131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1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19" s="11" t="e">
        <f>IF(ISBLANK(GSPC[[#This Row],[Long Exp.]]), "", (GSPC[[#This Row],[Long Exp.]]/D1320-1)+(E1320/GSPC[[#This Row],[Short Exp.]]-1))</f>
        <v>#VALUE!</v>
      </c>
      <c r="G1319" s="37">
        <v>35863</v>
      </c>
      <c r="H1319">
        <v>7.7840579999999999</v>
      </c>
      <c r="I1319" s="36">
        <f>IF(ISBLANK(H1320), "", Long0[[#This Row],[Adj Close]]/H1320-1)</f>
        <v>-3.2448651112458315E-2</v>
      </c>
      <c r="M1319" s="37">
        <v>35863</v>
      </c>
      <c r="N1319">
        <v>27.420925</v>
      </c>
      <c r="O1319" s="36">
        <f>IF(ISBLANK(N1320),"",Long2[[#This Row],[Adj Close]]/N1320-1)</f>
        <v>8.4746155421364655E-3</v>
      </c>
      <c r="P1319" s="29">
        <v>35863</v>
      </c>
      <c r="Q1319">
        <v>3.3284379999999998</v>
      </c>
      <c r="R1319" s="33">
        <f>IF(ISBLANK(Q1320),"",Long3[[#This Row],[Adj Close]]/Q1320-1)</f>
        <v>1.6307326556603607E-2</v>
      </c>
      <c r="S1319" s="37">
        <v>35863</v>
      </c>
      <c r="T1319">
        <v>10.657691</v>
      </c>
      <c r="U1319" s="36">
        <f>IF(ISBLANK(T1320),"",Long4[[#This Row],[Adj Close]]/T1320-1)</f>
        <v>0.20481907689281509</v>
      </c>
      <c r="Y1319" s="37">
        <v>35863</v>
      </c>
      <c r="Z1319">
        <v>6.090681</v>
      </c>
      <c r="AA1319" s="36">
        <f>IF(ISBLANK(Z1320),"",Long6[[#This Row],[Adj Close]]/Z1320-1)</f>
        <v>0.26582304525466061</v>
      </c>
      <c r="AK1319" s="37">
        <v>35863</v>
      </c>
      <c r="AL1319" s="39">
        <v>4.7863800000000003</v>
      </c>
      <c r="AM1319" s="36">
        <f>IF(ISBLANK(AL1320),"",Short1[[#This Row],[Adj Close]]/AL1320-1)</f>
        <v>3.5984508650952707E-2</v>
      </c>
      <c r="AN1319" s="29">
        <v>35863</v>
      </c>
      <c r="AO1319" s="44">
        <v>10.6473</v>
      </c>
      <c r="AP1319" s="33">
        <f>IF(ISBLANK(AO1320),"",Short2[[#This Row],[Adj Close]]/AO1320-1)</f>
        <v>2.1321178953050968E-3</v>
      </c>
    </row>
    <row r="1320" spans="1:42" x14ac:dyDescent="0.25">
      <c r="A1320" s="37">
        <v>35856</v>
      </c>
      <c r="B1320" s="39">
        <v>1055.6899410000001</v>
      </c>
      <c r="C1320" s="36">
        <f>IF(ISBLANK(B1321), "", GSPC[[#This Row],[Adj Close]]/B1321-1)</f>
        <v>6.0513991706669934E-3</v>
      </c>
      <c r="D132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2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20" s="11" t="e">
        <f>IF(ISBLANK(GSPC[[#This Row],[Long Exp.]]), "", (GSPC[[#This Row],[Long Exp.]]/D1321-1)+(E1321/GSPC[[#This Row],[Short Exp.]]-1))</f>
        <v>#VALUE!</v>
      </c>
      <c r="G1320" s="37">
        <v>35856</v>
      </c>
      <c r="H1320">
        <v>8.0451110000000003</v>
      </c>
      <c r="I1320" s="36">
        <f>IF(ISBLANK(H1321), "", Long0[[#This Row],[Adj Close]]/H1321-1)</f>
        <v>3.9877356915108519E-2</v>
      </c>
      <c r="M1320" s="37">
        <v>35856</v>
      </c>
      <c r="N1320">
        <v>27.190496</v>
      </c>
      <c r="O1320" s="36">
        <f>IF(ISBLANK(N1321),"",Long2[[#This Row],[Adj Close]]/N1321-1)</f>
        <v>-3.436987462272667E-2</v>
      </c>
      <c r="P1320" s="29">
        <v>35856</v>
      </c>
      <c r="Q1320">
        <v>3.2750309999999998</v>
      </c>
      <c r="R1320" s="33">
        <f>IF(ISBLANK(Q1321),"",Long3[[#This Row],[Adj Close]]/Q1321-1)</f>
        <v>2.7937109048115083E-3</v>
      </c>
      <c r="S1320" s="37">
        <v>35856</v>
      </c>
      <c r="T1320">
        <v>8.8458850000000009</v>
      </c>
      <c r="U1320" s="36">
        <f>IF(ISBLANK(T1321),"",Long4[[#This Row],[Adj Close]]/T1321-1)</f>
        <v>8.4967183179576633E-2</v>
      </c>
      <c r="Y1320" s="37">
        <v>35856</v>
      </c>
      <c r="Z1320">
        <v>4.8116370000000002</v>
      </c>
      <c r="AA1320" s="36">
        <f>IF(ISBLANK(Z1321),"",Long6[[#This Row],[Adj Close]]/Z1321-1)</f>
        <v>3.9472922409546918E-2</v>
      </c>
      <c r="AK1320" s="37">
        <v>35856</v>
      </c>
      <c r="AL1320" s="39">
        <v>4.6201270000000001</v>
      </c>
      <c r="AM1320" s="36">
        <f>IF(ISBLANK(AL1321),"",Short1[[#This Row],[Adj Close]]/AL1321-1)</f>
        <v>0.10807991099149095</v>
      </c>
      <c r="AN1320" s="29">
        <v>35856</v>
      </c>
      <c r="AO1320" s="44">
        <v>10.624647</v>
      </c>
      <c r="AP1320" s="33">
        <f>IF(ISBLANK(AO1321),"",Short2[[#This Row],[Adj Close]]/AO1321-1)</f>
        <v>4.9216764522753476E-2</v>
      </c>
    </row>
    <row r="1321" spans="1:42" x14ac:dyDescent="0.25">
      <c r="A1321" s="37">
        <v>35849</v>
      </c>
      <c r="B1321" s="39">
        <v>1049.339966</v>
      </c>
      <c r="C1321" s="36">
        <f>IF(ISBLANK(B1322), "", GSPC[[#This Row],[Adj Close]]/B1322-1)</f>
        <v>1.4629529370777439E-2</v>
      </c>
      <c r="D132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2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21" s="11" t="e">
        <f>IF(ISBLANK(GSPC[[#This Row],[Long Exp.]]), "", (GSPC[[#This Row],[Long Exp.]]/D1322-1)+(E1322/GSPC[[#This Row],[Short Exp.]]-1))</f>
        <v>#VALUE!</v>
      </c>
      <c r="G1321" s="37">
        <v>35849</v>
      </c>
      <c r="H1321">
        <v>7.7365959999999996</v>
      </c>
      <c r="I1321" s="36">
        <f>IF(ISBLANK(H1322), "", Long0[[#This Row],[Adj Close]]/H1322-1)</f>
        <v>-6.097333807122296E-3</v>
      </c>
      <c r="M1321" s="37">
        <v>35849</v>
      </c>
      <c r="N1321">
        <v>28.158293</v>
      </c>
      <c r="O1321" s="36">
        <f>IF(ISBLANK(N1322),"",Long2[[#This Row],[Adj Close]]/N1322-1)</f>
        <v>3.035418632926179E-2</v>
      </c>
      <c r="P1321" s="29">
        <v>35849</v>
      </c>
      <c r="Q1321">
        <v>3.2659069999999999</v>
      </c>
      <c r="R1321" s="33">
        <f>IF(ISBLANK(Q1322),"",Long3[[#This Row],[Adj Close]]/Q1322-1)</f>
        <v>5.6178875757391111E-3</v>
      </c>
      <c r="S1321" s="37">
        <v>35849</v>
      </c>
      <c r="T1321">
        <v>8.1531359999999999</v>
      </c>
      <c r="U1321" s="36">
        <f>IF(ISBLANK(T1322),"",Long4[[#This Row],[Adj Close]]/T1322-1)</f>
        <v>6.2500105883347867E-2</v>
      </c>
      <c r="Y1321" s="37">
        <v>35849</v>
      </c>
      <c r="Z1321">
        <v>4.6289199999999999</v>
      </c>
      <c r="AA1321" s="36">
        <f>IF(ISBLANK(Z1322),"",Long6[[#This Row],[Adj Close]]/Z1322-1)</f>
        <v>-7.31705363650198E-2</v>
      </c>
      <c r="AK1321" s="37">
        <v>35849</v>
      </c>
      <c r="AL1321" s="39">
        <v>4.1694889999999996</v>
      </c>
      <c r="AM1321" s="36">
        <f>IF(ISBLANK(AL1322),"",Short1[[#This Row],[Adj Close]]/AL1322-1)</f>
        <v>0.10813920359410645</v>
      </c>
      <c r="AN1321" s="29">
        <v>35849</v>
      </c>
      <c r="AO1321" s="44">
        <v>10.126265</v>
      </c>
      <c r="AP1321" s="33">
        <f>IF(ISBLANK(AO1322),"",Short2[[#This Row],[Adj Close]]/AO1322-1)</f>
        <v>6.7566056109851225E-3</v>
      </c>
    </row>
    <row r="1322" spans="1:42" x14ac:dyDescent="0.25">
      <c r="A1322" s="37">
        <v>35842</v>
      </c>
      <c r="B1322" s="39">
        <v>1034.209961</v>
      </c>
      <c r="C1322" s="36">
        <f>IF(ISBLANK(B1323), "", GSPC[[#This Row],[Adj Close]]/B1323-1)</f>
        <v>1.3841850842837511E-2</v>
      </c>
      <c r="D132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2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22" s="11" t="e">
        <f>IF(ISBLANK(GSPC[[#This Row],[Long Exp.]]), "", (GSPC[[#This Row],[Long Exp.]]/D1323-1)+(E1323/GSPC[[#This Row],[Short Exp.]]-1))</f>
        <v>#VALUE!</v>
      </c>
      <c r="G1322" s="37">
        <v>35842</v>
      </c>
      <c r="H1322">
        <v>7.7840579999999999</v>
      </c>
      <c r="I1322" s="36">
        <f>IF(ISBLANK(H1323), "", Long0[[#This Row],[Adj Close]]/H1323-1)</f>
        <v>0.108107746446793</v>
      </c>
      <c r="M1322" s="37">
        <v>35842</v>
      </c>
      <c r="N1322">
        <v>27.328751</v>
      </c>
      <c r="O1322" s="36">
        <f>IF(ISBLANK(N1323),"",Long2[[#This Row],[Adj Close]]/N1323-1)</f>
        <v>5.8928109638205051E-2</v>
      </c>
      <c r="P1322" s="29">
        <v>35842</v>
      </c>
      <c r="Q1322">
        <v>3.247662</v>
      </c>
      <c r="R1322" s="33">
        <f>IF(ISBLANK(Q1323),"",Long3[[#This Row],[Adj Close]]/Q1323-1)</f>
        <v>0</v>
      </c>
      <c r="S1322" s="37">
        <v>35842</v>
      </c>
      <c r="T1322">
        <v>7.6735389999999999</v>
      </c>
      <c r="U1322" s="36">
        <f>IF(ISBLANK(T1323),"",Long4[[#This Row],[Adj Close]]/T1323-1)</f>
        <v>-5.8823623204617204E-2</v>
      </c>
      <c r="Y1322" s="37">
        <v>35842</v>
      </c>
      <c r="Z1322">
        <v>4.9943600000000004</v>
      </c>
      <c r="AA1322" s="36">
        <f>IF(ISBLANK(Z1323),"",Long6[[#This Row],[Adj Close]]/Z1323-1)</f>
        <v>-1.2048030706989343E-2</v>
      </c>
      <c r="AK1322" s="37">
        <v>35842</v>
      </c>
      <c r="AL1322" s="39">
        <v>3.7626040000000001</v>
      </c>
      <c r="AM1322" s="36">
        <f>IF(ISBLANK(AL1323),"",Short1[[#This Row],[Adj Close]]/AL1323-1)</f>
        <v>-4.3381117615233444E-2</v>
      </c>
      <c r="AN1322" s="29">
        <v>35842</v>
      </c>
      <c r="AO1322" s="44">
        <v>10.058305000000001</v>
      </c>
      <c r="AP1322" s="33">
        <f>IF(ISBLANK(AO1323),"",Short2[[#This Row],[Adj Close]]/AO1323-1)</f>
        <v>-1.9867400597221474E-2</v>
      </c>
    </row>
    <row r="1323" spans="1:42" x14ac:dyDescent="0.25">
      <c r="A1323" s="37">
        <v>35835</v>
      </c>
      <c r="B1323" s="39">
        <v>1020.090027</v>
      </c>
      <c r="C1323" s="36">
        <f>IF(ISBLANK(B1324), "", GSPC[[#This Row],[Adj Close]]/B1324-1)</f>
        <v>7.5361049663251745E-3</v>
      </c>
      <c r="D132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2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23" s="11" t="e">
        <f>IF(ISBLANK(GSPC[[#This Row],[Long Exp.]]), "", (GSPC[[#This Row],[Long Exp.]]/D1324-1)+(E1324/GSPC[[#This Row],[Short Exp.]]-1))</f>
        <v>#VALUE!</v>
      </c>
      <c r="G1323" s="37">
        <v>35835</v>
      </c>
      <c r="H1323">
        <v>7.0246399999999998</v>
      </c>
      <c r="I1323" s="36">
        <f>IF(ISBLANK(H1324), "", Long0[[#This Row],[Adj Close]]/H1324-1)</f>
        <v>-6.6245966208467899E-2</v>
      </c>
      <c r="M1323" s="37">
        <v>35835</v>
      </c>
      <c r="N1323">
        <v>25.807938</v>
      </c>
      <c r="O1323" s="36">
        <f>IF(ISBLANK(N1324),"",Long2[[#This Row],[Adj Close]]/N1324-1)</f>
        <v>3.5120834243297816E-2</v>
      </c>
      <c r="P1323" s="29">
        <v>35835</v>
      </c>
      <c r="Q1323">
        <v>3.247662</v>
      </c>
      <c r="R1323" s="33">
        <f>IF(ISBLANK(Q1324),"",Long3[[#This Row],[Adj Close]]/Q1324-1)</f>
        <v>-2.8009226279667176E-3</v>
      </c>
      <c r="S1323" s="37">
        <v>35835</v>
      </c>
      <c r="T1323">
        <v>8.1531359999999999</v>
      </c>
      <c r="U1323" s="36">
        <f>IF(ISBLANK(T1324),"",Long4[[#This Row],[Adj Close]]/T1324-1)</f>
        <v>0</v>
      </c>
      <c r="Y1323" s="37">
        <v>35835</v>
      </c>
      <c r="Z1323">
        <v>5.0552659999999996</v>
      </c>
      <c r="AA1323" s="36">
        <f>IF(ISBLANK(Z1324),"",Long6[[#This Row],[Adj Close]]/Z1324-1)</f>
        <v>6.4102766500565789E-2</v>
      </c>
      <c r="AK1323" s="37">
        <v>35835</v>
      </c>
      <c r="AL1323" s="39">
        <v>3.9332319999999998</v>
      </c>
      <c r="AM1323" s="36">
        <f>IF(ISBLANK(AL1324),"",Short1[[#This Row],[Adj Close]]/AL1324-1)</f>
        <v>3.5714097625765939E-2</v>
      </c>
      <c r="AN1323" s="29">
        <v>35835</v>
      </c>
      <c r="AO1323" s="44">
        <v>10.262188</v>
      </c>
      <c r="AP1323" s="33">
        <f>IF(ISBLANK(AO1324),"",Short2[[#This Row],[Adj Close]]/AO1324-1)</f>
        <v>6.1397438274953586E-2</v>
      </c>
    </row>
    <row r="1324" spans="1:42" x14ac:dyDescent="0.25">
      <c r="A1324" s="37">
        <v>35828</v>
      </c>
      <c r="B1324" s="39">
        <v>1012.460022</v>
      </c>
      <c r="C1324" s="36">
        <f>IF(ISBLANK(B1325), "", GSPC[[#This Row],[Adj Close]]/B1325-1)</f>
        <v>3.2827347337502477E-2</v>
      </c>
      <c r="D132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2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24" s="11" t="e">
        <f>IF(ISBLANK(GSPC[[#This Row],[Long Exp.]]), "", (GSPC[[#This Row],[Long Exp.]]/D1325-1)+(E1325/GSPC[[#This Row],[Short Exp.]]-1))</f>
        <v>#VALUE!</v>
      </c>
      <c r="G1324" s="37">
        <v>35828</v>
      </c>
      <c r="H1324">
        <v>7.5230090000000001</v>
      </c>
      <c r="I1324" s="36">
        <f>IF(ISBLANK(H1325), "", Long0[[#This Row],[Adj Close]]/H1325-1)</f>
        <v>0.10069431591483857</v>
      </c>
      <c r="M1324" s="37">
        <v>35828</v>
      </c>
      <c r="N1324">
        <v>24.932295</v>
      </c>
      <c r="O1324" s="36">
        <f>IF(ISBLANK(N1325),"",Long2[[#This Row],[Adj Close]]/N1325-1)</f>
        <v>4.8449113078137707E-2</v>
      </c>
      <c r="P1324" s="29">
        <v>35828</v>
      </c>
      <c r="Q1324">
        <v>3.2567840000000001</v>
      </c>
      <c r="R1324" s="33">
        <f>IF(ISBLANK(Q1325),"",Long3[[#This Row],[Adj Close]]/Q1325-1)</f>
        <v>1.7094059801726846E-2</v>
      </c>
      <c r="S1324" s="37">
        <v>35828</v>
      </c>
      <c r="T1324">
        <v>8.1531359999999999</v>
      </c>
      <c r="U1324" s="36">
        <f>IF(ISBLANK(T1325),"",Long4[[#This Row],[Adj Close]]/T1325-1)</f>
        <v>6.5791374305141925E-3</v>
      </c>
      <c r="Y1324" s="37">
        <v>35828</v>
      </c>
      <c r="Z1324">
        <v>4.750731</v>
      </c>
      <c r="AA1324" s="36">
        <f>IF(ISBLANK(Z1325),"",Long6[[#This Row],[Adj Close]]/Z1325-1)</f>
        <v>-2.5000277062545928E-2</v>
      </c>
      <c r="AK1324" s="37">
        <v>35828</v>
      </c>
      <c r="AL1324" s="39">
        <v>3.7976040000000002</v>
      </c>
      <c r="AM1324" s="36">
        <f>IF(ISBLANK(AL1325),"",Short1[[#This Row],[Adj Close]]/AL1325-1)</f>
        <v>6.8965303701685299E-2</v>
      </c>
      <c r="AN1324" s="29">
        <v>35828</v>
      </c>
      <c r="AO1324" s="44">
        <v>9.6685630000000007</v>
      </c>
      <c r="AP1324" s="33">
        <f>IF(ISBLANK(AO1325),"",Short2[[#This Row],[Adj Close]]/AO1325-1)</f>
        <v>8.6513975466756321E-2</v>
      </c>
    </row>
    <row r="1325" spans="1:42" x14ac:dyDescent="0.25">
      <c r="A1325" s="37">
        <v>35821</v>
      </c>
      <c r="B1325" s="39">
        <v>980.28002900000001</v>
      </c>
      <c r="C1325" s="36">
        <f>IF(ISBLANK(B1326), "", GSPC[[#This Row],[Adj Close]]/B1326-1)</f>
        <v>2.3694902160880549E-2</v>
      </c>
      <c r="D132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2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25" s="11" t="e">
        <f>IF(ISBLANK(GSPC[[#This Row],[Long Exp.]]), "", (GSPC[[#This Row],[Long Exp.]]/D1326-1)+(E1326/GSPC[[#This Row],[Short Exp.]]-1))</f>
        <v>#VALUE!</v>
      </c>
      <c r="G1325" s="37">
        <v>35821</v>
      </c>
      <c r="H1325">
        <v>6.8347850000000001</v>
      </c>
      <c r="I1325" s="36">
        <f>IF(ISBLANK(H1326), "", Long0[[#This Row],[Adj Close]]/H1326-1)</f>
        <v>-1.3698122100076593E-2</v>
      </c>
      <c r="M1325" s="37">
        <v>35821</v>
      </c>
      <c r="N1325">
        <v>23.780166999999999</v>
      </c>
      <c r="O1325" s="36">
        <f>IF(ISBLANK(N1326),"",Long2[[#This Row],[Adj Close]]/N1326-1)</f>
        <v>5.5214814579469529E-2</v>
      </c>
      <c r="P1325" s="29">
        <v>35821</v>
      </c>
      <c r="Q1325">
        <v>3.202048</v>
      </c>
      <c r="R1325" s="33">
        <f>IF(ISBLANK(Q1326),"",Long3[[#This Row],[Adj Close]]/Q1326-1)</f>
        <v>-6.1497653779305717E-2</v>
      </c>
      <c r="S1325" s="37">
        <v>35821</v>
      </c>
      <c r="T1325">
        <v>8.0998459999999994</v>
      </c>
      <c r="U1325" s="36">
        <f>IF(ISBLANK(T1326),"",Long4[[#This Row],[Adj Close]]/T1326-1)</f>
        <v>-0.11627914588610311</v>
      </c>
      <c r="Y1325" s="37">
        <v>35821</v>
      </c>
      <c r="Z1325">
        <v>4.8725459999999998</v>
      </c>
      <c r="AA1325" s="36">
        <f>IF(ISBLANK(Z1326),"",Long6[[#This Row],[Adj Close]]/Z1326-1)</f>
        <v>1.2658685599100661E-2</v>
      </c>
      <c r="AK1325" s="37">
        <v>35821</v>
      </c>
      <c r="AL1325" s="39">
        <v>3.5525980000000001</v>
      </c>
      <c r="AM1325" s="36">
        <f>IF(ISBLANK(AL1326),"",Short1[[#This Row],[Adj Close]]/AL1326-1)</f>
        <v>3.5714473131057023E-2</v>
      </c>
      <c r="AN1325" s="29">
        <v>35821</v>
      </c>
      <c r="AO1325" s="44">
        <v>8.8987010000000009</v>
      </c>
      <c r="AP1325" s="33">
        <f>IF(ISBLANK(AO1326),"",Short2[[#This Row],[Adj Close]]/AO1326-1)</f>
        <v>7.9670179342409275E-2</v>
      </c>
    </row>
    <row r="1326" spans="1:42" x14ac:dyDescent="0.25">
      <c r="A1326" s="37">
        <v>35814</v>
      </c>
      <c r="B1326" s="39">
        <v>957.59002699999996</v>
      </c>
      <c r="C1326" s="36">
        <f>IF(ISBLANK(B1327), "", GSPC[[#This Row],[Adj Close]]/B1327-1)</f>
        <v>-4.0769029539275969E-3</v>
      </c>
      <c r="D132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2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26" s="11" t="e">
        <f>IF(ISBLANK(GSPC[[#This Row],[Long Exp.]]), "", (GSPC[[#This Row],[Long Exp.]]/D1327-1)+(E1327/GSPC[[#This Row],[Short Exp.]]-1))</f>
        <v>#VALUE!</v>
      </c>
      <c r="G1326" s="37">
        <v>35814</v>
      </c>
      <c r="H1326">
        <v>6.9297089999999999</v>
      </c>
      <c r="I1326" s="36">
        <f>IF(ISBLANK(H1327), "", Long0[[#This Row],[Adj Close]]/H1327-1)</f>
        <v>-6.4102993510571471E-2</v>
      </c>
      <c r="M1326" s="37">
        <v>35814</v>
      </c>
      <c r="N1326">
        <v>22.535854</v>
      </c>
      <c r="O1326" s="36">
        <f>IF(ISBLANK(N1327),"",Long2[[#This Row],[Adj Close]]/N1327-1)</f>
        <v>-1.6096118636454659E-2</v>
      </c>
      <c r="P1326" s="29">
        <v>35814</v>
      </c>
      <c r="Q1326">
        <v>3.41187</v>
      </c>
      <c r="R1326" s="33">
        <f>IF(ISBLANK(Q1327),"",Long3[[#This Row],[Adj Close]]/Q1327-1)</f>
        <v>2.1857563441742611E-2</v>
      </c>
      <c r="S1326" s="37">
        <v>35814</v>
      </c>
      <c r="T1326">
        <v>9.165616</v>
      </c>
      <c r="U1326" s="36">
        <f>IF(ISBLANK(T1327),"",Long4[[#This Row],[Adj Close]]/T1327-1)</f>
        <v>-2.2727078865795725E-2</v>
      </c>
      <c r="Y1326" s="37">
        <v>35814</v>
      </c>
      <c r="Z1326">
        <v>4.8116370000000002</v>
      </c>
      <c r="AA1326" s="36">
        <f>IF(ISBLANK(Z1327),"",Long6[[#This Row],[Adj Close]]/Z1327-1)</f>
        <v>-1.2500446378546193E-2</v>
      </c>
      <c r="AK1326" s="37">
        <v>35814</v>
      </c>
      <c r="AL1326" s="39">
        <v>3.430094</v>
      </c>
      <c r="AM1326" s="36">
        <f>IF(ISBLANK(AL1327),"",Short1[[#This Row],[Adj Close]]/AL1327-1)</f>
        <v>7.1037504020183606E-2</v>
      </c>
      <c r="AN1326" s="29">
        <v>35814</v>
      </c>
      <c r="AO1326" s="44">
        <v>8.2420550000000006</v>
      </c>
      <c r="AP1326" s="33">
        <f>IF(ISBLANK(AO1327),"",Short2[[#This Row],[Adj Close]]/AO1327-1)</f>
        <v>9.3092766113660907E-2</v>
      </c>
    </row>
    <row r="1327" spans="1:42" x14ac:dyDescent="0.25">
      <c r="A1327" s="37">
        <v>35807</v>
      </c>
      <c r="B1327" s="39">
        <v>961.51000999999997</v>
      </c>
      <c r="C1327" s="36">
        <f>IF(ISBLANK(B1328), "", GSPC[[#This Row],[Adj Close]]/B1328-1)</f>
        <v>3.6456152299892963E-2</v>
      </c>
      <c r="D132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2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27" s="11" t="e">
        <f>IF(ISBLANK(GSPC[[#This Row],[Long Exp.]]), "", (GSPC[[#This Row],[Long Exp.]]/D1328-1)+(E1328/GSPC[[#This Row],[Short Exp.]]-1))</f>
        <v>#VALUE!</v>
      </c>
      <c r="G1327" s="37">
        <v>35807</v>
      </c>
      <c r="H1327">
        <v>7.40435</v>
      </c>
      <c r="I1327" s="36">
        <f>IF(ISBLANK(H1328), "", Long0[[#This Row],[Adj Close]]/H1328-1)</f>
        <v>-2.4999726765270847E-2</v>
      </c>
      <c r="M1327" s="37">
        <v>35807</v>
      </c>
      <c r="N1327">
        <v>22.904527999999999</v>
      </c>
      <c r="O1327" s="36">
        <f>IF(ISBLANK(N1328),"",Long2[[#This Row],[Adj Close]]/N1328-1)</f>
        <v>4.6315286302977876E-2</v>
      </c>
      <c r="P1327" s="29">
        <v>35807</v>
      </c>
      <c r="Q1327">
        <v>3.3388900000000001</v>
      </c>
      <c r="R1327" s="33">
        <f>IF(ISBLANK(Q1328),"",Long3[[#This Row],[Adj Close]]/Q1328-1)</f>
        <v>-1.8766885244841713E-2</v>
      </c>
      <c r="S1327" s="37">
        <v>35807</v>
      </c>
      <c r="T1327">
        <v>9.3787680000000009</v>
      </c>
      <c r="U1327" s="36">
        <f>IF(ISBLANK(T1328),"",Long4[[#This Row],[Adj Close]]/T1328-1)</f>
        <v>-1.1235964532655296E-2</v>
      </c>
      <c r="Y1327" s="37">
        <v>35807</v>
      </c>
      <c r="Z1327">
        <v>4.8725459999999998</v>
      </c>
      <c r="AA1327" s="36">
        <f>IF(ISBLANK(Z1328),"",Long6[[#This Row],[Adj Close]]/Z1328-1)</f>
        <v>-5.8823324890348472E-2</v>
      </c>
      <c r="AK1327" s="37">
        <v>35807</v>
      </c>
      <c r="AL1327" s="39">
        <v>3.2025899999999998</v>
      </c>
      <c r="AM1327" s="36">
        <f>IF(ISBLANK(AL1328),"",Short1[[#This Row],[Adj Close]]/AL1328-1)</f>
        <v>0.12270023817052511</v>
      </c>
      <c r="AN1327" s="29">
        <v>35807</v>
      </c>
      <c r="AO1327" s="44">
        <v>7.5401239999999996</v>
      </c>
      <c r="AP1327" s="33">
        <f>IF(ISBLANK(AO1328),"",Short2[[#This Row],[Adj Close]]/AO1328-1)</f>
        <v>-8.9281747622584895E-3</v>
      </c>
    </row>
    <row r="1328" spans="1:42" x14ac:dyDescent="0.25">
      <c r="A1328" s="37">
        <v>35800</v>
      </c>
      <c r="B1328" s="39">
        <v>927.69000200000005</v>
      </c>
      <c r="C1328" s="36">
        <f>IF(ISBLANK(B1329), "", GSPC[[#This Row],[Adj Close]]/B1329-1)</f>
        <v>-4.8562086753739186E-2</v>
      </c>
      <c r="D132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2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28" s="11" t="e">
        <f>IF(ISBLANK(GSPC[[#This Row],[Long Exp.]]), "", (GSPC[[#This Row],[Long Exp.]]/D1329-1)+(E1329/GSPC[[#This Row],[Short Exp.]]-1))</f>
        <v>#VALUE!</v>
      </c>
      <c r="G1328" s="37">
        <v>35800</v>
      </c>
      <c r="H1328">
        <v>7.5942030000000003</v>
      </c>
      <c r="I1328" s="36">
        <f>IF(ISBLANK(H1329), "", Long0[[#This Row],[Adj Close]]/H1329-1)</f>
        <v>-1.1421976941127232E-3</v>
      </c>
      <c r="M1328" s="37">
        <v>35800</v>
      </c>
      <c r="N1328">
        <v>21.890656</v>
      </c>
      <c r="O1328" s="36">
        <f>IF(ISBLANK(N1329),"",Long2[[#This Row],[Adj Close]]/N1329-1)</f>
        <v>-0.11380571592353128</v>
      </c>
      <c r="P1328" s="29">
        <v>35800</v>
      </c>
      <c r="Q1328">
        <v>3.402749</v>
      </c>
      <c r="R1328" s="33">
        <f>IF(ISBLANK(Q1329),"",Long3[[#This Row],[Adj Close]]/Q1329-1)</f>
        <v>-2.3559967539511062E-2</v>
      </c>
      <c r="S1328" s="37">
        <v>35800</v>
      </c>
      <c r="T1328">
        <v>9.4853450000000006</v>
      </c>
      <c r="U1328" s="36">
        <f>IF(ISBLANK(T1329),"",Long4[[#This Row],[Adj Close]]/T1329-1)</f>
        <v>-3.2608919582281737E-2</v>
      </c>
      <c r="Y1328" s="37">
        <v>35800</v>
      </c>
      <c r="Z1328">
        <v>5.177079</v>
      </c>
      <c r="AA1328" s="36">
        <f>IF(ISBLANK(Z1329),"",Long6[[#This Row],[Adj Close]]/Z1329-1)</f>
        <v>0.11842049549354927</v>
      </c>
      <c r="AK1328" s="37">
        <v>35800</v>
      </c>
      <c r="AL1328" s="39">
        <v>2.8525779999999998</v>
      </c>
      <c r="AM1328" s="36">
        <f>IF(ISBLANK(AL1329),"",Short1[[#This Row],[Adj Close]]/AL1329-1)</f>
        <v>0.12027474944233241</v>
      </c>
      <c r="AN1328" s="29">
        <v>35800</v>
      </c>
      <c r="AO1328" s="44">
        <v>7.6080500000000004</v>
      </c>
      <c r="AP1328" s="33">
        <f>IF(ISBLANK(AO1329),"",Short2[[#This Row],[Adj Close]]/AO1329-1)</f>
        <v>-2.3256058776797928E-2</v>
      </c>
    </row>
    <row r="1329" spans="1:42" x14ac:dyDescent="0.25">
      <c r="A1329" s="37">
        <v>35793</v>
      </c>
      <c r="B1329" s="39">
        <v>975.03997800000002</v>
      </c>
      <c r="C1329" s="36">
        <f>IF(ISBLANK(B1330), "", GSPC[[#This Row],[Adj Close]]/B1330-1)</f>
        <v>4.1197654030766584E-2</v>
      </c>
      <c r="D132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2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29" s="11" t="e">
        <f>IF(ISBLANK(GSPC[[#This Row],[Long Exp.]]), "", (GSPC[[#This Row],[Long Exp.]]/D1330-1)+(E1330/GSPC[[#This Row],[Short Exp.]]-1))</f>
        <v>#VALUE!</v>
      </c>
      <c r="G1329" s="37">
        <v>35793</v>
      </c>
      <c r="H1329">
        <v>7.602887</v>
      </c>
      <c r="I1329" s="36">
        <f>IF(ISBLANK(H1330), "", Long0[[#This Row],[Adj Close]]/H1330-1)</f>
        <v>-9.2593859506123755E-3</v>
      </c>
      <c r="M1329" s="37">
        <v>35793</v>
      </c>
      <c r="N1329">
        <v>24.70187</v>
      </c>
      <c r="O1329" s="36">
        <f>IF(ISBLANK(N1330),"",Long2[[#This Row],[Adj Close]]/N1330-1)</f>
        <v>2.879062946808042E-2</v>
      </c>
      <c r="P1329" s="29">
        <v>35793</v>
      </c>
      <c r="Q1329">
        <v>3.4848520000000001</v>
      </c>
      <c r="R1329" s="33">
        <f>IF(ISBLANK(Q1330),"",Long3[[#This Row],[Adj Close]]/Q1330-1)</f>
        <v>5.2630713547858754E-3</v>
      </c>
      <c r="S1329" s="37">
        <v>35793</v>
      </c>
      <c r="T1329">
        <v>9.805078</v>
      </c>
      <c r="U1329" s="36">
        <f>IF(ISBLANK(T1330),"",Long4[[#This Row],[Adj Close]]/T1330-1)</f>
        <v>0</v>
      </c>
      <c r="Y1329" s="37">
        <v>35793</v>
      </c>
      <c r="Z1329">
        <v>4.6289199999999999</v>
      </c>
      <c r="AA1329" s="36">
        <f>IF(ISBLANK(Z1330),"",Long6[[#This Row],[Adj Close]]/Z1330-1)</f>
        <v>0</v>
      </c>
      <c r="AK1329" s="37">
        <v>35793</v>
      </c>
      <c r="AL1329" s="39">
        <v>2.5463200000000001</v>
      </c>
      <c r="AM1329" s="36">
        <f>IF(ISBLANK(AL1330),"",Short1[[#This Row],[Adj Close]]/AL1330-1)</f>
        <v>0.12138699812567832</v>
      </c>
      <c r="AN1329" s="29">
        <v>35793</v>
      </c>
      <c r="AO1329" s="44">
        <v>7.7891959999999996</v>
      </c>
      <c r="AP1329" s="33">
        <f>IF(ISBLANK(AO1330),"",Short2[[#This Row],[Adj Close]]/AO1330-1)</f>
        <v>2.6866063596332257E-2</v>
      </c>
    </row>
    <row r="1330" spans="1:42" x14ac:dyDescent="0.25">
      <c r="A1330" s="37">
        <v>35786</v>
      </c>
      <c r="B1330" s="39">
        <v>936.46002199999998</v>
      </c>
      <c r="C1330" s="36">
        <f>IF(ISBLANK(B1331), "", GSPC[[#This Row],[Adj Close]]/B1331-1)</f>
        <v>-1.0900110568344057E-2</v>
      </c>
      <c r="D133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3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30" s="11" t="e">
        <f>IF(ISBLANK(GSPC[[#This Row],[Long Exp.]]), "", (GSPC[[#This Row],[Long Exp.]]/D1331-1)+(E1331/GSPC[[#This Row],[Short Exp.]]-1))</f>
        <v>#VALUE!</v>
      </c>
      <c r="G1330" s="37">
        <v>35786</v>
      </c>
      <c r="H1330">
        <v>7.6739430000000004</v>
      </c>
      <c r="I1330" s="36">
        <f>IF(ISBLANK(H1331), "", Long0[[#This Row],[Adj Close]]/H1331-1)</f>
        <v>4.1800484629527679E-2</v>
      </c>
      <c r="M1330" s="37">
        <v>35786</v>
      </c>
      <c r="N1330">
        <v>24.010590000000001</v>
      </c>
      <c r="O1330" s="36">
        <f>IF(ISBLANK(N1331),"",Long2[[#This Row],[Adj Close]]/N1331-1)</f>
        <v>2.9644366744393524E-2</v>
      </c>
      <c r="P1330" s="29">
        <v>35786</v>
      </c>
      <c r="Q1330">
        <v>3.4666070000000002</v>
      </c>
      <c r="R1330" s="33">
        <f>IF(ISBLANK(Q1331),"",Long3[[#This Row],[Adj Close]]/Q1331-1)</f>
        <v>5.5556198373278631E-2</v>
      </c>
      <c r="S1330" s="37">
        <v>35786</v>
      </c>
      <c r="T1330">
        <v>9.805078</v>
      </c>
      <c r="U1330" s="36">
        <f>IF(ISBLANK(T1331),"",Long4[[#This Row],[Adj Close]]/T1331-1)</f>
        <v>-3.6649188939739896E-2</v>
      </c>
      <c r="Y1330" s="37">
        <v>35786</v>
      </c>
      <c r="Z1330">
        <v>4.6289199999999999</v>
      </c>
      <c r="AA1330" s="36">
        <f>IF(ISBLANK(Z1331),"",Long6[[#This Row],[Adj Close]]/Z1331-1)</f>
        <v>-9.5237611245282516E-2</v>
      </c>
      <c r="AK1330" s="37">
        <v>35786</v>
      </c>
      <c r="AL1330" s="39">
        <v>2.2706879999999998</v>
      </c>
      <c r="AM1330" s="36">
        <f>IF(ISBLANK(AL1331),"",Short1[[#This Row],[Adj Close]]/AL1331-1)</f>
        <v>-3.8386654956178434E-3</v>
      </c>
      <c r="AN1330" s="29">
        <v>35786</v>
      </c>
      <c r="AO1330" s="44">
        <v>7.5854059999999999</v>
      </c>
      <c r="AP1330" s="33">
        <f>IF(ISBLANK(AO1331),"",Short2[[#This Row],[Adj Close]]/AO1331-1)</f>
        <v>7.3717482327428918E-2</v>
      </c>
    </row>
    <row r="1331" spans="1:42" x14ac:dyDescent="0.25">
      <c r="A1331" s="37">
        <v>35779</v>
      </c>
      <c r="B1331" s="39">
        <v>946.78002900000001</v>
      </c>
      <c r="C1331" s="36">
        <f>IF(ISBLANK(B1332), "", GSPC[[#This Row],[Adj Close]]/B1332-1)</f>
        <v>-6.9331395294714993E-3</v>
      </c>
      <c r="D133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3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31" s="11" t="e">
        <f>IF(ISBLANK(GSPC[[#This Row],[Long Exp.]]), "", (GSPC[[#This Row],[Long Exp.]]/D1332-1)+(E1332/GSPC[[#This Row],[Short Exp.]]-1))</f>
        <v>#VALUE!</v>
      </c>
      <c r="G1331" s="37">
        <v>35779</v>
      </c>
      <c r="H1331">
        <v>7.3660389999999998</v>
      </c>
      <c r="I1331" s="36">
        <f>IF(ISBLANK(H1332), "", Long0[[#This Row],[Adj Close]]/H1332-1)</f>
        <v>6.4727634144305934E-3</v>
      </c>
      <c r="M1331" s="37">
        <v>35779</v>
      </c>
      <c r="N1331">
        <v>23.319303999999999</v>
      </c>
      <c r="O1331" s="36">
        <f>IF(ISBLANK(N1332),"",Long2[[#This Row],[Adj Close]]/N1332-1)</f>
        <v>4.1152420468113737E-2</v>
      </c>
      <c r="P1331" s="29">
        <v>35779</v>
      </c>
      <c r="Q1331">
        <v>3.2841520000000002</v>
      </c>
      <c r="R1331" s="33">
        <f>IF(ISBLANK(Q1332),"",Long3[[#This Row],[Adj Close]]/Q1332-1)</f>
        <v>1.5487006140258108E-2</v>
      </c>
      <c r="S1331" s="37">
        <v>35779</v>
      </c>
      <c r="T1331">
        <v>10.178096999999999</v>
      </c>
      <c r="U1331" s="36">
        <f>IF(ISBLANK(T1332),"",Long4[[#This Row],[Adj Close]]/T1332-1)</f>
        <v>7.3033927600946402E-2</v>
      </c>
      <c r="Y1331" s="37">
        <v>35779</v>
      </c>
      <c r="Z1331">
        <v>5.1161719999999997</v>
      </c>
      <c r="AA1331" s="36">
        <f>IF(ISBLANK(Z1332),"",Long6[[#This Row],[Adj Close]]/Z1332-1)</f>
        <v>-2.3256071464095029E-2</v>
      </c>
      <c r="AK1331" s="37">
        <v>35779</v>
      </c>
      <c r="AL1331" s="39">
        <v>2.2794379999999999</v>
      </c>
      <c r="AM1331" s="36">
        <f>IF(ISBLANK(AL1332),"",Short1[[#This Row],[Adj Close]]/AL1332-1)</f>
        <v>-0.17952732721642539</v>
      </c>
      <c r="AN1331" s="29">
        <v>35779</v>
      </c>
      <c r="AO1331" s="44">
        <v>7.0646199999999997</v>
      </c>
      <c r="AP1331" s="33">
        <f>IF(ISBLANK(AO1332),"",Short2[[#This Row],[Adj Close]]/AO1332-1)</f>
        <v>-2.500038988281017E-2</v>
      </c>
    </row>
    <row r="1332" spans="1:42" x14ac:dyDescent="0.25">
      <c r="A1332" s="37">
        <v>35772</v>
      </c>
      <c r="B1332" s="39">
        <v>953.39001499999995</v>
      </c>
      <c r="C1332" s="36">
        <f>IF(ISBLANK(B1333), "", GSPC[[#This Row],[Adj Close]]/B1333-1)</f>
        <v>-3.0900866729504428E-2</v>
      </c>
      <c r="D133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3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32" s="11" t="e">
        <f>IF(ISBLANK(GSPC[[#This Row],[Long Exp.]]), "", (GSPC[[#This Row],[Long Exp.]]/D1333-1)+(E1333/GSPC[[#This Row],[Short Exp.]]-1))</f>
        <v>#VALUE!</v>
      </c>
      <c r="G1332" s="37">
        <v>35772</v>
      </c>
      <c r="H1332">
        <v>7.3186669999999996</v>
      </c>
      <c r="I1332" s="36">
        <f>IF(ISBLANK(H1333), "", Long0[[#This Row],[Adj Close]]/H1333-1)</f>
        <v>-0.13445374971010149</v>
      </c>
      <c r="M1332" s="37">
        <v>35772</v>
      </c>
      <c r="N1332">
        <v>22.397589</v>
      </c>
      <c r="O1332" s="36">
        <f>IF(ISBLANK(N1333),"",Long2[[#This Row],[Adj Close]]/N1333-1)</f>
        <v>-7.4286120273840739E-2</v>
      </c>
      <c r="P1332" s="29">
        <v>35772</v>
      </c>
      <c r="Q1332">
        <v>3.2340659999999999</v>
      </c>
      <c r="R1332" s="33">
        <f>IF(ISBLANK(Q1333),"",Long3[[#This Row],[Adj Close]]/Q1333-1)</f>
        <v>-2.9570198991061725E-2</v>
      </c>
      <c r="S1332" s="37">
        <v>35772</v>
      </c>
      <c r="T1332">
        <v>9.4853450000000006</v>
      </c>
      <c r="U1332" s="36">
        <f>IF(ISBLANK(T1333),"",Long4[[#This Row],[Adj Close]]/T1333-1)</f>
        <v>-5.3191720854537938E-2</v>
      </c>
      <c r="Y1332" s="37">
        <v>35772</v>
      </c>
      <c r="Z1332">
        <v>5.2379870000000004</v>
      </c>
      <c r="AA1332" s="36">
        <f>IF(ISBLANK(Z1333),"",Long6[[#This Row],[Adj Close]]/Z1333-1)</f>
        <v>-8.5106286355456362E-2</v>
      </c>
      <c r="AK1332" s="37">
        <v>35772</v>
      </c>
      <c r="AL1332" s="39">
        <v>2.7782010000000001</v>
      </c>
      <c r="AM1332" s="36">
        <f>IF(ISBLANK(AL1333),"",Short1[[#This Row],[Adj Close]]/AL1333-1)</f>
        <v>9.8615994264516393E-2</v>
      </c>
      <c r="AN1332" s="29">
        <v>35772</v>
      </c>
      <c r="AO1332" s="44">
        <v>7.2457669999999998</v>
      </c>
      <c r="AP1332" s="33">
        <f>IF(ISBLANK(AO1333),"",Short2[[#This Row],[Adj Close]]/AO1333-1)</f>
        <v>-3.6144160011067572E-2</v>
      </c>
    </row>
    <row r="1333" spans="1:42" x14ac:dyDescent="0.25">
      <c r="A1333" s="37">
        <v>35765</v>
      </c>
      <c r="B1333" s="39">
        <v>983.78997800000002</v>
      </c>
      <c r="C1333" s="36">
        <f>IF(ISBLANK(B1334), "", GSPC[[#This Row],[Adj Close]]/B1334-1)</f>
        <v>2.9715253597272229E-2</v>
      </c>
      <c r="D133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3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33" s="11" t="e">
        <f>IF(ISBLANK(GSPC[[#This Row],[Long Exp.]]), "", (GSPC[[#This Row],[Long Exp.]]/D1334-1)+(E1334/GSPC[[#This Row],[Short Exp.]]-1))</f>
        <v>#VALUE!</v>
      </c>
      <c r="G1333" s="37">
        <v>35765</v>
      </c>
      <c r="H1333">
        <v>8.4555469999999993</v>
      </c>
      <c r="I1333" s="36">
        <f>IF(ISBLANK(H1334), "", Long0[[#This Row],[Adj Close]]/H1334-1)</f>
        <v>5.6334426713033903E-3</v>
      </c>
      <c r="M1333" s="37">
        <v>35765</v>
      </c>
      <c r="N1333">
        <v>24.194936999999999</v>
      </c>
      <c r="O1333" s="36">
        <f>IF(ISBLANK(N1334),"",Long2[[#This Row],[Adj Close]]/N1334-1)</f>
        <v>4.4287802065187565E-2</v>
      </c>
      <c r="P1333" s="29">
        <v>35765</v>
      </c>
      <c r="Q1333">
        <v>3.3326120000000001</v>
      </c>
      <c r="R1333" s="33">
        <f>IF(ISBLANK(Q1334),"",Long3[[#This Row],[Adj Close]]/Q1334-1)</f>
        <v>-1.0638433675815628E-2</v>
      </c>
      <c r="S1333" s="37">
        <v>35765</v>
      </c>
      <c r="T1333">
        <v>10.018231999999999</v>
      </c>
      <c r="U1333" s="36">
        <f>IF(ISBLANK(T1334),"",Long4[[#This Row],[Adj Close]]/T1334-1)</f>
        <v>0.10588254514441831</v>
      </c>
      <c r="Y1333" s="37">
        <v>35765</v>
      </c>
      <c r="Z1333">
        <v>5.7252409999999996</v>
      </c>
      <c r="AA1333" s="36">
        <f>IF(ISBLANK(Z1334),"",Long6[[#This Row],[Adj Close]]/Z1334-1)</f>
        <v>5.6179366942589848E-2</v>
      </c>
      <c r="AK1333" s="37">
        <v>35765</v>
      </c>
      <c r="AL1333" s="39">
        <v>2.5288189999999999</v>
      </c>
      <c r="AM1333" s="36">
        <f>IF(ISBLANK(AL1334),"",Short1[[#This Row],[Adj Close]]/AL1334-1)</f>
        <v>0.24034433913215802</v>
      </c>
      <c r="AN1333" s="29">
        <v>35765</v>
      </c>
      <c r="AO1333" s="44">
        <v>7.5174799999999999</v>
      </c>
      <c r="AP1333" s="33">
        <f>IF(ISBLANK(AO1334),"",Short2[[#This Row],[Adj Close]]/AO1334-1)</f>
        <v>-5.9880207849879463E-3</v>
      </c>
    </row>
    <row r="1334" spans="1:42" x14ac:dyDescent="0.25">
      <c r="A1334" s="37">
        <v>35758</v>
      </c>
      <c r="B1334" s="39">
        <v>955.40002400000003</v>
      </c>
      <c r="C1334" s="36">
        <f>IF(ISBLANK(B1335), "", GSPC[[#This Row],[Adj Close]]/B1335-1)</f>
        <v>-7.9847187536081776E-3</v>
      </c>
      <c r="D133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3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34" s="11" t="e">
        <f>IF(ISBLANK(GSPC[[#This Row],[Long Exp.]]), "", (GSPC[[#This Row],[Long Exp.]]/D1335-1)+(E1335/GSPC[[#This Row],[Short Exp.]]-1))</f>
        <v>#VALUE!</v>
      </c>
      <c r="G1334" s="37">
        <v>35758</v>
      </c>
      <c r="H1334">
        <v>8.4081799999999998</v>
      </c>
      <c r="I1334" s="36">
        <f>IF(ISBLANK(H1335), "", Long0[[#This Row],[Adj Close]]/H1335-1)</f>
        <v>-4.3126551201705166E-2</v>
      </c>
      <c r="M1334" s="37">
        <v>35758</v>
      </c>
      <c r="N1334">
        <v>23.168839999999999</v>
      </c>
      <c r="O1334" s="36">
        <f>IF(ISBLANK(N1335),"",Long2[[#This Row],[Adj Close]]/N1335-1)</f>
        <v>-6.4934943334722828E-2</v>
      </c>
      <c r="P1334" s="29">
        <v>35758</v>
      </c>
      <c r="Q1334">
        <v>3.3684470000000002</v>
      </c>
      <c r="R1334" s="33">
        <f>IF(ISBLANK(Q1335),"",Long3[[#This Row],[Adj Close]]/Q1335-1)</f>
        <v>2.7322292710791896E-2</v>
      </c>
      <c r="S1334" s="37">
        <v>35758</v>
      </c>
      <c r="T1334">
        <v>9.0590379999999993</v>
      </c>
      <c r="U1334" s="36">
        <f>IF(ISBLANK(T1335),"",Long4[[#This Row],[Adj Close]]/T1335-1)</f>
        <v>1.1904771213189225E-2</v>
      </c>
      <c r="Y1334" s="37">
        <v>35758</v>
      </c>
      <c r="Z1334">
        <v>5.4207090000000004</v>
      </c>
      <c r="AA1334" s="36">
        <f>IF(ISBLANK(Z1335),"",Long6[[#This Row],[Adj Close]]/Z1335-1)</f>
        <v>-1.111095908778692E-2</v>
      </c>
      <c r="AK1334" s="37">
        <v>35758</v>
      </c>
      <c r="AL1334" s="39">
        <v>2.0388039999999998</v>
      </c>
      <c r="AM1334" s="36">
        <f>IF(ISBLANK(AL1335),"",Short1[[#This Row],[Adj Close]]/AL1335-1)</f>
        <v>2.1494953625853519E-3</v>
      </c>
      <c r="AN1334" s="29">
        <v>35758</v>
      </c>
      <c r="AO1334" s="44">
        <v>7.5627659999999999</v>
      </c>
      <c r="AP1334" s="33">
        <f>IF(ISBLANK(AO1335),"",Short2[[#This Row],[Adj Close]]/AO1335-1)</f>
        <v>4.0498563233809515E-2</v>
      </c>
    </row>
    <row r="1335" spans="1:42" x14ac:dyDescent="0.25">
      <c r="A1335" s="37">
        <v>35751</v>
      </c>
      <c r="B1335" s="39">
        <v>963.09002699999996</v>
      </c>
      <c r="C1335" s="36">
        <f>IF(ISBLANK(B1336), "", GSPC[[#This Row],[Adj Close]]/B1336-1)</f>
        <v>3.7421287120278812E-2</v>
      </c>
      <c r="D133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3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35" s="11" t="e">
        <f>IF(ISBLANK(GSPC[[#This Row],[Long Exp.]]), "", (GSPC[[#This Row],[Long Exp.]]/D1336-1)+(E1336/GSPC[[#This Row],[Short Exp.]]-1))</f>
        <v>#VALUE!</v>
      </c>
      <c r="G1335" s="37">
        <v>35751</v>
      </c>
      <c r="H1335">
        <v>8.7871389999999998</v>
      </c>
      <c r="I1335" s="36">
        <f>IF(ISBLANK(H1336), "", Long0[[#This Row],[Adj Close]]/H1336-1)</f>
        <v>-3.3854151777605423E-2</v>
      </c>
      <c r="M1335" s="37">
        <v>35751</v>
      </c>
      <c r="N1335">
        <v>24.777784</v>
      </c>
      <c r="O1335" s="36">
        <f>IF(ISBLANK(N1336),"",Long2[[#This Row],[Adj Close]]/N1336-1)</f>
        <v>-9.1910745164145435E-3</v>
      </c>
      <c r="P1335" s="29">
        <v>35751</v>
      </c>
      <c r="Q1335">
        <v>3.278861</v>
      </c>
      <c r="R1335" s="33">
        <f>IF(ISBLANK(Q1336),"",Long3[[#This Row],[Adj Close]]/Q1336-1)</f>
        <v>4.2735192230450858E-2</v>
      </c>
      <c r="S1335" s="37">
        <v>35751</v>
      </c>
      <c r="T1335">
        <v>8.9524609999999996</v>
      </c>
      <c r="U1335" s="36">
        <f>IF(ISBLANK(T1336),"",Long4[[#This Row],[Adj Close]]/T1336-1)</f>
        <v>-2.3255938280634991E-2</v>
      </c>
      <c r="Y1335" s="37">
        <v>35751</v>
      </c>
      <c r="Z1335">
        <v>5.4816149999999997</v>
      </c>
      <c r="AA1335" s="36">
        <f>IF(ISBLANK(Z1336),"",Long6[[#This Row],[Adj Close]]/Z1336-1)</f>
        <v>1.6949482705171492E-2</v>
      </c>
      <c r="AK1335" s="37">
        <v>35751</v>
      </c>
      <c r="AL1335" s="39">
        <v>2.0344310000000001</v>
      </c>
      <c r="AM1335" s="36">
        <f>IF(ISBLANK(AL1336),"",Short1[[#This Row],[Adj Close]]/AL1336-1)</f>
        <v>-8.5285518860039877E-3</v>
      </c>
      <c r="AN1335" s="29">
        <v>35751</v>
      </c>
      <c r="AO1335" s="44">
        <v>7.2684059999999997</v>
      </c>
      <c r="AP1335" s="33">
        <f>IF(ISBLANK(AO1336),"",Short2[[#This Row],[Adj Close]]/AO1336-1)</f>
        <v>0.13028110206515131</v>
      </c>
    </row>
    <row r="1336" spans="1:42" x14ac:dyDescent="0.25">
      <c r="A1336" s="37">
        <v>35744</v>
      </c>
      <c r="B1336" s="39">
        <v>928.34997599999997</v>
      </c>
      <c r="C1336" s="36">
        <f>IF(ISBLANK(B1337), "", GSPC[[#This Row],[Adj Close]]/B1337-1)</f>
        <v>9.0561394588073441E-4</v>
      </c>
      <c r="D133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3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36" s="11" t="e">
        <f>IF(ISBLANK(GSPC[[#This Row],[Long Exp.]]), "", (GSPC[[#This Row],[Long Exp.]]/D1337-1)+(E1337/GSPC[[#This Row],[Short Exp.]]-1))</f>
        <v>#VALUE!</v>
      </c>
      <c r="G1336" s="37">
        <v>35744</v>
      </c>
      <c r="H1336">
        <v>9.0950439999999997</v>
      </c>
      <c r="I1336" s="36">
        <f>IF(ISBLANK(H1337), "", Long0[[#This Row],[Adj Close]]/H1337-1)</f>
        <v>4.3478719791465892E-2</v>
      </c>
      <c r="M1336" s="37">
        <v>35744</v>
      </c>
      <c r="N1336">
        <v>25.007631</v>
      </c>
      <c r="O1336" s="36">
        <f>IF(ISBLANK(N1337),"",Long2[[#This Row],[Adj Close]]/N1337-1)</f>
        <v>1.8417446469300991E-3</v>
      </c>
      <c r="P1336" s="29">
        <v>35744</v>
      </c>
      <c r="Q1336">
        <v>3.1444809999999999</v>
      </c>
      <c r="R1336" s="33">
        <f>IF(ISBLANK(Q1337),"",Long3[[#This Row],[Adj Close]]/Q1337-1)</f>
        <v>2.3323254620440492E-2</v>
      </c>
      <c r="S1336" s="37">
        <v>35744</v>
      </c>
      <c r="T1336">
        <v>9.165616</v>
      </c>
      <c r="U1336" s="36">
        <f>IF(ISBLANK(T1337),"",Long4[[#This Row],[Adj Close]]/T1337-1)</f>
        <v>-6.5217431212683863E-2</v>
      </c>
      <c r="Y1336" s="37">
        <v>35744</v>
      </c>
      <c r="Z1336">
        <v>5.3902530000000004</v>
      </c>
      <c r="AA1336" s="36">
        <f>IF(ISBLANK(Z1337),"",Long6[[#This Row],[Adj Close]]/Z1337-1)</f>
        <v>-8.7629187928224828E-2</v>
      </c>
      <c r="AK1336" s="37">
        <v>35744</v>
      </c>
      <c r="AL1336" s="39">
        <v>2.0519310000000002</v>
      </c>
      <c r="AM1336" s="36">
        <f>IF(ISBLANK(AL1337),"",Short1[[#This Row],[Adj Close]]/AL1337-1)</f>
        <v>1.0776062717512636E-2</v>
      </c>
      <c r="AN1336" s="29">
        <v>35744</v>
      </c>
      <c r="AO1336" s="44">
        <v>6.4306179999999999</v>
      </c>
      <c r="AP1336" s="33">
        <f>IF(ISBLANK(AO1337),"",Short2[[#This Row],[Adj Close]]/AO1337-1)</f>
        <v>1.5954306245103762</v>
      </c>
    </row>
    <row r="1337" spans="1:42" x14ac:dyDescent="0.25">
      <c r="A1337" s="37">
        <v>35737</v>
      </c>
      <c r="B1337" s="39">
        <v>927.51000999999997</v>
      </c>
      <c r="C1337" s="36">
        <f>IF(ISBLANK(B1338), "", GSPC[[#This Row],[Adj Close]]/B1338-1)</f>
        <v>1.4093301120100543E-2</v>
      </c>
      <c r="D133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3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37" s="11" t="e">
        <f>IF(ISBLANK(GSPC[[#This Row],[Long Exp.]]), "", (GSPC[[#This Row],[Long Exp.]]/D1338-1)+(E1338/GSPC[[#This Row],[Short Exp.]]-1))</f>
        <v>#VALUE!</v>
      </c>
      <c r="G1337" s="37">
        <v>35737</v>
      </c>
      <c r="H1337">
        <v>8.7160799999999998</v>
      </c>
      <c r="I1337" s="36">
        <f>IF(ISBLANK(H1338), "", Long0[[#This Row],[Adj Close]]/H1338-1)</f>
        <v>5.1427937255081657E-2</v>
      </c>
      <c r="M1337" s="37">
        <v>35737</v>
      </c>
      <c r="N1337">
        <v>24.961658</v>
      </c>
      <c r="O1337" s="36">
        <f>IF(ISBLANK(N1338),"",Long2[[#This Row],[Adj Close]]/N1338-1)</f>
        <v>7.4209219032661533E-3</v>
      </c>
      <c r="P1337" s="29">
        <v>35737</v>
      </c>
      <c r="Q1337">
        <v>3.072813</v>
      </c>
      <c r="R1337" s="33">
        <f>IF(ISBLANK(Q1338),"",Long3[[#This Row],[Adj Close]]/Q1338-1)</f>
        <v>-8.6695878227666112E-3</v>
      </c>
      <c r="S1337" s="37">
        <v>35737</v>
      </c>
      <c r="T1337">
        <v>9.805078</v>
      </c>
      <c r="U1337" s="36">
        <f>IF(ISBLANK(T1338),"",Long4[[#This Row],[Adj Close]]/T1338-1)</f>
        <v>-6.1224255321226773E-2</v>
      </c>
      <c r="Y1337" s="37">
        <v>35737</v>
      </c>
      <c r="Z1337">
        <v>5.9079629999999996</v>
      </c>
      <c r="AA1337" s="36">
        <f>IF(ISBLANK(Z1338),"",Long6[[#This Row],[Adj Close]]/Z1338-1)</f>
        <v>0</v>
      </c>
      <c r="AK1337" s="37">
        <v>35737</v>
      </c>
      <c r="AL1337" s="39">
        <v>2.0300549999999999</v>
      </c>
      <c r="AM1337" s="36">
        <f>IF(ISBLANK(AL1338),"",Short1[[#This Row],[Adj Close]]/AL1338-1)</f>
        <v>3.8031311903084175E-2</v>
      </c>
      <c r="AN1337" s="29">
        <v>35737</v>
      </c>
      <c r="AO1337" s="44">
        <v>2.4776690000000001</v>
      </c>
      <c r="AP1337" s="33">
        <f>IF(ISBLANK(AO1338),"",Short2[[#This Row],[Adj Close]]/AO1338-1)</f>
        <v>-0.56374788865739123</v>
      </c>
    </row>
    <row r="1338" spans="1:42" x14ac:dyDescent="0.25">
      <c r="A1338" s="37">
        <v>35730</v>
      </c>
      <c r="B1338" s="39">
        <v>914.61999500000002</v>
      </c>
      <c r="C1338" s="36">
        <f>IF(ISBLANK(B1339), "", GSPC[[#This Row],[Adj Close]]/B1339-1)</f>
        <v>-2.8694638683127716E-2</v>
      </c>
      <c r="D133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3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38" s="11" t="e">
        <f>IF(ISBLANK(GSPC[[#This Row],[Long Exp.]]), "", (GSPC[[#This Row],[Long Exp.]]/D1339-1)+(E1339/GSPC[[#This Row],[Short Exp.]]-1))</f>
        <v>#VALUE!</v>
      </c>
      <c r="G1338" s="37">
        <v>35730</v>
      </c>
      <c r="H1338">
        <v>8.2897549999999995</v>
      </c>
      <c r="I1338" s="36">
        <f>IF(ISBLANK(H1339), "", Long0[[#This Row],[Adj Close]]/H1339-1)</f>
        <v>-8.3769384680458692E-2</v>
      </c>
      <c r="M1338" s="37">
        <v>35730</v>
      </c>
      <c r="N1338">
        <v>24.777784</v>
      </c>
      <c r="O1338" s="36">
        <f>IF(ISBLANK(N1339),"",Long2[[#This Row],[Adj Close]]/N1339-1)</f>
        <v>-5.6042309544551472E-2</v>
      </c>
      <c r="P1338" s="29">
        <v>35730</v>
      </c>
      <c r="Q1338">
        <v>3.0996860000000002</v>
      </c>
      <c r="R1338" s="33">
        <f>IF(ISBLANK(Q1339),"",Long3[[#This Row],[Adj Close]]/Q1339-1)</f>
        <v>0</v>
      </c>
      <c r="S1338" s="37">
        <v>35730</v>
      </c>
      <c r="T1338">
        <v>10.444537</v>
      </c>
      <c r="U1338" s="36">
        <f>IF(ISBLANK(T1339),"",Long4[[#This Row],[Adj Close]]/T1339-1)</f>
        <v>-8.4112135600556637E-2</v>
      </c>
      <c r="Y1338" s="37">
        <v>35730</v>
      </c>
      <c r="Z1338">
        <v>5.9079629999999996</v>
      </c>
      <c r="AA1338" s="36">
        <f>IF(ISBLANK(Z1339),"",Long6[[#This Row],[Adj Close]]/Z1339-1)</f>
        <v>-0.11818144231970484</v>
      </c>
      <c r="AK1338" s="37">
        <v>35730</v>
      </c>
      <c r="AL1338" s="39">
        <v>1.955678</v>
      </c>
      <c r="AM1338" s="36">
        <f>IF(ISBLANK(AL1339),"",Short1[[#This Row],[Adj Close]]/AL1339-1)</f>
        <v>-2.614358580584708E-2</v>
      </c>
      <c r="AN1338" s="29">
        <v>35730</v>
      </c>
      <c r="AO1338" s="44">
        <v>5.679443</v>
      </c>
      <c r="AP1338" s="33">
        <f>IF(ISBLANK(AO1339),"",Short2[[#This Row],[Adj Close]]/AO1339-1)</f>
        <v>-2.5448916589292714E-2</v>
      </c>
    </row>
    <row r="1339" spans="1:42" x14ac:dyDescent="0.25">
      <c r="A1339" s="37">
        <v>35723</v>
      </c>
      <c r="B1339" s="39">
        <v>941.64001499999995</v>
      </c>
      <c r="C1339" s="36">
        <f>IF(ISBLANK(B1340), "", GSPC[[#This Row],[Adj Close]]/B1340-1)</f>
        <v>-2.6689947382466661E-3</v>
      </c>
      <c r="D133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3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39" s="11" t="e">
        <f>IF(ISBLANK(GSPC[[#This Row],[Long Exp.]]), "", (GSPC[[#This Row],[Long Exp.]]/D1340-1)+(E1340/GSPC[[#This Row],[Short Exp.]]-1))</f>
        <v>#VALUE!</v>
      </c>
      <c r="G1339" s="37">
        <v>35723</v>
      </c>
      <c r="H1339">
        <v>9.0476729999999996</v>
      </c>
      <c r="I1339" s="36">
        <f>IF(ISBLANK(H1340), "", Long0[[#This Row],[Adj Close]]/H1340-1)</f>
        <v>-1.0363015640504791E-2</v>
      </c>
      <c r="M1339" s="37">
        <v>35723</v>
      </c>
      <c r="N1339">
        <v>26.248829000000001</v>
      </c>
      <c r="O1339" s="36">
        <f>IF(ISBLANK(N1340),"",Long2[[#This Row],[Adj Close]]/N1340-1)</f>
        <v>-2.2259834512050158E-2</v>
      </c>
      <c r="P1339" s="29">
        <v>35723</v>
      </c>
      <c r="Q1339">
        <v>3.0996860000000002</v>
      </c>
      <c r="R1339" s="33">
        <f>IF(ISBLANK(Q1340),"",Long3[[#This Row],[Adj Close]]/Q1340-1)</f>
        <v>-2.8826045543285383E-3</v>
      </c>
      <c r="S1339" s="37">
        <v>35723</v>
      </c>
      <c r="T1339">
        <v>11.403729</v>
      </c>
      <c r="U1339" s="36">
        <f>IF(ISBLANK(T1340),"",Long4[[#This Row],[Adj Close]]/T1340-1)</f>
        <v>3.8834986833428342E-2</v>
      </c>
      <c r="Y1339" s="37">
        <v>35723</v>
      </c>
      <c r="Z1339">
        <v>6.6997489999999997</v>
      </c>
      <c r="AA1339" s="36">
        <f>IF(ISBLANK(Z1340),"",Long6[[#This Row],[Adj Close]]/Z1340-1)</f>
        <v>1.8518422800100076E-2</v>
      </c>
      <c r="AK1339" s="37">
        <v>35723</v>
      </c>
      <c r="AL1339" s="39">
        <v>2.0081790000000002</v>
      </c>
      <c r="AM1339" s="36">
        <f>IF(ISBLANK(AL1340),"",Short1[[#This Row],[Adj Close]]/AL1340-1)</f>
        <v>6.2499338642534763E-2</v>
      </c>
      <c r="AN1339" s="29">
        <v>35723</v>
      </c>
      <c r="AO1339" s="44">
        <v>5.8277530000000004</v>
      </c>
      <c r="AP1339" s="33">
        <f>IF(ISBLANK(AO1340),"",Short2[[#This Row],[Adj Close]]/AO1340-1)</f>
        <v>-2.9069990226978648E-2</v>
      </c>
    </row>
    <row r="1340" spans="1:42" x14ac:dyDescent="0.25">
      <c r="A1340" s="37">
        <v>35716</v>
      </c>
      <c r="B1340" s="39">
        <v>944.15997300000004</v>
      </c>
      <c r="C1340" s="36">
        <f>IF(ISBLANK(B1341), "", GSPC[[#This Row],[Adj Close]]/B1341-1)</f>
        <v>-2.3599254867717079E-2</v>
      </c>
      <c r="D134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4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40" s="11" t="e">
        <f>IF(ISBLANK(GSPC[[#This Row],[Long Exp.]]), "", (GSPC[[#This Row],[Long Exp.]]/D1341-1)+(E1341/GSPC[[#This Row],[Short Exp.]]-1))</f>
        <v>#VALUE!</v>
      </c>
      <c r="G1340" s="37">
        <v>35716</v>
      </c>
      <c r="H1340">
        <v>9.1424160000000008</v>
      </c>
      <c r="I1340" s="36">
        <f>IF(ISBLANK(H1341), "", Long0[[#This Row],[Adj Close]]/H1341-1)</f>
        <v>-1.5305794384913418E-2</v>
      </c>
      <c r="M1340" s="37">
        <v>35716</v>
      </c>
      <c r="N1340">
        <v>26.846426000000001</v>
      </c>
      <c r="O1340" s="36">
        <f>IF(ISBLANK(N1341),"",Long2[[#This Row],[Adj Close]]/N1341-1)</f>
        <v>-6.8027346786232457E-3</v>
      </c>
      <c r="P1340" s="29">
        <v>35716</v>
      </c>
      <c r="Q1340">
        <v>3.1086469999999999</v>
      </c>
      <c r="R1340" s="33">
        <f>IF(ISBLANK(Q1341),"",Long3[[#This Row],[Adj Close]]/Q1341-1)</f>
        <v>-5.7299359488153234E-3</v>
      </c>
      <c r="S1340" s="37">
        <v>35716</v>
      </c>
      <c r="T1340">
        <v>10.977421</v>
      </c>
      <c r="U1340" s="36">
        <f>IF(ISBLANK(T1341),"",Long4[[#This Row],[Adj Close]]/T1341-1)</f>
        <v>6.1855524508169335E-2</v>
      </c>
      <c r="Y1340" s="37">
        <v>35716</v>
      </c>
      <c r="Z1340">
        <v>6.5779360000000002</v>
      </c>
      <c r="AA1340" s="36">
        <f>IF(ISBLANK(Z1341),"",Long6[[#This Row],[Adj Close]]/Z1341-1)</f>
        <v>-0.12195142787731217</v>
      </c>
      <c r="AK1340" s="37">
        <v>35716</v>
      </c>
      <c r="AL1340" s="39">
        <v>1.8900520000000001</v>
      </c>
      <c r="AM1340" s="36">
        <f>IF(ISBLANK(AL1341),"",Short1[[#This Row],[Adj Close]]/AL1341-1)</f>
        <v>6.6666516171122403E-2</v>
      </c>
      <c r="AN1340" s="29">
        <v>35716</v>
      </c>
      <c r="AO1340" s="44">
        <v>6.0022380000000002</v>
      </c>
      <c r="AP1340" s="33">
        <f>IF(ISBLANK(AO1341),"",Short2[[#This Row],[Adj Close]]/AO1341-1)</f>
        <v>-2.4113774521989928E-2</v>
      </c>
    </row>
    <row r="1341" spans="1:42" x14ac:dyDescent="0.25">
      <c r="A1341" s="37">
        <v>35709</v>
      </c>
      <c r="B1341" s="39">
        <v>966.97997999999995</v>
      </c>
      <c r="C1341" s="36">
        <f>IF(ISBLANK(B1342), "", GSPC[[#This Row],[Adj Close]]/B1342-1)</f>
        <v>2.0206117337306928E-3</v>
      </c>
      <c r="D134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4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41" s="11" t="e">
        <f>IF(ISBLANK(GSPC[[#This Row],[Long Exp.]]), "", (GSPC[[#This Row],[Long Exp.]]/D1342-1)+(E1342/GSPC[[#This Row],[Short Exp.]]-1))</f>
        <v>#VALUE!</v>
      </c>
      <c r="G1341" s="37">
        <v>35709</v>
      </c>
      <c r="H1341">
        <v>9.2845230000000001</v>
      </c>
      <c r="I1341" s="36">
        <f>IF(ISBLANK(H1342), "", Long0[[#This Row],[Adj Close]]/H1342-1)</f>
        <v>8.8888729909351927E-2</v>
      </c>
      <c r="M1341" s="37">
        <v>35709</v>
      </c>
      <c r="N1341">
        <v>27.030306</v>
      </c>
      <c r="O1341" s="36">
        <f>IF(ISBLANK(N1342),"",Long2[[#This Row],[Adj Close]]/N1342-1)</f>
        <v>2.7971850851681967E-2</v>
      </c>
      <c r="P1341" s="29">
        <v>35709</v>
      </c>
      <c r="Q1341">
        <v>3.1265619999999998</v>
      </c>
      <c r="R1341" s="33">
        <f>IF(ISBLANK(Q1342),"",Long3[[#This Row],[Adj Close]]/Q1342-1)</f>
        <v>-1.1332219621875805E-2</v>
      </c>
      <c r="S1341" s="37">
        <v>35709</v>
      </c>
      <c r="T1341">
        <v>10.337961</v>
      </c>
      <c r="U1341" s="36">
        <f>IF(ISBLANK(T1342),"",Long4[[#This Row],[Adj Close]]/T1342-1)</f>
        <v>-9.7674368670800704E-2</v>
      </c>
      <c r="Y1341" s="37">
        <v>35709</v>
      </c>
      <c r="Z1341">
        <v>7.4915399999999996</v>
      </c>
      <c r="AA1341" s="36">
        <f>IF(ISBLANK(Z1342),"",Long6[[#This Row],[Adj Close]]/Z1342-1)</f>
        <v>0.33695683016839517</v>
      </c>
      <c r="AK1341" s="37">
        <v>35709</v>
      </c>
      <c r="AL1341" s="39">
        <v>1.7719240000000001</v>
      </c>
      <c r="AM1341" s="36">
        <f>IF(ISBLANK(AL1342),"",Short1[[#This Row],[Adj Close]]/AL1342-1)</f>
        <v>4.6512136104386537E-2</v>
      </c>
      <c r="AN1341" s="29">
        <v>35709</v>
      </c>
      <c r="AO1341" s="44">
        <v>6.1505510000000001</v>
      </c>
      <c r="AP1341" s="33">
        <f>IF(ISBLANK(AO1342),"",Short2[[#This Row],[Adj Close]]/AO1342-1)</f>
        <v>1.0029598605856949E-2</v>
      </c>
    </row>
    <row r="1342" spans="1:42" x14ac:dyDescent="0.25">
      <c r="A1342" s="37">
        <v>35702</v>
      </c>
      <c r="B1342" s="39">
        <v>965.03002900000001</v>
      </c>
      <c r="C1342" s="36">
        <f>IF(ISBLANK(B1343), "", GSPC[[#This Row],[Adj Close]]/B1343-1)</f>
        <v>2.0958145836721842E-2</v>
      </c>
      <c r="D134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4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42" s="11" t="e">
        <f>IF(ISBLANK(GSPC[[#This Row],[Long Exp.]]), "", (GSPC[[#This Row],[Long Exp.]]/D1343-1)+(E1343/GSPC[[#This Row],[Short Exp.]]-1))</f>
        <v>#VALUE!</v>
      </c>
      <c r="G1342" s="37">
        <v>35702</v>
      </c>
      <c r="H1342">
        <v>8.5266040000000007</v>
      </c>
      <c r="I1342" s="36">
        <f>IF(ISBLANK(H1343), "", Long0[[#This Row],[Adj Close]]/H1343-1)</f>
        <v>1.7617115635835123E-3</v>
      </c>
      <c r="M1342" s="37">
        <v>35702</v>
      </c>
      <c r="N1342">
        <v>26.294792000000001</v>
      </c>
      <c r="O1342" s="36">
        <f>IF(ISBLANK(N1343),"",Long2[[#This Row],[Adj Close]]/N1343-1)</f>
        <v>-3.4845534904693887E-3</v>
      </c>
      <c r="P1342" s="29">
        <v>35702</v>
      </c>
      <c r="Q1342">
        <v>3.1623990000000002</v>
      </c>
      <c r="R1342" s="33">
        <f>IF(ISBLANK(Q1343),"",Long3[[#This Row],[Adj Close]]/Q1343-1)</f>
        <v>5.6982376423964087E-3</v>
      </c>
      <c r="S1342" s="37">
        <v>35702</v>
      </c>
      <c r="T1342">
        <v>11.457018</v>
      </c>
      <c r="U1342" s="36">
        <f>IF(ISBLANK(T1343),"",Long4[[#This Row],[Adj Close]]/T1343-1)</f>
        <v>-2.7149590990792727E-2</v>
      </c>
      <c r="Y1342" s="37">
        <v>35702</v>
      </c>
      <c r="Z1342">
        <v>5.6034269999999999</v>
      </c>
      <c r="AA1342" s="36">
        <f>IF(ISBLANK(Z1343),"",Long6[[#This Row],[Adj Close]]/Z1343-1)</f>
        <v>6.9767259827105299E-2</v>
      </c>
      <c r="AK1342" s="37">
        <v>35702</v>
      </c>
      <c r="AL1342" s="39">
        <v>1.693171</v>
      </c>
      <c r="AM1342" s="36">
        <f>IF(ISBLANK(AL1343),"",Short1[[#This Row],[Adj Close]]/AL1343-1)</f>
        <v>-2.7638019246573164E-2</v>
      </c>
      <c r="AN1342" s="29">
        <v>35702</v>
      </c>
      <c r="AO1342" s="44">
        <v>6.0894760000000003</v>
      </c>
      <c r="AP1342" s="33">
        <f>IF(ISBLANK(AO1343),"",Short2[[#This Row],[Adj Close]]/AO1343-1)</f>
        <v>3.2543869510493151E-2</v>
      </c>
    </row>
    <row r="1343" spans="1:42" x14ac:dyDescent="0.25">
      <c r="A1343" s="37">
        <v>35695</v>
      </c>
      <c r="B1343" s="39">
        <v>945.21997099999999</v>
      </c>
      <c r="C1343" s="36">
        <f>IF(ISBLANK(B1344), "", GSPC[[#This Row],[Adj Close]]/B1344-1)</f>
        <v>-5.5654742657575973E-3</v>
      </c>
      <c r="D134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4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43" s="11" t="e">
        <f>IF(ISBLANK(GSPC[[#This Row],[Long Exp.]]), "", (GSPC[[#This Row],[Long Exp.]]/D1344-1)+(E1344/GSPC[[#This Row],[Short Exp.]]-1))</f>
        <v>#VALUE!</v>
      </c>
      <c r="G1343" s="37">
        <v>35695</v>
      </c>
      <c r="H1343">
        <v>8.511609</v>
      </c>
      <c r="I1343" s="36">
        <f>IF(ISBLANK(H1344), "", Long0[[#This Row],[Adj Close]]/H1344-1)</f>
        <v>-7.4550592235457791E-2</v>
      </c>
      <c r="M1343" s="37">
        <v>35695</v>
      </c>
      <c r="N1343">
        <v>26.386738000000001</v>
      </c>
      <c r="O1343" s="36">
        <f>IF(ISBLANK(N1344),"",Long2[[#This Row],[Adj Close]]/N1344-1)</f>
        <v>-2.3809127429041954E-2</v>
      </c>
      <c r="P1343" s="29">
        <v>35695</v>
      </c>
      <c r="Q1343">
        <v>3.1444809999999999</v>
      </c>
      <c r="R1343" s="33">
        <f>IF(ISBLANK(Q1344),"",Long3[[#This Row],[Adj Close]]/Q1344-1)</f>
        <v>-1.9552935886886669E-2</v>
      </c>
      <c r="S1343" s="37">
        <v>35695</v>
      </c>
      <c r="T1343">
        <v>11.776752</v>
      </c>
      <c r="U1343" s="36">
        <f>IF(ISBLANK(T1344),"",Long4[[#This Row],[Adj Close]]/T1344-1)</f>
        <v>-3.9130181142910003E-2</v>
      </c>
      <c r="Y1343" s="37">
        <v>35695</v>
      </c>
      <c r="Z1343">
        <v>5.2379870000000004</v>
      </c>
      <c r="AA1343" s="36">
        <f>IF(ISBLANK(Z1344),"",Long6[[#This Row],[Adj Close]]/Z1344-1)</f>
        <v>7.5000010261575989E-2</v>
      </c>
      <c r="AK1343" s="37">
        <v>35695</v>
      </c>
      <c r="AL1343" s="39">
        <v>1.7412970000000001</v>
      </c>
      <c r="AM1343" s="36">
        <f>IF(ISBLANK(AL1344),"",Short1[[#This Row],[Adj Close]]/AL1344-1)</f>
        <v>7.5675471987170617E-2</v>
      </c>
      <c r="AN1343" s="29">
        <v>35695</v>
      </c>
      <c r="AO1343" s="44">
        <v>5.8975470000000003</v>
      </c>
      <c r="AP1343" s="33">
        <f>IF(ISBLANK(AO1344),"",Short2[[#This Row],[Adj Close]]/AO1344-1)</f>
        <v>1.8072432665338312E-2</v>
      </c>
    </row>
    <row r="1344" spans="1:42" x14ac:dyDescent="0.25">
      <c r="A1344" s="37">
        <v>35688</v>
      </c>
      <c r="B1344" s="39">
        <v>950.51000999999997</v>
      </c>
      <c r="C1344" s="36">
        <f>IF(ISBLANK(B1345), "", GSPC[[#This Row],[Adj Close]]/B1345-1)</f>
        <v>2.8790723963751264E-2</v>
      </c>
      <c r="D134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4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44" s="11" t="e">
        <f>IF(ISBLANK(GSPC[[#This Row],[Long Exp.]]), "", (GSPC[[#This Row],[Long Exp.]]/D1345-1)+(E1345/GSPC[[#This Row],[Short Exp.]]-1))</f>
        <v>#VALUE!</v>
      </c>
      <c r="G1344" s="37">
        <v>35688</v>
      </c>
      <c r="H1344">
        <v>9.1972710000000006</v>
      </c>
      <c r="I1344" s="36">
        <f>IF(ISBLANK(H1345), "", Long0[[#This Row],[Adj Close]]/H1345-1)</f>
        <v>7.1625765798936092E-2</v>
      </c>
      <c r="M1344" s="37">
        <v>35688</v>
      </c>
      <c r="N1344">
        <v>27.030306</v>
      </c>
      <c r="O1344" s="36">
        <f>IF(ISBLANK(N1345),"",Long2[[#This Row],[Adj Close]]/N1345-1)</f>
        <v>3.9314839736813045E-2</v>
      </c>
      <c r="P1344" s="29">
        <v>35688</v>
      </c>
      <c r="Q1344">
        <v>3.2071909999999999</v>
      </c>
      <c r="R1344" s="33">
        <f>IF(ISBLANK(Q1345),"",Long3[[#This Row],[Adj Close]]/Q1345-1)</f>
        <v>1.311026228737644E-2</v>
      </c>
      <c r="S1344" s="37">
        <v>35688</v>
      </c>
      <c r="T1344">
        <v>12.256345</v>
      </c>
      <c r="U1344" s="36">
        <f>IF(ISBLANK(T1345),"",Long4[[#This Row],[Adj Close]]/T1345-1)</f>
        <v>3.6035978920777811E-2</v>
      </c>
      <c r="Y1344" s="37">
        <v>35688</v>
      </c>
      <c r="Z1344">
        <v>4.8725459999999998</v>
      </c>
      <c r="AA1344" s="36">
        <f>IF(ISBLANK(Z1345),"",Long6[[#This Row],[Adj Close]]/Z1345-1)</f>
        <v>9.5890466416475473E-2</v>
      </c>
      <c r="AK1344" s="37">
        <v>35688</v>
      </c>
      <c r="AL1344" s="39">
        <v>1.6187940000000001</v>
      </c>
      <c r="AM1344" s="36">
        <f>IF(ISBLANK(AL1345),"",Short1[[#This Row],[Adj Close]]/AL1345-1)</f>
        <v>-4.392763636986452E-2</v>
      </c>
      <c r="AN1344" s="29">
        <v>35688</v>
      </c>
      <c r="AO1344" s="44">
        <v>5.7928559999999996</v>
      </c>
      <c r="AP1344" s="33">
        <f>IF(ISBLANK(AO1345),"",Short2[[#This Row],[Adj Close]]/AO1345-1)</f>
        <v>0.10299020022254557</v>
      </c>
    </row>
    <row r="1345" spans="1:42" x14ac:dyDescent="0.25">
      <c r="A1345" s="37">
        <v>35681</v>
      </c>
      <c r="B1345" s="39">
        <v>923.90997300000004</v>
      </c>
      <c r="C1345" s="36">
        <f>IF(ISBLANK(B1346), "", GSPC[[#This Row],[Adj Close]]/B1346-1)</f>
        <v>-5.5325494498579264E-3</v>
      </c>
      <c r="D134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4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45" s="11" t="e">
        <f>IF(ISBLANK(GSPC[[#This Row],[Long Exp.]]), "", (GSPC[[#This Row],[Long Exp.]]/D1346-1)+(E1346/GSPC[[#This Row],[Short Exp.]]-1))</f>
        <v>#VALUE!</v>
      </c>
      <c r="G1345" s="37">
        <v>35681</v>
      </c>
      <c r="H1345">
        <v>8.5825399999999998</v>
      </c>
      <c r="I1345" s="36">
        <f>IF(ISBLANK(H1346), "", Long0[[#This Row],[Adj Close]]/H1346-1)</f>
        <v>-2.419352087983051E-2</v>
      </c>
      <c r="M1345" s="37">
        <v>35681</v>
      </c>
      <c r="N1345">
        <v>26.007812999999999</v>
      </c>
      <c r="O1345" s="36">
        <f>IF(ISBLANK(N1346),"",Long2[[#This Row],[Adj Close]]/N1346-1)</f>
        <v>-4.2229307596191257E-2</v>
      </c>
      <c r="P1345" s="29">
        <v>35681</v>
      </c>
      <c r="Q1345">
        <v>3.1656879999999998</v>
      </c>
      <c r="R1345" s="33">
        <f>IF(ISBLANK(Q1346),"",Long3[[#This Row],[Adj Close]]/Q1346-1)</f>
        <v>-8.2648563471353631E-3</v>
      </c>
      <c r="S1345" s="37">
        <v>35681</v>
      </c>
      <c r="T1345">
        <v>11.830038</v>
      </c>
      <c r="U1345" s="36">
        <f>IF(ISBLANK(T1346),"",Long4[[#This Row],[Adj Close]]/T1346-1)</f>
        <v>-0.18681321853894939</v>
      </c>
      <c r="Y1345" s="37">
        <v>35681</v>
      </c>
      <c r="Z1345">
        <v>4.4461979999999999</v>
      </c>
      <c r="AA1345" s="36">
        <f>IF(ISBLANK(Z1346),"",Long6[[#This Row],[Adj Close]]/Z1346-1)</f>
        <v>-6.4102345512722203E-2</v>
      </c>
      <c r="AK1345" s="37">
        <v>35681</v>
      </c>
      <c r="AL1345" s="39">
        <v>1.693171</v>
      </c>
      <c r="AM1345" s="36">
        <f>IF(ISBLANK(AL1346),"",Short1[[#This Row],[Adj Close]]/AL1346-1)</f>
        <v>0.3118644724404569</v>
      </c>
      <c r="AN1345" s="29">
        <v>35681</v>
      </c>
      <c r="AO1345" s="44">
        <v>5.2519559999999998</v>
      </c>
      <c r="AP1345" s="33">
        <f>IF(ISBLANK(AO1346),"",Short2[[#This Row],[Adj Close]]/AO1346-1)</f>
        <v>8.3750357119816154E-3</v>
      </c>
    </row>
    <row r="1346" spans="1:42" x14ac:dyDescent="0.25">
      <c r="A1346" s="37">
        <v>35674</v>
      </c>
      <c r="B1346" s="39">
        <v>929.04998799999998</v>
      </c>
      <c r="C1346" s="36">
        <f>IF(ISBLANK(B1347), "", GSPC[[#This Row],[Adj Close]]/B1347-1)</f>
        <v>3.2886052846337943E-2</v>
      </c>
      <c r="D134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4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46" s="11" t="e">
        <f>IF(ISBLANK(GSPC[[#This Row],[Long Exp.]]), "", (GSPC[[#This Row],[Long Exp.]]/D1347-1)+(E1347/GSPC[[#This Row],[Short Exp.]]-1))</f>
        <v>#VALUE!</v>
      </c>
      <c r="G1346" s="37">
        <v>35674</v>
      </c>
      <c r="H1346">
        <v>8.7953299999999999</v>
      </c>
      <c r="I1346" s="36">
        <f>IF(ISBLANK(H1347), "", Long0[[#This Row],[Adj Close]]/H1347-1)</f>
        <v>9.411743924175231E-2</v>
      </c>
      <c r="M1346" s="37">
        <v>35674</v>
      </c>
      <c r="N1346">
        <v>27.154530000000001</v>
      </c>
      <c r="O1346" s="36">
        <f>IF(ISBLANK(N1347),"",Long2[[#This Row],[Adj Close]]/N1347-1)</f>
        <v>5.1509116921899301E-2</v>
      </c>
      <c r="P1346" s="29">
        <v>35674</v>
      </c>
      <c r="Q1346">
        <v>3.1920700000000002</v>
      </c>
      <c r="R1346" s="33">
        <f>IF(ISBLANK(Q1347),"",Long3[[#This Row],[Adj Close]]/Q1347-1)</f>
        <v>3.4188377558604488E-2</v>
      </c>
      <c r="S1346" s="37">
        <v>35674</v>
      </c>
      <c r="T1346">
        <v>14.547750000000001</v>
      </c>
      <c r="U1346" s="36">
        <f>IF(ISBLANK(T1347),"",Long4[[#This Row],[Adj Close]]/T1347-1)</f>
        <v>4.1984727083480555E-2</v>
      </c>
      <c r="Y1346" s="37">
        <v>35674</v>
      </c>
      <c r="Z1346">
        <v>4.750731</v>
      </c>
      <c r="AA1346" s="36">
        <f>IF(ISBLANK(Z1347),"",Long6[[#This Row],[Adj Close]]/Z1347-1)</f>
        <v>-2.5000277062545928E-2</v>
      </c>
      <c r="AK1346" s="37">
        <v>35674</v>
      </c>
      <c r="AL1346" s="39">
        <v>1.2906599999999999</v>
      </c>
      <c r="AM1346" s="36">
        <f>IF(ISBLANK(AL1347),"",Short1[[#This Row],[Adj Close]]/AL1347-1)</f>
        <v>8.0585528563104081E-2</v>
      </c>
      <c r="AN1346" s="29">
        <v>35674</v>
      </c>
      <c r="AO1346" s="44">
        <v>5.2083360000000001</v>
      </c>
      <c r="AP1346" s="33">
        <f>IF(ISBLANK(AO1347),"",Short2[[#This Row],[Adj Close]]/AO1347-1)</f>
        <v>-1.6725889015695161E-3</v>
      </c>
    </row>
    <row r="1347" spans="1:42" x14ac:dyDescent="0.25">
      <c r="A1347" s="37">
        <v>35667</v>
      </c>
      <c r="B1347" s="39">
        <v>899.46997099999999</v>
      </c>
      <c r="C1347" s="36">
        <f>IF(ISBLANK(B1348), "", GSPC[[#This Row],[Adj Close]]/B1348-1)</f>
        <v>-2.606276671652652E-2</v>
      </c>
      <c r="D134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4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47" s="11" t="e">
        <f>IF(ISBLANK(GSPC[[#This Row],[Long Exp.]]), "", (GSPC[[#This Row],[Long Exp.]]/D1348-1)+(E1348/GSPC[[#This Row],[Short Exp.]]-1))</f>
        <v>#VALUE!</v>
      </c>
      <c r="G1347" s="37">
        <v>35667</v>
      </c>
      <c r="H1347">
        <v>8.0387439999999994</v>
      </c>
      <c r="I1347" s="36">
        <f>IF(ISBLANK(H1348), "", Long0[[#This Row],[Adj Close]]/H1348-1)</f>
        <v>0</v>
      </c>
      <c r="M1347" s="37">
        <v>35667</v>
      </c>
      <c r="N1347">
        <v>25.824341</v>
      </c>
      <c r="O1347" s="36">
        <f>IF(ISBLANK(N1348),"",Long2[[#This Row],[Adj Close]]/N1348-1)</f>
        <v>-7.054495508714953E-3</v>
      </c>
      <c r="P1347" s="29">
        <v>35667</v>
      </c>
      <c r="Q1347">
        <v>3.0865459999999998</v>
      </c>
      <c r="R1347" s="33">
        <f>IF(ISBLANK(Q1348),"",Long3[[#This Row],[Adj Close]]/Q1348-1)</f>
        <v>3.5398250868913017E-2</v>
      </c>
      <c r="S1347" s="37">
        <v>35667</v>
      </c>
      <c r="T1347">
        <v>13.961577</v>
      </c>
      <c r="U1347" s="36">
        <f>IF(ISBLANK(T1348),"",Long4[[#This Row],[Adj Close]]/T1348-1)</f>
        <v>7.6923132443160736E-3</v>
      </c>
      <c r="Y1347" s="37">
        <v>35667</v>
      </c>
      <c r="Z1347">
        <v>4.8725459999999998</v>
      </c>
      <c r="AA1347" s="36">
        <f>IF(ISBLANK(Z1348),"",Long6[[#This Row],[Adj Close]]/Z1348-1)</f>
        <v>4.9180419646673412E-2</v>
      </c>
      <c r="AK1347" s="37">
        <v>35667</v>
      </c>
      <c r="AL1347" s="39">
        <v>1.1944079999999999</v>
      </c>
      <c r="AM1347" s="36">
        <f>IF(ISBLANK(AL1348),"",Short1[[#This Row],[Adj Close]]/AL1348-1)</f>
        <v>4.5977514786680995E-2</v>
      </c>
      <c r="AN1347" s="29">
        <v>35667</v>
      </c>
      <c r="AO1347" s="44">
        <v>5.2170620000000003</v>
      </c>
      <c r="AP1347" s="33">
        <f>IF(ISBLANK(AO1348),"",Short2[[#This Row],[Adj Close]]/AO1348-1)</f>
        <v>2.7491825165786299E-2</v>
      </c>
    </row>
    <row r="1348" spans="1:42" x14ac:dyDescent="0.25">
      <c r="A1348" s="37">
        <v>35660</v>
      </c>
      <c r="B1348" s="39">
        <v>923.53997800000002</v>
      </c>
      <c r="C1348" s="36">
        <f>IF(ISBLANK(B1349), "", GSPC[[#This Row],[Adj Close]]/B1349-1)</f>
        <v>2.523282384794312E-2</v>
      </c>
      <c r="D134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4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48" s="11" t="e">
        <f>IF(ISBLANK(GSPC[[#This Row],[Long Exp.]]), "", (GSPC[[#This Row],[Long Exp.]]/D1349-1)+(E1349/GSPC[[#This Row],[Short Exp.]]-1))</f>
        <v>#VALUE!</v>
      </c>
      <c r="G1348" s="37">
        <v>35660</v>
      </c>
      <c r="H1348">
        <v>8.0387439999999994</v>
      </c>
      <c r="I1348" s="36">
        <f>IF(ISBLANK(H1349), "", Long0[[#This Row],[Adj Close]]/H1349-1)</f>
        <v>7.5949402667780941E-2</v>
      </c>
      <c r="M1348" s="37">
        <v>35660</v>
      </c>
      <c r="N1348">
        <v>26.007812999999999</v>
      </c>
      <c r="O1348" s="36">
        <f>IF(ISBLANK(N1349),"",Long2[[#This Row],[Adj Close]]/N1349-1)</f>
        <v>1.6129213745223359E-2</v>
      </c>
      <c r="P1348" s="29">
        <v>35660</v>
      </c>
      <c r="Q1348">
        <v>2.981023</v>
      </c>
      <c r="R1348" s="33">
        <f>IF(ISBLANK(Q1349),"",Long3[[#This Row],[Adj Close]]/Q1349-1)</f>
        <v>3.039521452344851E-2</v>
      </c>
      <c r="S1348" s="37">
        <v>35660</v>
      </c>
      <c r="T1348">
        <v>13.855</v>
      </c>
      <c r="U1348" s="36">
        <f>IF(ISBLANK(T1349),"",Long4[[#This Row],[Adj Close]]/T1349-1)</f>
        <v>-5.4545394991212803E-2</v>
      </c>
      <c r="Y1348" s="37">
        <v>35660</v>
      </c>
      <c r="Z1348">
        <v>4.644145</v>
      </c>
      <c r="AA1348" s="36">
        <f>IF(ISBLANK(Z1349),"",Long6[[#This Row],[Adj Close]]/Z1349-1)</f>
        <v>-0.11337217904511798</v>
      </c>
      <c r="AK1348" s="37">
        <v>35660</v>
      </c>
      <c r="AL1348" s="39">
        <v>1.1419060000000001</v>
      </c>
      <c r="AM1348" s="36">
        <f>IF(ISBLANK(AL1349),"",Short1[[#This Row],[Adj Close]]/AL1349-1)</f>
        <v>1.1627587636574344E-2</v>
      </c>
      <c r="AN1348" s="29">
        <v>35660</v>
      </c>
      <c r="AO1348" s="44">
        <v>5.0774730000000003</v>
      </c>
      <c r="AP1348" s="33">
        <f>IF(ISBLANK(AO1349),"",Short2[[#This Row],[Adj Close]]/AO1349-1)</f>
        <v>1.5705866820298731E-2</v>
      </c>
    </row>
    <row r="1349" spans="1:42" x14ac:dyDescent="0.25">
      <c r="A1349" s="37">
        <v>35653</v>
      </c>
      <c r="B1349" s="39">
        <v>900.80999799999995</v>
      </c>
      <c r="C1349" s="36">
        <f>IF(ISBLANK(B1350), "", GSPC[[#This Row],[Adj Close]]/B1350-1)</f>
        <v>-3.5060073238770362E-2</v>
      </c>
      <c r="D134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4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49" s="11" t="e">
        <f>IF(ISBLANK(GSPC[[#This Row],[Long Exp.]]), "", (GSPC[[#This Row],[Long Exp.]]/D1350-1)+(E1350/GSPC[[#This Row],[Short Exp.]]-1))</f>
        <v>#VALUE!</v>
      </c>
      <c r="G1349" s="37">
        <v>35653</v>
      </c>
      <c r="H1349">
        <v>7.4713029999999998</v>
      </c>
      <c r="I1349" s="36">
        <f>IF(ISBLANK(H1350), "", Long0[[#This Row],[Adj Close]]/H1350-1)</f>
        <v>-5.3892269406515259E-2</v>
      </c>
      <c r="M1349" s="37">
        <v>35653</v>
      </c>
      <c r="N1349">
        <v>25.594985999999999</v>
      </c>
      <c r="O1349" s="36">
        <f>IF(ISBLANK(N1350),"",Long2[[#This Row],[Adj Close]]/N1350-1)</f>
        <v>4.8872098183825319E-2</v>
      </c>
      <c r="P1349" s="29">
        <v>35653</v>
      </c>
      <c r="Q1349">
        <v>2.893087</v>
      </c>
      <c r="R1349" s="33">
        <f>IF(ISBLANK(Q1350),"",Long3[[#This Row],[Adj Close]]/Q1350-1)</f>
        <v>1.8575684622117228E-2</v>
      </c>
      <c r="S1349" s="37">
        <v>35653</v>
      </c>
      <c r="T1349">
        <v>14.654325999999999</v>
      </c>
      <c r="U1349" s="36">
        <f>IF(ISBLANK(T1350),"",Long4[[#This Row],[Adj Close]]/T1350-1)</f>
        <v>-8.3333479289452228E-2</v>
      </c>
      <c r="Y1349" s="37">
        <v>35653</v>
      </c>
      <c r="Z1349">
        <v>5.2379870000000004</v>
      </c>
      <c r="AA1349" s="36">
        <f>IF(ISBLANK(Z1350),"",Long6[[#This Row],[Adj Close]]/Z1350-1)</f>
        <v>-5.4945203645560547E-2</v>
      </c>
      <c r="AK1349" s="37">
        <v>35653</v>
      </c>
      <c r="AL1349" s="39">
        <v>1.128781</v>
      </c>
      <c r="AM1349" s="36">
        <f>IF(ISBLANK(AL1350),"",Short1[[#This Row],[Adj Close]]/AL1350-1)</f>
        <v>0.13656419158396704</v>
      </c>
      <c r="AN1349" s="29">
        <v>35653</v>
      </c>
      <c r="AO1349" s="44">
        <v>4.9989600000000003</v>
      </c>
      <c r="AP1349" s="33">
        <f>IF(ISBLANK(AO1350),"",Short2[[#This Row],[Adj Close]]/AO1350-1)</f>
        <v>-1.3768875212059051E-2</v>
      </c>
    </row>
    <row r="1350" spans="1:42" x14ac:dyDescent="0.25">
      <c r="A1350" s="37">
        <v>35646</v>
      </c>
      <c r="B1350" s="39">
        <v>933.53997800000002</v>
      </c>
      <c r="C1350" s="36">
        <f>IF(ISBLANK(B1351), "", GSPC[[#This Row],[Adj Close]]/B1351-1)</f>
        <v>-1.4359056511829338E-2</v>
      </c>
      <c r="D135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5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50" s="11" t="e">
        <f>IF(ISBLANK(GSPC[[#This Row],[Long Exp.]]), "", (GSPC[[#This Row],[Long Exp.]]/D1351-1)+(E1351/GSPC[[#This Row],[Short Exp.]]-1))</f>
        <v>#VALUE!</v>
      </c>
      <c r="G1350" s="37">
        <v>35646</v>
      </c>
      <c r="H1350">
        <v>7.896884</v>
      </c>
      <c r="I1350" s="36">
        <f>IF(ISBLANK(H1351), "", Long0[[#This Row],[Adj Close]]/H1351-1)</f>
        <v>0.15972225587722888</v>
      </c>
      <c r="M1350" s="37">
        <v>35646</v>
      </c>
      <c r="N1350">
        <v>24.40239</v>
      </c>
      <c r="O1350" s="36">
        <f>IF(ISBLANK(N1351),"",Long2[[#This Row],[Adj Close]]/N1351-1)</f>
        <v>3.1007252467890378E-2</v>
      </c>
      <c r="P1350" s="29">
        <v>35646</v>
      </c>
      <c r="Q1350">
        <v>2.8403260000000001</v>
      </c>
      <c r="R1350" s="33">
        <f>IF(ISBLANK(Q1351),"",Long3[[#This Row],[Adj Close]]/Q1351-1)</f>
        <v>-1.5243938377987876E-2</v>
      </c>
      <c r="S1350" s="37">
        <v>35646</v>
      </c>
      <c r="T1350">
        <v>15.98654</v>
      </c>
      <c r="U1350" s="36">
        <f>IF(ISBLANK(T1351),"",Long4[[#This Row],[Adj Close]]/T1351-1)</f>
        <v>-6.2499761762412787E-2</v>
      </c>
      <c r="Y1350" s="37">
        <v>35646</v>
      </c>
      <c r="Z1350">
        <v>5.5425219999999999</v>
      </c>
      <c r="AA1350" s="36">
        <f>IF(ISBLANK(Z1351),"",Long6[[#This Row],[Adj Close]]/Z1351-1)</f>
        <v>0.12345693776752298</v>
      </c>
      <c r="AK1350" s="37">
        <v>35646</v>
      </c>
      <c r="AL1350" s="39">
        <v>0.99315200000000003</v>
      </c>
      <c r="AM1350" s="36">
        <f>IF(ISBLANK(AL1351),"",Short1[[#This Row],[Adj Close]]/AL1351-1)</f>
        <v>9.1345842147193768E-2</v>
      </c>
      <c r="AN1350" s="29">
        <v>35646</v>
      </c>
      <c r="AO1350" s="44">
        <v>5.0687509999999998</v>
      </c>
      <c r="AP1350" s="33">
        <f>IF(ISBLANK(AO1351),"",Short2[[#This Row],[Adj Close]]/AO1351-1)</f>
        <v>-3.2628307575566229E-2</v>
      </c>
    </row>
    <row r="1351" spans="1:42" x14ac:dyDescent="0.25">
      <c r="A1351" s="37">
        <v>35639</v>
      </c>
      <c r="B1351" s="39">
        <v>947.14001499999995</v>
      </c>
      <c r="C1351" s="36">
        <f>IF(ISBLANK(B1352), "", GSPC[[#This Row],[Adj Close]]/B1352-1)</f>
        <v>8.8944675547015795E-3</v>
      </c>
      <c r="D135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5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51" s="11" t="e">
        <f>IF(ISBLANK(GSPC[[#This Row],[Long Exp.]]), "", (GSPC[[#This Row],[Long Exp.]]/D1352-1)+(E1352/GSPC[[#This Row],[Short Exp.]]-1))</f>
        <v>#VALUE!</v>
      </c>
      <c r="G1351" s="37">
        <v>35639</v>
      </c>
      <c r="H1351">
        <v>6.8092889999999997</v>
      </c>
      <c r="I1351" s="36">
        <f>IF(ISBLANK(H1352), "", Long0[[#This Row],[Adj Close]]/H1352-1)</f>
        <v>7.8651744129129897E-2</v>
      </c>
      <c r="M1351" s="37">
        <v>35639</v>
      </c>
      <c r="N1351">
        <v>23.668495</v>
      </c>
      <c r="O1351" s="36">
        <f>IF(ISBLANK(N1352),"",Long2[[#This Row],[Adj Close]]/N1352-1)</f>
        <v>-4.4444088269427806E-2</v>
      </c>
      <c r="P1351" s="29">
        <v>35639</v>
      </c>
      <c r="Q1351">
        <v>2.8842940000000001</v>
      </c>
      <c r="R1351" s="33">
        <f>IF(ISBLANK(Q1352),"",Long3[[#This Row],[Adj Close]]/Q1352-1)</f>
        <v>5.1281565302205401E-2</v>
      </c>
      <c r="S1351" s="37">
        <v>35639</v>
      </c>
      <c r="T1351">
        <v>17.052305</v>
      </c>
      <c r="U1351" s="36">
        <f>IF(ISBLANK(T1352),"",Long4[[#This Row],[Adj Close]]/T1352-1)</f>
        <v>-1.8404923867300305E-2</v>
      </c>
      <c r="Y1351" s="37">
        <v>35639</v>
      </c>
      <c r="Z1351">
        <v>4.9334530000000001</v>
      </c>
      <c r="AA1351" s="36">
        <f>IF(ISBLANK(Z1352),"",Long6[[#This Row],[Adj Close]]/Z1352-1)</f>
        <v>3.846187039426141E-2</v>
      </c>
      <c r="AK1351" s="37">
        <v>35639</v>
      </c>
      <c r="AL1351" s="39">
        <v>0.91002499999999997</v>
      </c>
      <c r="AM1351" s="36">
        <f>IF(ISBLANK(AL1352),"",Short1[[#This Row],[Adj Close]]/AL1352-1)</f>
        <v>-9.5235503795815246E-3</v>
      </c>
      <c r="AN1351" s="29">
        <v>35639</v>
      </c>
      <c r="AO1351" s="44">
        <v>5.2397140000000002</v>
      </c>
      <c r="AP1351" s="33">
        <f>IF(ISBLANK(AO1352),"",Short2[[#This Row],[Adj Close]]/AO1352-1)</f>
        <v>4.3402122642683505E-2</v>
      </c>
    </row>
    <row r="1352" spans="1:42" x14ac:dyDescent="0.25">
      <c r="A1352" s="37">
        <v>35632</v>
      </c>
      <c r="B1352" s="39">
        <v>938.78997800000002</v>
      </c>
      <c r="C1352" s="36">
        <f>IF(ISBLANK(B1353), "", GSPC[[#This Row],[Adj Close]]/B1353-1)</f>
        <v>2.56637062252425E-2</v>
      </c>
      <c r="D135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5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52" s="11" t="e">
        <f>IF(ISBLANK(GSPC[[#This Row],[Long Exp.]]), "", (GSPC[[#This Row],[Long Exp.]]/D1353-1)+(E1353/GSPC[[#This Row],[Short Exp.]]-1))</f>
        <v>#VALUE!</v>
      </c>
      <c r="G1352" s="37">
        <v>35632</v>
      </c>
      <c r="H1352">
        <v>6.3127779999999998</v>
      </c>
      <c r="I1352" s="36">
        <f>IF(ISBLANK(H1353), "", Long0[[#This Row],[Adj Close]]/H1353-1)</f>
        <v>7.6612921105527532E-2</v>
      </c>
      <c r="M1352" s="37">
        <v>35632</v>
      </c>
      <c r="N1352">
        <v>24.769345999999999</v>
      </c>
      <c r="O1352" s="36">
        <f>IF(ISBLANK(N1353),"",Long2[[#This Row],[Adj Close]]/N1353-1)</f>
        <v>-8.0068502351718251E-2</v>
      </c>
      <c r="P1352" s="29">
        <v>35632</v>
      </c>
      <c r="Q1352">
        <v>2.743598</v>
      </c>
      <c r="R1352" s="33">
        <f>IF(ISBLANK(Q1353),"",Long3[[#This Row],[Adj Close]]/Q1353-1)</f>
        <v>-3.1055273258434046E-2</v>
      </c>
      <c r="S1352" s="37">
        <v>35632</v>
      </c>
      <c r="T1352">
        <v>17.372036000000001</v>
      </c>
      <c r="U1352" s="36">
        <f>IF(ISBLANK(T1353),"",Long4[[#This Row],[Adj Close]]/T1353-1)</f>
        <v>-7.9096156909560844E-2</v>
      </c>
      <c r="Y1352" s="37">
        <v>35632</v>
      </c>
      <c r="Z1352">
        <v>4.750731</v>
      </c>
      <c r="AA1352" s="36">
        <f>IF(ISBLANK(Z1353),"",Long6[[#This Row],[Adj Close]]/Z1353-1)</f>
        <v>8.3332877263361249E-2</v>
      </c>
      <c r="AK1352" s="37">
        <v>35632</v>
      </c>
      <c r="AL1352" s="39">
        <v>0.91877500000000001</v>
      </c>
      <c r="AM1352" s="36">
        <f>IF(ISBLANK(AL1353),"",Short1[[#This Row],[Adj Close]]/AL1353-1)</f>
        <v>-4.9773451470212615E-2</v>
      </c>
      <c r="AN1352" s="29">
        <v>35632</v>
      </c>
      <c r="AO1352" s="44">
        <v>5.0217590000000003</v>
      </c>
      <c r="AP1352" s="33">
        <f>IF(ISBLANK(AO1353),"",Short2[[#This Row],[Adj Close]]/AO1353-1)</f>
        <v>5.6881116635227436E-2</v>
      </c>
    </row>
    <row r="1353" spans="1:42" x14ac:dyDescent="0.25">
      <c r="A1353" s="37">
        <v>35625</v>
      </c>
      <c r="B1353" s="39">
        <v>915.29998799999998</v>
      </c>
      <c r="C1353" s="36">
        <f>IF(ISBLANK(B1354), "", GSPC[[#This Row],[Adj Close]]/B1354-1)</f>
        <v>-1.5054381142144413E-3</v>
      </c>
      <c r="D135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5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53" s="11" t="e">
        <f>IF(ISBLANK(GSPC[[#This Row],[Long Exp.]]), "", (GSPC[[#This Row],[Long Exp.]]/D1354-1)+(E1354/GSPC[[#This Row],[Short Exp.]]-1))</f>
        <v>#VALUE!</v>
      </c>
      <c r="G1353" s="37">
        <v>35625</v>
      </c>
      <c r="H1353">
        <v>5.8635539999999997</v>
      </c>
      <c r="I1353" s="36">
        <f>IF(ISBLANK(H1354), "", Long0[[#This Row],[Adj Close]]/H1354-1)</f>
        <v>-3.5019254179693315E-2</v>
      </c>
      <c r="M1353" s="37">
        <v>35625</v>
      </c>
      <c r="N1353">
        <v>26.925207</v>
      </c>
      <c r="O1353" s="36">
        <f>IF(ISBLANK(N1354),"",Long2[[#This Row],[Adj Close]]/N1354-1)</f>
        <v>1.0327588650451691E-2</v>
      </c>
      <c r="P1353" s="29">
        <v>35625</v>
      </c>
      <c r="Q1353">
        <v>2.8315320000000002</v>
      </c>
      <c r="R1353" s="33">
        <f>IF(ISBLANK(Q1354),"",Long3[[#This Row],[Adj Close]]/Q1354-1)</f>
        <v>1.2578503896854443E-2</v>
      </c>
      <c r="S1353" s="37">
        <v>35625</v>
      </c>
      <c r="T1353">
        <v>18.864115000000002</v>
      </c>
      <c r="U1353" s="36">
        <f>IF(ISBLANK(T1354),"",Long4[[#This Row],[Adj Close]]/T1354-1)</f>
        <v>1.7241392326647231E-2</v>
      </c>
      <c r="Y1353" s="37">
        <v>35625</v>
      </c>
      <c r="Z1353">
        <v>4.3852919999999997</v>
      </c>
      <c r="AA1353" s="36">
        <f>IF(ISBLANK(Z1354),"",Long6[[#This Row],[Adj Close]]/Z1354-1)</f>
        <v>0.12500038480917053</v>
      </c>
      <c r="AK1353" s="37">
        <v>35625</v>
      </c>
      <c r="AL1353" s="39">
        <v>0.96690100000000001</v>
      </c>
      <c r="AM1353" s="36">
        <f>IF(ISBLANK(AL1354),"",Short1[[#This Row],[Adj Close]]/AL1354-1)</f>
        <v>-2.2123312054499689E-2</v>
      </c>
      <c r="AN1353" s="29">
        <v>35625</v>
      </c>
      <c r="AO1353" s="44">
        <v>4.7514890000000003</v>
      </c>
      <c r="AP1353" s="33">
        <f>IF(ISBLANK(AO1354),"",Short2[[#This Row],[Adj Close]]/AO1354-1)</f>
        <v>3.415584262947613E-2</v>
      </c>
    </row>
    <row r="1354" spans="1:42" x14ac:dyDescent="0.25">
      <c r="A1354" s="37">
        <v>35618</v>
      </c>
      <c r="B1354" s="39">
        <v>916.67999299999997</v>
      </c>
      <c r="C1354" s="36">
        <f>IF(ISBLANK(B1355), "", GSPC[[#This Row],[Adj Close]]/B1355-1)</f>
        <v>-2.6173494356052096E-4</v>
      </c>
      <c r="D135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5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54" s="11" t="e">
        <f>IF(ISBLANK(GSPC[[#This Row],[Long Exp.]]), "", (GSPC[[#This Row],[Long Exp.]]/D1355-1)+(E1355/GSPC[[#This Row],[Short Exp.]]-1))</f>
        <v>#VALUE!</v>
      </c>
      <c r="G1354" s="37">
        <v>35618</v>
      </c>
      <c r="H1354">
        <v>6.0763429999999996</v>
      </c>
      <c r="I1354" s="36">
        <f>IF(ISBLANK(H1355), "", Long0[[#This Row],[Adj Close]]/H1355-1)</f>
        <v>6.6390092468492146E-2</v>
      </c>
      <c r="M1354" s="37">
        <v>35618</v>
      </c>
      <c r="N1354">
        <v>26.649977</v>
      </c>
      <c r="O1354" s="36">
        <f>IF(ISBLANK(N1355),"",Long2[[#This Row],[Adj Close]]/N1355-1)</f>
        <v>5.8287424202827953E-2</v>
      </c>
      <c r="P1354" s="29">
        <v>35618</v>
      </c>
      <c r="Q1354">
        <v>2.7963580000000001</v>
      </c>
      <c r="R1354" s="33">
        <f>IF(ISBLANK(Q1355),"",Long3[[#This Row],[Adj Close]]/Q1355-1)</f>
        <v>-9.3458870976026454E-3</v>
      </c>
      <c r="S1354" s="37">
        <v>35618</v>
      </c>
      <c r="T1354">
        <v>18.544384000000001</v>
      </c>
      <c r="U1354" s="36">
        <f>IF(ISBLANK(T1355),"",Long4[[#This Row],[Adj Close]]/T1355-1)</f>
        <v>-0.1122448031923291</v>
      </c>
      <c r="Y1354" s="37">
        <v>35618</v>
      </c>
      <c r="Z1354">
        <v>3.8980359999999998</v>
      </c>
      <c r="AA1354" s="36">
        <f>IF(ISBLANK(Z1355),"",Long6[[#This Row],[Adj Close]]/Z1355-1)</f>
        <v>-0.11111141515775913</v>
      </c>
      <c r="AK1354" s="37">
        <v>35618</v>
      </c>
      <c r="AL1354" s="39">
        <v>0.98877599999999999</v>
      </c>
      <c r="AM1354" s="36">
        <f>IF(ISBLANK(AL1355),"",Short1[[#This Row],[Adj Close]]/AL1355-1)</f>
        <v>-2.1646400891304984E-2</v>
      </c>
      <c r="AN1354" s="29">
        <v>35618</v>
      </c>
      <c r="AO1354" s="44">
        <v>4.5945580000000001</v>
      </c>
      <c r="AP1354" s="33">
        <f>IF(ISBLANK(AO1355),"",Short2[[#This Row],[Adj Close]]/AO1355-1)</f>
        <v>-3.7807933443120278E-3</v>
      </c>
    </row>
    <row r="1355" spans="1:42" x14ac:dyDescent="0.25">
      <c r="A1355" s="37">
        <v>35611</v>
      </c>
      <c r="B1355" s="39">
        <v>916.919983</v>
      </c>
      <c r="C1355" s="36">
        <f>IF(ISBLANK(B1356), "", GSPC[[#This Row],[Adj Close]]/B1356-1)</f>
        <v>3.3382165446394607E-2</v>
      </c>
      <c r="D135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5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55" s="11" t="e">
        <f>IF(ISBLANK(GSPC[[#This Row],[Long Exp.]]), "", (GSPC[[#This Row],[Long Exp.]]/D1356-1)+(E1356/GSPC[[#This Row],[Short Exp.]]-1))</f>
        <v>#VALUE!</v>
      </c>
      <c r="G1355" s="37">
        <v>35611</v>
      </c>
      <c r="H1355">
        <v>5.6980490000000001</v>
      </c>
      <c r="I1355" s="36">
        <f>IF(ISBLANK(H1356), "", Long0[[#This Row],[Adj Close]]/H1356-1)</f>
        <v>2.3928047480526127E-2</v>
      </c>
      <c r="M1355" s="37">
        <v>35611</v>
      </c>
      <c r="N1355">
        <v>25.182172999999999</v>
      </c>
      <c r="O1355" s="36">
        <f>IF(ISBLANK(N1356),"",Long2[[#This Row],[Adj Close]]/N1356-1)</f>
        <v>-4.8526910101599818E-2</v>
      </c>
      <c r="P1355" s="29">
        <v>35611</v>
      </c>
      <c r="Q1355">
        <v>2.8227389999999999</v>
      </c>
      <c r="R1355" s="33">
        <f>IF(ISBLANK(Q1356),"",Long3[[#This Row],[Adj Close]]/Q1356-1)</f>
        <v>6.2691767614815319E-3</v>
      </c>
      <c r="S1355" s="37">
        <v>35611</v>
      </c>
      <c r="T1355">
        <v>20.889074000000001</v>
      </c>
      <c r="U1355" s="36">
        <f>IF(ISBLANK(T1356),"",Long4[[#This Row],[Adj Close]]/T1356-1)</f>
        <v>4.8128122759959702E-2</v>
      </c>
      <c r="Y1355" s="37">
        <v>35611</v>
      </c>
      <c r="Z1355">
        <v>4.3852919999999997</v>
      </c>
      <c r="AA1355" s="36">
        <f>IF(ISBLANK(Z1356),"",Long6[[#This Row],[Adj Close]]/Z1356-1)</f>
        <v>0.12500038480917053</v>
      </c>
      <c r="AK1355" s="37">
        <v>35611</v>
      </c>
      <c r="AL1355" s="39">
        <v>1.010653</v>
      </c>
      <c r="AM1355" s="36">
        <f>IF(ISBLANK(AL1356),"",Short1[[#This Row],[Adj Close]]/AL1356-1)</f>
        <v>-6.8547476611224178E-2</v>
      </c>
      <c r="AN1355" s="29">
        <v>35611</v>
      </c>
      <c r="AO1355" s="44">
        <v>4.6119950000000003</v>
      </c>
      <c r="AP1355" s="33">
        <f>IF(ISBLANK(AO1356),"",Short2[[#This Row],[Adj Close]]/AO1356-1)</f>
        <v>3.7255318694343398E-2</v>
      </c>
    </row>
    <row r="1356" spans="1:42" x14ac:dyDescent="0.25">
      <c r="A1356" s="37">
        <v>35604</v>
      </c>
      <c r="B1356" s="39">
        <v>887.29998799999998</v>
      </c>
      <c r="C1356" s="36">
        <f>IF(ISBLANK(B1357), "", GSPC[[#This Row],[Adj Close]]/B1357-1)</f>
        <v>-1.2685015965038238E-2</v>
      </c>
      <c r="D135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5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56" s="11" t="e">
        <f>IF(ISBLANK(GSPC[[#This Row],[Long Exp.]]), "", (GSPC[[#This Row],[Long Exp.]]/D1357-1)+(E1357/GSPC[[#This Row],[Short Exp.]]-1))</f>
        <v>#VALUE!</v>
      </c>
      <c r="G1356" s="37">
        <v>35604</v>
      </c>
      <c r="H1356">
        <v>5.5648920000000004</v>
      </c>
      <c r="I1356" s="36">
        <f>IF(ISBLANK(H1357), "", Long0[[#This Row],[Adj Close]]/H1357-1)</f>
        <v>-6.3491777668464922E-2</v>
      </c>
      <c r="M1356" s="37">
        <v>35604</v>
      </c>
      <c r="N1356">
        <v>26.466511000000001</v>
      </c>
      <c r="O1356" s="36">
        <f>IF(ISBLANK(N1357),"",Long2[[#This Row],[Adj Close]]/N1357-1)</f>
        <v>-5.4098306401900276E-2</v>
      </c>
      <c r="P1356" s="29">
        <v>35604</v>
      </c>
      <c r="Q1356">
        <v>2.8051529999999998</v>
      </c>
      <c r="R1356" s="33">
        <f>IF(ISBLANK(Q1357),"",Long3[[#This Row],[Adj Close]]/Q1357-1)</f>
        <v>-3.1247934395330912E-3</v>
      </c>
      <c r="S1356" s="37">
        <v>35604</v>
      </c>
      <c r="T1356">
        <v>19.929886</v>
      </c>
      <c r="U1356" s="36">
        <f>IF(ISBLANK(T1357),"",Long4[[#This Row],[Adj Close]]/T1357-1)</f>
        <v>2.7472651826192296E-2</v>
      </c>
      <c r="Y1356" s="37">
        <v>35604</v>
      </c>
      <c r="Z1356">
        <v>3.8980359999999998</v>
      </c>
      <c r="AA1356" s="36">
        <f>IF(ISBLANK(Z1357),"",Long6[[#This Row],[Adj Close]]/Z1357-1)</f>
        <v>0</v>
      </c>
      <c r="AK1356" s="37">
        <v>35604</v>
      </c>
      <c r="AL1356" s="39">
        <v>1.085029</v>
      </c>
      <c r="AM1356" s="36">
        <f>IF(ISBLANK(AL1357),"",Short1[[#This Row],[Adj Close]]/AL1357-1)</f>
        <v>0.13761407290600736</v>
      </c>
      <c r="AN1356" s="29">
        <v>35604</v>
      </c>
      <c r="AO1356" s="44">
        <v>4.446345</v>
      </c>
      <c r="AP1356" s="33">
        <f>IF(ISBLANK(AO1357),"",Short2[[#This Row],[Adj Close]]/AO1357-1)</f>
        <v>-2.2988745686080669E-2</v>
      </c>
    </row>
    <row r="1357" spans="1:42" x14ac:dyDescent="0.25">
      <c r="A1357" s="37">
        <v>35597</v>
      </c>
      <c r="B1357" s="39">
        <v>898.70001200000002</v>
      </c>
      <c r="C1357" s="36">
        <f>IF(ISBLANK(B1358), "", GSPC[[#This Row],[Adj Close]]/B1358-1)</f>
        <v>6.078780075928103E-3</v>
      </c>
      <c r="D135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5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57" s="11" t="e">
        <f>IF(ISBLANK(GSPC[[#This Row],[Long Exp.]]), "", (GSPC[[#This Row],[Long Exp.]]/D1358-1)+(E1358/GSPC[[#This Row],[Short Exp.]]-1))</f>
        <v>#VALUE!</v>
      </c>
      <c r="G1357" s="37">
        <v>35597</v>
      </c>
      <c r="H1357">
        <v>5.9421710000000001</v>
      </c>
      <c r="I1357" s="36">
        <f>IF(ISBLANK(H1358), "", Long0[[#This Row],[Adj Close]]/H1358-1)</f>
        <v>-7.8743325842794976E-3</v>
      </c>
      <c r="M1357" s="37">
        <v>35597</v>
      </c>
      <c r="N1357">
        <v>27.980191999999999</v>
      </c>
      <c r="O1357" s="36">
        <f>IF(ISBLANK(N1358),"",Long2[[#This Row],[Adj Close]]/N1358-1)</f>
        <v>2.0618767888498368E-3</v>
      </c>
      <c r="P1357" s="29">
        <v>35597</v>
      </c>
      <c r="Q1357">
        <v>2.8139460000000001</v>
      </c>
      <c r="R1357" s="33">
        <f>IF(ISBLANK(Q1358),"",Long3[[#This Row],[Adj Close]]/Q1358-1)</f>
        <v>-2.4390024040545133E-2</v>
      </c>
      <c r="S1357" s="37">
        <v>35597</v>
      </c>
      <c r="T1357">
        <v>19.396999000000001</v>
      </c>
      <c r="U1357" s="36">
        <f>IF(ISBLANK(T1358),"",Long4[[#This Row],[Adj Close]]/T1358-1)</f>
        <v>-0.10784329372663903</v>
      </c>
      <c r="Y1357" s="37">
        <v>35597</v>
      </c>
      <c r="Z1357">
        <v>3.8980359999999998</v>
      </c>
      <c r="AA1357" s="36">
        <f>IF(ISBLANK(Z1358),"",Long6[[#This Row],[Adj Close]]/Z1358-1)</f>
        <v>-8.5714098073965905E-2</v>
      </c>
      <c r="AK1357" s="37">
        <v>35597</v>
      </c>
      <c r="AL1357" s="39">
        <v>0.95377599999999996</v>
      </c>
      <c r="AM1357" s="36">
        <f>IF(ISBLANK(AL1358),"",Short1[[#This Row],[Adj Close]]/AL1358-1)</f>
        <v>0.13541653026167144</v>
      </c>
      <c r="AN1357" s="29">
        <v>35597</v>
      </c>
      <c r="AO1357" s="44">
        <v>4.5509659999999998</v>
      </c>
      <c r="AP1357" s="33">
        <f>IF(ISBLANK(AO1358),"",Short2[[#This Row],[Adj Close]]/AO1358-1)</f>
        <v>0</v>
      </c>
    </row>
    <row r="1358" spans="1:42" x14ac:dyDescent="0.25">
      <c r="A1358" s="37">
        <v>35590</v>
      </c>
      <c r="B1358" s="39">
        <v>893.27002000000005</v>
      </c>
      <c r="C1358" s="36">
        <f>IF(ISBLANK(B1359), "", GSPC[[#This Row],[Adj Close]]/B1359-1)</f>
        <v>4.1095103307710934E-2</v>
      </c>
      <c r="D135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5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58" s="11" t="e">
        <f>IF(ISBLANK(GSPC[[#This Row],[Long Exp.]]), "", (GSPC[[#This Row],[Long Exp.]]/D1359-1)+(E1359/GSPC[[#This Row],[Short Exp.]]-1))</f>
        <v>#VALUE!</v>
      </c>
      <c r="G1358" s="37">
        <v>35590</v>
      </c>
      <c r="H1358">
        <v>5.9893330000000002</v>
      </c>
      <c r="I1358" s="36">
        <f>IF(ISBLANK(H1359), "", Long0[[#This Row],[Adj Close]]/H1359-1)</f>
        <v>5.8333386344247229E-2</v>
      </c>
      <c r="M1358" s="37">
        <v>35590</v>
      </c>
      <c r="N1358">
        <v>27.922619000000001</v>
      </c>
      <c r="O1358" s="36">
        <f>IF(ISBLANK(N1359),"",Long2[[#This Row],[Adj Close]]/N1359-1)</f>
        <v>-1.6128794701688043E-2</v>
      </c>
      <c r="P1358" s="29">
        <v>35590</v>
      </c>
      <c r="Q1358">
        <v>2.8842940000000001</v>
      </c>
      <c r="R1358" s="33">
        <f>IF(ISBLANK(Q1359),"",Long3[[#This Row],[Adj Close]]/Q1359-1)</f>
        <v>6.7318982242643877E-2</v>
      </c>
      <c r="S1358" s="37">
        <v>35590</v>
      </c>
      <c r="T1358">
        <v>21.741695</v>
      </c>
      <c r="U1358" s="36">
        <f>IF(ISBLANK(T1359),"",Long4[[#This Row],[Adj Close]]/T1359-1)</f>
        <v>4.9263435786075505E-3</v>
      </c>
      <c r="Y1358" s="37">
        <v>35590</v>
      </c>
      <c r="Z1358">
        <v>4.2634759999999998</v>
      </c>
      <c r="AA1358" s="36">
        <f>IF(ISBLANK(Z1359),"",Long6[[#This Row],[Adj Close]]/Z1359-1)</f>
        <v>-0.10256421590698361</v>
      </c>
      <c r="AK1358" s="37">
        <v>35590</v>
      </c>
      <c r="AL1358" s="39">
        <v>0.84002299999999996</v>
      </c>
      <c r="AM1358" s="36">
        <f>IF(ISBLANK(AL1359),"",Short1[[#This Row],[Adj Close]]/AL1359-1)</f>
        <v>-1.0308998990307239E-2</v>
      </c>
      <c r="AN1358" s="29">
        <v>35590</v>
      </c>
      <c r="AO1358" s="44">
        <v>4.5509659999999998</v>
      </c>
      <c r="AP1358" s="33">
        <f>IF(ISBLANK(AO1359),"",Short2[[#This Row],[Adj Close]]/AO1359-1)</f>
        <v>0.23696697020738289</v>
      </c>
    </row>
    <row r="1359" spans="1:42" x14ac:dyDescent="0.25">
      <c r="A1359" s="37">
        <v>35583</v>
      </c>
      <c r="B1359" s="39">
        <v>858.01000999999997</v>
      </c>
      <c r="C1359" s="36">
        <f>IF(ISBLANK(B1360), "", GSPC[[#This Row],[Adj Close]]/B1360-1)</f>
        <v>1.1470246460322908E-2</v>
      </c>
      <c r="D135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5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59" s="11" t="e">
        <f>IF(ISBLANK(GSPC[[#This Row],[Long Exp.]]), "", (GSPC[[#This Row],[Long Exp.]]/D1360-1)+(E1360/GSPC[[#This Row],[Short Exp.]]-1))</f>
        <v>#VALUE!</v>
      </c>
      <c r="G1359" s="37">
        <v>35583</v>
      </c>
      <c r="H1359">
        <v>5.6592120000000001</v>
      </c>
      <c r="I1359" s="36">
        <f>IF(ISBLANK(H1360), "", Long0[[#This Row],[Adj Close]]/H1360-1)</f>
        <v>-8.2644454304766635E-3</v>
      </c>
      <c r="M1359" s="37">
        <v>35583</v>
      </c>
      <c r="N1359">
        <v>28.38036</v>
      </c>
      <c r="O1359" s="36">
        <f>IF(ISBLANK(N1360),"",Long2[[#This Row],[Adj Close]]/N1360-1)</f>
        <v>-9.5844002936869011E-3</v>
      </c>
      <c r="P1359" s="29">
        <v>35583</v>
      </c>
      <c r="Q1359">
        <v>2.7023730000000001</v>
      </c>
      <c r="R1359" s="33">
        <f>IF(ISBLANK(Q1360),"",Long3[[#This Row],[Adj Close]]/Q1360-1)</f>
        <v>-1.8749750364014606E-2</v>
      </c>
      <c r="S1359" s="37">
        <v>35583</v>
      </c>
      <c r="T1359">
        <v>21.635113</v>
      </c>
      <c r="U1359" s="36">
        <f>IF(ISBLANK(T1360),"",Long4[[#This Row],[Adj Close]]/T1360-1)</f>
        <v>9.7296996551254455E-2</v>
      </c>
      <c r="Y1359" s="37">
        <v>35583</v>
      </c>
      <c r="Z1359">
        <v>4.750731</v>
      </c>
      <c r="AA1359" s="36">
        <f>IF(ISBLANK(Z1360),"",Long6[[#This Row],[Adj Close]]/Z1360-1)</f>
        <v>2.6315209595326738E-2</v>
      </c>
      <c r="AK1359" s="37">
        <v>35583</v>
      </c>
      <c r="AL1359" s="39">
        <v>0.848773</v>
      </c>
      <c r="AM1359" s="36">
        <f>IF(ISBLANK(AL1360),"",Short1[[#This Row],[Adj Close]]/AL1360-1)</f>
        <v>-0.11009188740333153</v>
      </c>
      <c r="AN1359" s="29">
        <v>35583</v>
      </c>
      <c r="AO1359" s="44">
        <v>3.6791330000000002</v>
      </c>
      <c r="AP1359" s="33">
        <f>IF(ISBLANK(AO1360),"",Short2[[#This Row],[Adj Close]]/AO1360-1)</f>
        <v>4.7614522005912097E-3</v>
      </c>
    </row>
    <row r="1360" spans="1:42" x14ac:dyDescent="0.25">
      <c r="A1360" s="37">
        <v>35576</v>
      </c>
      <c r="B1360" s="39">
        <v>848.28002900000001</v>
      </c>
      <c r="C1360" s="36">
        <f>IF(ISBLANK(B1361), "", GSPC[[#This Row],[Adj Close]]/B1361-1)</f>
        <v>1.4757446102302563E-3</v>
      </c>
      <c r="D136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6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60" s="11" t="e">
        <f>IF(ISBLANK(GSPC[[#This Row],[Long Exp.]]), "", (GSPC[[#This Row],[Long Exp.]]/D1361-1)+(E1361/GSPC[[#This Row],[Short Exp.]]-1))</f>
        <v>#VALUE!</v>
      </c>
      <c r="G1360" s="37">
        <v>35576</v>
      </c>
      <c r="H1360">
        <v>5.706372</v>
      </c>
      <c r="I1360" s="36">
        <f>IF(ISBLANK(H1361), "", Long0[[#This Row],[Adj Close]]/H1361-1)</f>
        <v>3.4187959835671577E-2</v>
      </c>
      <c r="M1360" s="37">
        <v>35576</v>
      </c>
      <c r="N1360">
        <v>28.655000999999999</v>
      </c>
      <c r="O1360" s="36">
        <f>IF(ISBLANK(N1361),"",Long2[[#This Row],[Adj Close]]/N1361-1)</f>
        <v>3.3003142449163692E-2</v>
      </c>
      <c r="P1360" s="29">
        <v>35576</v>
      </c>
      <c r="Q1360">
        <v>2.7540100000000001</v>
      </c>
      <c r="R1360" s="33">
        <f>IF(ISBLANK(Q1361),"",Long3[[#This Row],[Adj Close]]/Q1361-1)</f>
        <v>0</v>
      </c>
      <c r="S1360" s="37">
        <v>35576</v>
      </c>
      <c r="T1360">
        <v>19.716733999999999</v>
      </c>
      <c r="U1360" s="36">
        <f>IF(ISBLANK(T1361),"",Long4[[#This Row],[Adj Close]]/T1361-1)</f>
        <v>-0.10627992214463078</v>
      </c>
      <c r="Y1360" s="37">
        <v>35576</v>
      </c>
      <c r="Z1360">
        <v>4.6289199999999999</v>
      </c>
      <c r="AA1360" s="36">
        <f>IF(ISBLANK(Z1361),"",Long6[[#This Row],[Adj Close]]/Z1361-1)</f>
        <v>-7.31705363650198E-2</v>
      </c>
      <c r="AK1360" s="37">
        <v>35576</v>
      </c>
      <c r="AL1360" s="39">
        <v>0.95377599999999996</v>
      </c>
      <c r="AM1360" s="36">
        <f>IF(ISBLANK(AL1361),"",Short1[[#This Row],[Adj Close]]/AL1361-1)</f>
        <v>-9.0916930122479922E-3</v>
      </c>
      <c r="AN1360" s="29">
        <v>35576</v>
      </c>
      <c r="AO1360" s="44">
        <v>3.6616979999999999</v>
      </c>
      <c r="AP1360" s="33">
        <f>IF(ISBLANK(AO1361),"",Short2[[#This Row],[Adj Close]]/AO1361-1)</f>
        <v>-3.2258422583274382E-2</v>
      </c>
    </row>
    <row r="1361" spans="1:42" x14ac:dyDescent="0.25">
      <c r="A1361" s="37">
        <v>35569</v>
      </c>
      <c r="B1361" s="39">
        <v>847.03002900000001</v>
      </c>
      <c r="C1361" s="36">
        <f>IF(ISBLANK(B1362), "", GSPC[[#This Row],[Adj Close]]/B1362-1)</f>
        <v>2.0825584814703202E-2</v>
      </c>
      <c r="D136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6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61" s="11" t="e">
        <f>IF(ISBLANK(GSPC[[#This Row],[Long Exp.]]), "", (GSPC[[#This Row],[Long Exp.]]/D1362-1)+(E1362/GSPC[[#This Row],[Short Exp.]]-1))</f>
        <v>#VALUE!</v>
      </c>
      <c r="G1361" s="37">
        <v>35569</v>
      </c>
      <c r="H1361">
        <v>5.5177319999999996</v>
      </c>
      <c r="I1361" s="36">
        <f>IF(ISBLANK(H1362), "", Long0[[#This Row],[Adj Close]]/H1362-1)</f>
        <v>7.3394532892152808E-2</v>
      </c>
      <c r="M1361" s="37">
        <v>35569</v>
      </c>
      <c r="N1361">
        <v>27.739509999999999</v>
      </c>
      <c r="O1361" s="36">
        <f>IF(ISBLANK(N1362),"",Long2[[#This Row],[Adj Close]]/N1362-1)</f>
        <v>2.7118822677391963E-2</v>
      </c>
      <c r="P1361" s="29">
        <v>35569</v>
      </c>
      <c r="Q1361">
        <v>2.7540100000000001</v>
      </c>
      <c r="R1361" s="33">
        <f>IF(ISBLANK(Q1362),"",Long3[[#This Row],[Adj Close]]/Q1362-1)</f>
        <v>-2.4390157499840526E-2</v>
      </c>
      <c r="S1361" s="37">
        <v>35569</v>
      </c>
      <c r="T1361">
        <v>22.061419999999998</v>
      </c>
      <c r="U1361" s="36">
        <f>IF(ISBLANK(T1362),"",Long4[[#This Row],[Adj Close]]/T1362-1)</f>
        <v>5.612244946808076E-2</v>
      </c>
      <c r="Y1361" s="37">
        <v>35569</v>
      </c>
      <c r="Z1361">
        <v>4.9943600000000004</v>
      </c>
      <c r="AA1361" s="36">
        <f>IF(ISBLANK(Z1362),"",Long6[[#This Row],[Adj Close]]/Z1362-1)</f>
        <v>2.500007183103059E-2</v>
      </c>
      <c r="AK1361" s="37">
        <v>35569</v>
      </c>
      <c r="AL1361" s="39">
        <v>0.96252700000000002</v>
      </c>
      <c r="AM1361" s="36">
        <f>IF(ISBLANK(AL1362),"",Short1[[#This Row],[Adj Close]]/AL1362-1)</f>
        <v>0</v>
      </c>
      <c r="AN1361" s="29">
        <v>35569</v>
      </c>
      <c r="AO1361" s="44">
        <v>3.7837559999999999</v>
      </c>
      <c r="AP1361" s="33">
        <f>IF(ISBLANK(AO1362),"",Short2[[#This Row],[Adj Close]]/AO1362-1)</f>
        <v>4.6305195846549907E-3</v>
      </c>
    </row>
    <row r="1362" spans="1:42" x14ac:dyDescent="0.25">
      <c r="A1362" s="37">
        <v>35562</v>
      </c>
      <c r="B1362" s="39">
        <v>829.75</v>
      </c>
      <c r="C1362" s="36">
        <f>IF(ISBLANK(B1363), "", GSPC[[#This Row],[Adj Close]]/B1363-1)</f>
        <v>6.0258139446294212E-3</v>
      </c>
      <c r="D136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6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62" s="11" t="e">
        <f>IF(ISBLANK(GSPC[[#This Row],[Long Exp.]]), "", (GSPC[[#This Row],[Long Exp.]]/D1363-1)+(E1363/GSPC[[#This Row],[Short Exp.]]-1))</f>
        <v>#VALUE!</v>
      </c>
      <c r="G1362" s="37">
        <v>35562</v>
      </c>
      <c r="H1362">
        <v>5.1404509999999997</v>
      </c>
      <c r="I1362" s="36">
        <f>IF(ISBLANK(H1363), "", Long0[[#This Row],[Adj Close]]/H1363-1)</f>
        <v>0</v>
      </c>
      <c r="M1362" s="37">
        <v>35562</v>
      </c>
      <c r="N1362">
        <v>27.007109</v>
      </c>
      <c r="O1362" s="36">
        <f>IF(ISBLANK(N1363),"",Long2[[#This Row],[Adj Close]]/N1363-1)</f>
        <v>6.825561567580074E-3</v>
      </c>
      <c r="P1362" s="29">
        <v>35562</v>
      </c>
      <c r="Q1362">
        <v>2.8228599999999999</v>
      </c>
      <c r="R1362" s="33">
        <f>IF(ISBLANK(Q1363),"",Long3[[#This Row],[Adj Close]]/Q1363-1)</f>
        <v>6.1347681533818754E-3</v>
      </c>
      <c r="S1362" s="37">
        <v>35562</v>
      </c>
      <c r="T1362">
        <v>20.889074000000001</v>
      </c>
      <c r="U1362" s="36">
        <f>IF(ISBLANK(T1363),"",Long4[[#This Row],[Adj Close]]/T1363-1)</f>
        <v>-5.0761464838597892E-3</v>
      </c>
      <c r="Y1362" s="37">
        <v>35562</v>
      </c>
      <c r="Z1362">
        <v>4.8725459999999998</v>
      </c>
      <c r="AA1362" s="36">
        <f>IF(ISBLANK(Z1363),"",Long6[[#This Row],[Adj Close]]/Z1363-1)</f>
        <v>0</v>
      </c>
      <c r="AK1362" s="37">
        <v>35562</v>
      </c>
      <c r="AL1362" s="39">
        <v>0.96252700000000002</v>
      </c>
      <c r="AM1362" s="36">
        <f>IF(ISBLANK(AL1363),"",Short1[[#This Row],[Adj Close]]/AL1363-1)</f>
        <v>-9.0087585724771824E-3</v>
      </c>
      <c r="AN1362" s="29">
        <v>35562</v>
      </c>
      <c r="AO1362" s="44">
        <v>3.7663160000000002</v>
      </c>
      <c r="AP1362" s="33">
        <f>IF(ISBLANK(AO1363),"",Short2[[#This Row],[Adj Close]]/AO1363-1)</f>
        <v>4.650989095409841E-3</v>
      </c>
    </row>
    <row r="1363" spans="1:42" x14ac:dyDescent="0.25">
      <c r="A1363" s="37">
        <v>35555</v>
      </c>
      <c r="B1363" s="39">
        <v>824.78002900000001</v>
      </c>
      <c r="C1363" s="36">
        <f>IF(ISBLANK(B1364), "", GSPC[[#This Row],[Adj Close]]/B1364-1)</f>
        <v>1.4527053176974114E-2</v>
      </c>
      <c r="D136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6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63" s="11" t="e">
        <f>IF(ISBLANK(GSPC[[#This Row],[Long Exp.]]), "", (GSPC[[#This Row],[Long Exp.]]/D1364-1)+(E1364/GSPC[[#This Row],[Short Exp.]]-1))</f>
        <v>#VALUE!</v>
      </c>
      <c r="G1363" s="37">
        <v>35555</v>
      </c>
      <c r="H1363">
        <v>5.1404509999999997</v>
      </c>
      <c r="I1363" s="36">
        <f>IF(ISBLANK(H1364), "", Long0[[#This Row],[Adj Close]]/H1364-1)</f>
        <v>7.920773787042279E-2</v>
      </c>
      <c r="M1363" s="37">
        <v>35555</v>
      </c>
      <c r="N1363">
        <v>26.824020000000001</v>
      </c>
      <c r="O1363" s="36">
        <f>IF(ISBLANK(N1364),"",Long2[[#This Row],[Adj Close]]/N1364-1)</f>
        <v>-2.65777745778768E-2</v>
      </c>
      <c r="P1363" s="29">
        <v>35555</v>
      </c>
      <c r="Q1363">
        <v>2.8056480000000001</v>
      </c>
      <c r="R1363" s="33">
        <f>IF(ISBLANK(Q1364),"",Long3[[#This Row],[Adj Close]]/Q1364-1)</f>
        <v>1.2422313180859179E-2</v>
      </c>
      <c r="S1363" s="37">
        <v>35555</v>
      </c>
      <c r="T1363">
        <v>20.995650999999999</v>
      </c>
      <c r="U1363" s="36">
        <f>IF(ISBLANK(T1364),"",Long4[[#This Row],[Adj Close]]/T1364-1)</f>
        <v>0.23899345274668571</v>
      </c>
      <c r="Y1363" s="37">
        <v>35555</v>
      </c>
      <c r="Z1363">
        <v>4.8725459999999998</v>
      </c>
      <c r="AA1363" s="36">
        <f>IF(ISBLANK(Z1364),"",Long6[[#This Row],[Adj Close]]/Z1364-1)</f>
        <v>5.2631283323107736E-2</v>
      </c>
      <c r="AK1363" s="37">
        <v>35555</v>
      </c>
      <c r="AL1363" s="39">
        <v>0.97127699999999995</v>
      </c>
      <c r="AM1363" s="36">
        <f>IF(ISBLANK(AL1364),"",Short1[[#This Row],[Adj Close]]/AL1364-1)</f>
        <v>3.7383207515732542E-2</v>
      </c>
      <c r="AN1363" s="29">
        <v>35555</v>
      </c>
      <c r="AO1363" s="44">
        <v>3.7488800000000002</v>
      </c>
      <c r="AP1363" s="33">
        <f>IF(ISBLANK(AO1364),"",Short2[[#This Row],[Adj Close]]/AO1364-1)</f>
        <v>9.3074320084896023E-4</v>
      </c>
    </row>
    <row r="1364" spans="1:42" x14ac:dyDescent="0.25">
      <c r="A1364" s="37">
        <v>35548</v>
      </c>
      <c r="B1364" s="39">
        <v>812.96997099999999</v>
      </c>
      <c r="C1364" s="36">
        <f>IF(ISBLANK(B1365), "", GSPC[[#This Row],[Adj Close]]/B1365-1)</f>
        <v>6.2192111411422557E-2</v>
      </c>
      <c r="D136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6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64" s="11" t="e">
        <f>IF(ISBLANK(GSPC[[#This Row],[Long Exp.]]), "", (GSPC[[#This Row],[Long Exp.]]/D1365-1)+(E1365/GSPC[[#This Row],[Short Exp.]]-1))</f>
        <v>#VALUE!</v>
      </c>
      <c r="G1364" s="37">
        <v>35548</v>
      </c>
      <c r="H1364">
        <v>4.7631709999999998</v>
      </c>
      <c r="I1364" s="36">
        <f>IF(ISBLANK(H1365), "", Long0[[#This Row],[Adj Close]]/H1365-1)</f>
        <v>9.9999766752028041E-3</v>
      </c>
      <c r="M1364" s="37">
        <v>35548</v>
      </c>
      <c r="N1364">
        <v>27.556408000000001</v>
      </c>
      <c r="O1364" s="36">
        <f>IF(ISBLANK(N1365),"",Long2[[#This Row],[Adj Close]]/N1365-1)</f>
        <v>0.13157841353544208</v>
      </c>
      <c r="P1364" s="29">
        <v>35548</v>
      </c>
      <c r="Q1364">
        <v>2.771223</v>
      </c>
      <c r="R1364" s="33">
        <f>IF(ISBLANK(Q1365),"",Long3[[#This Row],[Adj Close]]/Q1365-1)</f>
        <v>5.2287772800075238E-2</v>
      </c>
      <c r="S1364" s="37">
        <v>35548</v>
      </c>
      <c r="T1364">
        <v>16.945732</v>
      </c>
      <c r="U1364" s="36">
        <f>IF(ISBLANK(T1365),"",Long4[[#This Row],[Adj Close]]/T1365-1)</f>
        <v>0.15217418353338497</v>
      </c>
      <c r="Y1364" s="37">
        <v>35548</v>
      </c>
      <c r="Z1364">
        <v>4.6289199999999999</v>
      </c>
      <c r="AA1364" s="36">
        <f>IF(ISBLANK(Z1365),"",Long6[[#This Row],[Adj Close]]/Z1365-1)</f>
        <v>5.5555707578879732E-2</v>
      </c>
      <c r="AK1364" s="37">
        <v>35548</v>
      </c>
      <c r="AL1364" s="39">
        <v>0.936276</v>
      </c>
      <c r="AM1364" s="36">
        <f>IF(ISBLANK(AL1365),"",Short1[[#This Row],[Adj Close]]/AL1365-1)</f>
        <v>9.1836496704465365E-2</v>
      </c>
      <c r="AN1364" s="29">
        <v>35548</v>
      </c>
      <c r="AO1364" s="44">
        <v>3.7453940000000001</v>
      </c>
      <c r="AP1364" s="33">
        <f>IF(ISBLANK(AO1365),"",Short2[[#This Row],[Adj Close]]/AO1365-1)</f>
        <v>2.3809751602592577E-2</v>
      </c>
    </row>
    <row r="1365" spans="1:42" x14ac:dyDescent="0.25">
      <c r="A1365" s="37">
        <v>35541</v>
      </c>
      <c r="B1365" s="39">
        <v>765.36999500000002</v>
      </c>
      <c r="C1365" s="36">
        <f>IF(ISBLANK(B1366), "", GSPC[[#This Row],[Adj Close]]/B1366-1)</f>
        <v>-1.2657984260555644E-3</v>
      </c>
      <c r="D136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6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65" s="11" t="e">
        <f>IF(ISBLANK(GSPC[[#This Row],[Long Exp.]]), "", (GSPC[[#This Row],[Long Exp.]]/D1366-1)+(E1366/GSPC[[#This Row],[Short Exp.]]-1))</f>
        <v>#VALUE!</v>
      </c>
      <c r="G1365" s="37">
        <v>35541</v>
      </c>
      <c r="H1365">
        <v>4.716011</v>
      </c>
      <c r="I1365" s="36">
        <f>IF(ISBLANK(H1366), "", Long0[[#This Row],[Adj Close]]/H1366-1)</f>
        <v>3.0928211407119655E-2</v>
      </c>
      <c r="M1365" s="37">
        <v>35541</v>
      </c>
      <c r="N1365">
        <v>24.352186</v>
      </c>
      <c r="O1365" s="36">
        <f>IF(ISBLANK(N1366),"",Long2[[#This Row],[Adj Close]]/N1366-1)</f>
        <v>-9.5237691860196039E-2</v>
      </c>
      <c r="P1365" s="29">
        <v>35541</v>
      </c>
      <c r="Q1365">
        <v>2.6335220000000001</v>
      </c>
      <c r="R1365" s="33">
        <f>IF(ISBLANK(Q1366),"",Long3[[#This Row],[Adj Close]]/Q1366-1)</f>
        <v>-1.2903179860769276E-2</v>
      </c>
      <c r="S1365" s="37">
        <v>35541</v>
      </c>
      <c r="T1365">
        <v>14.707613</v>
      </c>
      <c r="U1365" s="36">
        <f>IF(ISBLANK(T1366),"",Long4[[#This Row],[Adj Close]]/T1366-1)</f>
        <v>-0.22471913251442099</v>
      </c>
      <c r="Y1365" s="37">
        <v>35541</v>
      </c>
      <c r="Z1365">
        <v>4.3852919999999997</v>
      </c>
      <c r="AA1365" s="36">
        <f>IF(ISBLANK(Z1366),"",Long6[[#This Row],[Adj Close]]/Z1366-1)</f>
        <v>5.882369984624547E-2</v>
      </c>
      <c r="AK1365" s="37">
        <v>35541</v>
      </c>
      <c r="AL1365" s="39">
        <v>0.85752399999999995</v>
      </c>
      <c r="AM1365" s="36">
        <f>IF(ISBLANK(AL1366),"",Short1[[#This Row],[Adj Close]]/AL1366-1)</f>
        <v>-3.9214631763403562E-2</v>
      </c>
      <c r="AN1365" s="29">
        <v>35541</v>
      </c>
      <c r="AO1365" s="44">
        <v>3.6582910000000002</v>
      </c>
      <c r="AP1365" s="33">
        <f>IF(ISBLANK(AO1366),"",Short2[[#This Row],[Adj Close]]/AO1366-1)</f>
        <v>-1.4084693036320983E-2</v>
      </c>
    </row>
    <row r="1366" spans="1:42" x14ac:dyDescent="0.25">
      <c r="A1366" s="37">
        <v>35534</v>
      </c>
      <c r="B1366" s="39">
        <v>766.34002699999996</v>
      </c>
      <c r="C1366" s="36">
        <f>IF(ISBLANK(B1367), "", GSPC[[#This Row],[Adj Close]]/B1367-1)</f>
        <v>3.8893787116585088E-2</v>
      </c>
      <c r="D136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6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66" s="11" t="e">
        <f>IF(ISBLANK(GSPC[[#This Row],[Long Exp.]]), "", (GSPC[[#This Row],[Long Exp.]]/D1367-1)+(E1367/GSPC[[#This Row],[Short Exp.]]-1))</f>
        <v>#VALUE!</v>
      </c>
      <c r="G1366" s="37">
        <v>35534</v>
      </c>
      <c r="H1366">
        <v>4.5745290000000001</v>
      </c>
      <c r="I1366" s="36">
        <f>IF(ISBLANK(H1367), "", Long0[[#This Row],[Adj Close]]/H1367-1)</f>
        <v>1.0416422779671031E-2</v>
      </c>
      <c r="M1366" s="37">
        <v>35534</v>
      </c>
      <c r="N1366">
        <v>26.915562000000001</v>
      </c>
      <c r="O1366" s="36">
        <f>IF(ISBLANK(N1367),"",Long2[[#This Row],[Adj Close]]/N1367-1)</f>
        <v>3.5211096154314392E-2</v>
      </c>
      <c r="P1366" s="29">
        <v>35534</v>
      </c>
      <c r="Q1366">
        <v>2.6679469999999998</v>
      </c>
      <c r="R1366" s="33">
        <f>IF(ISBLANK(Q1367),"",Long3[[#This Row],[Adj Close]]/Q1367-1)</f>
        <v>6.4932933695747153E-3</v>
      </c>
      <c r="S1366" s="37">
        <v>35534</v>
      </c>
      <c r="T1366">
        <v>18.970690000000001</v>
      </c>
      <c r="U1366" s="36">
        <f>IF(ISBLANK(T1367),"",Long4[[#This Row],[Adj Close]]/T1367-1)</f>
        <v>-1.6574395462783387E-2</v>
      </c>
      <c r="Y1366" s="37">
        <v>35534</v>
      </c>
      <c r="Z1366">
        <v>4.1416639999999996</v>
      </c>
      <c r="AA1366" s="36">
        <f>IF(ISBLANK(Z1367),"",Long6[[#This Row],[Adj Close]]/Z1367-1)</f>
        <v>3.0302864459403889E-2</v>
      </c>
      <c r="AK1366" s="37">
        <v>35534</v>
      </c>
      <c r="AL1366" s="39">
        <v>0.89252399999999998</v>
      </c>
      <c r="AM1366" s="36">
        <f>IF(ISBLANK(AL1367),"",Short1[[#This Row],[Adj Close]]/AL1367-1)</f>
        <v>-1.9231339798357228E-2</v>
      </c>
      <c r="AN1366" s="29">
        <v>35534</v>
      </c>
      <c r="AO1366" s="44">
        <v>3.710553</v>
      </c>
      <c r="AP1366" s="33">
        <f>IF(ISBLANK(AO1367),"",Short2[[#This Row],[Adj Close]]/AO1367-1)</f>
        <v>9.4789824336025674E-3</v>
      </c>
    </row>
    <row r="1367" spans="1:42" x14ac:dyDescent="0.25">
      <c r="A1367" s="37">
        <v>35527</v>
      </c>
      <c r="B1367" s="39">
        <v>737.65002400000003</v>
      </c>
      <c r="C1367" s="36">
        <f>IF(ISBLANK(B1368), "", GSPC[[#This Row],[Adj Close]]/B1368-1)</f>
        <v>-2.671856360833158E-2</v>
      </c>
      <c r="D136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6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67" s="11" t="e">
        <f>IF(ISBLANK(GSPC[[#This Row],[Long Exp.]]), "", (GSPC[[#This Row],[Long Exp.]]/D1368-1)+(E1368/GSPC[[#This Row],[Short Exp.]]-1))</f>
        <v>#VALUE!</v>
      </c>
      <c r="G1367" s="37">
        <v>35527</v>
      </c>
      <c r="H1367">
        <v>4.5273700000000003</v>
      </c>
      <c r="I1367" s="36">
        <f>IF(ISBLANK(H1368), "", Long0[[#This Row],[Adj Close]]/H1368-1)</f>
        <v>-3.0302965398331438E-2</v>
      </c>
      <c r="M1367" s="37">
        <v>35527</v>
      </c>
      <c r="N1367">
        <v>26.000070999999998</v>
      </c>
      <c r="O1367" s="36">
        <f>IF(ISBLANK(N1368),"",Long2[[#This Row],[Adj Close]]/N1368-1)</f>
        <v>7.0920779835748071E-3</v>
      </c>
      <c r="P1367" s="29">
        <v>35527</v>
      </c>
      <c r="Q1367">
        <v>2.6507350000000001</v>
      </c>
      <c r="R1367" s="33">
        <f>IF(ISBLANK(Q1368),"",Long3[[#This Row],[Adj Close]]/Q1368-1)</f>
        <v>-3.1446249027604178E-2</v>
      </c>
      <c r="S1367" s="37">
        <v>35527</v>
      </c>
      <c r="T1367">
        <v>19.290417000000001</v>
      </c>
      <c r="U1367" s="36">
        <f>IF(ISBLANK(T1368),"",Long4[[#This Row],[Adj Close]]/T1368-1)</f>
        <v>7.1005520306164582E-2</v>
      </c>
      <c r="Y1367" s="37">
        <v>35527</v>
      </c>
      <c r="Z1367">
        <v>4.0198510000000001</v>
      </c>
      <c r="AA1367" s="36">
        <f>IF(ISBLANK(Z1368),"",Long6[[#This Row],[Adj Close]]/Z1368-1)</f>
        <v>-8.3333333333333259E-2</v>
      </c>
      <c r="AK1367" s="37">
        <v>35527</v>
      </c>
      <c r="AL1367" s="39">
        <v>0.91002499999999997</v>
      </c>
      <c r="AM1367" s="36">
        <f>IF(ISBLANK(AL1368),"",Short1[[#This Row],[Adj Close]]/AL1368-1)</f>
        <v>0.23809387758989198</v>
      </c>
      <c r="AN1367" s="29">
        <v>35527</v>
      </c>
      <c r="AO1367" s="44">
        <v>3.6757110000000002</v>
      </c>
      <c r="AP1367" s="33">
        <f>IF(ISBLANK(AO1368),"",Short2[[#This Row],[Adj Close]]/AO1368-1)</f>
        <v>6.5656069281208262E-2</v>
      </c>
    </row>
    <row r="1368" spans="1:42" x14ac:dyDescent="0.25">
      <c r="A1368" s="37">
        <v>35520</v>
      </c>
      <c r="B1368" s="39">
        <v>757.90002400000003</v>
      </c>
      <c r="C1368" s="36">
        <f>IF(ISBLANK(B1369), "", GSPC[[#This Row],[Adj Close]]/B1369-1)</f>
        <v>-2.0649171572794334E-2</v>
      </c>
      <c r="D136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6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68" s="11" t="e">
        <f>IF(ISBLANK(GSPC[[#This Row],[Long Exp.]]), "", (GSPC[[#This Row],[Long Exp.]]/D1369-1)+(E1369/GSPC[[#This Row],[Short Exp.]]-1))</f>
        <v>#VALUE!</v>
      </c>
      <c r="G1368" s="37">
        <v>35520</v>
      </c>
      <c r="H1368">
        <v>4.6688499999999999</v>
      </c>
      <c r="I1368" s="36">
        <f>IF(ISBLANK(H1369), "", Long0[[#This Row],[Adj Close]]/H1369-1)</f>
        <v>-0.1659318389533958</v>
      </c>
      <c r="M1368" s="37">
        <v>35520</v>
      </c>
      <c r="N1368">
        <v>25.816974999999999</v>
      </c>
      <c r="O1368" s="36">
        <f>IF(ISBLANK(N1369),"",Long2[[#This Row],[Adj Close]]/N1369-1)</f>
        <v>-1.0526290372967595E-2</v>
      </c>
      <c r="P1368" s="29">
        <v>35520</v>
      </c>
      <c r="Q1368">
        <v>2.7367970000000001</v>
      </c>
      <c r="R1368" s="33">
        <f>IF(ISBLANK(Q1369),"",Long3[[#This Row],[Adj Close]]/Q1369-1)</f>
        <v>-1.8518279435697615E-2</v>
      </c>
      <c r="S1368" s="37">
        <v>35520</v>
      </c>
      <c r="T1368">
        <v>18.011500999999999</v>
      </c>
      <c r="U1368" s="36">
        <f>IF(ISBLANK(T1369),"",Long4[[#This Row],[Adj Close]]/T1369-1)</f>
        <v>4.3209966997116434E-2</v>
      </c>
      <c r="Y1368" s="37">
        <v>35520</v>
      </c>
      <c r="Z1368">
        <v>4.3852919999999997</v>
      </c>
      <c r="AA1368" s="36">
        <f>IF(ISBLANK(Z1369),"",Long6[[#This Row],[Adj Close]]/Z1369-1)</f>
        <v>-0.14285680778519561</v>
      </c>
      <c r="AK1368" s="37">
        <v>35520</v>
      </c>
      <c r="AL1368" s="39">
        <v>0.73502100000000004</v>
      </c>
      <c r="AM1368" s="36">
        <f>IF(ISBLANK(AL1369),"",Short1[[#This Row],[Adj Close]]/AL1369-1)</f>
        <v>-2.3253867006856832E-2</v>
      </c>
      <c r="AN1368" s="29">
        <v>35520</v>
      </c>
      <c r="AO1368" s="44">
        <v>3.4492470000000002</v>
      </c>
      <c r="AP1368" s="33">
        <f>IF(ISBLANK(AO1369),"",Short2[[#This Row],[Adj Close]]/AO1369-1)</f>
        <v>5.0765991855645787E-3</v>
      </c>
    </row>
    <row r="1369" spans="1:42" x14ac:dyDescent="0.25">
      <c r="A1369" s="37">
        <v>35513</v>
      </c>
      <c r="B1369" s="39">
        <v>773.88000499999998</v>
      </c>
      <c r="C1369" s="36">
        <f>IF(ISBLANK(B1370), "", GSPC[[#This Row],[Adj Close]]/B1370-1)</f>
        <v>-1.3034015192980974E-2</v>
      </c>
      <c r="D136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6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69" s="11" t="e">
        <f>IF(ISBLANK(GSPC[[#This Row],[Long Exp.]]), "", (GSPC[[#This Row],[Long Exp.]]/D1370-1)+(E1370/GSPC[[#This Row],[Short Exp.]]-1))</f>
        <v>#VALUE!</v>
      </c>
      <c r="G1369" s="37">
        <v>35513</v>
      </c>
      <c r="H1369">
        <v>5.5976840000000001</v>
      </c>
      <c r="I1369" s="36">
        <f>IF(ISBLANK(H1370), "", Long0[[#This Row],[Adj Close]]/H1370-1)</f>
        <v>-1.6529146324408384E-2</v>
      </c>
      <c r="M1369" s="37">
        <v>35513</v>
      </c>
      <c r="N1369">
        <v>26.091622999999998</v>
      </c>
      <c r="O1369" s="36">
        <f>IF(ISBLANK(N1370),"",Long2[[#This Row],[Adj Close]]/N1370-1)</f>
        <v>7.0676000227258839E-3</v>
      </c>
      <c r="P1369" s="29">
        <v>35513</v>
      </c>
      <c r="Q1369">
        <v>2.7884340000000001</v>
      </c>
      <c r="R1369" s="33">
        <f>IF(ISBLANK(Q1370),"",Long3[[#This Row],[Adj Close]]/Q1370-1)</f>
        <v>-1.2195433000573797E-2</v>
      </c>
      <c r="S1369" s="37">
        <v>35513</v>
      </c>
      <c r="T1369">
        <v>17.265460999999998</v>
      </c>
      <c r="U1369" s="36">
        <f>IF(ISBLANK(T1370),"",Long4[[#This Row],[Adj Close]]/T1370-1)</f>
        <v>1.25001282817776E-2</v>
      </c>
      <c r="Y1369" s="37">
        <v>35513</v>
      </c>
      <c r="Z1369">
        <v>5.1161719999999997</v>
      </c>
      <c r="AA1369" s="36">
        <f>IF(ISBLANK(Z1370),"",Long6[[#This Row],[Adj Close]]/Z1370-1)</f>
        <v>4.9999733199029839E-2</v>
      </c>
      <c r="AK1369" s="37">
        <v>35513</v>
      </c>
      <c r="AL1369" s="39">
        <v>0.75251999999999997</v>
      </c>
      <c r="AM1369" s="36">
        <f>IF(ISBLANK(AL1370),"",Short1[[#This Row],[Adj Close]]/AL1370-1)</f>
        <v>-4.4445742468147031E-2</v>
      </c>
      <c r="AN1369" s="29">
        <v>35513</v>
      </c>
      <c r="AO1369" s="44">
        <v>3.4318249999999999</v>
      </c>
      <c r="AP1369" s="33">
        <f>IF(ISBLANK(AO1370),"",Short2[[#This Row],[Adj Close]]/AO1370-1)</f>
        <v>-1.4999634050259947E-2</v>
      </c>
    </row>
    <row r="1370" spans="1:42" x14ac:dyDescent="0.25">
      <c r="A1370" s="37">
        <v>35506</v>
      </c>
      <c r="B1370" s="39">
        <v>784.09997599999997</v>
      </c>
      <c r="C1370" s="36">
        <f>IF(ISBLANK(B1371), "", GSPC[[#This Row],[Adj Close]]/B1371-1)</f>
        <v>-1.143513647061456E-2</v>
      </c>
      <c r="D137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7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70" s="11" t="e">
        <f>IF(ISBLANK(GSPC[[#This Row],[Long Exp.]]), "", (GSPC[[#This Row],[Long Exp.]]/D1371-1)+(E1371/GSPC[[#This Row],[Short Exp.]]-1))</f>
        <v>#VALUE!</v>
      </c>
      <c r="G1370" s="37">
        <v>35506</v>
      </c>
      <c r="H1370">
        <v>5.691764</v>
      </c>
      <c r="I1370" s="36">
        <f>IF(ISBLANK(H1371), "", Long0[[#This Row],[Adj Close]]/H1371-1)</f>
        <v>-8.3333319912381576E-2</v>
      </c>
      <c r="M1370" s="37">
        <v>35506</v>
      </c>
      <c r="N1370">
        <v>25.908512000000002</v>
      </c>
      <c r="O1370" s="36">
        <f>IF(ISBLANK(N1371),"",Long2[[#This Row],[Adj Close]]/N1371-1)</f>
        <v>4.2859310118807947E-2</v>
      </c>
      <c r="P1370" s="29">
        <v>35506</v>
      </c>
      <c r="Q1370">
        <v>2.8228599999999999</v>
      </c>
      <c r="R1370" s="33">
        <f>IF(ISBLANK(Q1371),"",Long3[[#This Row],[Adj Close]]/Q1371-1)</f>
        <v>-2.380944147234676E-2</v>
      </c>
      <c r="S1370" s="37">
        <v>35506</v>
      </c>
      <c r="T1370">
        <v>17.052305</v>
      </c>
      <c r="U1370" s="36">
        <f>IF(ISBLANK(T1371),"",Long4[[#This Row],[Adj Close]]/T1371-1)</f>
        <v>9.4634021303607874E-3</v>
      </c>
      <c r="Y1370" s="37">
        <v>35506</v>
      </c>
      <c r="Z1370">
        <v>4.8725459999999998</v>
      </c>
      <c r="AA1370" s="36">
        <f>IF(ISBLANK(Z1371),"",Long6[[#This Row],[Adj Close]]/Z1371-1)</f>
        <v>-9.0909158754215014E-2</v>
      </c>
      <c r="AK1370" s="37">
        <v>35506</v>
      </c>
      <c r="AL1370" s="39">
        <v>0.78752200000000006</v>
      </c>
      <c r="AM1370" s="36">
        <f>IF(ISBLANK(AL1371),"",Short1[[#This Row],[Adj Close]]/AL1371-1)</f>
        <v>0.12500089283290894</v>
      </c>
      <c r="AN1370" s="29">
        <v>35506</v>
      </c>
      <c r="AO1370" s="44">
        <v>3.4840849999999999</v>
      </c>
      <c r="AP1370" s="33">
        <f>IF(ISBLANK(AO1371),"",Short2[[#This Row],[Adj Close]]/AO1371-1)</f>
        <v>-4.9755719465933712E-3</v>
      </c>
    </row>
    <row r="1371" spans="1:42" x14ac:dyDescent="0.25">
      <c r="A1371" s="37">
        <v>35499</v>
      </c>
      <c r="B1371" s="39">
        <v>793.169983</v>
      </c>
      <c r="C1371" s="36">
        <f>IF(ISBLANK(B1372), "", GSPC[[#This Row],[Adj Close]]/B1372-1)</f>
        <v>-1.4658917009464423E-2</v>
      </c>
      <c r="D137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7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71" s="11" t="e">
        <f>IF(ISBLANK(GSPC[[#This Row],[Long Exp.]]), "", (GSPC[[#This Row],[Long Exp.]]/D1372-1)+(E1372/GSPC[[#This Row],[Short Exp.]]-1))</f>
        <v>#VALUE!</v>
      </c>
      <c r="G1371" s="37">
        <v>35499</v>
      </c>
      <c r="H1371">
        <v>6.2091969999999996</v>
      </c>
      <c r="I1371" s="36">
        <f>IF(ISBLANK(H1372), "", Long0[[#This Row],[Adj Close]]/H1372-1)</f>
        <v>-2.2222358698370415E-2</v>
      </c>
      <c r="M1371" s="37">
        <v>35499</v>
      </c>
      <c r="N1371">
        <v>24.843727000000001</v>
      </c>
      <c r="O1371" s="36">
        <f>IF(ISBLANK(N1372),"",Long2[[#This Row],[Adj Close]]/N1372-1)</f>
        <v>-2.8571927953998433E-2</v>
      </c>
      <c r="P1371" s="29">
        <v>35499</v>
      </c>
      <c r="Q1371">
        <v>2.8917099999999998</v>
      </c>
      <c r="R1371" s="33">
        <f>IF(ISBLANK(Q1372),"",Long3[[#This Row],[Adj Close]]/Q1372-1)</f>
        <v>-2.2031193299092089E-2</v>
      </c>
      <c r="S1371" s="37">
        <v>35499</v>
      </c>
      <c r="T1371">
        <v>16.892444999999999</v>
      </c>
      <c r="U1371" s="36">
        <f>IF(ISBLANK(T1372),"",Long4[[#This Row],[Adj Close]]/T1372-1)</f>
        <v>-0.18298951795233132</v>
      </c>
      <c r="Y1371" s="37">
        <v>35499</v>
      </c>
      <c r="Z1371">
        <v>5.359801</v>
      </c>
      <c r="AA1371" s="36">
        <f>IF(ISBLANK(Z1372),"",Long6[[#This Row],[Adj Close]]/Z1372-1)</f>
        <v>4.7619391998549032E-2</v>
      </c>
      <c r="AK1371" s="37">
        <v>35499</v>
      </c>
      <c r="AL1371" s="39">
        <v>0.70001899999999995</v>
      </c>
      <c r="AM1371" s="36">
        <f>IF(ISBLANK(AL1372),"",Short1[[#This Row],[Adj Close]]/AL1372-1)</f>
        <v>-4.7620408124393832E-2</v>
      </c>
      <c r="AN1371" s="29">
        <v>35499</v>
      </c>
      <c r="AO1371" s="44">
        <v>3.5015070000000001</v>
      </c>
      <c r="AP1371" s="33">
        <f>IF(ISBLANK(AO1372),"",Short2[[#This Row],[Adj Close]]/AO1372-1)</f>
        <v>-2.8985615760268146E-2</v>
      </c>
    </row>
    <row r="1372" spans="1:42" x14ac:dyDescent="0.25">
      <c r="A1372" s="37">
        <v>35492</v>
      </c>
      <c r="B1372" s="39">
        <v>804.96997099999999</v>
      </c>
      <c r="C1372" s="36">
        <f>IF(ISBLANK(B1373), "", GSPC[[#This Row],[Adj Close]]/B1373-1)</f>
        <v>1.7892774430022573E-2</v>
      </c>
      <c r="D137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7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72" s="11" t="e">
        <f>IF(ISBLANK(GSPC[[#This Row],[Long Exp.]]), "", (GSPC[[#This Row],[Long Exp.]]/D1373-1)+(E1373/GSPC[[#This Row],[Short Exp.]]-1))</f>
        <v>#VALUE!</v>
      </c>
      <c r="G1372" s="37">
        <v>35492</v>
      </c>
      <c r="H1372">
        <v>6.3503160000000003</v>
      </c>
      <c r="I1372" s="36">
        <f>IF(ISBLANK(H1373), "", Long0[[#This Row],[Adj Close]]/H1373-1)</f>
        <v>7.4629458495782952E-3</v>
      </c>
      <c r="M1372" s="37">
        <v>35492</v>
      </c>
      <c r="N1372">
        <v>25.574438000000001</v>
      </c>
      <c r="O1372" s="36">
        <f>IF(ISBLANK(N1373),"",Long2[[#This Row],[Adj Close]]/N1373-1)</f>
        <v>3.5846910082211192E-3</v>
      </c>
      <c r="P1372" s="29">
        <v>35492</v>
      </c>
      <c r="Q1372">
        <v>2.9568530000000002</v>
      </c>
      <c r="R1372" s="33">
        <f>IF(ISBLANK(Q1373),"",Long3[[#This Row],[Adj Close]]/Q1373-1)</f>
        <v>-4.3715716215565026E-2</v>
      </c>
      <c r="S1372" s="37">
        <v>35492</v>
      </c>
      <c r="T1372">
        <v>20.675922</v>
      </c>
      <c r="U1372" s="36">
        <f>IF(ISBLANK(T1373),"",Long4[[#This Row],[Adj Close]]/T1373-1)</f>
        <v>-7.6729021064856351E-3</v>
      </c>
      <c r="Y1372" s="37">
        <v>35492</v>
      </c>
      <c r="Z1372">
        <v>5.1161719999999997</v>
      </c>
      <c r="AA1372" s="36">
        <f>IF(ISBLANK(Z1373),"",Long6[[#This Row],[Adj Close]]/Z1373-1)</f>
        <v>-4.5454859238244216E-2</v>
      </c>
      <c r="AK1372" s="37">
        <v>35492</v>
      </c>
      <c r="AL1372" s="39">
        <v>0.73502100000000004</v>
      </c>
      <c r="AM1372" s="36">
        <f>IF(ISBLANK(AL1373),"",Short1[[#This Row],[Adj Close]]/AL1373-1)</f>
        <v>0.13513601166299627</v>
      </c>
      <c r="AN1372" s="29">
        <v>35492</v>
      </c>
      <c r="AO1372" s="44">
        <v>3.6060300000000001</v>
      </c>
      <c r="AP1372" s="33">
        <f>IF(ISBLANK(AO1373),"",Short2[[#This Row],[Adj Close]]/AO1373-1)</f>
        <v>2.4752133390585573E-2</v>
      </c>
    </row>
    <row r="1373" spans="1:42" x14ac:dyDescent="0.25">
      <c r="A1373" s="37">
        <v>35485</v>
      </c>
      <c r="B1373" s="39">
        <v>790.82000700000003</v>
      </c>
      <c r="C1373" s="36">
        <f>IF(ISBLANK(B1374), "", GSPC[[#This Row],[Adj Close]]/B1374-1)</f>
        <v>-1.3657299134233081E-2</v>
      </c>
      <c r="D137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7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73" s="11" t="e">
        <f>IF(ISBLANK(GSPC[[#This Row],[Long Exp.]]), "", (GSPC[[#This Row],[Long Exp.]]/D1374-1)+(E1374/GSPC[[#This Row],[Short Exp.]]-1))</f>
        <v>#VALUE!</v>
      </c>
      <c r="G1373" s="37">
        <v>35485</v>
      </c>
      <c r="H1373">
        <v>6.3032750000000002</v>
      </c>
      <c r="I1373" s="36">
        <f>IF(ISBLANK(H1374), "", Long0[[#This Row],[Adj Close]]/H1374-1)</f>
        <v>3.0769152778409303E-2</v>
      </c>
      <c r="M1373" s="37">
        <v>35485</v>
      </c>
      <c r="N1373">
        <v>25.483089</v>
      </c>
      <c r="O1373" s="36">
        <f>IF(ISBLANK(N1374),"",Long2[[#This Row],[Adj Close]]/N1374-1)</f>
        <v>-4.7782057007773493E-2</v>
      </c>
      <c r="P1373" s="29">
        <v>35485</v>
      </c>
      <c r="Q1373">
        <v>3.0920230000000002</v>
      </c>
      <c r="R1373" s="33">
        <f>IF(ISBLANK(Q1374),"",Long3[[#This Row],[Adj Close]]/Q1374-1)</f>
        <v>0</v>
      </c>
      <c r="S1373" s="37">
        <v>35485</v>
      </c>
      <c r="T1373">
        <v>20.835792999999999</v>
      </c>
      <c r="U1373" s="36">
        <f>IF(ISBLANK(T1374),"",Long4[[#This Row],[Adj Close]]/T1374-1)</f>
        <v>-4.1666576593959226E-2</v>
      </c>
      <c r="Y1373" s="37">
        <v>35485</v>
      </c>
      <c r="Z1373">
        <v>5.359801</v>
      </c>
      <c r="AA1373" s="36">
        <f>IF(ISBLANK(Z1374),"",Long6[[#This Row],[Adj Close]]/Z1374-1)</f>
        <v>-8.333307679388624E-2</v>
      </c>
      <c r="AK1373" s="37">
        <v>35485</v>
      </c>
      <c r="AL1373" s="39">
        <v>0.64751800000000004</v>
      </c>
      <c r="AM1373" s="36">
        <f>IF(ISBLANK(AL1374),"",Short1[[#This Row],[Adj Close]]/AL1374-1)</f>
        <v>-3.8959998100236315E-2</v>
      </c>
      <c r="AN1373" s="29">
        <v>35485</v>
      </c>
      <c r="AO1373" s="44">
        <v>3.518929</v>
      </c>
      <c r="AP1373" s="33">
        <f>IF(ISBLANK(AO1374),"",Short2[[#This Row],[Adj Close]]/AO1374-1)</f>
        <v>-2.4154263830306499E-2</v>
      </c>
    </row>
    <row r="1374" spans="1:42" x14ac:dyDescent="0.25">
      <c r="A1374" s="37">
        <v>35478</v>
      </c>
      <c r="B1374" s="39">
        <v>801.77002000000005</v>
      </c>
      <c r="C1374" s="36">
        <f>IF(ISBLANK(B1375), "", GSPC[[#This Row],[Adj Close]]/B1375-1)</f>
        <v>-8.2994757643842787E-3</v>
      </c>
      <c r="D137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7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74" s="11" t="e">
        <f>IF(ISBLANK(GSPC[[#This Row],[Long Exp.]]), "", (GSPC[[#This Row],[Long Exp.]]/D1375-1)+(E1375/GSPC[[#This Row],[Short Exp.]]-1))</f>
        <v>#VALUE!</v>
      </c>
      <c r="G1374" s="37">
        <v>35478</v>
      </c>
      <c r="H1374">
        <v>6.1151179999999998</v>
      </c>
      <c r="I1374" s="36">
        <f>IF(ISBLANK(H1375), "", Long0[[#This Row],[Adj Close]]/H1375-1)</f>
        <v>1.5624875436801577E-2</v>
      </c>
      <c r="M1374" s="37">
        <v>35478</v>
      </c>
      <c r="N1374">
        <v>26.761824000000001</v>
      </c>
      <c r="O1374" s="36">
        <f>IF(ISBLANK(N1375),"",Long2[[#This Row],[Adj Close]]/N1375-1)</f>
        <v>-1.3467572224015623E-2</v>
      </c>
      <c r="P1374" s="29">
        <v>35478</v>
      </c>
      <c r="Q1374">
        <v>3.0920230000000002</v>
      </c>
      <c r="R1374" s="33">
        <f>IF(ISBLANK(Q1375),"",Long3[[#This Row],[Adj Close]]/Q1375-1)</f>
        <v>-1.0811253505883411E-2</v>
      </c>
      <c r="S1374" s="37">
        <v>35478</v>
      </c>
      <c r="T1374">
        <v>21.741695</v>
      </c>
      <c r="U1374" s="36">
        <f>IF(ISBLANK(T1375),"",Long4[[#This Row],[Adj Close]]/T1375-1)</f>
        <v>-2.3923458938395314E-2</v>
      </c>
      <c r="Y1374" s="37">
        <v>35478</v>
      </c>
      <c r="Z1374">
        <v>5.847054</v>
      </c>
      <c r="AA1374" s="36">
        <f>IF(ISBLANK(Z1375),"",Long6[[#This Row],[Adj Close]]/Z1375-1)</f>
        <v>-2.040855304270317E-2</v>
      </c>
      <c r="AK1374" s="37">
        <v>35478</v>
      </c>
      <c r="AL1374" s="39">
        <v>0.67376800000000003</v>
      </c>
      <c r="AM1374" s="36">
        <f>IF(ISBLANK(AL1375),"",Short1[[#This Row],[Adj Close]]/AL1375-1)</f>
        <v>0.11594042072521349</v>
      </c>
      <c r="AN1374" s="29">
        <v>35478</v>
      </c>
      <c r="AO1374" s="44">
        <v>3.6060300000000001</v>
      </c>
      <c r="AP1374" s="33">
        <f>IF(ISBLANK(AO1375),"",Short2[[#This Row],[Adj Close]]/AO1375-1)</f>
        <v>-4.8072982398813524E-3</v>
      </c>
    </row>
    <row r="1375" spans="1:42" x14ac:dyDescent="0.25">
      <c r="A1375" s="37">
        <v>35471</v>
      </c>
      <c r="B1375" s="39">
        <v>808.47997999999995</v>
      </c>
      <c r="C1375" s="36">
        <f>IF(ISBLANK(B1376), "", GSPC[[#This Row],[Adj Close]]/B1376-1)</f>
        <v>2.3962690673191789E-2</v>
      </c>
      <c r="D137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7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75" s="11" t="e">
        <f>IF(ISBLANK(GSPC[[#This Row],[Long Exp.]]), "", (GSPC[[#This Row],[Long Exp.]]/D1376-1)+(E1376/GSPC[[#This Row],[Short Exp.]]-1))</f>
        <v>#VALUE!</v>
      </c>
      <c r="G1375" s="37">
        <v>35471</v>
      </c>
      <c r="H1375">
        <v>6.0210400000000002</v>
      </c>
      <c r="I1375" s="36">
        <f>IF(ISBLANK(H1376), "", Long0[[#This Row],[Adj Close]]/H1376-1)</f>
        <v>1.5873230121343784E-2</v>
      </c>
      <c r="M1375" s="37">
        <v>35471</v>
      </c>
      <c r="N1375">
        <v>27.127161000000001</v>
      </c>
      <c r="O1375" s="36">
        <f>IF(ISBLANK(N1376),"",Long2[[#This Row],[Adj Close]]/N1376-1)</f>
        <v>4.5774762725380835E-2</v>
      </c>
      <c r="P1375" s="29">
        <v>35471</v>
      </c>
      <c r="Q1375">
        <v>3.1258170000000001</v>
      </c>
      <c r="R1375" s="33">
        <f>IF(ISBLANK(Q1376),"",Long3[[#This Row],[Adj Close]]/Q1376-1)</f>
        <v>1.0929414173180385E-2</v>
      </c>
      <c r="S1375" s="37">
        <v>35471</v>
      </c>
      <c r="T1375">
        <v>22.27458</v>
      </c>
      <c r="U1375" s="36">
        <f>IF(ISBLANK(T1376),"",Long4[[#This Row],[Adj Close]]/T1376-1)</f>
        <v>-3.2407089455618654E-2</v>
      </c>
      <c r="Y1375" s="37">
        <v>35471</v>
      </c>
      <c r="Z1375">
        <v>5.9688699999999999</v>
      </c>
      <c r="AA1375" s="36">
        <f>IF(ISBLANK(Z1376),"",Long6[[#This Row],[Adj Close]]/Z1376-1)</f>
        <v>-7.547159874872289E-2</v>
      </c>
      <c r="AK1375" s="37">
        <v>35471</v>
      </c>
      <c r="AL1375" s="39">
        <v>0.60376700000000005</v>
      </c>
      <c r="AM1375" s="36">
        <f>IF(ISBLANK(AL1376),"",Short1[[#This Row],[Adj Close]]/AL1376-1)</f>
        <v>1.4707167538352106E-2</v>
      </c>
      <c r="AN1375" s="29">
        <v>35471</v>
      </c>
      <c r="AO1375" s="44">
        <v>3.6234489999999999</v>
      </c>
      <c r="AP1375" s="33">
        <f>IF(ISBLANK(AO1376),"",Short2[[#This Row],[Adj Close]]/AO1376-1)</f>
        <v>9.30918910885703E-4</v>
      </c>
    </row>
    <row r="1376" spans="1:42" x14ac:dyDescent="0.25">
      <c r="A1376" s="37">
        <v>35464</v>
      </c>
      <c r="B1376" s="39">
        <v>789.55999799999995</v>
      </c>
      <c r="C1376" s="36">
        <f>IF(ISBLANK(B1377), "", GSPC[[#This Row],[Adj Close]]/B1377-1)</f>
        <v>4.3248513238665076E-3</v>
      </c>
      <c r="D137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7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76" s="11" t="e">
        <f>IF(ISBLANK(GSPC[[#This Row],[Long Exp.]]), "", (GSPC[[#This Row],[Long Exp.]]/D1377-1)+(E1377/GSPC[[#This Row],[Short Exp.]]-1))</f>
        <v>#VALUE!</v>
      </c>
      <c r="G1376" s="37">
        <v>35464</v>
      </c>
      <c r="H1376">
        <v>5.9269600000000002</v>
      </c>
      <c r="I1376" s="36">
        <f>IF(ISBLANK(H1377), "", Long0[[#This Row],[Adj Close]]/H1377-1)</f>
        <v>-3.8168122271450944E-2</v>
      </c>
      <c r="M1376" s="37">
        <v>35464</v>
      </c>
      <c r="N1376">
        <v>25.939774</v>
      </c>
      <c r="O1376" s="36">
        <f>IF(ISBLANK(N1377),"",Long2[[#This Row],[Adj Close]]/N1377-1)</f>
        <v>-6.8852930967083892E-2</v>
      </c>
      <c r="P1376" s="29">
        <v>35464</v>
      </c>
      <c r="Q1376">
        <v>3.0920230000000002</v>
      </c>
      <c r="R1376" s="33">
        <f>IF(ISBLANK(Q1377),"",Long3[[#This Row],[Adj Close]]/Q1377-1)</f>
        <v>1.1049525035878638E-2</v>
      </c>
      <c r="S1376" s="37">
        <v>35464</v>
      </c>
      <c r="T1376">
        <v>23.020610999999999</v>
      </c>
      <c r="U1376" s="36">
        <f>IF(ISBLANK(T1377),"",Long4[[#This Row],[Adj Close]]/T1377-1)</f>
        <v>-5.2631858354855399E-2</v>
      </c>
      <c r="Y1376" s="37">
        <v>35464</v>
      </c>
      <c r="Z1376">
        <v>6.456124</v>
      </c>
      <c r="AA1376" s="36">
        <f>IF(ISBLANK(Z1377),"",Long6[[#This Row],[Adj Close]]/Z1377-1)</f>
        <v>0</v>
      </c>
      <c r="AK1376" s="37">
        <v>35464</v>
      </c>
      <c r="AL1376" s="39">
        <v>0.59501599999999999</v>
      </c>
      <c r="AM1376" s="36">
        <f>IF(ISBLANK(AL1377),"",Short1[[#This Row],[Adj Close]]/AL1377-1)</f>
        <v>-0.15000021427989807</v>
      </c>
      <c r="AN1376" s="29">
        <v>35464</v>
      </c>
      <c r="AO1376" s="44">
        <v>3.620079</v>
      </c>
      <c r="AP1376" s="33">
        <f>IF(ISBLANK(AO1377),"",Short2[[#This Row],[Adj Close]]/AO1377-1)</f>
        <v>-2.3474671050324414E-2</v>
      </c>
    </row>
    <row r="1377" spans="1:42" x14ac:dyDescent="0.25">
      <c r="A1377" s="37">
        <v>35457</v>
      </c>
      <c r="B1377" s="39">
        <v>786.15997300000004</v>
      </c>
      <c r="C1377" s="36">
        <f>IF(ISBLANK(B1378), "", GSPC[[#This Row],[Adj Close]]/B1378-1)</f>
        <v>2.0297919059909741E-2</v>
      </c>
      <c r="D137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7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77" s="11" t="e">
        <f>IF(ISBLANK(GSPC[[#This Row],[Long Exp.]]), "", (GSPC[[#This Row],[Long Exp.]]/D1378-1)+(E1378/GSPC[[#This Row],[Short Exp.]]-1))</f>
        <v>#VALUE!</v>
      </c>
      <c r="G1377" s="37">
        <v>35457</v>
      </c>
      <c r="H1377">
        <v>6.1621579999999998</v>
      </c>
      <c r="I1377" s="36">
        <f>IF(ISBLANK(H1378), "", Long0[[#This Row],[Adj Close]]/H1378-1)</f>
        <v>-5.07245472609823E-2</v>
      </c>
      <c r="M1377" s="37">
        <v>35457</v>
      </c>
      <c r="N1377">
        <v>27.857869999999998</v>
      </c>
      <c r="O1377" s="36">
        <f>IF(ISBLANK(N1378),"",Long2[[#This Row],[Adj Close]]/N1378-1)</f>
        <v>-4.9843768183444825E-2</v>
      </c>
      <c r="P1377" s="29">
        <v>35457</v>
      </c>
      <c r="Q1377">
        <v>3.0582310000000001</v>
      </c>
      <c r="R1377" s="33">
        <f>IF(ISBLANK(Q1378),"",Long3[[#This Row],[Adj Close]]/Q1378-1)</f>
        <v>-3.2085615656873956E-2</v>
      </c>
      <c r="S1377" s="37">
        <v>35457</v>
      </c>
      <c r="T1377">
        <v>24.299541000000001</v>
      </c>
      <c r="U1377" s="36">
        <f>IF(ISBLANK(T1378),"",Long4[[#This Row],[Adj Close]]/T1378-1)</f>
        <v>1.7857111441206497E-2</v>
      </c>
      <c r="Y1377" s="37">
        <v>35457</v>
      </c>
      <c r="Z1377">
        <v>6.456124</v>
      </c>
      <c r="AA1377" s="36">
        <f>IF(ISBLANK(Z1378),"",Long6[[#This Row],[Adj Close]]/Z1378-1)</f>
        <v>-8.6206728169132329E-2</v>
      </c>
      <c r="AK1377" s="37">
        <v>35457</v>
      </c>
      <c r="AL1377" s="39">
        <v>0.70001899999999995</v>
      </c>
      <c r="AM1377" s="36">
        <f>IF(ISBLANK(AL1378),"",Short1[[#This Row],[Adj Close]]/AL1378-1)</f>
        <v>-1.2346741538157735E-2</v>
      </c>
      <c r="AN1377" s="29">
        <v>35457</v>
      </c>
      <c r="AO1377" s="44">
        <v>3.7071019999999999</v>
      </c>
      <c r="AP1377" s="33">
        <f>IF(ISBLANK(AO1378),"",Short2[[#This Row],[Adj Close]]/AO1378-1)</f>
        <v>-9.3022012822328026E-3</v>
      </c>
    </row>
    <row r="1378" spans="1:42" x14ac:dyDescent="0.25">
      <c r="A1378" s="37">
        <v>35450</v>
      </c>
      <c r="B1378" s="39">
        <v>770.52002000000005</v>
      </c>
      <c r="C1378" s="36">
        <f>IF(ISBLANK(B1379), "", GSPC[[#This Row],[Adj Close]]/B1379-1)</f>
        <v>-7.279285625246823E-3</v>
      </c>
      <c r="D137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7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78" s="11" t="e">
        <f>IF(ISBLANK(GSPC[[#This Row],[Long Exp.]]), "", (GSPC[[#This Row],[Long Exp.]]/D1379-1)+(E1379/GSPC[[#This Row],[Short Exp.]]-1))</f>
        <v>#VALUE!</v>
      </c>
      <c r="G1378" s="37">
        <v>35450</v>
      </c>
      <c r="H1378">
        <v>6.4914329999999998</v>
      </c>
      <c r="I1378" s="36">
        <f>IF(ISBLANK(H1379), "", Long0[[#This Row],[Adj Close]]/H1379-1)</f>
        <v>-7.1940366486293872E-3</v>
      </c>
      <c r="M1378" s="37">
        <v>35450</v>
      </c>
      <c r="N1378">
        <v>29.319251999999999</v>
      </c>
      <c r="O1378" s="36">
        <f>IF(ISBLANK(N1379),"",Long2[[#This Row],[Adj Close]]/N1379-1)</f>
        <v>-3.021166203535719E-2</v>
      </c>
      <c r="P1378" s="29">
        <v>35450</v>
      </c>
      <c r="Q1378">
        <v>3.1596090000000001</v>
      </c>
      <c r="R1378" s="33">
        <f>IF(ISBLANK(Q1379),"",Long3[[#This Row],[Adj Close]]/Q1379-1)</f>
        <v>-1.0582131532453354E-2</v>
      </c>
      <c r="S1378" s="37">
        <v>35450</v>
      </c>
      <c r="T1378">
        <v>23.873234</v>
      </c>
      <c r="U1378" s="36">
        <f>IF(ISBLANK(T1379),"",Long4[[#This Row],[Adj Close]]/T1379-1)</f>
        <v>-6.6666447732445455E-2</v>
      </c>
      <c r="Y1378" s="37">
        <v>35450</v>
      </c>
      <c r="Z1378">
        <v>7.0651910000000004</v>
      </c>
      <c r="AA1378" s="36">
        <f>IF(ISBLANK(Z1379),"",Long6[[#This Row],[Adj Close]]/Z1379-1)</f>
        <v>5.4545625515224572E-2</v>
      </c>
      <c r="AK1378" s="37">
        <v>35450</v>
      </c>
      <c r="AL1378" s="39">
        <v>0.70877000000000001</v>
      </c>
      <c r="AM1378" s="36">
        <f>IF(ISBLANK(AL1379),"",Short1[[#This Row],[Adj Close]]/AL1379-1)</f>
        <v>2.5317206470997444E-2</v>
      </c>
      <c r="AN1378" s="29">
        <v>35450</v>
      </c>
      <c r="AO1378" s="44">
        <v>3.7419099999999998</v>
      </c>
      <c r="AP1378" s="33">
        <f>IF(ISBLANK(AO1379),"",Short2[[#This Row],[Adj Close]]/AO1379-1)</f>
        <v>-4.629038504917915E-3</v>
      </c>
    </row>
    <row r="1379" spans="1:42" x14ac:dyDescent="0.25">
      <c r="A1379" s="37">
        <v>35443</v>
      </c>
      <c r="B1379" s="39">
        <v>776.169983</v>
      </c>
      <c r="C1379" s="36">
        <f>IF(ISBLANK(B1380), "", GSPC[[#This Row],[Adj Close]]/B1380-1)</f>
        <v>2.1948628044766272E-2</v>
      </c>
      <c r="D137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7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79" s="11" t="e">
        <f>IF(ISBLANK(GSPC[[#This Row],[Long Exp.]]), "", (GSPC[[#This Row],[Long Exp.]]/D1380-1)+(E1380/GSPC[[#This Row],[Short Exp.]]-1))</f>
        <v>#VALUE!</v>
      </c>
      <c r="G1379" s="37">
        <v>35443</v>
      </c>
      <c r="H1379">
        <v>6.5384710000000004</v>
      </c>
      <c r="I1379" s="36">
        <f>IF(ISBLANK(H1380), "", Long0[[#This Row],[Adj Close]]/H1380-1)</f>
        <v>-7.1429536751210776E-3</v>
      </c>
      <c r="M1379" s="37">
        <v>35443</v>
      </c>
      <c r="N1379">
        <v>30.23263</v>
      </c>
      <c r="O1379" s="36">
        <f>IF(ISBLANK(N1380),"",Long2[[#This Row],[Adj Close]]/N1380-1)</f>
        <v>3.7617661372748579E-2</v>
      </c>
      <c r="P1379" s="29">
        <v>35443</v>
      </c>
      <c r="Q1379">
        <v>3.1934019999999999</v>
      </c>
      <c r="R1379" s="33">
        <f>IF(ISBLANK(Q1380),"",Long3[[#This Row],[Adj Close]]/Q1380-1)</f>
        <v>-1.0471015997179034E-2</v>
      </c>
      <c r="S1379" s="37">
        <v>35443</v>
      </c>
      <c r="T1379">
        <v>25.578458999999999</v>
      </c>
      <c r="U1379" s="36">
        <f>IF(ISBLANK(T1380),"",Long4[[#This Row],[Adj Close]]/T1380-1)</f>
        <v>-4.3824699854826843E-2</v>
      </c>
      <c r="Y1379" s="37">
        <v>35443</v>
      </c>
      <c r="Z1379">
        <v>6.6997489999999997</v>
      </c>
      <c r="AA1379" s="36">
        <f>IF(ISBLANK(Z1380),"",Long6[[#This Row],[Adj Close]]/Z1380-1)</f>
        <v>0.27906942113449285</v>
      </c>
      <c r="AK1379" s="37">
        <v>35443</v>
      </c>
      <c r="AL1379" s="39">
        <v>0.69126900000000002</v>
      </c>
      <c r="AM1379" s="36">
        <f>IF(ISBLANK(AL1380),"",Short1[[#This Row],[Adj Close]]/AL1380-1)</f>
        <v>-3.658573977031998E-2</v>
      </c>
      <c r="AN1379" s="29">
        <v>35443</v>
      </c>
      <c r="AO1379" s="44">
        <v>3.759312</v>
      </c>
      <c r="AP1379" s="33">
        <f>IF(ISBLANK(AO1380),"",Short2[[#This Row],[Adj Close]]/AO1380-1)</f>
        <v>1.4083777570727873E-2</v>
      </c>
    </row>
    <row r="1380" spans="1:42" x14ac:dyDescent="0.25">
      <c r="A1380" s="37">
        <v>35436</v>
      </c>
      <c r="B1380" s="39">
        <v>759.5</v>
      </c>
      <c r="C1380" s="36">
        <f>IF(ISBLANK(B1381), "", GSPC[[#This Row],[Adj Close]]/B1381-1)</f>
        <v>1.5333570251629514E-2</v>
      </c>
      <c r="D138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8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80" s="11" t="e">
        <f>IF(ISBLANK(GSPC[[#This Row],[Long Exp.]]), "", (GSPC[[#This Row],[Long Exp.]]/D1381-1)+(E1381/GSPC[[#This Row],[Short Exp.]]-1))</f>
        <v>#VALUE!</v>
      </c>
      <c r="G1380" s="37">
        <v>35436</v>
      </c>
      <c r="H1380">
        <v>6.5855110000000003</v>
      </c>
      <c r="I1380" s="36">
        <f>IF(ISBLANK(H1381), "", Long0[[#This Row],[Adj Close]]/H1381-1)</f>
        <v>3.1839452285397973E-2</v>
      </c>
      <c r="M1380" s="37">
        <v>35436</v>
      </c>
      <c r="N1380">
        <v>29.136579999999999</v>
      </c>
      <c r="O1380" s="36">
        <f>IF(ISBLANK(N1381),"",Long2[[#This Row],[Adj Close]]/N1381-1)</f>
        <v>3.1443349157376232E-3</v>
      </c>
      <c r="P1380" s="29">
        <v>35436</v>
      </c>
      <c r="Q1380">
        <v>3.2271939999999999</v>
      </c>
      <c r="R1380" s="33">
        <f>IF(ISBLANK(Q1381),"",Long3[[#This Row],[Adj Close]]/Q1381-1)</f>
        <v>3.2432160935844889E-2</v>
      </c>
      <c r="S1380" s="37">
        <v>35436</v>
      </c>
      <c r="T1380">
        <v>26.750805</v>
      </c>
      <c r="U1380" s="36">
        <f>IF(ISBLANK(T1381),"",Long4[[#This Row],[Adj Close]]/T1381-1)</f>
        <v>8.1896580836495536E-2</v>
      </c>
      <c r="Y1380" s="37">
        <v>35436</v>
      </c>
      <c r="Z1380">
        <v>5.2379870000000004</v>
      </c>
      <c r="AA1380" s="36">
        <f>IF(ISBLANK(Z1381),"",Long6[[#This Row],[Adj Close]]/Z1381-1)</f>
        <v>0</v>
      </c>
      <c r="AK1380" s="37">
        <v>35436</v>
      </c>
      <c r="AL1380" s="39">
        <v>0.71752000000000005</v>
      </c>
      <c r="AM1380" s="36">
        <f>IF(ISBLANK(AL1381),"",Short1[[#This Row],[Adj Close]]/AL1381-1)</f>
        <v>-4.6510391750385294E-2</v>
      </c>
      <c r="AN1380" s="29">
        <v>35436</v>
      </c>
      <c r="AO1380" s="44">
        <v>3.7071019999999999</v>
      </c>
      <c r="AP1380" s="33">
        <f>IF(ISBLANK(AO1381),"",Short2[[#This Row],[Adj Close]]/AO1381-1)</f>
        <v>-9.3022012822328026E-3</v>
      </c>
    </row>
    <row r="1381" spans="1:42" x14ac:dyDescent="0.25">
      <c r="A1381" s="37">
        <v>35429</v>
      </c>
      <c r="B1381" s="39">
        <v>748.03002900000001</v>
      </c>
      <c r="C1381" s="36">
        <f>IF(ISBLANK(B1382), "", GSPC[[#This Row],[Adj Close]]/B1382-1)</f>
        <v>-1.157513875005356E-2</v>
      </c>
      <c r="D138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8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81" s="11" t="e">
        <f>IF(ISBLANK(GSPC[[#This Row],[Long Exp.]]), "", (GSPC[[#This Row],[Long Exp.]]/D1382-1)+(E1382/GSPC[[#This Row],[Short Exp.]]-1))</f>
        <v>#VALUE!</v>
      </c>
      <c r="G1381" s="37">
        <v>35429</v>
      </c>
      <c r="H1381">
        <v>6.3823020000000001</v>
      </c>
      <c r="I1381" s="36">
        <f>IF(ISBLANK(H1382), "", Long0[[#This Row],[Adj Close]]/H1382-1)</f>
        <v>0</v>
      </c>
      <c r="M1381" s="37">
        <v>35429</v>
      </c>
      <c r="N1381">
        <v>29.045252000000001</v>
      </c>
      <c r="O1381" s="36">
        <f>IF(ISBLANK(N1382),"",Long2[[#This Row],[Adj Close]]/N1382-1)</f>
        <v>4.9505479259953633E-2</v>
      </c>
      <c r="P1381" s="29">
        <v>35429</v>
      </c>
      <c r="Q1381">
        <v>3.1258170000000001</v>
      </c>
      <c r="R1381" s="33">
        <f>IF(ISBLANK(Q1382),"",Long3[[#This Row],[Adj Close]]/Q1382-1)</f>
        <v>-5.3759300884076433E-3</v>
      </c>
      <c r="S1381" s="37">
        <v>35429</v>
      </c>
      <c r="T1381">
        <v>24.725843000000001</v>
      </c>
      <c r="U1381" s="36">
        <f>IF(ISBLANK(T1382),"",Long4[[#This Row],[Adj Close]]/T1382-1)</f>
        <v>0.13170718467444731</v>
      </c>
      <c r="Y1381" s="37">
        <v>35429</v>
      </c>
      <c r="Z1381">
        <v>5.2379870000000004</v>
      </c>
      <c r="AA1381" s="36">
        <f>IF(ISBLANK(Z1382),"",Long6[[#This Row],[Adj Close]]/Z1382-1)</f>
        <v>0</v>
      </c>
      <c r="AK1381" s="37">
        <v>35429</v>
      </c>
      <c r="AL1381" s="39">
        <v>0.75251999999999997</v>
      </c>
      <c r="AM1381" s="36">
        <f>IF(ISBLANK(AL1382),"",Short1[[#This Row],[Adj Close]]/AL1382-1)</f>
        <v>3.6143582965012966E-2</v>
      </c>
      <c r="AN1381" s="29">
        <v>35429</v>
      </c>
      <c r="AO1381" s="44">
        <v>3.7419099999999998</v>
      </c>
      <c r="AP1381" s="33">
        <f>IF(ISBLANK(AO1382),"",Short2[[#This Row],[Adj Close]]/AO1382-1)</f>
        <v>4.6731042111636256E-3</v>
      </c>
    </row>
    <row r="1382" spans="1:42" x14ac:dyDescent="0.25">
      <c r="A1382" s="37">
        <v>35422</v>
      </c>
      <c r="B1382" s="39">
        <v>756.78997800000002</v>
      </c>
      <c r="C1382" s="36">
        <f>IF(ISBLANK(B1383), "", GSPC[[#This Row],[Adj Close]]/B1383-1)</f>
        <v>1.0575911777584324E-2</v>
      </c>
      <c r="D138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8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82" s="11" t="e">
        <f>IF(ISBLANK(GSPC[[#This Row],[Long Exp.]]), "", (GSPC[[#This Row],[Long Exp.]]/D1383-1)+(E1383/GSPC[[#This Row],[Short Exp.]]-1))</f>
        <v>#VALUE!</v>
      </c>
      <c r="G1382" s="37">
        <v>35422</v>
      </c>
      <c r="H1382">
        <v>6.3823020000000001</v>
      </c>
      <c r="I1382" s="36">
        <f>IF(ISBLANK(H1383), "", Long0[[#This Row],[Adj Close]]/H1383-1)</f>
        <v>-1.4492695438762415E-2</v>
      </c>
      <c r="M1382" s="37">
        <v>35422</v>
      </c>
      <c r="N1382">
        <v>27.675179</v>
      </c>
      <c r="O1382" s="36">
        <f>IF(ISBLANK(N1383),"",Long2[[#This Row],[Adj Close]]/N1383-1)</f>
        <v>1.3377447830805966E-2</v>
      </c>
      <c r="P1382" s="29">
        <v>35422</v>
      </c>
      <c r="Q1382">
        <v>3.142712</v>
      </c>
      <c r="R1382" s="33">
        <f>IF(ISBLANK(Q1383),"",Long3[[#This Row],[Adj Close]]/Q1383-1)</f>
        <v>0</v>
      </c>
      <c r="S1382" s="37">
        <v>35422</v>
      </c>
      <c r="T1382">
        <v>21.848268999999998</v>
      </c>
      <c r="U1382" s="36">
        <f>IF(ISBLANK(T1383),"",Long4[[#This Row],[Adj Close]]/T1383-1)</f>
        <v>-3.3018848509051568E-2</v>
      </c>
      <c r="Y1382" s="37">
        <v>35422</v>
      </c>
      <c r="Z1382">
        <v>5.2379870000000004</v>
      </c>
      <c r="AA1382" s="36">
        <f>IF(ISBLANK(Z1383),"",Long6[[#This Row],[Adj Close]]/Z1383-1)</f>
        <v>0</v>
      </c>
      <c r="AK1382" s="37">
        <v>35422</v>
      </c>
      <c r="AL1382" s="39">
        <v>0.72626999999999997</v>
      </c>
      <c r="AM1382" s="36">
        <f>IF(ISBLANK(AL1383),"",Short1[[#This Row],[Adj Close]]/AL1383-1)</f>
        <v>-5.6817930939545791E-2</v>
      </c>
      <c r="AN1382" s="29">
        <v>35422</v>
      </c>
      <c r="AO1382" s="44">
        <v>3.7245050000000002</v>
      </c>
      <c r="AP1382" s="33">
        <f>IF(ISBLANK(AO1383),"",Short2[[#This Row],[Adj Close]]/AO1383-1)</f>
        <v>2.3923685691451979E-2</v>
      </c>
    </row>
    <row r="1383" spans="1:42" x14ac:dyDescent="0.25">
      <c r="A1383" s="37">
        <v>35415</v>
      </c>
      <c r="B1383" s="39">
        <v>748.86999500000002</v>
      </c>
      <c r="C1383" s="36">
        <f>IF(ISBLANK(B1384), "", GSPC[[#This Row],[Adj Close]]/B1384-1)</f>
        <v>2.7764025559315453E-2</v>
      </c>
      <c r="D138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8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83" s="11" t="e">
        <f>IF(ISBLANK(GSPC[[#This Row],[Long Exp.]]), "", (GSPC[[#This Row],[Long Exp.]]/D1384-1)+(E1384/GSPC[[#This Row],[Short Exp.]]-1))</f>
        <v>#VALUE!</v>
      </c>
      <c r="G1383" s="37">
        <v>35415</v>
      </c>
      <c r="H1383">
        <v>6.476159</v>
      </c>
      <c r="I1383" s="36">
        <f>IF(ISBLANK(H1384), "", Long0[[#This Row],[Adj Close]]/H1384-1)</f>
        <v>7.2993188919978635E-3</v>
      </c>
      <c r="M1383" s="37">
        <v>35415</v>
      </c>
      <c r="N1383">
        <v>27.309843000000001</v>
      </c>
      <c r="O1383" s="36">
        <f>IF(ISBLANK(N1384),"",Long2[[#This Row],[Adj Close]]/N1384-1)</f>
        <v>-4.5707218006696304E-2</v>
      </c>
      <c r="P1383" s="29">
        <v>35415</v>
      </c>
      <c r="Q1383">
        <v>3.142712</v>
      </c>
      <c r="R1383" s="33">
        <f>IF(ISBLANK(Q1384),"",Long3[[#This Row],[Adj Close]]/Q1384-1)</f>
        <v>2.1977621744525777E-2</v>
      </c>
      <c r="S1383" s="37">
        <v>35415</v>
      </c>
      <c r="T1383">
        <v>22.594307000000001</v>
      </c>
      <c r="U1383" s="36">
        <f>IF(ISBLANK(T1384),"",Long4[[#This Row],[Adj Close]]/T1384-1)</f>
        <v>-0.2000000637328635</v>
      </c>
      <c r="Y1383" s="37">
        <v>35415</v>
      </c>
      <c r="Z1383">
        <v>5.2379870000000004</v>
      </c>
      <c r="AA1383" s="36">
        <f>IF(ISBLANK(Z1384),"",Long6[[#This Row],[Adj Close]]/Z1384-1)</f>
        <v>0</v>
      </c>
      <c r="AK1383" s="37">
        <v>35415</v>
      </c>
      <c r="AL1383" s="39">
        <v>0.77002099999999996</v>
      </c>
      <c r="AM1383" s="36">
        <f>IF(ISBLANK(AL1384),"",Short1[[#This Row],[Adj Close]]/AL1384-1)</f>
        <v>-0.1775705027150114</v>
      </c>
      <c r="AN1383" s="29">
        <v>35415</v>
      </c>
      <c r="AO1383" s="44">
        <v>3.637483</v>
      </c>
      <c r="AP1383" s="33">
        <f>IF(ISBLANK(AO1384),"",Short2[[#This Row],[Adj Close]]/AO1384-1)</f>
        <v>3.4653002072160044E-2</v>
      </c>
    </row>
    <row r="1384" spans="1:42" x14ac:dyDescent="0.25">
      <c r="A1384" s="37">
        <v>35408</v>
      </c>
      <c r="B1384" s="39">
        <v>728.64001499999995</v>
      </c>
      <c r="C1384" s="36">
        <f>IF(ISBLANK(B1385), "", GSPC[[#This Row],[Adj Close]]/B1385-1)</f>
        <v>-1.4818768733978471E-2</v>
      </c>
      <c r="D138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8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84" s="11" t="e">
        <f>IF(ISBLANK(GSPC[[#This Row],[Long Exp.]]), "", (GSPC[[#This Row],[Long Exp.]]/D1385-1)+(E1385/GSPC[[#This Row],[Short Exp.]]-1))</f>
        <v>#VALUE!</v>
      </c>
      <c r="G1384" s="37">
        <v>35408</v>
      </c>
      <c r="H1384">
        <v>6.4292300000000004</v>
      </c>
      <c r="I1384" s="36">
        <f>IF(ISBLANK(H1385), "", Long0[[#This Row],[Adj Close]]/H1385-1)</f>
        <v>0.2232144827675433</v>
      </c>
      <c r="M1384" s="37">
        <v>35408</v>
      </c>
      <c r="N1384">
        <v>28.617887</v>
      </c>
      <c r="O1384" s="36">
        <f>IF(ISBLANK(N1385),"",Long2[[#This Row],[Adj Close]]/N1385-1)</f>
        <v>7.9037611384830564E-2</v>
      </c>
      <c r="P1384" s="29">
        <v>35408</v>
      </c>
      <c r="Q1384">
        <v>3.0751279999999999</v>
      </c>
      <c r="R1384" s="33">
        <f>IF(ISBLANK(Q1385),"",Long3[[#This Row],[Adj Close]]/Q1385-1)</f>
        <v>1.8109342047324395E-2</v>
      </c>
      <c r="S1384" s="37">
        <v>35408</v>
      </c>
      <c r="T1384">
        <v>28.242885999999999</v>
      </c>
      <c r="U1384" s="36">
        <f>IF(ISBLANK(T1385),"",Long4[[#This Row],[Adj Close]]/T1385-1)</f>
        <v>1.9230782416788772E-2</v>
      </c>
      <c r="Y1384" s="37">
        <v>35408</v>
      </c>
      <c r="Z1384">
        <v>5.2379870000000004</v>
      </c>
      <c r="AA1384" s="36">
        <f>IF(ISBLANK(Z1385),"",Long6[[#This Row],[Adj Close]]/Z1385-1)</f>
        <v>-4.4444566063103541E-2</v>
      </c>
      <c r="AK1384" s="37">
        <v>35408</v>
      </c>
      <c r="AL1384" s="39">
        <v>0.936276</v>
      </c>
      <c r="AM1384" s="36">
        <f>IF(ISBLANK(AL1385),"",Short1[[#This Row],[Adj Close]]/AL1385-1)</f>
        <v>3.8834983772988219E-2</v>
      </c>
      <c r="AN1384" s="29">
        <v>35408</v>
      </c>
      <c r="AO1384" s="44">
        <v>3.5156550000000002</v>
      </c>
      <c r="AP1384" s="33">
        <f>IF(ISBLANK(AO1385),"",Short2[[#This Row],[Adj Close]]/AO1385-1)</f>
        <v>-1.9417221180769828E-2</v>
      </c>
    </row>
    <row r="1385" spans="1:42" x14ac:dyDescent="0.25">
      <c r="A1385" s="37">
        <v>35401</v>
      </c>
      <c r="B1385" s="39">
        <v>739.59997599999997</v>
      </c>
      <c r="C1385" s="36">
        <f>IF(ISBLANK(B1386), "", GSPC[[#This Row],[Adj Close]]/B1386-1)</f>
        <v>-2.301133859049076E-2</v>
      </c>
      <c r="D138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8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85" s="11" t="e">
        <f>IF(ISBLANK(GSPC[[#This Row],[Long Exp.]]), "", (GSPC[[#This Row],[Long Exp.]]/D1386-1)+(E1386/GSPC[[#This Row],[Short Exp.]]-1))</f>
        <v>#VALUE!</v>
      </c>
      <c r="G1385" s="37">
        <v>35401</v>
      </c>
      <c r="H1385">
        <v>5.2560120000000001</v>
      </c>
      <c r="I1385" s="36">
        <f>IF(ISBLANK(H1386), "", Long0[[#This Row],[Adj Close]]/H1386-1)</f>
        <v>-5.084761678601768E-2</v>
      </c>
      <c r="M1385" s="37">
        <v>35401</v>
      </c>
      <c r="N1385">
        <v>26.521677</v>
      </c>
      <c r="O1385" s="36">
        <f>IF(ISBLANK(N1386),"",Long2[[#This Row],[Adj Close]]/N1386-1)</f>
        <v>6.9207758357938687E-3</v>
      </c>
      <c r="P1385" s="29">
        <v>35401</v>
      </c>
      <c r="Q1385">
        <v>3.0204300000000002</v>
      </c>
      <c r="R1385" s="33">
        <f>IF(ISBLANK(Q1386),"",Long3[[#This Row],[Adj Close]]/Q1386-1)</f>
        <v>-5.4639015035772287E-3</v>
      </c>
      <c r="S1385" s="37">
        <v>35401</v>
      </c>
      <c r="T1385">
        <v>27.710000999999998</v>
      </c>
      <c r="U1385" s="36">
        <f>IF(ISBLANK(T1386),"",Long4[[#This Row],[Adj Close]]/T1386-1)</f>
        <v>3.1746015788729265E-2</v>
      </c>
      <c r="Y1385" s="37">
        <v>35401</v>
      </c>
      <c r="Z1385">
        <v>5.4816149999999997</v>
      </c>
      <c r="AA1385" s="36">
        <f>IF(ISBLANK(Z1386),"",Long6[[#This Row],[Adj Close]]/Z1386-1)</f>
        <v>-8.1632704347724183E-2</v>
      </c>
      <c r="AK1385" s="37">
        <v>35401</v>
      </c>
      <c r="AL1385" s="39">
        <v>0.90127500000000005</v>
      </c>
      <c r="AM1385" s="36">
        <f>IF(ISBLANK(AL1386),"",Short1[[#This Row],[Adj Close]]/AL1386-1)</f>
        <v>9.804778358901256E-3</v>
      </c>
      <c r="AN1385" s="29">
        <v>35401</v>
      </c>
      <c r="AO1385" s="44">
        <v>3.5852710000000001</v>
      </c>
      <c r="AP1385" s="33">
        <f>IF(ISBLANK(AO1386),"",Short2[[#This Row],[Adj Close]]/AO1386-1)</f>
        <v>-9.6152597774800119E-3</v>
      </c>
    </row>
    <row r="1386" spans="1:42" x14ac:dyDescent="0.25">
      <c r="A1386" s="37">
        <v>35394</v>
      </c>
      <c r="B1386" s="39">
        <v>757.02002000000005</v>
      </c>
      <c r="C1386" s="36">
        <f>IF(ISBLANK(B1387), "", GSPC[[#This Row],[Adj Close]]/B1387-1)</f>
        <v>1.1072135778508629E-2</v>
      </c>
      <c r="D138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8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86" s="11" t="e">
        <f>IF(ISBLANK(GSPC[[#This Row],[Long Exp.]]), "", (GSPC[[#This Row],[Long Exp.]]/D1387-1)+(E1387/GSPC[[#This Row],[Short Exp.]]-1))</f>
        <v>#VALUE!</v>
      </c>
      <c r="G1386" s="37">
        <v>35394</v>
      </c>
      <c r="H1386">
        <v>5.537585</v>
      </c>
      <c r="I1386" s="36">
        <f>IF(ISBLANK(H1387), "", Long0[[#This Row],[Adj Close]]/H1387-1)</f>
        <v>-8.4035945825196023E-3</v>
      </c>
      <c r="M1386" s="37">
        <v>35394</v>
      </c>
      <c r="N1386">
        <v>26.339388</v>
      </c>
      <c r="O1386" s="36">
        <f>IF(ISBLANK(N1387),"",Long2[[#This Row],[Adj Close]]/N1387-1)</f>
        <v>6.6420469238338331E-2</v>
      </c>
      <c r="P1386" s="29">
        <v>35394</v>
      </c>
      <c r="Q1386">
        <v>3.0370240000000002</v>
      </c>
      <c r="R1386" s="33">
        <f>IF(ISBLANK(Q1387),"",Long3[[#This Row],[Adj Close]]/Q1387-1)</f>
        <v>-1.0811287931765001E-2</v>
      </c>
      <c r="S1386" s="37">
        <v>35394</v>
      </c>
      <c r="T1386">
        <v>26.857386000000002</v>
      </c>
      <c r="U1386" s="36">
        <f>IF(ISBLANK(T1387),"",Long4[[#This Row],[Adj Close]]/T1387-1)</f>
        <v>3.7037182907377009E-2</v>
      </c>
      <c r="Y1386" s="37">
        <v>35394</v>
      </c>
      <c r="Z1386">
        <v>5.9688699999999999</v>
      </c>
      <c r="AA1386" s="36">
        <f>IF(ISBLANK(Z1387),"",Long6[[#This Row],[Adj Close]]/Z1387-1)</f>
        <v>6.5217767626846834E-2</v>
      </c>
      <c r="AK1386" s="37">
        <v>35394</v>
      </c>
      <c r="AL1386" s="39">
        <v>0.89252399999999998</v>
      </c>
      <c r="AM1386" s="36">
        <f>IF(ISBLANK(AL1387),"",Short1[[#This Row],[Adj Close]]/AL1387-1)</f>
        <v>-9.7095780976950152E-3</v>
      </c>
      <c r="AN1386" s="29">
        <v>35394</v>
      </c>
      <c r="AO1386" s="44">
        <v>3.620079</v>
      </c>
      <c r="AP1386" s="33">
        <f>IF(ISBLANK(AO1387),"",Short2[[#This Row],[Adj Close]]/AO1387-1)</f>
        <v>-1.4218364384323334E-2</v>
      </c>
    </row>
    <row r="1387" spans="1:42" x14ac:dyDescent="0.25">
      <c r="A1387" s="37">
        <v>35387</v>
      </c>
      <c r="B1387" s="39">
        <v>748.72997999999995</v>
      </c>
      <c r="C1387" s="36">
        <f>IF(ISBLANK(B1388), "", GSPC[[#This Row],[Adj Close]]/B1388-1)</f>
        <v>1.5061935787139102E-2</v>
      </c>
      <c r="D138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8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87" s="11" t="e">
        <f>IF(ISBLANK(GSPC[[#This Row],[Long Exp.]]), "", (GSPC[[#This Row],[Long Exp.]]/D1388-1)+(E1388/GSPC[[#This Row],[Short Exp.]]-1))</f>
        <v>#VALUE!</v>
      </c>
      <c r="G1387" s="37">
        <v>35387</v>
      </c>
      <c r="H1387">
        <v>5.5845149999999997</v>
      </c>
      <c r="I1387" s="36">
        <f>IF(ISBLANK(H1388), "", Long0[[#This Row],[Adj Close]]/H1388-1)</f>
        <v>-2.4589977817756292E-2</v>
      </c>
      <c r="M1387" s="37">
        <v>35387</v>
      </c>
      <c r="N1387">
        <v>24.698877</v>
      </c>
      <c r="O1387" s="36">
        <f>IF(ISBLANK(N1388),"",Long2[[#This Row],[Adj Close]]/N1388-1)</f>
        <v>-3.2143050275205254E-2</v>
      </c>
      <c r="P1387" s="29">
        <v>35387</v>
      </c>
      <c r="Q1387">
        <v>3.070217</v>
      </c>
      <c r="R1387" s="33">
        <f>IF(ISBLANK(Q1388),"",Long3[[#This Row],[Adj Close]]/Q1388-1)</f>
        <v>-4.1450735142834039E-2</v>
      </c>
      <c r="S1387" s="37">
        <v>35387</v>
      </c>
      <c r="T1387">
        <v>25.89819</v>
      </c>
      <c r="U1387" s="36">
        <f>IF(ISBLANK(T1388),"",Long4[[#This Row],[Adj Close]]/T1388-1)</f>
        <v>-0.13829782561708837</v>
      </c>
      <c r="Y1387" s="37">
        <v>35387</v>
      </c>
      <c r="Z1387">
        <v>5.6034269999999999</v>
      </c>
      <c r="AA1387" s="36">
        <f>IF(ISBLANK(Z1388),"",Long6[[#This Row],[Adj Close]]/Z1388-1)</f>
        <v>-4.6632178127192669E-2</v>
      </c>
      <c r="AK1387" s="37">
        <v>35387</v>
      </c>
      <c r="AL1387" s="39">
        <v>0.90127500000000005</v>
      </c>
      <c r="AM1387" s="36">
        <f>IF(ISBLANK(AL1388),"",Short1[[#This Row],[Adj Close]]/AL1388-1)</f>
        <v>-9.6151204637234811E-3</v>
      </c>
      <c r="AN1387" s="29">
        <v>35387</v>
      </c>
      <c r="AO1387" s="44">
        <v>3.6722929999999998</v>
      </c>
      <c r="AP1387" s="33">
        <f>IF(ISBLANK(AO1388),"",Short2[[#This Row],[Adj Close]]/AO1388-1)</f>
        <v>0.1164027581946605</v>
      </c>
    </row>
    <row r="1388" spans="1:42" x14ac:dyDescent="0.25">
      <c r="A1388" s="37">
        <v>35380</v>
      </c>
      <c r="B1388" s="39">
        <v>737.61999500000002</v>
      </c>
      <c r="C1388" s="36">
        <f>IF(ISBLANK(B1389), "", GSPC[[#This Row],[Adj Close]]/B1389-1)</f>
        <v>9.3046002228562852E-3</v>
      </c>
      <c r="D138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8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88" s="11" t="e">
        <f>IF(ISBLANK(GSPC[[#This Row],[Long Exp.]]), "", (GSPC[[#This Row],[Long Exp.]]/D1389-1)+(E1389/GSPC[[#This Row],[Short Exp.]]-1))</f>
        <v>#VALUE!</v>
      </c>
      <c r="G1388" s="37">
        <v>35380</v>
      </c>
      <c r="H1388">
        <v>5.7252999999999998</v>
      </c>
      <c r="I1388" s="36">
        <f>IF(ISBLANK(H1389), "", Long0[[#This Row],[Adj Close]]/H1389-1)</f>
        <v>-3.1745908262689859E-2</v>
      </c>
      <c r="M1388" s="37">
        <v>35380</v>
      </c>
      <c r="N1388">
        <v>25.51914</v>
      </c>
      <c r="O1388" s="36">
        <f>IF(ISBLANK(N1389),"",Long2[[#This Row],[Adj Close]]/N1389-1)</f>
        <v>-4.7618798817245955E-2</v>
      </c>
      <c r="P1388" s="29">
        <v>35380</v>
      </c>
      <c r="Q1388">
        <v>3.2029830000000001</v>
      </c>
      <c r="R1388" s="33">
        <f>IF(ISBLANK(Q1389),"",Long3[[#This Row],[Adj Close]]/Q1389-1)</f>
        <v>-5.1547112215603041E-3</v>
      </c>
      <c r="S1388" s="37">
        <v>35380</v>
      </c>
      <c r="T1388">
        <v>30.054687999999999</v>
      </c>
      <c r="U1388" s="36">
        <f>IF(ISBLANK(T1389),"",Long4[[#This Row],[Adj Close]]/T1389-1)</f>
        <v>9.3023224520720538E-2</v>
      </c>
      <c r="Y1388" s="37">
        <v>35380</v>
      </c>
      <c r="Z1388">
        <v>5.8775079999999997</v>
      </c>
      <c r="AA1388" s="36">
        <f>IF(ISBLANK(Z1389),"",Long6[[#This Row],[Adj Close]]/Z1389-1)</f>
        <v>2.6595736319222185E-2</v>
      </c>
      <c r="AK1388" s="37">
        <v>35380</v>
      </c>
      <c r="AL1388" s="39">
        <v>0.91002499999999997</v>
      </c>
      <c r="AM1388" s="36">
        <f>IF(ISBLANK(AL1389),"",Short1[[#This Row],[Adj Close]]/AL1389-1)</f>
        <v>-2.8037672652081236E-2</v>
      </c>
      <c r="AN1388" s="29">
        <v>35380</v>
      </c>
      <c r="AO1388" s="44">
        <v>3.2893979999999998</v>
      </c>
      <c r="AP1388" s="33">
        <f>IF(ISBLANK(AO1389),"",Short2[[#This Row],[Adj Close]]/AO1389-1)</f>
        <v>2.7173556650713859E-2</v>
      </c>
    </row>
    <row r="1389" spans="1:42" x14ac:dyDescent="0.25">
      <c r="A1389" s="37">
        <v>35373</v>
      </c>
      <c r="B1389" s="39">
        <v>730.82000700000003</v>
      </c>
      <c r="C1389" s="36">
        <f>IF(ISBLANK(B1390), "", GSPC[[#This Row],[Adj Close]]/B1390-1)</f>
        <v>3.8435833058077629E-2</v>
      </c>
      <c r="D138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8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89" s="11" t="e">
        <f>IF(ISBLANK(GSPC[[#This Row],[Long Exp.]]), "", (GSPC[[#This Row],[Long Exp.]]/D1390-1)+(E1390/GSPC[[#This Row],[Short Exp.]]-1))</f>
        <v>#VALUE!</v>
      </c>
      <c r="G1389" s="37">
        <v>35373</v>
      </c>
      <c r="H1389">
        <v>5.9130140000000004</v>
      </c>
      <c r="I1389" s="36">
        <f>IF(ISBLANK(H1390), "", Long0[[#This Row],[Adj Close]]/H1390-1)</f>
        <v>4.1322054983365053E-2</v>
      </c>
      <c r="M1389" s="37">
        <v>35373</v>
      </c>
      <c r="N1389">
        <v>26.795089999999998</v>
      </c>
      <c r="O1389" s="36">
        <f>IF(ISBLANK(N1390),"",Long2[[#This Row],[Adj Close]]/N1390-1)</f>
        <v>-2.9702729363363711E-2</v>
      </c>
      <c r="P1389" s="29">
        <v>35373</v>
      </c>
      <c r="Q1389">
        <v>3.219579</v>
      </c>
      <c r="R1389" s="33">
        <f>IF(ISBLANK(Q1390),"",Long3[[#This Row],[Adj Close]]/Q1390-1)</f>
        <v>3.7433363579651768E-2</v>
      </c>
      <c r="S1389" s="37">
        <v>35373</v>
      </c>
      <c r="T1389">
        <v>27.496842999999998</v>
      </c>
      <c r="U1389" s="36">
        <f>IF(ISBLANK(T1390),"",Long4[[#This Row],[Adj Close]]/T1390-1)</f>
        <v>3.1999911425475647E-2</v>
      </c>
      <c r="Y1389" s="37">
        <v>35373</v>
      </c>
      <c r="Z1389">
        <v>5.7252409999999996</v>
      </c>
      <c r="AA1389" s="36">
        <f>IF(ISBLANK(Z1390),"",Long6[[#This Row],[Adj Close]]/Z1390-1)</f>
        <v>-7.8431438829095423E-2</v>
      </c>
      <c r="AK1389" s="37">
        <v>35373</v>
      </c>
      <c r="AL1389" s="39">
        <v>0.936276</v>
      </c>
      <c r="AM1389" s="36">
        <f>IF(ISBLANK(AL1390),"",Short1[[#This Row],[Adj Close]]/AL1390-1)</f>
        <v>-0.13008058319450622</v>
      </c>
      <c r="AN1389" s="29">
        <v>35373</v>
      </c>
      <c r="AO1389" s="44">
        <v>3.2023779999999999</v>
      </c>
      <c r="AP1389" s="33">
        <f>IF(ISBLANK(AO1390),"",Short2[[#This Row],[Adj Close]]/AO1390-1)</f>
        <v>4.0717743995455358E-2</v>
      </c>
    </row>
    <row r="1390" spans="1:42" x14ac:dyDescent="0.25">
      <c r="A1390" s="37">
        <v>35366</v>
      </c>
      <c r="B1390" s="39">
        <v>703.77002000000005</v>
      </c>
      <c r="C1390" s="36">
        <f>IF(ISBLANK(B1391), "", GSPC[[#This Row],[Adj Close]]/B1391-1)</f>
        <v>4.0661374609431977E-3</v>
      </c>
      <c r="D139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9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90" s="11" t="e">
        <f>IF(ISBLANK(GSPC[[#This Row],[Long Exp.]]), "", (GSPC[[#This Row],[Long Exp.]]/D1391-1)+(E1391/GSPC[[#This Row],[Short Exp.]]-1))</f>
        <v>#VALUE!</v>
      </c>
      <c r="G1390" s="37">
        <v>35366</v>
      </c>
      <c r="H1390">
        <v>5.6783720000000004</v>
      </c>
      <c r="I1390" s="36">
        <f>IF(ISBLANK(H1391), "", Long0[[#This Row],[Adj Close]]/H1391-1)</f>
        <v>-3.1999871805493463E-2</v>
      </c>
      <c r="M1390" s="37">
        <v>35366</v>
      </c>
      <c r="N1390">
        <v>27.615341000000001</v>
      </c>
      <c r="O1390" s="36">
        <f>IF(ISBLANK(N1391),"",Long2[[#This Row],[Adj Close]]/N1391-1)</f>
        <v>-4.717013715232532E-2</v>
      </c>
      <c r="P1390" s="29">
        <v>35366</v>
      </c>
      <c r="Q1390">
        <v>3.1034079999999999</v>
      </c>
      <c r="R1390" s="33">
        <f>IF(ISBLANK(Q1391),"",Long3[[#This Row],[Adj Close]]/Q1391-1)</f>
        <v>3.8889113920321794E-2</v>
      </c>
      <c r="S1390" s="37">
        <v>35366</v>
      </c>
      <c r="T1390">
        <v>26.64423</v>
      </c>
      <c r="U1390" s="36">
        <f>IF(ISBLANK(T1391),"",Long4[[#This Row],[Adj Close]]/T1391-1)</f>
        <v>-1.57480431308753E-2</v>
      </c>
      <c r="Y1390" s="37">
        <v>35366</v>
      </c>
      <c r="Z1390">
        <v>6.2124959999999998</v>
      </c>
      <c r="AA1390" s="36">
        <f>IF(ISBLANK(Z1391),"",Long6[[#This Row],[Adj Close]]/Z1391-1)</f>
        <v>0.10869580347883523</v>
      </c>
      <c r="AK1390" s="37">
        <v>35366</v>
      </c>
      <c r="AL1390" s="39">
        <v>1.076279</v>
      </c>
      <c r="AM1390" s="36">
        <f>IF(ISBLANK(AL1391),"",Short1[[#This Row],[Adj Close]]/AL1391-1)</f>
        <v>-0.14583336640122413</v>
      </c>
      <c r="AN1390" s="29">
        <v>35366</v>
      </c>
      <c r="AO1390" s="44">
        <v>3.077086</v>
      </c>
      <c r="AP1390" s="33">
        <f>IF(ISBLANK(AO1391),"",Short2[[#This Row],[Adj Close]]/AO1391-1)</f>
        <v>-2.7472732387065824E-2</v>
      </c>
    </row>
    <row r="1391" spans="1:42" x14ac:dyDescent="0.25">
      <c r="A1391" s="37">
        <v>35359</v>
      </c>
      <c r="B1391" s="39">
        <v>700.919983</v>
      </c>
      <c r="C1391" s="36">
        <f>IF(ISBLANK(B1392), "", GSPC[[#This Row],[Adj Close]]/B1392-1)</f>
        <v>-1.3927610228337328E-2</v>
      </c>
      <c r="D139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9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91" s="11" t="e">
        <f>IF(ISBLANK(GSPC[[#This Row],[Long Exp.]]), "", (GSPC[[#This Row],[Long Exp.]]/D1392-1)+(E1392/GSPC[[#This Row],[Short Exp.]]-1))</f>
        <v>#VALUE!</v>
      </c>
      <c r="G1391" s="37">
        <v>35359</v>
      </c>
      <c r="H1391">
        <v>5.8660860000000001</v>
      </c>
      <c r="I1391" s="36">
        <f>IF(ISBLANK(H1392), "", Long0[[#This Row],[Adj Close]]/H1392-1)</f>
        <v>1.6260448523594206E-2</v>
      </c>
      <c r="M1391" s="37">
        <v>35359</v>
      </c>
      <c r="N1391">
        <v>28.982447000000001</v>
      </c>
      <c r="O1391" s="36">
        <f>IF(ISBLANK(N1392),"",Long2[[#This Row],[Adj Close]]/N1392-1)</f>
        <v>1.9230567695847967E-2</v>
      </c>
      <c r="P1391" s="29">
        <v>35359</v>
      </c>
      <c r="Q1391">
        <v>2.9872369999999999</v>
      </c>
      <c r="R1391" s="33">
        <f>IF(ISBLANK(Q1392),"",Long3[[#This Row],[Adj Close]]/Q1392-1)</f>
        <v>-5.5246098982899561E-3</v>
      </c>
      <c r="S1391" s="37">
        <v>35359</v>
      </c>
      <c r="T1391">
        <v>27.070537999999999</v>
      </c>
      <c r="U1391" s="36">
        <f>IF(ISBLANK(T1392),"",Long4[[#This Row],[Adj Close]]/T1392-1)</f>
        <v>-6.6176451818387716E-2</v>
      </c>
      <c r="Y1391" s="37">
        <v>35359</v>
      </c>
      <c r="Z1391">
        <v>5.6034269999999999</v>
      </c>
      <c r="AA1391" s="36">
        <f>IF(ISBLANK(Z1392),"",Long6[[#This Row],[Adj Close]]/Z1392-1)</f>
        <v>4.5454299515970797E-2</v>
      </c>
      <c r="AK1391" s="37">
        <v>35359</v>
      </c>
      <c r="AL1391" s="39">
        <v>1.2600340000000001</v>
      </c>
      <c r="AM1391" s="36">
        <f>IF(ISBLANK(AL1392),"",Short1[[#This Row],[Adj Close]]/AL1392-1)</f>
        <v>-0.12195138947443229</v>
      </c>
      <c r="AN1391" s="29">
        <v>35359</v>
      </c>
      <c r="AO1391" s="44">
        <v>3.1640100000000002</v>
      </c>
      <c r="AP1391" s="33">
        <f>IF(ISBLANK(AO1392),"",Short2[[#This Row],[Adj Close]]/AO1392-1)</f>
        <v>3.4090901662972461E-2</v>
      </c>
    </row>
    <row r="1392" spans="1:42" x14ac:dyDescent="0.25">
      <c r="A1392" s="37">
        <v>35352</v>
      </c>
      <c r="B1392" s="39">
        <v>710.82000700000003</v>
      </c>
      <c r="C1392" s="36">
        <f>IF(ISBLANK(B1393), "", GSPC[[#This Row],[Adj Close]]/B1393-1)</f>
        <v>1.4500662791536501E-2</v>
      </c>
      <c r="D139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9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92" s="11" t="e">
        <f>IF(ISBLANK(GSPC[[#This Row],[Long Exp.]]), "", (GSPC[[#This Row],[Long Exp.]]/D1393-1)+(E1393/GSPC[[#This Row],[Short Exp.]]-1))</f>
        <v>#VALUE!</v>
      </c>
      <c r="G1392" s="37">
        <v>35352</v>
      </c>
      <c r="H1392">
        <v>5.772227</v>
      </c>
      <c r="I1392" s="36">
        <f>IF(ISBLANK(H1393), "", Long0[[#This Row],[Adj Close]]/H1393-1)</f>
        <v>-8.0649124839022868E-3</v>
      </c>
      <c r="M1392" s="37">
        <v>35352</v>
      </c>
      <c r="N1392">
        <v>28.435614000000001</v>
      </c>
      <c r="O1392" s="36">
        <f>IF(ISBLANK(N1393),"",Long2[[#This Row],[Adj Close]]/N1393-1)</f>
        <v>1.6286901300747614E-2</v>
      </c>
      <c r="P1392" s="29">
        <v>35352</v>
      </c>
      <c r="Q1392">
        <v>3.0038320000000001</v>
      </c>
      <c r="R1392" s="33">
        <f>IF(ISBLANK(Q1393),"",Long3[[#This Row],[Adj Close]]/Q1393-1)</f>
        <v>0</v>
      </c>
      <c r="S1392" s="37">
        <v>35352</v>
      </c>
      <c r="T1392">
        <v>28.988921999999999</v>
      </c>
      <c r="U1392" s="36">
        <f>IF(ISBLANK(T1393),"",Long4[[#This Row],[Adj Close]]/T1393-1)</f>
        <v>0.18260876305293294</v>
      </c>
      <c r="Y1392" s="37">
        <v>35352</v>
      </c>
      <c r="Z1392">
        <v>5.359801</v>
      </c>
      <c r="AA1392" s="36">
        <f>IF(ISBLANK(Z1393),"",Long6[[#This Row],[Adj Close]]/Z1393-1)</f>
        <v>-0.13725481674354389</v>
      </c>
      <c r="AK1392" s="37">
        <v>35352</v>
      </c>
      <c r="AL1392" s="39">
        <v>1.435039</v>
      </c>
      <c r="AM1392" s="36">
        <f>IF(ISBLANK(AL1393),"",Short1[[#This Row],[Adj Close]]/AL1393-1)</f>
        <v>-1.2048549437536971E-2</v>
      </c>
      <c r="AN1392" s="29">
        <v>35352</v>
      </c>
      <c r="AO1392" s="44">
        <v>3.0597020000000001</v>
      </c>
      <c r="AP1392" s="33">
        <f>IF(ISBLANK(AO1393),"",Short2[[#This Row],[Adj Close]]/AO1393-1)</f>
        <v>-1.6759772945791784E-2</v>
      </c>
    </row>
    <row r="1393" spans="1:42" x14ac:dyDescent="0.25">
      <c r="A1393" s="37">
        <v>35345</v>
      </c>
      <c r="B1393" s="39">
        <v>700.65997300000004</v>
      </c>
      <c r="C1393" s="36">
        <f>IF(ISBLANK(B1394), "", GSPC[[#This Row],[Adj Close]]/B1394-1)</f>
        <v>-1.1405482492342633E-3</v>
      </c>
      <c r="D139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9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93" s="11" t="e">
        <f>IF(ISBLANK(GSPC[[#This Row],[Long Exp.]]), "", (GSPC[[#This Row],[Long Exp.]]/D1394-1)+(E1394/GSPC[[#This Row],[Short Exp.]]-1))</f>
        <v>#VALUE!</v>
      </c>
      <c r="G1393" s="37">
        <v>35345</v>
      </c>
      <c r="H1393">
        <v>5.8191579999999998</v>
      </c>
      <c r="I1393" s="36">
        <f>IF(ISBLANK(H1394), "", Long0[[#This Row],[Adj Close]]/H1394-1)</f>
        <v>-6.7669136793048312E-2</v>
      </c>
      <c r="M1393" s="37">
        <v>35345</v>
      </c>
      <c r="N1393">
        <v>27.979908000000002</v>
      </c>
      <c r="O1393" s="36">
        <f>IF(ISBLANK(N1394),"",Long2[[#This Row],[Adj Close]]/N1394-1)</f>
        <v>-3.1545116006773788E-2</v>
      </c>
      <c r="P1393" s="29">
        <v>35345</v>
      </c>
      <c r="Q1393">
        <v>3.0038320000000001</v>
      </c>
      <c r="R1393" s="33">
        <f>IF(ISBLANK(Q1394),"",Long3[[#This Row],[Adj Close]]/Q1394-1)</f>
        <v>5.5553007679003397E-3</v>
      </c>
      <c r="S1393" s="37">
        <v>35345</v>
      </c>
      <c r="T1393">
        <v>24.512689999999999</v>
      </c>
      <c r="U1393" s="36">
        <f>IF(ISBLANK(T1394),"",Long4[[#This Row],[Adj Close]]/T1394-1)</f>
        <v>-0.21232882764815086</v>
      </c>
      <c r="Y1393" s="37">
        <v>35345</v>
      </c>
      <c r="Z1393">
        <v>6.2124959999999998</v>
      </c>
      <c r="AA1393" s="36">
        <f>IF(ISBLANK(Z1394),"",Long6[[#This Row],[Adj Close]]/Z1394-1)</f>
        <v>4.0816100870013861E-2</v>
      </c>
      <c r="AK1393" s="37">
        <v>35345</v>
      </c>
      <c r="AL1393" s="39">
        <v>1.4525399999999999</v>
      </c>
      <c r="AM1393" s="36">
        <f>IF(ISBLANK(AL1394),"",Short1[[#This Row],[Adj Close]]/AL1394-1)</f>
        <v>-2.9239633199691806E-2</v>
      </c>
      <c r="AN1393" s="29">
        <v>35345</v>
      </c>
      <c r="AO1393" s="44">
        <v>3.111856</v>
      </c>
      <c r="AP1393" s="33">
        <f>IF(ISBLANK(AO1394),"",Short2[[#This Row],[Adj Close]]/AO1394-1)</f>
        <v>-5.5559780930973801E-3</v>
      </c>
    </row>
    <row r="1394" spans="1:42" x14ac:dyDescent="0.25">
      <c r="A1394" s="37">
        <v>35338</v>
      </c>
      <c r="B1394" s="39">
        <v>701.46002199999998</v>
      </c>
      <c r="C1394" s="36">
        <f>IF(ISBLANK(B1395), "", GSPC[[#This Row],[Adj Close]]/B1395-1)</f>
        <v>2.2253340846548619E-2</v>
      </c>
      <c r="D139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9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94" s="11" t="e">
        <f>IF(ISBLANK(GSPC[[#This Row],[Long Exp.]]), "", (GSPC[[#This Row],[Long Exp.]]/D1395-1)+(E1395/GSPC[[#This Row],[Short Exp.]]-1))</f>
        <v>#VALUE!</v>
      </c>
      <c r="G1394" s="37">
        <v>35338</v>
      </c>
      <c r="H1394">
        <v>6.2415159999999998</v>
      </c>
      <c r="I1394" s="36">
        <f>IF(ISBLANK(H1395), "", Long0[[#This Row],[Adj Close]]/H1395-1)</f>
        <v>-2.6837785196683783E-2</v>
      </c>
      <c r="M1394" s="37">
        <v>35338</v>
      </c>
      <c r="N1394">
        <v>28.891286999999998</v>
      </c>
      <c r="O1394" s="36">
        <f>IF(ISBLANK(N1395),"",Long2[[#This Row],[Adj Close]]/N1395-1)</f>
        <v>1.9292020505590646E-2</v>
      </c>
      <c r="P1394" s="29">
        <v>35338</v>
      </c>
      <c r="Q1394">
        <v>2.9872369999999999</v>
      </c>
      <c r="R1394" s="33">
        <f>IF(ISBLANK(Q1395),"",Long3[[#This Row],[Adj Close]]/Q1395-1)</f>
        <v>1.6949054451990575E-2</v>
      </c>
      <c r="S1394" s="37">
        <v>35338</v>
      </c>
      <c r="T1394">
        <v>31.120460999999999</v>
      </c>
      <c r="U1394" s="36">
        <f>IF(ISBLANK(T1395),"",Long4[[#This Row],[Adj Close]]/T1395-1)</f>
        <v>3.9146041631807682E-2</v>
      </c>
      <c r="Y1394" s="37">
        <v>35338</v>
      </c>
      <c r="Z1394">
        <v>5.9688699999999999</v>
      </c>
      <c r="AA1394" s="36">
        <f>IF(ISBLANK(Z1395),"",Long6[[#This Row],[Adj Close]]/Z1395-1)</f>
        <v>7.1038359224651071E-2</v>
      </c>
      <c r="AK1394" s="37">
        <v>35338</v>
      </c>
      <c r="AL1394" s="39">
        <v>1.496291</v>
      </c>
      <c r="AM1394" s="36">
        <f>IF(ISBLANK(AL1395),"",Short1[[#This Row],[Adj Close]]/AL1395-1)</f>
        <v>-7.0652106402061099E-2</v>
      </c>
      <c r="AN1394" s="29">
        <v>35338</v>
      </c>
      <c r="AO1394" s="44">
        <v>3.1292420000000001</v>
      </c>
      <c r="AP1394" s="33">
        <f>IF(ISBLANK(AO1395),"",Short2[[#This Row],[Adj Close]]/AO1395-1)</f>
        <v>2.2727703547600342E-2</v>
      </c>
    </row>
    <row r="1395" spans="1:42" x14ac:dyDescent="0.25">
      <c r="A1395" s="37">
        <v>35331</v>
      </c>
      <c r="B1395" s="39">
        <v>686.19000200000005</v>
      </c>
      <c r="C1395" s="36">
        <f>IF(ISBLANK(B1396), "", GSPC[[#This Row],[Adj Close]]/B1396-1)</f>
        <v>-1.2226932805581292E-3</v>
      </c>
      <c r="D139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9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95" s="11" t="e">
        <f>IF(ISBLANK(GSPC[[#This Row],[Long Exp.]]), "", (GSPC[[#This Row],[Long Exp.]]/D1396-1)+(E1396/GSPC[[#This Row],[Short Exp.]]-1))</f>
        <v>#VALUE!</v>
      </c>
      <c r="G1395" s="37">
        <v>35331</v>
      </c>
      <c r="H1395">
        <v>6.4136439999999997</v>
      </c>
      <c r="I1395" s="36">
        <f>IF(ISBLANK(H1396), "", Long0[[#This Row],[Adj Close]]/H1396-1)</f>
        <v>6.2015616834494525E-2</v>
      </c>
      <c r="M1395" s="37">
        <v>35331</v>
      </c>
      <c r="N1395">
        <v>28.344465</v>
      </c>
      <c r="O1395" s="36">
        <f>IF(ISBLANK(N1396),"",Long2[[#This Row],[Adj Close]]/N1396-1)</f>
        <v>0</v>
      </c>
      <c r="P1395" s="29">
        <v>35331</v>
      </c>
      <c r="Q1395">
        <v>2.9374500000000001</v>
      </c>
      <c r="R1395" s="33">
        <f>IF(ISBLANK(Q1396),"",Long3[[#This Row],[Adj Close]]/Q1396-1)</f>
        <v>-2.2099105409357112E-2</v>
      </c>
      <c r="S1395" s="37">
        <v>35331</v>
      </c>
      <c r="T1395">
        <v>29.948111000000001</v>
      </c>
      <c r="U1395" s="36">
        <f>IF(ISBLANK(T1396),"",Long4[[#This Row],[Adj Close]]/T1396-1)</f>
        <v>3.3088122421385702E-2</v>
      </c>
      <c r="Y1395" s="37">
        <v>35331</v>
      </c>
      <c r="Z1395">
        <v>5.5729749999999996</v>
      </c>
      <c r="AA1395" s="36">
        <f>IF(ISBLANK(Z1396),"",Long6[[#This Row],[Adj Close]]/Z1396-1)</f>
        <v>-4.6874716737693944E-2</v>
      </c>
      <c r="AK1395" s="37">
        <v>35331</v>
      </c>
      <c r="AL1395" s="39">
        <v>1.610044</v>
      </c>
      <c r="AM1395" s="36">
        <f>IF(ISBLANK(AL1396),"",Short1[[#This Row],[Adj Close]]/AL1396-1)</f>
        <v>1.6574767030792525E-2</v>
      </c>
      <c r="AN1395" s="29">
        <v>35331</v>
      </c>
      <c r="AO1395" s="44">
        <v>3.0597020000000001</v>
      </c>
      <c r="AP1395" s="33">
        <f>IF(ISBLANK(AO1396),"",Short2[[#This Row],[Adj Close]]/AO1396-1)</f>
        <v>-2.2222634107556982E-2</v>
      </c>
    </row>
    <row r="1396" spans="1:42" x14ac:dyDescent="0.25">
      <c r="A1396" s="37">
        <v>35324</v>
      </c>
      <c r="B1396" s="39">
        <v>687.03002900000001</v>
      </c>
      <c r="C1396" s="36">
        <f>IF(ISBLANK(B1397), "", GSPC[[#This Row],[Adj Close]]/B1397-1)</f>
        <v>9.5366197575537104E-3</v>
      </c>
      <c r="D139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9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96" s="11" t="e">
        <f>IF(ISBLANK(GSPC[[#This Row],[Long Exp.]]), "", (GSPC[[#This Row],[Long Exp.]]/D1397-1)+(E1397/GSPC[[#This Row],[Short Exp.]]-1))</f>
        <v>#VALUE!</v>
      </c>
      <c r="G1396" s="37">
        <v>35324</v>
      </c>
      <c r="H1396">
        <v>6.0391240000000002</v>
      </c>
      <c r="I1396" s="36">
        <f>IF(ISBLANK(H1397), "", Long0[[#This Row],[Adj Close]]/H1397-1)</f>
        <v>0</v>
      </c>
      <c r="M1396" s="37">
        <v>35324</v>
      </c>
      <c r="N1396">
        <v>28.344465</v>
      </c>
      <c r="O1396" s="36">
        <f>IF(ISBLANK(N1397),"",Long2[[#This Row],[Adj Close]]/N1397-1)</f>
        <v>-2.9276139009869695E-2</v>
      </c>
      <c r="P1396" s="29">
        <v>35324</v>
      </c>
      <c r="Q1396">
        <v>3.0038320000000001</v>
      </c>
      <c r="R1396" s="33">
        <f>IF(ISBLANK(Q1397),"",Long3[[#This Row],[Adj Close]]/Q1397-1)</f>
        <v>5.5553007679003397E-3</v>
      </c>
      <c r="S1396" s="37">
        <v>35324</v>
      </c>
      <c r="T1396">
        <v>28.988921999999999</v>
      </c>
      <c r="U1396" s="36">
        <f>IF(ISBLANK(T1397),"",Long4[[#This Row],[Adj Close]]/T1397-1)</f>
        <v>7.5098716015891354E-2</v>
      </c>
      <c r="Y1396" s="37">
        <v>35324</v>
      </c>
      <c r="Z1396">
        <v>5.847054</v>
      </c>
      <c r="AA1396" s="36">
        <f>IF(ISBLANK(Z1397),"",Long6[[#This Row],[Adj Close]]/Z1397-1)</f>
        <v>-8.5714526966012228E-2</v>
      </c>
      <c r="AK1396" s="37">
        <v>35324</v>
      </c>
      <c r="AL1396" s="39">
        <v>1.583793</v>
      </c>
      <c r="AM1396" s="36">
        <f>IF(ISBLANK(AL1397),"",Short1[[#This Row],[Adj Close]]/AL1397-1)</f>
        <v>3.4285426946656816E-2</v>
      </c>
      <c r="AN1396" s="29">
        <v>35324</v>
      </c>
      <c r="AO1396" s="44">
        <v>3.1292420000000001</v>
      </c>
      <c r="AP1396" s="33">
        <f>IF(ISBLANK(AO1397),"",Short2[[#This Row],[Adj Close]]/AO1397-1)</f>
        <v>-2.1738912960566292E-2</v>
      </c>
    </row>
    <row r="1397" spans="1:42" x14ac:dyDescent="0.25">
      <c r="A1397" s="37">
        <v>35317</v>
      </c>
      <c r="B1397" s="39">
        <v>680.53997800000002</v>
      </c>
      <c r="C1397" s="36">
        <f>IF(ISBLANK(B1398), "", GSPC[[#This Row],[Adj Close]]/B1398-1)</f>
        <v>3.7914814033375599E-2</v>
      </c>
      <c r="D139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9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97" s="11" t="e">
        <f>IF(ISBLANK(GSPC[[#This Row],[Long Exp.]]), "", (GSPC[[#This Row],[Long Exp.]]/D1398-1)+(E1398/GSPC[[#This Row],[Short Exp.]]-1))</f>
        <v>#VALUE!</v>
      </c>
      <c r="G1397" s="37">
        <v>35317</v>
      </c>
      <c r="H1397">
        <v>6.0391240000000002</v>
      </c>
      <c r="I1397" s="36">
        <f>IF(ISBLANK(H1398), "", Long0[[#This Row],[Adj Close]]/H1398-1)</f>
        <v>-3.0075241103022288E-2</v>
      </c>
      <c r="M1397" s="37">
        <v>35317</v>
      </c>
      <c r="N1397">
        <v>29.199307999999998</v>
      </c>
      <c r="O1397" s="36">
        <f>IF(ISBLANK(N1398),"",Long2[[#This Row],[Adj Close]]/N1398-1)</f>
        <v>-4.4642586923143934E-2</v>
      </c>
      <c r="P1397" s="29">
        <v>35317</v>
      </c>
      <c r="Q1397">
        <v>2.9872369999999999</v>
      </c>
      <c r="R1397" s="33">
        <f>IF(ISBLANK(Q1398),"",Long3[[#This Row],[Adj Close]]/Q1398-1)</f>
        <v>5.428855285935863E-2</v>
      </c>
      <c r="S1397" s="37">
        <v>35317</v>
      </c>
      <c r="T1397">
        <v>26.963963</v>
      </c>
      <c r="U1397" s="36">
        <f>IF(ISBLANK(T1398),"",Long4[[#This Row],[Adj Close]]/T1398-1)</f>
        <v>0.21634616490679504</v>
      </c>
      <c r="Y1397" s="37">
        <v>35317</v>
      </c>
      <c r="Z1397">
        <v>6.3952169999999997</v>
      </c>
      <c r="AA1397" s="36">
        <f>IF(ISBLANK(Z1398),"",Long6[[#This Row],[Adj Close]]/Z1398-1)</f>
        <v>-2.7777558188465279E-2</v>
      </c>
      <c r="AK1397" s="37">
        <v>35317</v>
      </c>
      <c r="AL1397" s="39">
        <v>1.5312920000000001</v>
      </c>
      <c r="AM1397" s="36">
        <f>IF(ISBLANK(AL1398),"",Short1[[#This Row],[Adj Close]]/AL1398-1)</f>
        <v>6.7073438422231124E-2</v>
      </c>
      <c r="AN1397" s="29">
        <v>35317</v>
      </c>
      <c r="AO1397" s="44">
        <v>3.1987800000000002</v>
      </c>
      <c r="AP1397" s="33">
        <f>IF(ISBLANK(AO1398),"",Short2[[#This Row],[Adj Close]]/AO1398-1)</f>
        <v>3.9548455909259594E-2</v>
      </c>
    </row>
    <row r="1398" spans="1:42" x14ac:dyDescent="0.25">
      <c r="A1398" s="37">
        <v>35310</v>
      </c>
      <c r="B1398" s="39">
        <v>655.67999299999997</v>
      </c>
      <c r="C1398" s="36">
        <f>IF(ISBLANK(B1399), "", GSPC[[#This Row],[Adj Close]]/B1399-1)</f>
        <v>5.6596006941762589E-3</v>
      </c>
      <c r="D139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9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98" s="11" t="e">
        <f>IF(ISBLANK(GSPC[[#This Row],[Long Exp.]]), "", (GSPC[[#This Row],[Long Exp.]]/D1399-1)+(E1399/GSPC[[#This Row],[Short Exp.]]-1))</f>
        <v>#VALUE!</v>
      </c>
      <c r="G1398" s="37">
        <v>35310</v>
      </c>
      <c r="H1398">
        <v>6.2263840000000004</v>
      </c>
      <c r="I1398" s="36">
        <f>IF(ISBLANK(H1399), "", Long0[[#This Row],[Adj Close]]/H1399-1)</f>
        <v>1.5267368504813472E-2</v>
      </c>
      <c r="M1398" s="37">
        <v>35310</v>
      </c>
      <c r="N1398">
        <v>30.563752999999998</v>
      </c>
      <c r="O1398" s="36">
        <f>IF(ISBLANK(N1399),"",Long2[[#This Row],[Adj Close]]/N1399-1)</f>
        <v>-2.3255364317284588E-2</v>
      </c>
      <c r="P1398" s="29">
        <v>35310</v>
      </c>
      <c r="Q1398">
        <v>2.833415</v>
      </c>
      <c r="R1398" s="33">
        <f>IF(ISBLANK(Q1399),"",Long3[[#This Row],[Adj Close]]/Q1399-1)</f>
        <v>-3.333301491103402E-2</v>
      </c>
      <c r="S1398" s="37">
        <v>35310</v>
      </c>
      <c r="T1398">
        <v>22.168001</v>
      </c>
      <c r="U1398" s="36">
        <f>IF(ISBLANK(T1399),"",Long4[[#This Row],[Adj Close]]/T1399-1)</f>
        <v>-1.4217755943842336E-2</v>
      </c>
      <c r="Y1398" s="37">
        <v>35310</v>
      </c>
      <c r="Z1398">
        <v>6.5779360000000002</v>
      </c>
      <c r="AA1398" s="36">
        <f>IF(ISBLANK(Z1399),"",Long6[[#This Row],[Adj Close]]/Z1399-1)</f>
        <v>0</v>
      </c>
      <c r="AK1398" s="37">
        <v>35310</v>
      </c>
      <c r="AL1398" s="39">
        <v>1.435039</v>
      </c>
      <c r="AM1398" s="36">
        <f>IF(ISBLANK(AL1399),"",Short1[[#This Row],[Adj Close]]/AL1399-1)</f>
        <v>-7.344627296628603E-2</v>
      </c>
      <c r="AN1398" s="29">
        <v>35310</v>
      </c>
      <c r="AO1398" s="44">
        <v>3.077086</v>
      </c>
      <c r="AP1398" s="33">
        <f>IF(ISBLANK(AO1399),"",Short2[[#This Row],[Adj Close]]/AO1399-1)</f>
        <v>-1.1173396198281615E-2</v>
      </c>
    </row>
    <row r="1399" spans="1:42" x14ac:dyDescent="0.25">
      <c r="A1399" s="37">
        <v>35303</v>
      </c>
      <c r="B1399" s="39">
        <v>651.98999000000003</v>
      </c>
      <c r="C1399" s="36">
        <f>IF(ISBLANK(B1400), "", GSPC[[#This Row],[Adj Close]]/B1400-1)</f>
        <v>-2.2547768985075156E-2</v>
      </c>
      <c r="D139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39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399" s="11" t="e">
        <f>IF(ISBLANK(GSPC[[#This Row],[Long Exp.]]), "", (GSPC[[#This Row],[Long Exp.]]/D1400-1)+(E1400/GSPC[[#This Row],[Short Exp.]]-1))</f>
        <v>#VALUE!</v>
      </c>
      <c r="G1399" s="37">
        <v>35303</v>
      </c>
      <c r="H1399">
        <v>6.1327530000000001</v>
      </c>
      <c r="I1399" s="36">
        <f>IF(ISBLANK(H1400), "", Long0[[#This Row],[Adj Close]]/H1400-1)</f>
        <v>-7.5760934822325376E-3</v>
      </c>
      <c r="M1399" s="37">
        <v>35303</v>
      </c>
      <c r="N1399">
        <v>31.291447000000002</v>
      </c>
      <c r="O1399" s="36">
        <f>IF(ISBLANK(N1400),"",Long2[[#This Row],[Adj Close]]/N1400-1)</f>
        <v>0</v>
      </c>
      <c r="P1399" s="29">
        <v>35303</v>
      </c>
      <c r="Q1399">
        <v>2.9311180000000001</v>
      </c>
      <c r="R1399" s="33">
        <f>IF(ISBLANK(Q1400),"",Long3[[#This Row],[Adj Close]]/Q1400-1)</f>
        <v>-2.1739144945655431E-2</v>
      </c>
      <c r="S1399" s="37">
        <v>35303</v>
      </c>
      <c r="T1399">
        <v>22.487725999999999</v>
      </c>
      <c r="U1399" s="36">
        <f>IF(ISBLANK(T1400),"",Long4[[#This Row],[Adj Close]]/T1400-1)</f>
        <v>1.9323597483752231E-2</v>
      </c>
      <c r="Y1399" s="37">
        <v>35303</v>
      </c>
      <c r="Z1399">
        <v>6.5779360000000002</v>
      </c>
      <c r="AA1399" s="36">
        <f>IF(ISBLANK(Z1400),"",Long6[[#This Row],[Adj Close]]/Z1400-1)</f>
        <v>5.8823377914448693E-2</v>
      </c>
      <c r="AK1399" s="37">
        <v>35303</v>
      </c>
      <c r="AL1399" s="39">
        <v>1.5487919999999999</v>
      </c>
      <c r="AM1399" s="36">
        <f>IF(ISBLANK(AL1400),"",Short1[[#This Row],[Adj Close]]/AL1400-1)</f>
        <v>5.9880694373255272E-2</v>
      </c>
      <c r="AN1399" s="29">
        <v>35303</v>
      </c>
      <c r="AO1399" s="44">
        <v>3.111856</v>
      </c>
      <c r="AP1399" s="33">
        <f>IF(ISBLANK(AO1400),"",Short2[[#This Row],[Adj Close]]/AO1400-1)</f>
        <v>-1.1050245230845634E-2</v>
      </c>
    </row>
    <row r="1400" spans="1:42" x14ac:dyDescent="0.25">
      <c r="A1400" s="37">
        <v>35296</v>
      </c>
      <c r="B1400" s="39">
        <v>667.03002900000001</v>
      </c>
      <c r="C1400" s="36">
        <f>IF(ISBLANK(B1401), "", GSPC[[#This Row],[Adj Close]]/B1401-1)</f>
        <v>2.7359885446824883E-3</v>
      </c>
      <c r="D140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0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00" s="11" t="e">
        <f>IF(ISBLANK(GSPC[[#This Row],[Long Exp.]]), "", (GSPC[[#This Row],[Long Exp.]]/D1401-1)+(E1401/GSPC[[#This Row],[Short Exp.]]-1))</f>
        <v>#VALUE!</v>
      </c>
      <c r="G1400" s="37">
        <v>35296</v>
      </c>
      <c r="H1400">
        <v>6.17957</v>
      </c>
      <c r="I1400" s="36">
        <f>IF(ISBLANK(H1401), "", Long0[[#This Row],[Adj Close]]/H1401-1)</f>
        <v>9.9999982199408866E-2</v>
      </c>
      <c r="M1400" s="37">
        <v>35296</v>
      </c>
      <c r="N1400">
        <v>31.291447000000002</v>
      </c>
      <c r="O1400" s="36">
        <f>IF(ISBLANK(N1401),"",Long2[[#This Row],[Adj Close]]/N1401-1)</f>
        <v>1.4748487781731878E-2</v>
      </c>
      <c r="P1400" s="29">
        <v>35296</v>
      </c>
      <c r="Q1400">
        <v>2.996254</v>
      </c>
      <c r="R1400" s="33">
        <f>IF(ISBLANK(Q1401),"",Long3[[#This Row],[Adj Close]]/Q1401-1)</f>
        <v>5.4641471343177539E-3</v>
      </c>
      <c r="S1400" s="37">
        <v>35296</v>
      </c>
      <c r="T1400">
        <v>22.061419999999998</v>
      </c>
      <c r="U1400" s="36">
        <f>IF(ISBLANK(T1401),"",Long4[[#This Row],[Adj Close]]/T1401-1)</f>
        <v>0.24698765318633153</v>
      </c>
      <c r="Y1400" s="37">
        <v>35296</v>
      </c>
      <c r="Z1400">
        <v>6.2124959999999998</v>
      </c>
      <c r="AA1400" s="36">
        <f>IF(ISBLANK(Z1401),"",Long6[[#This Row],[Adj Close]]/Z1401-1)</f>
        <v>-3.7735954266058136E-2</v>
      </c>
      <c r="AK1400" s="37">
        <v>35296</v>
      </c>
      <c r="AL1400" s="39">
        <v>1.4612890000000001</v>
      </c>
      <c r="AM1400" s="36">
        <f>IF(ISBLANK(AL1401),"",Short1[[#This Row],[Adj Close]]/AL1401-1)</f>
        <v>-1.7647256544361833E-2</v>
      </c>
      <c r="AN1400" s="29">
        <v>35296</v>
      </c>
      <c r="AO1400" s="44">
        <v>3.1466270000000001</v>
      </c>
      <c r="AP1400" s="33">
        <f>IF(ISBLANK(AO1401),"",Short2[[#This Row],[Adj Close]]/AO1401-1)</f>
        <v>-5.4939775790847634E-3</v>
      </c>
    </row>
    <row r="1401" spans="1:42" x14ac:dyDescent="0.25">
      <c r="A1401" s="37">
        <v>35289</v>
      </c>
      <c r="B1401" s="39">
        <v>665.21002199999998</v>
      </c>
      <c r="C1401" s="36">
        <f>IF(ISBLANK(B1402), "", GSPC[[#This Row],[Adj Close]]/B1402-1)</f>
        <v>4.6972452994018532E-3</v>
      </c>
      <c r="D140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0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01" s="11" t="e">
        <f>IF(ISBLANK(GSPC[[#This Row],[Long Exp.]]), "", (GSPC[[#This Row],[Long Exp.]]/D1402-1)+(E1402/GSPC[[#This Row],[Short Exp.]]-1))</f>
        <v>#VALUE!</v>
      </c>
      <c r="G1401" s="37">
        <v>35289</v>
      </c>
      <c r="H1401">
        <v>5.6177910000000004</v>
      </c>
      <c r="I1401" s="36">
        <f>IF(ISBLANK(H1402), "", Long0[[#This Row],[Adj Close]]/H1402-1)</f>
        <v>-1.6393296238063404E-2</v>
      </c>
      <c r="M1401" s="37">
        <v>35289</v>
      </c>
      <c r="N1401">
        <v>30.836652999999998</v>
      </c>
      <c r="O1401" s="36">
        <f>IF(ISBLANK(N1402),"",Long2[[#This Row],[Adj Close]]/N1402-1)</f>
        <v>5.6074787799765602E-2</v>
      </c>
      <c r="P1401" s="29">
        <v>35289</v>
      </c>
      <c r="Q1401">
        <v>2.9799709999999999</v>
      </c>
      <c r="R1401" s="33">
        <f>IF(ISBLANK(Q1402),"",Long3[[#This Row],[Adj Close]]/Q1402-1)</f>
        <v>1.6667019205640843E-2</v>
      </c>
      <c r="S1401" s="37">
        <v>35289</v>
      </c>
      <c r="T1401">
        <v>17.691770999999999</v>
      </c>
      <c r="U1401" s="36">
        <f>IF(ISBLANK(T1402),"",Long4[[#This Row],[Adj Close]]/T1402-1)</f>
        <v>7.7922064470468344E-2</v>
      </c>
      <c r="Y1401" s="37">
        <v>35289</v>
      </c>
      <c r="Z1401">
        <v>6.456124</v>
      </c>
      <c r="AA1401" s="36">
        <f>IF(ISBLANK(Z1402),"",Long6[[#This Row],[Adj Close]]/Z1402-1)</f>
        <v>0.12765977886345747</v>
      </c>
      <c r="AK1401" s="37">
        <v>35289</v>
      </c>
      <c r="AL1401" s="39">
        <v>1.4875400000000001</v>
      </c>
      <c r="AM1401" s="36">
        <f>IF(ISBLANK(AL1402),"",Short1[[#This Row],[Adj Close]]/AL1402-1)</f>
        <v>3.6585068419743294E-2</v>
      </c>
      <c r="AN1401" s="29">
        <v>35289</v>
      </c>
      <c r="AO1401" s="44">
        <v>3.1640100000000002</v>
      </c>
      <c r="AP1401" s="33">
        <f>IF(ISBLANK(AO1402),"",Short2[[#This Row],[Adj Close]]/AO1402-1)</f>
        <v>-1.621560107979636E-2</v>
      </c>
    </row>
    <row r="1402" spans="1:42" x14ac:dyDescent="0.25">
      <c r="A1402" s="37">
        <v>35282</v>
      </c>
      <c r="B1402" s="39">
        <v>662.09997599999997</v>
      </c>
      <c r="C1402" s="36">
        <f>IF(ISBLANK(B1403), "", GSPC[[#This Row],[Adj Close]]/B1403-1)</f>
        <v>-5.8870927242249405E-4</v>
      </c>
      <c r="D140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0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02" s="11" t="e">
        <f>IF(ISBLANK(GSPC[[#This Row],[Long Exp.]]), "", (GSPC[[#This Row],[Long Exp.]]/D1403-1)+(E1403/GSPC[[#This Row],[Short Exp.]]-1))</f>
        <v>#VALUE!</v>
      </c>
      <c r="G1402" s="37">
        <v>35282</v>
      </c>
      <c r="H1402">
        <v>5.7114200000000004</v>
      </c>
      <c r="I1402" s="36">
        <f>IF(ISBLANK(H1403), "", Long0[[#This Row],[Adj Close]]/H1403-1)</f>
        <v>-3.937014495849378E-2</v>
      </c>
      <c r="M1402" s="37">
        <v>35282</v>
      </c>
      <c r="N1402">
        <v>29.199307999999998</v>
      </c>
      <c r="O1402" s="36">
        <f>IF(ISBLANK(N1403),"",Long2[[#This Row],[Adj Close]]/N1403-1)</f>
        <v>1.9047709454515838E-2</v>
      </c>
      <c r="P1402" s="29">
        <v>35282</v>
      </c>
      <c r="Q1402">
        <v>2.9311180000000001</v>
      </c>
      <c r="R1402" s="33">
        <f>IF(ISBLANK(Q1403),"",Long3[[#This Row],[Adj Close]]/Q1403-1)</f>
        <v>-2.1739144945655431E-2</v>
      </c>
      <c r="S1402" s="37">
        <v>35282</v>
      </c>
      <c r="T1402">
        <v>16.412848</v>
      </c>
      <c r="U1402" s="36">
        <f>IF(ISBLANK(T1403),"",Long4[[#This Row],[Adj Close]]/T1403-1)</f>
        <v>4.054083011493681E-2</v>
      </c>
      <c r="Y1402" s="37">
        <v>35282</v>
      </c>
      <c r="Z1402">
        <v>5.7252409999999996</v>
      </c>
      <c r="AA1402" s="36">
        <f>IF(ISBLANK(Z1403),"",Long6[[#This Row],[Adj Close]]/Z1403-1)</f>
        <v>6.8181635848047151E-2</v>
      </c>
      <c r="AK1402" s="37">
        <v>35282</v>
      </c>
      <c r="AL1402" s="39">
        <v>1.435039</v>
      </c>
      <c r="AM1402" s="36">
        <f>IF(ISBLANK(AL1403),"",Short1[[#This Row],[Adj Close]]/AL1403-1)</f>
        <v>4.458548189385847E-2</v>
      </c>
      <c r="AN1402" s="29">
        <v>35282</v>
      </c>
      <c r="AO1402" s="44">
        <v>3.2161620000000002</v>
      </c>
      <c r="AP1402" s="33">
        <f>IF(ISBLANK(AO1403),"",Short2[[#This Row],[Adj Close]]/AO1403-1)</f>
        <v>-2.5227927874137079E-2</v>
      </c>
    </row>
    <row r="1403" spans="1:42" x14ac:dyDescent="0.25">
      <c r="A1403" s="37">
        <v>35275</v>
      </c>
      <c r="B1403" s="39">
        <v>662.48999000000003</v>
      </c>
      <c r="C1403" s="36">
        <f>IF(ISBLANK(B1404), "", GSPC[[#This Row],[Adj Close]]/B1404-1)</f>
        <v>4.1814695701285265E-2</v>
      </c>
      <c r="D140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0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03" s="11" t="e">
        <f>IF(ISBLANK(GSPC[[#This Row],[Long Exp.]]), "", (GSPC[[#This Row],[Long Exp.]]/D1404-1)+(E1404/GSPC[[#This Row],[Short Exp.]]-1))</f>
        <v>#VALUE!</v>
      </c>
      <c r="G1403" s="37">
        <v>35275</v>
      </c>
      <c r="H1403">
        <v>5.9454950000000002</v>
      </c>
      <c r="I1403" s="36">
        <f>IF(ISBLANK(H1404), "", Long0[[#This Row],[Adj Close]]/H1404-1)</f>
        <v>4.0983678314674865E-2</v>
      </c>
      <c r="M1403" s="37">
        <v>35275</v>
      </c>
      <c r="N1403">
        <v>28.653524000000001</v>
      </c>
      <c r="O1403" s="36">
        <f>IF(ISBLANK(N1404),"",Long2[[#This Row],[Adj Close]]/N1404-1)</f>
        <v>-3.1641557842277956E-3</v>
      </c>
      <c r="P1403" s="29">
        <v>35275</v>
      </c>
      <c r="Q1403">
        <v>2.996254</v>
      </c>
      <c r="R1403" s="33">
        <f>IF(ISBLANK(Q1404),"",Long3[[#This Row],[Adj Close]]/Q1404-1)</f>
        <v>1.6574251977079513E-2</v>
      </c>
      <c r="S1403" s="37">
        <v>35275</v>
      </c>
      <c r="T1403">
        <v>15.773382</v>
      </c>
      <c r="U1403" s="36" t="str">
        <f>IF(ISBLANK(T1404),"",Long4[[#This Row],[Adj Close]]/T1404-1)</f>
        <v/>
      </c>
      <c r="Y1403" s="37">
        <v>35275</v>
      </c>
      <c r="Z1403">
        <v>5.359801</v>
      </c>
      <c r="AA1403" s="36">
        <f>IF(ISBLANK(Z1404),"",Long6[[#This Row],[Adj Close]]/Z1404-1)</f>
        <v>0</v>
      </c>
      <c r="AK1403" s="37">
        <v>35275</v>
      </c>
      <c r="AL1403" s="39">
        <v>1.373788</v>
      </c>
      <c r="AM1403" s="36">
        <f>IF(ISBLANK(AL1404),"",Short1[[#This Row],[Adj Close]]/AL1404-1)</f>
        <v>6.8027692152205832E-2</v>
      </c>
      <c r="AN1403" s="29">
        <v>35275</v>
      </c>
      <c r="AO1403" s="44">
        <v>3.2993990000000002</v>
      </c>
      <c r="AP1403" s="33">
        <f>IF(ISBLANK(AO1404),"",Short2[[#This Row],[Adj Close]]/AO1404-1)</f>
        <v>5.5556035441150842E-2</v>
      </c>
    </row>
    <row r="1404" spans="1:42" x14ac:dyDescent="0.25">
      <c r="A1404" s="37">
        <v>35268</v>
      </c>
      <c r="B1404" s="39">
        <v>635.90002400000003</v>
      </c>
      <c r="C1404" s="36">
        <f>IF(ISBLANK(B1405), "", GSPC[[#This Row],[Adj Close]]/B1405-1)</f>
        <v>-4.4305983570709362E-3</v>
      </c>
      <c r="D140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0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04" s="11" t="e">
        <f>IF(ISBLANK(GSPC[[#This Row],[Long Exp.]]), "", (GSPC[[#This Row],[Long Exp.]]/D1405-1)+(E1405/GSPC[[#This Row],[Short Exp.]]-1))</f>
        <v>#VALUE!</v>
      </c>
      <c r="G1404" s="37">
        <v>35268</v>
      </c>
      <c r="H1404">
        <v>5.7114200000000004</v>
      </c>
      <c r="I1404" s="36">
        <f>IF(ISBLANK(H1405), "", Long0[[#This Row],[Adj Close]]/H1405-1)</f>
        <v>-7.5757698351179736E-2</v>
      </c>
      <c r="M1404" s="37">
        <v>35268</v>
      </c>
      <c r="N1404">
        <v>28.744475999999999</v>
      </c>
      <c r="O1404" s="36">
        <f>IF(ISBLANK(N1405),"",Long2[[#This Row],[Adj Close]]/N1405-1)</f>
        <v>-1.2500165330651902E-2</v>
      </c>
      <c r="P1404" s="29">
        <v>35268</v>
      </c>
      <c r="Q1404">
        <v>2.947403</v>
      </c>
      <c r="R1404" s="33">
        <f>IF(ISBLANK(Q1405),"",Long3[[#This Row],[Adj Close]]/Q1405-1)</f>
        <v>5.5559005130465522E-3</v>
      </c>
      <c r="Y1404" s="37">
        <v>35268</v>
      </c>
      <c r="Z1404">
        <v>5.359801</v>
      </c>
      <c r="AA1404" s="36">
        <f>IF(ISBLANK(Z1405),"",Long6[[#This Row],[Adj Close]]/Z1405-1)</f>
        <v>-4.3478035851988395E-2</v>
      </c>
      <c r="AK1404" s="37">
        <v>35268</v>
      </c>
      <c r="AL1404" s="39">
        <v>1.2862849999999999</v>
      </c>
      <c r="AM1404" s="36">
        <f>IF(ISBLANK(AL1405),"",Short1[[#This Row],[Adj Close]]/AL1405-1)</f>
        <v>-0.10365850684197442</v>
      </c>
      <c r="AN1404" s="29">
        <v>35268</v>
      </c>
      <c r="AO1404" s="44">
        <v>3.1257450000000002</v>
      </c>
      <c r="AP1404" s="33">
        <f>IF(ISBLANK(AO1405),"",Short2[[#This Row],[Adj Close]]/AO1405-1)</f>
        <v>-2.7026345581993572E-2</v>
      </c>
    </row>
    <row r="1405" spans="1:42" x14ac:dyDescent="0.25">
      <c r="A1405" s="37">
        <v>35261</v>
      </c>
      <c r="B1405" s="39">
        <v>638.72997999999995</v>
      </c>
      <c r="C1405" s="36">
        <f>IF(ISBLANK(B1406), "", GSPC[[#This Row],[Adj Close]]/B1406-1)</f>
        <v>-1.1544626157803162E-2</v>
      </c>
      <c r="D140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0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05" s="11" t="e">
        <f>IF(ISBLANK(GSPC[[#This Row],[Long Exp.]]), "", (GSPC[[#This Row],[Long Exp.]]/D1406-1)+(E1406/GSPC[[#This Row],[Short Exp.]]-1))</f>
        <v>#VALUE!</v>
      </c>
      <c r="G1405" s="37">
        <v>35261</v>
      </c>
      <c r="H1405">
        <v>6.17957</v>
      </c>
      <c r="I1405" s="36">
        <f>IF(ISBLANK(H1406), "", Long0[[#This Row],[Adj Close]]/H1406-1)</f>
        <v>4.7619305949688107E-2</v>
      </c>
      <c r="M1405" s="37">
        <v>35261</v>
      </c>
      <c r="N1405">
        <v>29.108335</v>
      </c>
      <c r="O1405" s="36">
        <f>IF(ISBLANK(N1406),"",Long2[[#This Row],[Adj Close]]/N1406-1)</f>
        <v>6.3122986077515097E-2</v>
      </c>
      <c r="P1405" s="29">
        <v>35261</v>
      </c>
      <c r="Q1405">
        <v>2.9311180000000001</v>
      </c>
      <c r="R1405" s="33">
        <f>IF(ISBLANK(Q1406),"",Long3[[#This Row],[Adj Close]]/Q1406-1)</f>
        <v>-2.7027367944448155E-2</v>
      </c>
      <c r="Y1405" s="37">
        <v>35261</v>
      </c>
      <c r="Z1405">
        <v>5.6034269999999999</v>
      </c>
      <c r="AA1405" s="36">
        <f>IF(ISBLANK(Z1406),"",Long6[[#This Row],[Adj Close]]/Z1406-1)</f>
        <v>0</v>
      </c>
      <c r="AK1405" s="37">
        <v>35261</v>
      </c>
      <c r="AL1405" s="39">
        <v>1.435039</v>
      </c>
      <c r="AM1405" s="36">
        <f>IF(ISBLANK(AL1406),"",Short1[[#This Row],[Adj Close]]/AL1406-1)</f>
        <v>0</v>
      </c>
      <c r="AN1405" s="29">
        <v>35261</v>
      </c>
      <c r="AO1405" s="44">
        <v>3.2125689999999998</v>
      </c>
      <c r="AP1405" s="33">
        <f>IF(ISBLANK(AO1406),"",Short2[[#This Row],[Adj Close]]/AO1406-1)</f>
        <v>-5.3768867246906105E-3</v>
      </c>
    </row>
    <row r="1406" spans="1:42" x14ac:dyDescent="0.25">
      <c r="A1406" s="37">
        <v>35254</v>
      </c>
      <c r="B1406" s="39">
        <v>646.19000200000005</v>
      </c>
      <c r="C1406" s="36">
        <f>IF(ISBLANK(B1407), "", GSPC[[#This Row],[Adj Close]]/B1407-1)</f>
        <v>-1.7111827643247035E-2</v>
      </c>
      <c r="D140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0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06" s="11" t="e">
        <f>IF(ISBLANK(GSPC[[#This Row],[Long Exp.]]), "", (GSPC[[#This Row],[Long Exp.]]/D1407-1)+(E1407/GSPC[[#This Row],[Short Exp.]]-1))</f>
        <v>#VALUE!</v>
      </c>
      <c r="G1406" s="37">
        <v>35254</v>
      </c>
      <c r="H1406">
        <v>5.8986789999999996</v>
      </c>
      <c r="I1406" s="36">
        <f>IF(ISBLANK(H1407), "", Long0[[#This Row],[Adj Close]]/H1407-1)</f>
        <v>-4.545478083426524E-2</v>
      </c>
      <c r="M1406" s="37">
        <v>35254</v>
      </c>
      <c r="N1406">
        <v>27.380026000000001</v>
      </c>
      <c r="O1406" s="36">
        <f>IF(ISBLANK(N1407),"",Long2[[#This Row],[Adj Close]]/N1407-1)</f>
        <v>-6.600296648171633E-3</v>
      </c>
      <c r="P1406" s="29">
        <v>35254</v>
      </c>
      <c r="Q1406">
        <v>3.0125389999999999</v>
      </c>
      <c r="R1406" s="33">
        <f>IF(ISBLANK(Q1407),"",Long3[[#This Row],[Adj Close]]/Q1407-1)</f>
        <v>1.092896541610644E-2</v>
      </c>
      <c r="Y1406" s="37">
        <v>35254</v>
      </c>
      <c r="Z1406">
        <v>5.6034269999999999</v>
      </c>
      <c r="AA1406" s="36">
        <f>IF(ISBLANK(Z1407),"",Long6[[#This Row],[Adj Close]]/Z1407-1)</f>
        <v>-0.13207568503950673</v>
      </c>
      <c r="AK1406" s="37">
        <v>35254</v>
      </c>
      <c r="AL1406" s="39">
        <v>1.435039</v>
      </c>
      <c r="AM1406" s="36">
        <f>IF(ISBLANK(AL1407),"",Short1[[#This Row],[Adj Close]]/AL1407-1)</f>
        <v>-6.8181906727219133E-2</v>
      </c>
      <c r="AN1406" s="29">
        <v>35254</v>
      </c>
      <c r="AO1406" s="44">
        <v>3.2299359999999999</v>
      </c>
      <c r="AP1406" s="33">
        <f>IF(ISBLANK(AO1407),"",Short2[[#This Row],[Adj Close]]/AO1407-1)</f>
        <v>-4.1237404118130261E-2</v>
      </c>
    </row>
    <row r="1407" spans="1:42" x14ac:dyDescent="0.25">
      <c r="A1407" s="37">
        <v>35247</v>
      </c>
      <c r="B1407" s="39">
        <v>657.44000200000005</v>
      </c>
      <c r="C1407" s="36">
        <f>IF(ISBLANK(B1408), "", GSPC[[#This Row],[Adj Close]]/B1408-1)</f>
        <v>-1.9668077630973224E-2</v>
      </c>
      <c r="D140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0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07" s="11" t="e">
        <f>IF(ISBLANK(GSPC[[#This Row],[Long Exp.]]), "", (GSPC[[#This Row],[Long Exp.]]/D1408-1)+(E1408/GSPC[[#This Row],[Short Exp.]]-1))</f>
        <v>#VALUE!</v>
      </c>
      <c r="G1407" s="37">
        <v>35247</v>
      </c>
      <c r="H1407">
        <v>6.17957</v>
      </c>
      <c r="I1407" s="36">
        <f>IF(ISBLANK(H1408), "", Long0[[#This Row],[Adj Close]]/H1408-1)</f>
        <v>-4.8259379378811973E-2</v>
      </c>
      <c r="M1407" s="37">
        <v>35247</v>
      </c>
      <c r="N1407">
        <v>27.561942999999999</v>
      </c>
      <c r="O1407" s="36">
        <f>IF(ISBLANK(N1408),"",Long2[[#This Row],[Adj Close]]/N1408-1)</f>
        <v>6.6441500092073724E-3</v>
      </c>
      <c r="P1407" s="29">
        <v>35247</v>
      </c>
      <c r="Q1407">
        <v>2.9799709999999999</v>
      </c>
      <c r="R1407" s="33">
        <f>IF(ISBLANK(Q1408),"",Long3[[#This Row],[Adj Close]]/Q1408-1)</f>
        <v>-3.1745412849253252E-2</v>
      </c>
      <c r="Y1407" s="37">
        <v>35247</v>
      </c>
      <c r="Z1407">
        <v>6.456124</v>
      </c>
      <c r="AA1407" s="36">
        <f>IF(ISBLANK(Z1408),"",Long6[[#This Row],[Adj Close]]/Z1408-1)</f>
        <v>-8.6206728169132329E-2</v>
      </c>
      <c r="AK1407" s="37">
        <v>35247</v>
      </c>
      <c r="AL1407" s="39">
        <v>1.5400419999999999</v>
      </c>
      <c r="AM1407" s="36">
        <f>IF(ISBLANK(AL1408),"",Short1[[#This Row],[Adj Close]]/AL1408-1)</f>
        <v>-4.3478314878351187E-2</v>
      </c>
      <c r="AN1407" s="29">
        <v>35247</v>
      </c>
      <c r="AO1407" s="44">
        <v>3.368859</v>
      </c>
      <c r="AP1407" s="33">
        <f>IF(ISBLANK(AO1408),"",Short2[[#This Row],[Adj Close]]/AO1408-1)</f>
        <v>-2.9999576740783129E-2</v>
      </c>
    </row>
    <row r="1408" spans="1:42" x14ac:dyDescent="0.25">
      <c r="A1408" s="37">
        <v>35240</v>
      </c>
      <c r="B1408" s="39">
        <v>670.63000499999998</v>
      </c>
      <c r="C1408" s="36">
        <f>IF(ISBLANK(B1409), "", GSPC[[#This Row],[Adj Close]]/B1409-1)</f>
        <v>5.6834890626624723E-3</v>
      </c>
      <c r="D140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0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08" s="11" t="e">
        <f>IF(ISBLANK(GSPC[[#This Row],[Long Exp.]]), "", (GSPC[[#This Row],[Long Exp.]]/D1409-1)+(E1409/GSPC[[#This Row],[Short Exp.]]-1))</f>
        <v>#VALUE!</v>
      </c>
      <c r="G1408" s="37">
        <v>35240</v>
      </c>
      <c r="H1408">
        <v>6.4929139999999999</v>
      </c>
      <c r="I1408" s="36">
        <f>IF(ISBLANK(H1409), "", Long0[[#This Row],[Adj Close]]/H1409-1)</f>
        <v>-6.7113676426829971E-2</v>
      </c>
      <c r="M1408" s="37">
        <v>35240</v>
      </c>
      <c r="N1408">
        <v>27.380026000000001</v>
      </c>
      <c r="O1408" s="36">
        <f>IF(ISBLANK(N1409),"",Long2[[#This Row],[Adj Close]]/N1409-1)</f>
        <v>-3.2154326628374919E-2</v>
      </c>
      <c r="P1408" s="29">
        <v>35240</v>
      </c>
      <c r="Q1408">
        <v>3.0776729999999999</v>
      </c>
      <c r="R1408" s="33">
        <f>IF(ISBLANK(Q1409),"",Long3[[#This Row],[Adj Close]]/Q1409-1)</f>
        <v>3.2786225100848387E-2</v>
      </c>
      <c r="Y1408" s="37">
        <v>35240</v>
      </c>
      <c r="Z1408">
        <v>7.0651910000000004</v>
      </c>
      <c r="AA1408" s="36">
        <f>IF(ISBLANK(Z1409),"",Long6[[#This Row],[Adj Close]]/Z1409-1)</f>
        <v>-0.14705878447150511</v>
      </c>
      <c r="AK1408" s="37">
        <v>35240</v>
      </c>
      <c r="AL1408" s="39">
        <v>1.610044</v>
      </c>
      <c r="AM1408" s="36">
        <f>IF(ISBLANK(AL1409),"",Short1[[#This Row],[Adj Close]]/AL1409-1)</f>
        <v>2.7932832490472848E-2</v>
      </c>
      <c r="AN1408" s="29">
        <v>35240</v>
      </c>
      <c r="AO1408" s="44">
        <v>3.4730490000000001</v>
      </c>
      <c r="AP1408" s="33">
        <f>IF(ISBLANK(AO1409),"",Short2[[#This Row],[Adj Close]]/AO1409-1)</f>
        <v>-4.306241057250948E-2</v>
      </c>
    </row>
    <row r="1409" spans="1:42" x14ac:dyDescent="0.25">
      <c r="A1409" s="37">
        <v>35233</v>
      </c>
      <c r="B1409" s="39">
        <v>666.84002699999996</v>
      </c>
      <c r="C1409" s="36">
        <f>IF(ISBLANK(B1410), "", GSPC[[#This Row],[Adj Close]]/B1410-1)</f>
        <v>1.486898003582704E-3</v>
      </c>
      <c r="D140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0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09" s="11" t="e">
        <f>IF(ISBLANK(GSPC[[#This Row],[Long Exp.]]), "", (GSPC[[#This Row],[Long Exp.]]/D1410-1)+(E1410/GSPC[[#This Row],[Short Exp.]]-1))</f>
        <v>#VALUE!</v>
      </c>
      <c r="G1409" s="37">
        <v>35233</v>
      </c>
      <c r="H1409">
        <v>6.9600270000000002</v>
      </c>
      <c r="I1409" s="36">
        <f>IF(ISBLANK(H1410), "", Long0[[#This Row],[Adj Close]]/H1410-1)</f>
        <v>-6.2893472135864714E-2</v>
      </c>
      <c r="M1409" s="37">
        <v>35233</v>
      </c>
      <c r="N1409">
        <v>28.289660999999999</v>
      </c>
      <c r="O1409" s="36">
        <f>IF(ISBLANK(N1410),"",Long2[[#This Row],[Adj Close]]/N1410-1)</f>
        <v>5.3706770408610272E-3</v>
      </c>
      <c r="P1409" s="29">
        <v>35233</v>
      </c>
      <c r="Q1409">
        <v>2.9799709999999999</v>
      </c>
      <c r="R1409" s="33">
        <f>IF(ISBLANK(Q1410),"",Long3[[#This Row],[Adj Close]]/Q1410-1)</f>
        <v>2.234637638151038E-2</v>
      </c>
      <c r="Y1409" s="37">
        <v>35233</v>
      </c>
      <c r="Z1409">
        <v>8.2833269999999999</v>
      </c>
      <c r="AA1409" s="36">
        <f>IF(ISBLANK(Z1410),"",Long6[[#This Row],[Adj Close]]/Z1410-1)</f>
        <v>-9.3333191769152002E-2</v>
      </c>
      <c r="AK1409" s="37">
        <v>35233</v>
      </c>
      <c r="AL1409" s="39">
        <v>1.5662929999999999</v>
      </c>
      <c r="AM1409" s="36">
        <f>IF(ISBLANK(AL1410),"",Short1[[#This Row],[Adj Close]]/AL1410-1)</f>
        <v>-2.7173791523710022E-2</v>
      </c>
      <c r="AN1409" s="29">
        <v>35233</v>
      </c>
      <c r="AO1409" s="44">
        <v>3.629337</v>
      </c>
      <c r="AP1409" s="33">
        <f>IF(ISBLANK(AO1410),"",Short2[[#This Row],[Adj Close]]/AO1410-1)</f>
        <v>-4.7618368597159844E-3</v>
      </c>
    </row>
    <row r="1410" spans="1:42" x14ac:dyDescent="0.25">
      <c r="A1410" s="37">
        <v>35226</v>
      </c>
      <c r="B1410" s="39">
        <v>665.84997599999997</v>
      </c>
      <c r="C1410" s="36">
        <f>IF(ISBLANK(B1411), "", GSPC[[#This Row],[Adj Close]]/B1411-1)</f>
        <v>-1.1079624574355407E-2</v>
      </c>
      <c r="D141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1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10" s="11" t="e">
        <f>IF(ISBLANK(GSPC[[#This Row],[Long Exp.]]), "", (GSPC[[#This Row],[Long Exp.]]/D1411-1)+(E1411/GSPC[[#This Row],[Short Exp.]]-1))</f>
        <v>#VALUE!</v>
      </c>
      <c r="G1410" s="37">
        <v>35226</v>
      </c>
      <c r="H1410">
        <v>7.4271459999999996</v>
      </c>
      <c r="I1410" s="36">
        <f>IF(ISBLANK(H1411), "", Long0[[#This Row],[Adj Close]]/H1411-1)</f>
        <v>3.2467525246094198E-2</v>
      </c>
      <c r="M1410" s="37">
        <v>35226</v>
      </c>
      <c r="N1410">
        <v>28.138538</v>
      </c>
      <c r="O1410" s="36">
        <f>IF(ISBLANK(N1411),"",Long2[[#This Row],[Adj Close]]/N1411-1)</f>
        <v>4.0268505255015352E-2</v>
      </c>
      <c r="P1410" s="29">
        <v>35226</v>
      </c>
      <c r="Q1410">
        <v>2.9148350000000001</v>
      </c>
      <c r="R1410" s="33">
        <f>IF(ISBLANK(Q1411),"",Long3[[#This Row],[Adj Close]]/Q1411-1)</f>
        <v>1.2751312916176705E-2</v>
      </c>
      <c r="Y1410" s="37">
        <v>35226</v>
      </c>
      <c r="Z1410">
        <v>9.1360209999999995</v>
      </c>
      <c r="AA1410" s="36">
        <f>IF(ISBLANK(Z1411),"",Long6[[#This Row],[Adj Close]]/Z1411-1)</f>
        <v>5.6337850662660838E-2</v>
      </c>
      <c r="AK1410" s="37">
        <v>35226</v>
      </c>
      <c r="AL1410" s="39">
        <v>1.610044</v>
      </c>
      <c r="AM1410" s="36">
        <f>IF(ISBLANK(AL1411),"",Short1[[#This Row],[Adj Close]]/AL1411-1)</f>
        <v>-8.4577080483375644E-2</v>
      </c>
      <c r="AN1410" s="29">
        <v>35226</v>
      </c>
      <c r="AO1410" s="44">
        <v>3.6467019999999999</v>
      </c>
      <c r="AP1410" s="33">
        <f>IF(ISBLANK(AO1411),"",Short2[[#This Row],[Adj Close]]/AO1411-1)</f>
        <v>3.9603966041199756E-2</v>
      </c>
    </row>
    <row r="1411" spans="1:42" x14ac:dyDescent="0.25">
      <c r="A1411" s="37">
        <v>35219</v>
      </c>
      <c r="B1411" s="39">
        <v>673.30999799999995</v>
      </c>
      <c r="C1411" s="36">
        <f>IF(ISBLANK(B1412), "", GSPC[[#This Row],[Adj Close]]/B1412-1)</f>
        <v>6.2619605322060679E-3</v>
      </c>
      <c r="D141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1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11" s="11" t="e">
        <f>IF(ISBLANK(GSPC[[#This Row],[Long Exp.]]), "", (GSPC[[#This Row],[Long Exp.]]/D1412-1)+(E1412/GSPC[[#This Row],[Short Exp.]]-1))</f>
        <v>#VALUE!</v>
      </c>
      <c r="G1411" s="37">
        <v>35219</v>
      </c>
      <c r="H1411">
        <v>7.1935880000000001</v>
      </c>
      <c r="I1411" s="36">
        <f>IF(ISBLANK(H1412), "", Long0[[#This Row],[Adj Close]]/H1412-1)</f>
        <v>1.3158148622785193E-2</v>
      </c>
      <c r="M1411" s="37">
        <v>35219</v>
      </c>
      <c r="N1411">
        <v>27.049302999999998</v>
      </c>
      <c r="O1411" s="36">
        <f>IF(ISBLANK(N1412),"",Long2[[#This Row],[Adj Close]]/N1412-1)</f>
        <v>1.7064564734218024E-2</v>
      </c>
      <c r="P1411" s="29">
        <v>35219</v>
      </c>
      <c r="Q1411">
        <v>2.8781349999999999</v>
      </c>
      <c r="R1411" s="33">
        <f>IF(ISBLANK(Q1412),"",Long3[[#This Row],[Adj Close]]/Q1412-1)</f>
        <v>-1.6393806784103848E-2</v>
      </c>
      <c r="Y1411" s="37">
        <v>35219</v>
      </c>
      <c r="Z1411">
        <v>8.6487680000000005</v>
      </c>
      <c r="AA1411" s="36">
        <f>IF(ISBLANK(Z1412),"",Long6[[#This Row],[Adj Close]]/Z1412-1)</f>
        <v>0.1451611835423916</v>
      </c>
      <c r="AK1411" s="37">
        <v>35219</v>
      </c>
      <c r="AL1411" s="39">
        <v>1.7587980000000001</v>
      </c>
      <c r="AM1411" s="36">
        <f>IF(ISBLANK(AL1412),"",Short1[[#This Row],[Adj Close]]/AL1412-1)</f>
        <v>0.10439592525916108</v>
      </c>
      <c r="AN1411" s="29">
        <v>35219</v>
      </c>
      <c r="AO1411" s="44">
        <v>3.5077799999999999</v>
      </c>
      <c r="AP1411" s="33">
        <f>IF(ISBLANK(AO1412),"",Short2[[#This Row],[Adj Close]]/AO1412-1)</f>
        <v>1.5075158760130103E-2</v>
      </c>
    </row>
    <row r="1412" spans="1:42" x14ac:dyDescent="0.25">
      <c r="A1412" s="37">
        <v>35212</v>
      </c>
      <c r="B1412" s="39">
        <v>669.11999500000002</v>
      </c>
      <c r="C1412" s="36">
        <f>IF(ISBLANK(B1413), "", GSPC[[#This Row],[Adj Close]]/B1413-1)</f>
        <v>-1.3839169447183219E-2</v>
      </c>
      <c r="D141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1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12" s="11" t="e">
        <f>IF(ISBLANK(GSPC[[#This Row],[Long Exp.]]), "", (GSPC[[#This Row],[Long Exp.]]/D1413-1)+(E1413/GSPC[[#This Row],[Short Exp.]]-1))</f>
        <v>#VALUE!</v>
      </c>
      <c r="G1412" s="37">
        <v>35212</v>
      </c>
      <c r="H1412">
        <v>7.1001630000000002</v>
      </c>
      <c r="I1412" s="36">
        <f>IF(ISBLANK(H1413), "", Long0[[#This Row],[Adj Close]]/H1413-1)</f>
        <v>0</v>
      </c>
      <c r="M1412" s="37">
        <v>35212</v>
      </c>
      <c r="N1412">
        <v>26.595462999999999</v>
      </c>
      <c r="O1412" s="36">
        <f>IF(ISBLANK(N1413),"",Long2[[#This Row],[Adj Close]]/N1413-1)</f>
        <v>-3.9343846606887611E-2</v>
      </c>
      <c r="P1412" s="29">
        <v>35212</v>
      </c>
      <c r="Q1412">
        <v>2.9261050000000002</v>
      </c>
      <c r="R1412" s="33">
        <f>IF(ISBLANK(Q1413),"",Long3[[#This Row],[Adj Close]]/Q1413-1)</f>
        <v>-4.1885080760688309E-2</v>
      </c>
      <c r="Y1412" s="37">
        <v>35212</v>
      </c>
      <c r="Z1412">
        <v>7.5524459999999998</v>
      </c>
      <c r="AA1412" s="36">
        <f>IF(ISBLANK(Z1413),"",Long6[[#This Row],[Adj Close]]/Z1413-1)</f>
        <v>-8.823519824824011E-2</v>
      </c>
      <c r="AK1412" s="37">
        <v>35212</v>
      </c>
      <c r="AL1412" s="39">
        <v>1.592543</v>
      </c>
      <c r="AM1412" s="36">
        <f>IF(ISBLANK(AL1413),"",Short1[[#This Row],[Adj Close]]/AL1413-1)</f>
        <v>8.9820699396218062E-2</v>
      </c>
      <c r="AN1412" s="29">
        <v>35212</v>
      </c>
      <c r="AO1412" s="44">
        <v>3.4556849999999999</v>
      </c>
      <c r="AP1412" s="33">
        <f>IF(ISBLANK(AO1413),"",Short2[[#This Row],[Adj Close]]/AO1413-1)</f>
        <v>-9.9503898675689095E-3</v>
      </c>
    </row>
    <row r="1413" spans="1:42" x14ac:dyDescent="0.25">
      <c r="A1413" s="37">
        <v>35205</v>
      </c>
      <c r="B1413" s="39">
        <v>678.51000999999997</v>
      </c>
      <c r="C1413" s="36">
        <f>IF(ISBLANK(B1414), "", GSPC[[#This Row],[Adj Close]]/B1414-1)</f>
        <v>1.4351762400767631E-2</v>
      </c>
      <c r="D141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1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13" s="11" t="e">
        <f>IF(ISBLANK(GSPC[[#This Row],[Long Exp.]]), "", (GSPC[[#This Row],[Long Exp.]]/D1414-1)+(E1414/GSPC[[#This Row],[Short Exp.]]-1))</f>
        <v>#VALUE!</v>
      </c>
      <c r="G1413" s="37">
        <v>35205</v>
      </c>
      <c r="H1413">
        <v>7.1001630000000002</v>
      </c>
      <c r="I1413" s="36">
        <f>IF(ISBLANK(H1414), "", Long0[[#This Row],[Adj Close]]/H1414-1)</f>
        <v>-3.1847002612589437E-2</v>
      </c>
      <c r="M1413" s="37">
        <v>35205</v>
      </c>
      <c r="N1413">
        <v>27.684685000000002</v>
      </c>
      <c r="O1413" s="36">
        <f>IF(ISBLANK(N1414),"",Long2[[#This Row],[Adj Close]]/N1414-1)</f>
        <v>3.2891297631636451E-3</v>
      </c>
      <c r="P1413" s="29">
        <v>35205</v>
      </c>
      <c r="Q1413">
        <v>3.0540229999999999</v>
      </c>
      <c r="R1413" s="33">
        <f>IF(ISBLANK(Q1414),"",Long3[[#This Row],[Adj Close]]/Q1414-1)</f>
        <v>2.1390853637532015E-2</v>
      </c>
      <c r="Y1413" s="37">
        <v>35205</v>
      </c>
      <c r="Z1413">
        <v>8.2833269999999999</v>
      </c>
      <c r="AA1413" s="36">
        <f>IF(ISBLANK(Z1414),"",Long6[[#This Row],[Adj Close]]/Z1414-1)</f>
        <v>0.17241373941624505</v>
      </c>
      <c r="AK1413" s="37">
        <v>35205</v>
      </c>
      <c r="AL1413" s="39">
        <v>1.4612890000000001</v>
      </c>
      <c r="AM1413" s="36">
        <f>IF(ISBLANK(AL1414),"",Short1[[#This Row],[Adj Close]]/AL1414-1)</f>
        <v>-1.1834675646981596E-2</v>
      </c>
      <c r="AN1413" s="29">
        <v>35205</v>
      </c>
      <c r="AO1413" s="44">
        <v>3.4904160000000002</v>
      </c>
      <c r="AP1413" s="33">
        <f>IF(ISBLANK(AO1414),"",Short2[[#This Row],[Adj Close]]/AO1414-1)</f>
        <v>-4.9501394044095814E-3</v>
      </c>
    </row>
    <row r="1414" spans="1:42" x14ac:dyDescent="0.25">
      <c r="A1414" s="37">
        <v>35198</v>
      </c>
      <c r="B1414" s="39">
        <v>668.90997300000004</v>
      </c>
      <c r="C1414" s="36">
        <f>IF(ISBLANK(B1415), "", GSPC[[#This Row],[Adj Close]]/B1415-1)</f>
        <v>2.5793901614140191E-2</v>
      </c>
      <c r="D141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1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14" s="11" t="e">
        <f>IF(ISBLANK(GSPC[[#This Row],[Long Exp.]]), "", (GSPC[[#This Row],[Long Exp.]]/D1415-1)+(E1415/GSPC[[#This Row],[Short Exp.]]-1))</f>
        <v>#VALUE!</v>
      </c>
      <c r="G1414" s="37">
        <v>35198</v>
      </c>
      <c r="H1414">
        <v>7.3337199999999996</v>
      </c>
      <c r="I1414" s="36">
        <f>IF(ISBLANK(H1415), "", Long0[[#This Row],[Adj Close]]/H1415-1)</f>
        <v>3.2894596926859254E-2</v>
      </c>
      <c r="M1414" s="37">
        <v>35198</v>
      </c>
      <c r="N1414">
        <v>27.593924999999999</v>
      </c>
      <c r="O1414" s="36">
        <f>IF(ISBLANK(N1415),"",Long2[[#This Row],[Adj Close]]/N1415-1)</f>
        <v>6.6666653781382923E-2</v>
      </c>
      <c r="P1414" s="29">
        <v>35198</v>
      </c>
      <c r="Q1414">
        <v>2.9900630000000001</v>
      </c>
      <c r="R1414" s="33">
        <f>IF(ISBLANK(Q1415),"",Long3[[#This Row],[Adj Close]]/Q1415-1)</f>
        <v>0</v>
      </c>
      <c r="Y1414" s="37">
        <v>35198</v>
      </c>
      <c r="Z1414">
        <v>7.0651910000000004</v>
      </c>
      <c r="AA1414" s="36">
        <f>IF(ISBLANK(Z1415),"",Long6[[#This Row],[Adj Close]]/Z1415-1)</f>
        <v>0.28888858484224089</v>
      </c>
      <c r="AK1414" s="37">
        <v>35198</v>
      </c>
      <c r="AL1414" s="39">
        <v>1.47879</v>
      </c>
      <c r="AM1414" s="36">
        <f>IF(ISBLANK(AL1415),"",Short1[[#This Row],[Adj Close]]/AL1415-1)</f>
        <v>4.9688775253071915E-2</v>
      </c>
      <c r="AN1414" s="29">
        <v>35198</v>
      </c>
      <c r="AO1414" s="44">
        <v>3.5077799999999999</v>
      </c>
      <c r="AP1414" s="33">
        <f>IF(ISBLANK(AO1415),"",Short2[[#This Row],[Adj Close]]/AO1415-1)</f>
        <v>3.5897211761537262E-2</v>
      </c>
    </row>
    <row r="1415" spans="1:42" x14ac:dyDescent="0.25">
      <c r="A1415" s="37">
        <v>35191</v>
      </c>
      <c r="B1415" s="39">
        <v>652.09002699999996</v>
      </c>
      <c r="C1415" s="36">
        <f>IF(ISBLANK(B1416), "", GSPC[[#This Row],[Adj Close]]/B1416-1)</f>
        <v>1.6302264417949131E-2</v>
      </c>
      <c r="D141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1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15" s="11" t="e">
        <f>IF(ISBLANK(GSPC[[#This Row],[Long Exp.]]), "", (GSPC[[#This Row],[Long Exp.]]/D1416-1)+(E1416/GSPC[[#This Row],[Short Exp.]]-1))</f>
        <v>#VALUE!</v>
      </c>
      <c r="G1415" s="37">
        <v>35191</v>
      </c>
      <c r="H1415">
        <v>7.1001630000000002</v>
      </c>
      <c r="I1415" s="36">
        <f>IF(ISBLANK(H1416), "", Long0[[#This Row],[Adj Close]]/H1416-1)</f>
        <v>-3.7974736712602097E-2</v>
      </c>
      <c r="M1415" s="37">
        <v>35191</v>
      </c>
      <c r="N1415">
        <v>25.869305000000001</v>
      </c>
      <c r="O1415" s="36">
        <f>IF(ISBLANK(N1416),"",Long2[[#This Row],[Adj Close]]/N1416-1)</f>
        <v>-5.9405569799381053E-2</v>
      </c>
      <c r="P1415" s="29">
        <v>35191</v>
      </c>
      <c r="Q1415">
        <v>2.9900630000000001</v>
      </c>
      <c r="R1415" s="33">
        <f>IF(ISBLANK(Q1416),"",Long3[[#This Row],[Adj Close]]/Q1416-1)</f>
        <v>5.0561511539946702E-2</v>
      </c>
      <c r="Y1415" s="37">
        <v>35191</v>
      </c>
      <c r="Z1415">
        <v>5.4816149999999997</v>
      </c>
      <c r="AA1415" s="36">
        <f>IF(ISBLANK(Z1416),"",Long6[[#This Row],[Adj Close]]/Z1416-1)</f>
        <v>2.2727336332076353E-2</v>
      </c>
      <c r="AK1415" s="37">
        <v>35191</v>
      </c>
      <c r="AL1415" s="39">
        <v>1.4087890000000001</v>
      </c>
      <c r="AM1415" s="36">
        <f>IF(ISBLANK(AL1416),"",Short1[[#This Row],[Adj Close]]/AL1416-1)</f>
        <v>1.8987543199535883E-2</v>
      </c>
      <c r="AN1415" s="29">
        <v>35191</v>
      </c>
      <c r="AO1415" s="44">
        <v>3.3862239999999999</v>
      </c>
      <c r="AP1415" s="33">
        <f>IF(ISBLANK(AO1416),"",Short2[[#This Row],[Adj Close]]/AO1416-1)</f>
        <v>-4.1015596279010413E-3</v>
      </c>
    </row>
    <row r="1416" spans="1:42" x14ac:dyDescent="0.25">
      <c r="A1416" s="37">
        <v>35184</v>
      </c>
      <c r="B1416" s="39">
        <v>641.63000499999998</v>
      </c>
      <c r="C1416" s="36">
        <f>IF(ISBLANK(B1417), "", GSPC[[#This Row],[Adj Close]]/B1417-1)</f>
        <v>-1.810365837498773E-2</v>
      </c>
      <c r="D141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1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16" s="11" t="e">
        <f>IF(ISBLANK(GSPC[[#This Row],[Long Exp.]]), "", (GSPC[[#This Row],[Long Exp.]]/D1417-1)+(E1417/GSPC[[#This Row],[Short Exp.]]-1))</f>
        <v>#VALUE!</v>
      </c>
      <c r="G1416" s="37">
        <v>35184</v>
      </c>
      <c r="H1416">
        <v>7.380433</v>
      </c>
      <c r="I1416" s="36">
        <f>IF(ISBLANK(H1417), "", Long0[[#This Row],[Adj Close]]/H1417-1)</f>
        <v>-6.2894953189286396E-3</v>
      </c>
      <c r="M1416" s="37">
        <v>35184</v>
      </c>
      <c r="N1416">
        <v>27.503145</v>
      </c>
      <c r="O1416" s="36">
        <f>IF(ISBLANK(N1417),"",Long2[[#This Row],[Adj Close]]/N1417-1)</f>
        <v>5.5748630965765988E-2</v>
      </c>
      <c r="P1416" s="29">
        <v>35184</v>
      </c>
      <c r="Q1416">
        <v>2.8461569999999998</v>
      </c>
      <c r="R1416" s="33">
        <f>IF(ISBLANK(Q1417),"",Long3[[#This Row],[Adj Close]]/Q1417-1)</f>
        <v>-5.5867151477545507E-3</v>
      </c>
      <c r="Y1416" s="37">
        <v>35184</v>
      </c>
      <c r="Z1416">
        <v>5.359801</v>
      </c>
      <c r="AA1416" s="36">
        <f>IF(ISBLANK(Z1417),"",Long6[[#This Row],[Adj Close]]/Z1417-1)</f>
        <v>0.22222214621056025</v>
      </c>
      <c r="AK1416" s="37">
        <v>35184</v>
      </c>
      <c r="AL1416" s="39">
        <v>1.382538</v>
      </c>
      <c r="AM1416" s="36">
        <f>IF(ISBLANK(AL1417),"",Short1[[#This Row],[Adj Close]]/AL1417-1)</f>
        <v>1.9354296432616103E-2</v>
      </c>
      <c r="AN1416" s="29">
        <v>35184</v>
      </c>
      <c r="AO1416" s="44">
        <v>3.4001700000000001</v>
      </c>
      <c r="AP1416" s="33">
        <f>IF(ISBLANK(AO1417),"",Short2[[#This Row],[Adj Close]]/AO1417-1)</f>
        <v>-1.507468691803604E-2</v>
      </c>
    </row>
    <row r="1417" spans="1:42" x14ac:dyDescent="0.25">
      <c r="A1417" s="37">
        <v>35177</v>
      </c>
      <c r="B1417" s="39">
        <v>653.46002199999998</v>
      </c>
      <c r="C1417" s="36">
        <f>IF(ISBLANK(B1418), "", GSPC[[#This Row],[Adj Close]]/B1418-1)</f>
        <v>1.3006363509317387E-2</v>
      </c>
      <c r="D141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1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17" s="11" t="e">
        <f>IF(ISBLANK(GSPC[[#This Row],[Long Exp.]]), "", (GSPC[[#This Row],[Long Exp.]]/D1418-1)+(E1418/GSPC[[#This Row],[Short Exp.]]-1))</f>
        <v>#VALUE!</v>
      </c>
      <c r="G1417" s="37">
        <v>35177</v>
      </c>
      <c r="H1417">
        <v>7.4271459999999996</v>
      </c>
      <c r="I1417" s="36">
        <f>IF(ISBLANK(H1418), "", Long0[[#This Row],[Adj Close]]/H1418-1)</f>
        <v>6.3293034433073991E-3</v>
      </c>
      <c r="M1417" s="37">
        <v>35177</v>
      </c>
      <c r="N1417">
        <v>26.050846</v>
      </c>
      <c r="O1417" s="36">
        <f>IF(ISBLANK(N1418),"",Long2[[#This Row],[Adj Close]]/N1418-1)</f>
        <v>2.1352513802121331E-2</v>
      </c>
      <c r="P1417" s="29">
        <v>35177</v>
      </c>
      <c r="Q1417">
        <v>2.8621470000000002</v>
      </c>
      <c r="R1417" s="33">
        <f>IF(ISBLANK(Q1418),"",Long3[[#This Row],[Adj Close]]/Q1418-1)</f>
        <v>5.6181018826439999E-3</v>
      </c>
      <c r="Y1417" s="37">
        <v>35177</v>
      </c>
      <c r="Z1417">
        <v>4.3852919999999997</v>
      </c>
      <c r="AA1417" s="36">
        <f>IF(ISBLANK(Z1418),"",Long6[[#This Row],[Adj Close]]/Z1418-1)</f>
        <v>2.8571991492387872E-2</v>
      </c>
      <c r="AK1417" s="37">
        <v>35177</v>
      </c>
      <c r="AL1417" s="39">
        <v>1.3562879999999999</v>
      </c>
      <c r="AM1417" s="36">
        <f>IF(ISBLANK(AL1418),"",Short1[[#This Row],[Adj Close]]/AL1418-1)</f>
        <v>9.1550009899125318E-2</v>
      </c>
      <c r="AN1417" s="29">
        <v>35177</v>
      </c>
      <c r="AO1417" s="44">
        <v>3.4522110000000001</v>
      </c>
      <c r="AP1417" s="33">
        <f>IF(ISBLANK(AO1418),"",Short2[[#This Row],[Adj Close]]/AO1418-1)</f>
        <v>5.0502727327776942E-3</v>
      </c>
    </row>
    <row r="1418" spans="1:42" x14ac:dyDescent="0.25">
      <c r="A1418" s="37">
        <v>35170</v>
      </c>
      <c r="B1418" s="39">
        <v>645.07000700000003</v>
      </c>
      <c r="C1418" s="36">
        <f>IF(ISBLANK(B1419), "", GSPC[[#This Row],[Adj Close]]/B1419-1)</f>
        <v>1.3129972375399479E-2</v>
      </c>
      <c r="D141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1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18" s="11" t="e">
        <f>IF(ISBLANK(GSPC[[#This Row],[Long Exp.]]), "", (GSPC[[#This Row],[Long Exp.]]/D1419-1)+(E1419/GSPC[[#This Row],[Short Exp.]]-1))</f>
        <v>#VALUE!</v>
      </c>
      <c r="G1418" s="37">
        <v>35170</v>
      </c>
      <c r="H1418">
        <v>7.380433</v>
      </c>
      <c r="I1418" s="36">
        <f>IF(ISBLANK(H1419), "", Long0[[#This Row],[Adj Close]]/H1419-1)</f>
        <v>0</v>
      </c>
      <c r="M1418" s="37">
        <v>35170</v>
      </c>
      <c r="N1418">
        <v>25.506224</v>
      </c>
      <c r="O1418" s="36">
        <f>IF(ISBLANK(N1419),"",Long2[[#This Row],[Adj Close]]/N1419-1)</f>
        <v>-8.1699808914158956E-2</v>
      </c>
      <c r="P1418" s="29">
        <v>35170</v>
      </c>
      <c r="Q1418">
        <v>2.8461569999999998</v>
      </c>
      <c r="R1418" s="33">
        <f>IF(ISBLANK(Q1419),"",Long3[[#This Row],[Adj Close]]/Q1419-1)</f>
        <v>0</v>
      </c>
      <c r="Y1418" s="37">
        <v>35170</v>
      </c>
      <c r="Z1418">
        <v>4.2634759999999998</v>
      </c>
      <c r="AA1418" s="36">
        <f>IF(ISBLANK(Z1419),"",Long6[[#This Row],[Adj Close]]/Z1419-1)</f>
        <v>-2.7778309859411876E-2</v>
      </c>
      <c r="AK1418" s="37">
        <v>35170</v>
      </c>
      <c r="AL1418" s="39">
        <v>1.242534</v>
      </c>
      <c r="AM1418" s="36">
        <f>IF(ISBLANK(AL1419),"",Short1[[#This Row],[Adj Close]]/AL1419-1)</f>
        <v>5.1852140301807736E-2</v>
      </c>
      <c r="AN1418" s="29">
        <v>35170</v>
      </c>
      <c r="AO1418" s="44">
        <v>3.4348640000000001</v>
      </c>
      <c r="AP1418" s="33">
        <f>IF(ISBLANK(AO1419),"",Short2[[#This Row],[Adj Close]]/AO1419-1)</f>
        <v>-5.0248956393453836E-3</v>
      </c>
    </row>
    <row r="1419" spans="1:42" x14ac:dyDescent="0.25">
      <c r="A1419" s="37">
        <v>35163</v>
      </c>
      <c r="B1419" s="39">
        <v>636.71002199999998</v>
      </c>
      <c r="C1419" s="36">
        <f>IF(ISBLANK(B1420), "", GSPC[[#This Row],[Adj Close]]/B1420-1)</f>
        <v>-2.919824876951449E-2</v>
      </c>
      <c r="D141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1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19" s="11" t="e">
        <f>IF(ISBLANK(GSPC[[#This Row],[Long Exp.]]), "", (GSPC[[#This Row],[Long Exp.]]/D1420-1)+(E1420/GSPC[[#This Row],[Short Exp.]]-1))</f>
        <v>#VALUE!</v>
      </c>
      <c r="G1419" s="37">
        <v>35163</v>
      </c>
      <c r="H1419">
        <v>7.380433</v>
      </c>
      <c r="I1419" s="36">
        <f>IF(ISBLANK(H1420), "", Long0[[#This Row],[Adj Close]]/H1420-1)</f>
        <v>-7.602352871952256E-2</v>
      </c>
      <c r="M1419" s="37">
        <v>35163</v>
      </c>
      <c r="N1419">
        <v>27.775475</v>
      </c>
      <c r="O1419" s="36">
        <f>IF(ISBLANK(N1420),"",Long2[[#This Row],[Adj Close]]/N1420-1)</f>
        <v>4.7945586389006145E-2</v>
      </c>
      <c r="P1419" s="29">
        <v>35163</v>
      </c>
      <c r="Q1419">
        <v>2.8461569999999998</v>
      </c>
      <c r="R1419" s="33">
        <f>IF(ISBLANK(Q1420),"",Long3[[#This Row],[Adj Close]]/Q1420-1)</f>
        <v>-7.2916049133390448E-2</v>
      </c>
      <c r="Y1419" s="37">
        <v>35163</v>
      </c>
      <c r="Z1419">
        <v>4.3852919999999997</v>
      </c>
      <c r="AA1419" s="36" t="str">
        <f>IF(ISBLANK(Z1420),"",Long6[[#This Row],[Adj Close]]/Z1420-1)</f>
        <v/>
      </c>
      <c r="AK1419" s="37">
        <v>35163</v>
      </c>
      <c r="AL1419" s="39">
        <v>1.1812819999999999</v>
      </c>
      <c r="AM1419" s="36">
        <f>IF(ISBLANK(AL1420),"",Short1[[#This Row],[Adj Close]]/AL1420-1)</f>
        <v>-1.4598972457901094E-2</v>
      </c>
      <c r="AN1419" s="29">
        <v>35163</v>
      </c>
      <c r="AO1419" s="44">
        <v>3.4522110000000001</v>
      </c>
      <c r="AP1419" s="33">
        <f>IF(ISBLANK(AO1420),"",Short2[[#This Row],[Adj Close]]/AO1420-1)</f>
        <v>-4.784690578811357E-2</v>
      </c>
    </row>
    <row r="1420" spans="1:42" x14ac:dyDescent="0.25">
      <c r="A1420" s="37">
        <v>35156</v>
      </c>
      <c r="B1420" s="39">
        <v>655.85998500000005</v>
      </c>
      <c r="C1420" s="36">
        <f>IF(ISBLANK(B1421), "", GSPC[[#This Row],[Adj Close]]/B1421-1)</f>
        <v>1.6049550735863782E-2</v>
      </c>
      <c r="D142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2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20" s="11" t="e">
        <f>IF(ISBLANK(GSPC[[#This Row],[Long Exp.]]), "", (GSPC[[#This Row],[Long Exp.]]/D1421-1)+(E1421/GSPC[[#This Row],[Short Exp.]]-1))</f>
        <v>#VALUE!</v>
      </c>
      <c r="G1420" s="37">
        <v>35156</v>
      </c>
      <c r="H1420">
        <v>7.9876849999999999</v>
      </c>
      <c r="I1420" s="36">
        <f>IF(ISBLANK(H1421), "", Long0[[#This Row],[Adj Close]]/H1421-1)</f>
        <v>1.985944332221723E-2</v>
      </c>
      <c r="M1420" s="37">
        <v>35156</v>
      </c>
      <c r="N1420">
        <v>26.504691999999999</v>
      </c>
      <c r="O1420" s="36">
        <f>IF(ISBLANK(N1421),"",Long2[[#This Row],[Adj Close]]/N1421-1)</f>
        <v>0</v>
      </c>
      <c r="P1420" s="29">
        <v>35156</v>
      </c>
      <c r="Q1420">
        <v>3.0700099999999999</v>
      </c>
      <c r="R1420" s="33">
        <f>IF(ISBLANK(Q1421),"",Long3[[#This Row],[Adj Close]]/Q1421-1)</f>
        <v>-1.5384644989591023E-2</v>
      </c>
      <c r="AK1420" s="37">
        <v>35156</v>
      </c>
      <c r="AL1420" s="39">
        <v>1.1987829999999999</v>
      </c>
      <c r="AM1420" s="36">
        <f>IF(ISBLANK(AL1421),"",Short1[[#This Row],[Adj Close]]/AL1421-1)</f>
        <v>-1.4388909169240072E-2</v>
      </c>
      <c r="AN1420" s="29">
        <v>35156</v>
      </c>
      <c r="AO1420" s="44">
        <v>3.6256889999999999</v>
      </c>
      <c r="AP1420" s="33">
        <f>IF(ISBLANK(AO1421),"",Short2[[#This Row],[Adj Close]]/AO1421-1)</f>
        <v>5.0251273748910474E-2</v>
      </c>
    </row>
    <row r="1421" spans="1:42" x14ac:dyDescent="0.25">
      <c r="A1421" s="37">
        <v>35149</v>
      </c>
      <c r="B1421" s="39">
        <v>645.5</v>
      </c>
      <c r="C1421" s="36">
        <f>IF(ISBLANK(B1422), "", GSPC[[#This Row],[Adj Close]]/B1422-1)</f>
        <v>-7.8694092394132609E-3</v>
      </c>
      <c r="D142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2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21" s="11" t="e">
        <f>IF(ISBLANK(GSPC[[#This Row],[Long Exp.]]), "", (GSPC[[#This Row],[Long Exp.]]/D1422-1)+(E1422/GSPC[[#This Row],[Short Exp.]]-1))</f>
        <v>#VALUE!</v>
      </c>
      <c r="G1421" s="37">
        <v>35149</v>
      </c>
      <c r="H1421">
        <v>7.8321430000000003</v>
      </c>
      <c r="I1421" s="36">
        <f>IF(ISBLANK(H1422), "", Long0[[#This Row],[Adj Close]]/H1422-1)</f>
        <v>5.6603903400213929E-2</v>
      </c>
      <c r="M1421" s="37">
        <v>35149</v>
      </c>
      <c r="N1421">
        <v>26.504691999999999</v>
      </c>
      <c r="O1421" s="36">
        <f>IF(ISBLANK(N1422),"",Long2[[#This Row],[Adj Close]]/N1422-1)</f>
        <v>-5.194812348647071E-2</v>
      </c>
      <c r="P1421" s="29">
        <v>35149</v>
      </c>
      <c r="Q1421">
        <v>3.1179790000000001</v>
      </c>
      <c r="R1421" s="33">
        <f>IF(ISBLANK(Q1422),"",Long3[[#This Row],[Adj Close]]/Q1422-1)</f>
        <v>1.0362277912418172E-2</v>
      </c>
      <c r="AK1421" s="37">
        <v>35149</v>
      </c>
      <c r="AL1421" s="39">
        <v>1.2162839999999999</v>
      </c>
      <c r="AM1421" s="36">
        <f>IF(ISBLANK(AL1422),"",Short1[[#This Row],[Adj Close]]/AL1422-1)</f>
        <v>0</v>
      </c>
      <c r="AN1421" s="29">
        <v>35149</v>
      </c>
      <c r="AO1421" s="44">
        <v>3.4522110000000001</v>
      </c>
      <c r="AP1421" s="33">
        <f>IF(ISBLANK(AO1422),"",Short2[[#This Row],[Adj Close]]/AO1422-1)</f>
        <v>-4.9997723052908061E-3</v>
      </c>
    </row>
    <row r="1422" spans="1:42" x14ac:dyDescent="0.25">
      <c r="A1422" s="37">
        <v>35142</v>
      </c>
      <c r="B1422" s="39">
        <v>650.61999500000002</v>
      </c>
      <c r="C1422" s="36">
        <f>IF(ISBLANK(B1423), "", GSPC[[#This Row],[Adj Close]]/B1423-1)</f>
        <v>1.4327365574250628E-2</v>
      </c>
      <c r="D142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2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22" s="11" t="e">
        <f>IF(ISBLANK(GSPC[[#This Row],[Long Exp.]]), "", (GSPC[[#This Row],[Long Exp.]]/D1423-1)+(E1423/GSPC[[#This Row],[Short Exp.]]-1))</f>
        <v>#VALUE!</v>
      </c>
      <c r="G1422" s="37">
        <v>35142</v>
      </c>
      <c r="H1422">
        <v>7.4125629999999996</v>
      </c>
      <c r="I1422" s="36">
        <f>IF(ISBLANK(H1423), "", Long0[[#This Row],[Adj Close]]/H1423-1)</f>
        <v>2.5806228407221798E-2</v>
      </c>
      <c r="M1422" s="37">
        <v>35142</v>
      </c>
      <c r="N1422">
        <v>27.957006</v>
      </c>
      <c r="O1422" s="36">
        <f>IF(ISBLANK(N1423),"",Long2[[#This Row],[Adj Close]]/N1423-1)</f>
        <v>3.5668332668436609E-2</v>
      </c>
      <c r="P1422" s="29">
        <v>35142</v>
      </c>
      <c r="Q1422">
        <v>3.086001</v>
      </c>
      <c r="R1422" s="33">
        <f>IF(ISBLANK(Q1423),"",Long3[[#This Row],[Adj Close]]/Q1423-1)</f>
        <v>2.1164166480809987E-2</v>
      </c>
      <c r="AK1422" s="37">
        <v>35142</v>
      </c>
      <c r="AL1422" s="39">
        <v>1.2162839999999999</v>
      </c>
      <c r="AM1422" s="36">
        <f>IF(ISBLANK(AL1423),"",Short1[[#This Row],[Adj Close]]/AL1423-1)</f>
        <v>-4.7944674705585499E-2</v>
      </c>
      <c r="AN1422" s="29">
        <v>35142</v>
      </c>
      <c r="AO1422" s="44">
        <v>3.4695580000000001</v>
      </c>
      <c r="AP1422" s="33">
        <f>IF(ISBLANK(AO1423),"",Short2[[#This Row],[Adj Close]]/AO1423-1)</f>
        <v>3.0926995721850759E-2</v>
      </c>
    </row>
    <row r="1423" spans="1:42" x14ac:dyDescent="0.25">
      <c r="A1423" s="37">
        <v>35135</v>
      </c>
      <c r="B1423" s="39">
        <v>641.42999299999997</v>
      </c>
      <c r="C1423" s="36">
        <f>IF(ISBLANK(B1424), "", GSPC[[#This Row],[Adj Close]]/B1424-1)</f>
        <v>1.2517747434885429E-2</v>
      </c>
      <c r="D142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2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23" s="11" t="e">
        <f>IF(ISBLANK(GSPC[[#This Row],[Long Exp.]]), "", (GSPC[[#This Row],[Long Exp.]]/D1424-1)+(E1424/GSPC[[#This Row],[Short Exp.]]-1))</f>
        <v>#VALUE!</v>
      </c>
      <c r="G1423" s="37">
        <v>35135</v>
      </c>
      <c r="H1423">
        <v>7.2260850000000003</v>
      </c>
      <c r="I1423" s="36">
        <f>IF(ISBLANK(H1424), "", Long0[[#This Row],[Adj Close]]/H1424-1)</f>
        <v>-6.4105428693881361E-3</v>
      </c>
      <c r="M1423" s="37">
        <v>35135</v>
      </c>
      <c r="N1423">
        <v>26.994168999999999</v>
      </c>
      <c r="O1423" s="36">
        <f>IF(ISBLANK(N1424),"",Long2[[#This Row],[Adj Close]]/N1424-1)</f>
        <v>-5.993708088296823E-2</v>
      </c>
      <c r="P1423" s="29">
        <v>35135</v>
      </c>
      <c r="Q1423">
        <v>3.0220419999999999</v>
      </c>
      <c r="R1423" s="33">
        <f>IF(ISBLANK(Q1424),"",Long3[[#This Row],[Adj Close]]/Q1424-1)</f>
        <v>-3.9886043641963465E-3</v>
      </c>
      <c r="AK1423" s="37">
        <v>35135</v>
      </c>
      <c r="AL1423" s="39">
        <v>1.2775350000000001</v>
      </c>
      <c r="AM1423" s="36">
        <f>IF(ISBLANK(AL1424),"",Short1[[#This Row],[Adj Close]]/AL1424-1)</f>
        <v>8.1481813825995841E-2</v>
      </c>
      <c r="AN1423" s="29">
        <v>35135</v>
      </c>
      <c r="AO1423" s="44">
        <v>3.3654739999999999</v>
      </c>
      <c r="AP1423" s="33">
        <f>IF(ISBLANK(AO1424),"",Short2[[#This Row],[Adj Close]]/AO1424-1)</f>
        <v>4.8649224669729874E-2</v>
      </c>
    </row>
    <row r="1424" spans="1:42" x14ac:dyDescent="0.25">
      <c r="A1424" s="37">
        <v>35128</v>
      </c>
      <c r="B1424" s="39">
        <v>633.5</v>
      </c>
      <c r="C1424" s="36">
        <f>IF(ISBLANK(B1425), "", GSPC[[#This Row],[Adj Close]]/B1425-1)</f>
        <v>-1.6869182432990293E-2</v>
      </c>
      <c r="D142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2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24" s="11" t="e">
        <f>IF(ISBLANK(GSPC[[#This Row],[Long Exp.]]), "", (GSPC[[#This Row],[Long Exp.]]/D1425-1)+(E1425/GSPC[[#This Row],[Short Exp.]]-1))</f>
        <v>#VALUE!</v>
      </c>
      <c r="G1424" s="37">
        <v>35128</v>
      </c>
      <c r="H1424">
        <v>7.2727069999999996</v>
      </c>
      <c r="I1424" s="36">
        <f>IF(ISBLANK(H1425), "", Long0[[#This Row],[Adj Close]]/H1425-1)</f>
        <v>-6.3688950467140071E-3</v>
      </c>
      <c r="M1424" s="37">
        <v>35128</v>
      </c>
      <c r="N1424">
        <v>28.715278999999999</v>
      </c>
      <c r="O1424" s="36">
        <f>IF(ISBLANK(N1425),"",Long2[[#This Row],[Adj Close]]/N1425-1)</f>
        <v>-5.3731949037196802E-2</v>
      </c>
      <c r="P1424" s="29">
        <v>35128</v>
      </c>
      <c r="Q1424">
        <v>3.034144</v>
      </c>
      <c r="R1424" s="33">
        <f>IF(ISBLANK(Q1425),"",Long3[[#This Row],[Adj Close]]/Q1425-1)</f>
        <v>-3.0150530499103545E-2</v>
      </c>
      <c r="AK1424" s="37">
        <v>35128</v>
      </c>
      <c r="AL1424" s="39">
        <v>1.1812819999999999</v>
      </c>
      <c r="AM1424" s="36">
        <f>IF(ISBLANK(AL1425),"",Short1[[#This Row],[Adj Close]]/AL1425-1)</f>
        <v>7.4616236813802583E-3</v>
      </c>
      <c r="AN1424" s="29">
        <v>35128</v>
      </c>
      <c r="AO1424" s="44">
        <v>3.2093419999999999</v>
      </c>
      <c r="AP1424" s="33">
        <f>IF(ISBLANK(AO1425),"",Short2[[#This Row],[Adj Close]]/AO1425-1)</f>
        <v>-5.1282346893317676E-2</v>
      </c>
    </row>
    <row r="1425" spans="1:42" x14ac:dyDescent="0.25">
      <c r="A1425" s="37">
        <v>35121</v>
      </c>
      <c r="B1425" s="39">
        <v>644.36999500000002</v>
      </c>
      <c r="C1425" s="36">
        <f>IF(ISBLANK(B1426), "", GSPC[[#This Row],[Adj Close]]/B1426-1)</f>
        <v>-2.2319022911598929E-2</v>
      </c>
      <c r="D142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2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25" s="11" t="e">
        <f>IF(ISBLANK(GSPC[[#This Row],[Long Exp.]]), "", (GSPC[[#This Row],[Long Exp.]]/D1426-1)+(E1426/GSPC[[#This Row],[Short Exp.]]-1))</f>
        <v>#VALUE!</v>
      </c>
      <c r="G1425" s="37">
        <v>35121</v>
      </c>
      <c r="H1425">
        <v>7.3193229999999998</v>
      </c>
      <c r="I1425" s="36">
        <f>IF(ISBLANK(H1426), "", Long0[[#This Row],[Adj Close]]/H1426-1)</f>
        <v>-6.3292634318153906E-3</v>
      </c>
      <c r="M1425" s="37">
        <v>35121</v>
      </c>
      <c r="N1425">
        <v>30.345818999999999</v>
      </c>
      <c r="O1425" s="36">
        <f>IF(ISBLANK(N1426),"",Long2[[#This Row],[Adj Close]]/N1426-1)</f>
        <v>6.012753956051986E-2</v>
      </c>
      <c r="P1425" s="29">
        <v>35121</v>
      </c>
      <c r="Q1425">
        <v>3.1284689999999999</v>
      </c>
      <c r="R1425" s="33">
        <f>IF(ISBLANK(Q1426),"",Long3[[#This Row],[Adj Close]]/Q1426-1)</f>
        <v>-1.9704802413019751E-2</v>
      </c>
      <c r="AK1425" s="37">
        <v>35121</v>
      </c>
      <c r="AL1425" s="39">
        <v>1.172533</v>
      </c>
      <c r="AM1425" s="36">
        <f>IF(ISBLANK(AL1426),"",Short1[[#This Row],[Adj Close]]/AL1426-1)</f>
        <v>1.5151961157786165E-2</v>
      </c>
      <c r="AN1425" s="29">
        <v>35121</v>
      </c>
      <c r="AO1425" s="44">
        <v>3.3828209999999999</v>
      </c>
      <c r="AP1425" s="33">
        <f>IF(ISBLANK(AO1426),"",Short2[[#This Row],[Adj Close]]/AO1426-1)</f>
        <v>-4.4117322934768777E-2</v>
      </c>
    </row>
    <row r="1426" spans="1:42" x14ac:dyDescent="0.25">
      <c r="A1426" s="37">
        <v>35114</v>
      </c>
      <c r="B1426" s="39">
        <v>659.080017</v>
      </c>
      <c r="C1426" s="36">
        <f>IF(ISBLANK(B1427), "", GSPC[[#This Row],[Adj Close]]/B1427-1)</f>
        <v>1.7130215967474882E-2</v>
      </c>
      <c r="D142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2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26" s="11" t="e">
        <f>IF(ISBLANK(GSPC[[#This Row],[Long Exp.]]), "", (GSPC[[#This Row],[Long Exp.]]/D1427-1)+(E1427/GSPC[[#This Row],[Short Exp.]]-1))</f>
        <v>#VALUE!</v>
      </c>
      <c r="G1426" s="37">
        <v>35114</v>
      </c>
      <c r="H1426">
        <v>7.3659439999999998</v>
      </c>
      <c r="I1426" s="36">
        <f>IF(ISBLANK(H1427), "", Long0[[#This Row],[Adj Close]]/H1427-1)</f>
        <v>-1.2499894425435087E-2</v>
      </c>
      <c r="M1426" s="37">
        <v>35114</v>
      </c>
      <c r="N1426">
        <v>28.624687000000002</v>
      </c>
      <c r="O1426" s="36">
        <f>IF(ISBLANK(N1427),"",Long2[[#This Row],[Adj Close]]/N1427-1)</f>
        <v>-1.5576552080473038E-2</v>
      </c>
      <c r="P1426" s="29">
        <v>35114</v>
      </c>
      <c r="Q1426">
        <v>3.191354</v>
      </c>
      <c r="R1426" s="33">
        <f>IF(ISBLANK(Q1427),"",Long3[[#This Row],[Adj Close]]/Q1427-1)</f>
        <v>-4.9019745406639892E-3</v>
      </c>
      <c r="AK1426" s="37">
        <v>35114</v>
      </c>
      <c r="AL1426" s="39">
        <v>1.1550320000000001</v>
      </c>
      <c r="AM1426" s="36">
        <f>IF(ISBLANK(AL1427),"",Short1[[#This Row],[Adj Close]]/AL1427-1)</f>
        <v>0.10924460134565428</v>
      </c>
      <c r="AN1426" s="29">
        <v>35114</v>
      </c>
      <c r="AO1426" s="44">
        <v>3.5389499999999998</v>
      </c>
      <c r="AP1426" s="33">
        <f>IF(ISBLANK(AO1427),"",Short2[[#This Row],[Adj Close]]/AO1427-1)</f>
        <v>-4.2253742204839462E-2</v>
      </c>
    </row>
    <row r="1427" spans="1:42" x14ac:dyDescent="0.25">
      <c r="A1427" s="37">
        <v>35107</v>
      </c>
      <c r="B1427" s="39">
        <v>647.97997999999995</v>
      </c>
      <c r="C1427" s="36">
        <f>IF(ISBLANK(B1428), "", GSPC[[#This Row],[Adj Close]]/B1428-1)</f>
        <v>-1.278244749746682E-2</v>
      </c>
      <c r="D142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2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27" s="11" t="e">
        <f>IF(ISBLANK(GSPC[[#This Row],[Long Exp.]]), "", (GSPC[[#This Row],[Long Exp.]]/D1428-1)+(E1428/GSPC[[#This Row],[Short Exp.]]-1))</f>
        <v>#VALUE!</v>
      </c>
      <c r="G1427" s="37">
        <v>35107</v>
      </c>
      <c r="H1427">
        <v>7.4591830000000003</v>
      </c>
      <c r="I1427" s="36">
        <f>IF(ISBLANK(H1428), "", Long0[[#This Row],[Adj Close]]/H1428-1)</f>
        <v>-3.6144782258572983E-2</v>
      </c>
      <c r="M1427" s="37">
        <v>35107</v>
      </c>
      <c r="N1427">
        <v>29.077615999999999</v>
      </c>
      <c r="O1427" s="36">
        <f>IF(ISBLANK(N1428),"",Long2[[#This Row],[Adj Close]]/N1428-1)</f>
        <v>5.2459337281368645E-2</v>
      </c>
      <c r="P1427" s="29">
        <v>35107</v>
      </c>
      <c r="Q1427">
        <v>3.2070750000000001</v>
      </c>
      <c r="R1427" s="33">
        <f>IF(ISBLANK(Q1428),"",Long3[[#This Row],[Adj Close]]/Q1428-1)</f>
        <v>-4.8780624029569619E-3</v>
      </c>
      <c r="AK1427" s="37">
        <v>35107</v>
      </c>
      <c r="AL1427" s="39">
        <v>1.0412779999999999</v>
      </c>
      <c r="AM1427" s="36">
        <f>IF(ISBLANK(AL1428),"",Short1[[#This Row],[Adj Close]]/AL1428-1)</f>
        <v>-5.5555857890488336E-2</v>
      </c>
      <c r="AN1427" s="29">
        <v>35107</v>
      </c>
      <c r="AO1427" s="44">
        <v>3.6950810000000001</v>
      </c>
      <c r="AP1427" s="33">
        <f>IF(ISBLANK(AO1428),"",Short2[[#This Row],[Adj Close]]/AO1428-1)</f>
        <v>3.3980412726830611E-2</v>
      </c>
    </row>
    <row r="1428" spans="1:42" x14ac:dyDescent="0.25">
      <c r="A1428" s="37">
        <v>35100</v>
      </c>
      <c r="B1428" s="39">
        <v>656.36999500000002</v>
      </c>
      <c r="C1428" s="36">
        <f>IF(ISBLANK(B1429), "", GSPC[[#This Row],[Adj Close]]/B1429-1)</f>
        <v>3.2287945282186703E-2</v>
      </c>
      <c r="D142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2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28" s="11" t="e">
        <f>IF(ISBLANK(GSPC[[#This Row],[Long Exp.]]), "", (GSPC[[#This Row],[Long Exp.]]/D1429-1)+(E1429/GSPC[[#This Row],[Short Exp.]]-1))</f>
        <v>#VALUE!</v>
      </c>
      <c r="G1428" s="37">
        <v>35100</v>
      </c>
      <c r="H1428">
        <v>7.7389039999999998</v>
      </c>
      <c r="I1428" s="36">
        <f>IF(ISBLANK(H1429), "", Long0[[#This Row],[Adj Close]]/H1429-1)</f>
        <v>7.0967750863710988E-2</v>
      </c>
      <c r="M1428" s="37">
        <v>35100</v>
      </c>
      <c r="N1428">
        <v>27.628256</v>
      </c>
      <c r="O1428" s="36">
        <f>IF(ISBLANK(N1429),"",Long2[[#This Row],[Adj Close]]/N1429-1)</f>
        <v>-6.5153048912198752E-3</v>
      </c>
      <c r="P1428" s="29">
        <v>35100</v>
      </c>
      <c r="Q1428">
        <v>3.2227960000000002</v>
      </c>
      <c r="R1428" s="33">
        <f>IF(ISBLANK(Q1429),"",Long3[[#This Row],[Adj Close]]/Q1429-1)</f>
        <v>9.8522445331981068E-3</v>
      </c>
      <c r="AK1428" s="37">
        <v>35100</v>
      </c>
      <c r="AL1428" s="39">
        <v>1.10253</v>
      </c>
      <c r="AM1428" s="36">
        <f>IF(ISBLANK(AL1429),"",Short1[[#This Row],[Adj Close]]/AL1429-1)</f>
        <v>-1.5625460366721966E-2</v>
      </c>
      <c r="AN1428" s="29">
        <v>35100</v>
      </c>
      <c r="AO1428" s="44">
        <v>3.5736469999999998</v>
      </c>
      <c r="AP1428" s="33">
        <f>IF(ISBLANK(AO1429),"",Short2[[#This Row],[Adj Close]]/AO1429-1)</f>
        <v>-1.8107997907434892E-2</v>
      </c>
    </row>
    <row r="1429" spans="1:42" x14ac:dyDescent="0.25">
      <c r="A1429" s="37">
        <v>35093</v>
      </c>
      <c r="B1429" s="39">
        <v>635.84002699999996</v>
      </c>
      <c r="C1429" s="36">
        <f>IF(ISBLANK(B1430), "", GSPC[[#This Row],[Adj Close]]/B1430-1)</f>
        <v>2.2875763512079317E-2</v>
      </c>
      <c r="D142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2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29" s="11" t="e">
        <f>IF(ISBLANK(GSPC[[#This Row],[Long Exp.]]), "", (GSPC[[#This Row],[Long Exp.]]/D1430-1)+(E1430/GSPC[[#This Row],[Short Exp.]]-1))</f>
        <v>#VALUE!</v>
      </c>
      <c r="G1429" s="37">
        <v>35093</v>
      </c>
      <c r="H1429">
        <v>7.2260850000000003</v>
      </c>
      <c r="I1429" s="36">
        <f>IF(ISBLANK(H1430), "", Long0[[#This Row],[Adj Close]]/H1430-1)</f>
        <v>1.3072349001982619E-2</v>
      </c>
      <c r="M1429" s="37">
        <v>35093</v>
      </c>
      <c r="N1429">
        <v>27.809443000000002</v>
      </c>
      <c r="O1429" s="36">
        <f>IF(ISBLANK(N1430),"",Long2[[#This Row],[Adj Close]]/N1430-1)</f>
        <v>4.4218331539239486E-2</v>
      </c>
      <c r="P1429" s="29">
        <v>35093</v>
      </c>
      <c r="Q1429">
        <v>3.191354</v>
      </c>
      <c r="R1429" s="33">
        <f>IF(ISBLANK(Q1430),"",Long3[[#This Row],[Adj Close]]/Q1430-1)</f>
        <v>9.9505967098441062E-3</v>
      </c>
      <c r="AK1429" s="37">
        <v>35093</v>
      </c>
      <c r="AL1429" s="39">
        <v>1.120031</v>
      </c>
      <c r="AM1429" s="36">
        <f>IF(ISBLANK(AL1430),"",Short1[[#This Row],[Adj Close]]/AL1430-1)</f>
        <v>0.14285728862572156</v>
      </c>
      <c r="AN1429" s="29">
        <v>35093</v>
      </c>
      <c r="AO1429" s="44">
        <v>3.6395520000000001</v>
      </c>
      <c r="AP1429" s="33">
        <f>IF(ISBLANK(AO1430),"",Short2[[#This Row],[Adj Close]]/AO1430-1)</f>
        <v>9.6158327249002973E-3</v>
      </c>
    </row>
    <row r="1430" spans="1:42" x14ac:dyDescent="0.25">
      <c r="A1430" s="37">
        <v>35086</v>
      </c>
      <c r="B1430" s="39">
        <v>621.61999500000002</v>
      </c>
      <c r="C1430" s="36">
        <f>IF(ISBLANK(B1431), "", GSPC[[#This Row],[Adj Close]]/B1431-1)</f>
        <v>1.6001140395176083E-2</v>
      </c>
      <c r="D143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3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30" s="11" t="e">
        <f>IF(ISBLANK(GSPC[[#This Row],[Long Exp.]]), "", (GSPC[[#This Row],[Long Exp.]]/D1431-1)+(E1431/GSPC[[#This Row],[Short Exp.]]-1))</f>
        <v>#VALUE!</v>
      </c>
      <c r="G1430" s="37">
        <v>35086</v>
      </c>
      <c r="H1430">
        <v>7.1328420000000001</v>
      </c>
      <c r="I1430" s="36">
        <f>IF(ISBLANK(H1431), "", Long0[[#This Row],[Adj Close]]/H1431-1)</f>
        <v>-5.5555813015240263E-2</v>
      </c>
      <c r="M1430" s="37">
        <v>35086</v>
      </c>
      <c r="N1430">
        <v>26.631827999999999</v>
      </c>
      <c r="O1430" s="36">
        <f>IF(ISBLANK(N1431),"",Long2[[#This Row],[Adj Close]]/N1431-1)</f>
        <v>3.157862607341877E-2</v>
      </c>
      <c r="P1430" s="29">
        <v>35086</v>
      </c>
      <c r="Q1430">
        <v>3.1599110000000001</v>
      </c>
      <c r="R1430" s="33">
        <f>IF(ISBLANK(Q1431),"",Long3[[#This Row],[Adj Close]]/Q1431-1)</f>
        <v>-1.4706235432598191E-2</v>
      </c>
      <c r="AK1430" s="37">
        <v>35086</v>
      </c>
      <c r="AL1430" s="39">
        <v>0.98002699999999998</v>
      </c>
      <c r="AM1430" s="36">
        <f>IF(ISBLANK(AL1431),"",Short1[[#This Row],[Adj Close]]/AL1431-1)</f>
        <v>2.7523233966885385E-2</v>
      </c>
      <c r="AN1430" s="29">
        <v>35086</v>
      </c>
      <c r="AO1430" s="44">
        <v>3.6048879999999999</v>
      </c>
      <c r="AP1430" s="33">
        <f>IF(ISBLANK(AO1431),"",Short2[[#This Row],[Adj Close]]/AO1431-1)</f>
        <v>4.5226212246372466E-2</v>
      </c>
    </row>
    <row r="1431" spans="1:42" x14ac:dyDescent="0.25">
      <c r="A1431" s="37">
        <v>35079</v>
      </c>
      <c r="B1431" s="39">
        <v>611.830017</v>
      </c>
      <c r="C1431" s="36">
        <f>IF(ISBLANK(B1432), "", GSPC[[#This Row],[Adj Close]]/B1432-1)</f>
        <v>1.6649804810986213E-2</v>
      </c>
      <c r="D143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3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31" s="11" t="e">
        <f>IF(ISBLANK(GSPC[[#This Row],[Long Exp.]]), "", (GSPC[[#This Row],[Long Exp.]]/D1432-1)+(E1432/GSPC[[#This Row],[Short Exp.]]-1))</f>
        <v>#VALUE!</v>
      </c>
      <c r="G1431" s="37">
        <v>35079</v>
      </c>
      <c r="H1431">
        <v>7.5524230000000001</v>
      </c>
      <c r="I1431" s="36">
        <f>IF(ISBLANK(H1432), "", Long0[[#This Row],[Adj Close]]/H1432-1)</f>
        <v>-6.3583600735997892E-2</v>
      </c>
      <c r="M1431" s="37">
        <v>35079</v>
      </c>
      <c r="N1431">
        <v>25.816576000000001</v>
      </c>
      <c r="O1431" s="36">
        <f>IF(ISBLANK(N1432),"",Long2[[#This Row],[Adj Close]]/N1432-1)</f>
        <v>-9.5238307181539805E-2</v>
      </c>
      <c r="P1431" s="29">
        <v>35079</v>
      </c>
      <c r="Q1431">
        <v>3.2070750000000001</v>
      </c>
      <c r="R1431" s="33">
        <f>IF(ISBLANK(Q1432),"",Long3[[#This Row],[Adj Close]]/Q1432-1)</f>
        <v>2.0000706064425611E-2</v>
      </c>
      <c r="AK1431" s="37">
        <v>35079</v>
      </c>
      <c r="AL1431" s="39">
        <v>0.95377599999999996</v>
      </c>
      <c r="AM1431" s="36">
        <f>IF(ISBLANK(AL1432),"",Short1[[#This Row],[Adj Close]]/AL1432-1)</f>
        <v>9.2590045141613952E-3</v>
      </c>
      <c r="AN1431" s="29">
        <v>35079</v>
      </c>
      <c r="AO1431" s="44">
        <v>3.4489070000000002</v>
      </c>
      <c r="AP1431" s="33">
        <f>IF(ISBLANK(AO1432),"",Short2[[#This Row],[Adj Close]]/AO1432-1)</f>
        <v>3.108772972515661E-2</v>
      </c>
    </row>
    <row r="1432" spans="1:42" x14ac:dyDescent="0.25">
      <c r="A1432" s="37">
        <v>35072</v>
      </c>
      <c r="B1432" s="39">
        <v>601.80999799999995</v>
      </c>
      <c r="C1432" s="36">
        <f>IF(ISBLANK(B1433), "", GSPC[[#This Row],[Adj Close]]/B1433-1)</f>
        <v>-2.4160502454101618E-2</v>
      </c>
      <c r="D143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3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32" s="11" t="e">
        <f>IF(ISBLANK(GSPC[[#This Row],[Long Exp.]]), "", (GSPC[[#This Row],[Long Exp.]]/D1433-1)+(E1433/GSPC[[#This Row],[Short Exp.]]-1))</f>
        <v>#VALUE!</v>
      </c>
      <c r="G1432" s="37">
        <v>35072</v>
      </c>
      <c r="H1432">
        <v>8.0652399999999993</v>
      </c>
      <c r="I1432" s="36">
        <f>IF(ISBLANK(H1433), "", Long0[[#This Row],[Adj Close]]/H1433-1)</f>
        <v>1.1695555056865814E-2</v>
      </c>
      <c r="M1432" s="37">
        <v>35072</v>
      </c>
      <c r="N1432">
        <v>28.534116999999998</v>
      </c>
      <c r="O1432" s="36">
        <f>IF(ISBLANK(N1433),"",Long2[[#This Row],[Adj Close]]/N1433-1)</f>
        <v>-1.8691319123273376E-2</v>
      </c>
      <c r="P1432" s="29">
        <v>35072</v>
      </c>
      <c r="Q1432">
        <v>3.1441889999999999</v>
      </c>
      <c r="R1432" s="33">
        <f>IF(ISBLANK(Q1433),"",Long3[[#This Row],[Adj Close]]/Q1433-1)</f>
        <v>-1.4778993493044013E-2</v>
      </c>
      <c r="AK1432" s="37">
        <v>35072</v>
      </c>
      <c r="AL1432" s="39">
        <v>0.94502600000000003</v>
      </c>
      <c r="AM1432" s="36">
        <f>IF(ISBLANK(AL1433),"",Short1[[#This Row],[Adj Close]]/AL1433-1)</f>
        <v>-0.13599992685914897</v>
      </c>
      <c r="AN1432" s="29">
        <v>35072</v>
      </c>
      <c r="AO1432" s="44">
        <v>3.3449209999999998</v>
      </c>
      <c r="AP1432" s="33">
        <f>IF(ISBLANK(AO1433),"",Short2[[#This Row],[Adj Close]]/AO1433-1)</f>
        <v>-5.3921524260344356E-2</v>
      </c>
    </row>
    <row r="1433" spans="1:42" x14ac:dyDescent="0.25">
      <c r="A1433" s="37">
        <v>35065</v>
      </c>
      <c r="B1433" s="39">
        <v>616.71002199999998</v>
      </c>
      <c r="C1433" s="36">
        <f>IF(ISBLANK(B1434), "", GSPC[[#This Row],[Adj Close]]/B1434-1)</f>
        <v>1.2664247704528009E-3</v>
      </c>
      <c r="D143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3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33" s="11" t="e">
        <f>IF(ISBLANK(GSPC[[#This Row],[Long Exp.]]), "", (GSPC[[#This Row],[Long Exp.]]/D1434-1)+(E1434/GSPC[[#This Row],[Short Exp.]]-1))</f>
        <v>#VALUE!</v>
      </c>
      <c r="G1433" s="37">
        <v>35065</v>
      </c>
      <c r="H1433">
        <v>7.972003</v>
      </c>
      <c r="I1433" s="36">
        <f>IF(ISBLANK(H1434), "", Long0[[#This Row],[Adj Close]]/H1434-1)</f>
        <v>-8.8866251513507799E-2</v>
      </c>
      <c r="M1433" s="37">
        <v>35065</v>
      </c>
      <c r="N1433">
        <v>29.077615999999999</v>
      </c>
      <c r="O1433" s="36">
        <f>IF(ISBLANK(N1434),"",Long2[[#This Row],[Adj Close]]/N1434-1)</f>
        <v>-1.5337611118847017E-2</v>
      </c>
      <c r="P1433" s="29">
        <v>35065</v>
      </c>
      <c r="Q1433">
        <v>3.191354</v>
      </c>
      <c r="R1433" s="33">
        <f>IF(ISBLANK(Q1434),"",Long3[[#This Row],[Adj Close]]/Q1434-1)</f>
        <v>1.5000688571838339E-2</v>
      </c>
      <c r="AK1433" s="37">
        <v>35065</v>
      </c>
      <c r="AL1433" s="39">
        <v>1.09378</v>
      </c>
      <c r="AM1433" s="36">
        <f>IF(ISBLANK(AL1434),"",Short1[[#This Row],[Adj Close]]/AL1434-1)</f>
        <v>-3.8461369404438339E-2</v>
      </c>
      <c r="AN1433" s="29">
        <v>35065</v>
      </c>
      <c r="AO1433" s="44">
        <v>3.5355639999999999</v>
      </c>
      <c r="AP1433" s="33">
        <f>IF(ISBLANK(AO1434),"",Short2[[#This Row],[Adj Close]]/AO1434-1)</f>
        <v>1.4925493100468756E-2</v>
      </c>
    </row>
    <row r="1434" spans="1:42" x14ac:dyDescent="0.25">
      <c r="A1434" s="37">
        <v>35058</v>
      </c>
      <c r="B1434" s="39">
        <v>615.92999299999997</v>
      </c>
      <c r="C1434" s="36">
        <f>IF(ISBLANK(B1435), "", GSPC[[#This Row],[Adj Close]]/B1435-1)</f>
        <v>6.5037681541870729E-3</v>
      </c>
      <c r="D143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3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34" s="11" t="e">
        <f>IF(ISBLANK(GSPC[[#This Row],[Long Exp.]]), "", (GSPC[[#This Row],[Long Exp.]]/D1435-1)+(E1435/GSPC[[#This Row],[Short Exp.]]-1))</f>
        <v>#VALUE!</v>
      </c>
      <c r="G1434" s="37">
        <v>35058</v>
      </c>
      <c r="H1434">
        <v>8.7495419999999999</v>
      </c>
      <c r="I1434" s="36">
        <f>IF(ISBLANK(H1435), "", Long0[[#This Row],[Adj Close]]/H1435-1)</f>
        <v>2.732233379461535E-2</v>
      </c>
      <c r="M1434" s="37">
        <v>35058</v>
      </c>
      <c r="N1434">
        <v>29.530543999999999</v>
      </c>
      <c r="O1434" s="36">
        <f>IF(ISBLANK(N1435),"",Long2[[#This Row],[Adj Close]]/N1435-1)</f>
        <v>6.1889085660579379E-2</v>
      </c>
      <c r="P1434" s="29">
        <v>35058</v>
      </c>
      <c r="Q1434">
        <v>3.1441889999999999</v>
      </c>
      <c r="R1434" s="33">
        <f>IF(ISBLANK(Q1435),"",Long3[[#This Row],[Adj Close]]/Q1435-1)</f>
        <v>5.0248220455437753E-3</v>
      </c>
      <c r="AK1434" s="37">
        <v>35058</v>
      </c>
      <c r="AL1434" s="39">
        <v>1.1375310000000001</v>
      </c>
      <c r="AM1434" s="36">
        <f>IF(ISBLANK(AL1435),"",Short1[[#This Row],[Adj Close]]/AL1435-1)</f>
        <v>-3.7036880270756578E-2</v>
      </c>
      <c r="AN1434" s="29">
        <v>35058</v>
      </c>
      <c r="AO1434" s="44">
        <v>3.4835699999999998</v>
      </c>
      <c r="AP1434" s="33">
        <f>IF(ISBLANK(AO1435),"",Short2[[#This Row],[Adj Close]]/AO1435-1)</f>
        <v>2.030463543184502E-2</v>
      </c>
    </row>
    <row r="1435" spans="1:42" x14ac:dyDescent="0.25">
      <c r="A1435" s="37">
        <v>35051</v>
      </c>
      <c r="B1435" s="39">
        <v>611.95001200000002</v>
      </c>
      <c r="C1435" s="36">
        <f>IF(ISBLANK(B1436), "", GSPC[[#This Row],[Adj Close]]/B1436-1)</f>
        <v>-7.1227160458295913E-3</v>
      </c>
      <c r="D143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3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35" s="11" t="e">
        <f>IF(ISBLANK(GSPC[[#This Row],[Long Exp.]]), "", (GSPC[[#This Row],[Long Exp.]]/D1436-1)+(E1436/GSPC[[#This Row],[Short Exp.]]-1))</f>
        <v>#VALUE!</v>
      </c>
      <c r="G1435" s="37">
        <v>35051</v>
      </c>
      <c r="H1435">
        <v>8.5168420000000005</v>
      </c>
      <c r="I1435" s="36">
        <f>IF(ISBLANK(H1436), "", Long0[[#This Row],[Adj Close]]/H1436-1)</f>
        <v>-1.6128877609452585E-2</v>
      </c>
      <c r="M1435" s="37">
        <v>35051</v>
      </c>
      <c r="N1435">
        <v>27.809443000000002</v>
      </c>
      <c r="O1435" s="36">
        <f>IF(ISBLANK(N1436),"",Long2[[#This Row],[Adj Close]]/N1436-1)</f>
        <v>2.542394349074506E-2</v>
      </c>
      <c r="P1435" s="29">
        <v>35051</v>
      </c>
      <c r="Q1435">
        <v>3.1284689999999999</v>
      </c>
      <c r="R1435" s="33">
        <f>IF(ISBLANK(Q1436),"",Long3[[#This Row],[Adj Close]]/Q1436-1)</f>
        <v>-9.9502802452348105E-3</v>
      </c>
      <c r="AK1435" s="37">
        <v>35051</v>
      </c>
      <c r="AL1435" s="39">
        <v>1.1812819999999999</v>
      </c>
      <c r="AM1435" s="36">
        <f>IF(ISBLANK(AL1436),"",Short1[[#This Row],[Adj Close]]/AL1436-1)</f>
        <v>-1.4598972457901094E-2</v>
      </c>
      <c r="AN1435" s="29">
        <v>35051</v>
      </c>
      <c r="AO1435" s="44">
        <v>3.4142450000000002</v>
      </c>
      <c r="AP1435" s="33">
        <f>IF(ISBLANK(AO1436),"",Short2[[#This Row],[Adj Close]]/AO1436-1)</f>
        <v>3.1413251954001353E-2</v>
      </c>
    </row>
    <row r="1436" spans="1:42" x14ac:dyDescent="0.25">
      <c r="A1436" s="37">
        <v>35044</v>
      </c>
      <c r="B1436" s="39">
        <v>616.34002699999996</v>
      </c>
      <c r="C1436" s="36">
        <f>IF(ISBLANK(B1437), "", GSPC[[#This Row],[Adj Close]]/B1437-1)</f>
        <v>-1.8461375865174157E-3</v>
      </c>
      <c r="D143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3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36" s="11" t="e">
        <f>IF(ISBLANK(GSPC[[#This Row],[Long Exp.]]), "", (GSPC[[#This Row],[Long Exp.]]/D1437-1)+(E1437/GSPC[[#This Row],[Short Exp.]]-1))</f>
        <v>#VALUE!</v>
      </c>
      <c r="G1436" s="37">
        <v>35044</v>
      </c>
      <c r="H1436">
        <v>8.6564610000000002</v>
      </c>
      <c r="I1436" s="36">
        <f>IF(ISBLANK(H1437), "", Long0[[#This Row],[Adj Close]]/H1437-1)</f>
        <v>-4.6153739355335288E-2</v>
      </c>
      <c r="M1436" s="37">
        <v>35044</v>
      </c>
      <c r="N1436">
        <v>27.119947</v>
      </c>
      <c r="O1436" s="36">
        <f>IF(ISBLANK(N1437),"",Long2[[#This Row],[Adj Close]]/N1437-1)</f>
        <v>-5.063293886564757E-2</v>
      </c>
      <c r="P1436" s="29">
        <v>35044</v>
      </c>
      <c r="Q1436">
        <v>3.1599110000000001</v>
      </c>
      <c r="R1436" s="33">
        <f>IF(ISBLANK(Q1437),"",Long3[[#This Row],[Adj Close]]/Q1437-1)</f>
        <v>3.2413131096636683E-2</v>
      </c>
      <c r="AK1436" s="37">
        <v>35044</v>
      </c>
      <c r="AL1436" s="39">
        <v>1.1987829999999999</v>
      </c>
      <c r="AM1436" s="36">
        <f>IF(ISBLANK(AL1437),"",Short1[[#This Row],[Adj Close]]/AL1437-1)</f>
        <v>-0.13836459453398586</v>
      </c>
      <c r="AN1436" s="29">
        <v>35044</v>
      </c>
      <c r="AO1436" s="44">
        <v>3.3102589999999998</v>
      </c>
      <c r="AP1436" s="33">
        <f>IF(ISBLANK(AO1437),"",Short2[[#This Row],[Adj Close]]/AO1437-1)</f>
        <v>-2.5510205583595735E-2</v>
      </c>
    </row>
    <row r="1437" spans="1:42" x14ac:dyDescent="0.25">
      <c r="A1437" s="37">
        <v>35037</v>
      </c>
      <c r="B1437" s="39">
        <v>617.47997999999995</v>
      </c>
      <c r="C1437" s="36">
        <f>IF(ISBLANK(B1438), "", GSPC[[#This Row],[Adj Close]]/B1438-1)</f>
        <v>1.7298758354435284E-2</v>
      </c>
      <c r="D143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3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37" s="11" t="e">
        <f>IF(ISBLANK(GSPC[[#This Row],[Long Exp.]]), "", (GSPC[[#This Row],[Long Exp.]]/D1438-1)+(E1438/GSPC[[#This Row],[Short Exp.]]-1))</f>
        <v>#VALUE!</v>
      </c>
      <c r="G1437" s="37">
        <v>35037</v>
      </c>
      <c r="H1437">
        <v>9.0753210000000006</v>
      </c>
      <c r="I1437" s="36">
        <f>IF(ISBLANK(H1438), "", Long0[[#This Row],[Adj Close]]/H1438-1)</f>
        <v>4.2780645434833398E-2</v>
      </c>
      <c r="M1437" s="37">
        <v>35037</v>
      </c>
      <c r="N1437">
        <v>28.566344999999998</v>
      </c>
      <c r="O1437" s="36">
        <f>IF(ISBLANK(N1438),"",Long2[[#This Row],[Adj Close]]/N1438-1)</f>
        <v>1.6077165728841658E-2</v>
      </c>
      <c r="P1437" s="29">
        <v>35037</v>
      </c>
      <c r="Q1437">
        <v>3.0607039999999999</v>
      </c>
      <c r="R1437" s="33">
        <f>IF(ISBLANK(Q1438),"",Long3[[#This Row],[Adj Close]]/Q1438-1)</f>
        <v>-5.0247695097883627E-3</v>
      </c>
      <c r="AK1437" s="37">
        <v>35037</v>
      </c>
      <c r="AL1437" s="39">
        <v>1.3912880000000001</v>
      </c>
      <c r="AM1437" s="36">
        <f>IF(ISBLANK(AL1438),"",Short1[[#This Row],[Adj Close]]/AL1438-1)</f>
        <v>-2.4539907410068951E-2</v>
      </c>
      <c r="AN1437" s="29">
        <v>35037</v>
      </c>
      <c r="AO1437" s="44">
        <v>3.3969149999999999</v>
      </c>
      <c r="AP1437" s="33">
        <f>IF(ISBLANK(AO1438),"",Short2[[#This Row],[Adj Close]]/AO1438-1)</f>
        <v>0.1073454339194555</v>
      </c>
    </row>
    <row r="1438" spans="1:42" x14ac:dyDescent="0.25">
      <c r="A1438" s="37">
        <v>35030</v>
      </c>
      <c r="B1438" s="39">
        <v>606.97997999999995</v>
      </c>
      <c r="C1438" s="36">
        <f>IF(ISBLANK(B1439), "", GSPC[[#This Row],[Adj Close]]/B1439-1)</f>
        <v>1.1683933094711385E-2</v>
      </c>
      <c r="D143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3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38" s="11" t="e">
        <f>IF(ISBLANK(GSPC[[#This Row],[Long Exp.]]), "", (GSPC[[#This Row],[Long Exp.]]/D1439-1)+(E1439/GSPC[[#This Row],[Short Exp.]]-1))</f>
        <v>#VALUE!</v>
      </c>
      <c r="G1438" s="37">
        <v>35030</v>
      </c>
      <c r="H1438">
        <v>8.7030010000000004</v>
      </c>
      <c r="I1438" s="36">
        <f>IF(ISBLANK(H1439), "", Long0[[#This Row],[Adj Close]]/H1439-1)</f>
        <v>7.4712317216807822E-2</v>
      </c>
      <c r="M1438" s="37">
        <v>35030</v>
      </c>
      <c r="N1438">
        <v>28.114346000000001</v>
      </c>
      <c r="O1438" s="36">
        <f>IF(ISBLANK(N1439),"",Long2[[#This Row],[Adj Close]]/N1439-1)</f>
        <v>1.3029122301096541E-2</v>
      </c>
      <c r="P1438" s="29">
        <v>35030</v>
      </c>
      <c r="Q1438">
        <v>3.0761609999999999</v>
      </c>
      <c r="R1438" s="33">
        <f>IF(ISBLANK(Q1439),"",Long3[[#This Row],[Adj Close]]/Q1439-1)</f>
        <v>-3.8647113514020393E-2</v>
      </c>
      <c r="AK1438" s="37">
        <v>35030</v>
      </c>
      <c r="AL1438" s="39">
        <v>1.4262889999999999</v>
      </c>
      <c r="AM1438" s="36">
        <f>IF(ISBLANK(AL1439),"",Short1[[#This Row],[Adj Close]]/AL1439-1)</f>
        <v>-0.12365618154951175</v>
      </c>
      <c r="AN1438" s="29">
        <v>35030</v>
      </c>
      <c r="AO1438" s="44">
        <v>3.0676199999999998</v>
      </c>
      <c r="AP1438" s="33">
        <f>IF(ISBLANK(AO1439),"",Short2[[#This Row],[Adj Close]]/AO1439-1)</f>
        <v>1.1427780122388542E-2</v>
      </c>
    </row>
    <row r="1439" spans="1:42" x14ac:dyDescent="0.25">
      <c r="A1439" s="37">
        <v>35023</v>
      </c>
      <c r="B1439" s="39">
        <v>599.96997099999999</v>
      </c>
      <c r="C1439" s="36">
        <f>IF(ISBLANK(B1440), "", GSPC[[#This Row],[Adj Close]]/B1440-1)</f>
        <v>-1.6670721554667978E-4</v>
      </c>
      <c r="D143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3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39" s="11" t="e">
        <f>IF(ISBLANK(GSPC[[#This Row],[Long Exp.]]), "", (GSPC[[#This Row],[Long Exp.]]/D1440-1)+(E1440/GSPC[[#This Row],[Short Exp.]]-1))</f>
        <v>#VALUE!</v>
      </c>
      <c r="G1439" s="37">
        <v>35023</v>
      </c>
      <c r="H1439">
        <v>8.097982</v>
      </c>
      <c r="I1439" s="36">
        <f>IF(ISBLANK(H1440), "", Long0[[#This Row],[Adj Close]]/H1440-1)</f>
        <v>1.7544066868048214E-2</v>
      </c>
      <c r="M1439" s="37">
        <v>35023</v>
      </c>
      <c r="N1439">
        <v>27.752752000000001</v>
      </c>
      <c r="O1439" s="36">
        <f>IF(ISBLANK(N1440),"",Long2[[#This Row],[Adj Close]]/N1440-1)</f>
        <v>6.0449120436083748E-2</v>
      </c>
      <c r="P1439" s="29">
        <v>35023</v>
      </c>
      <c r="Q1439">
        <v>3.1998250000000001</v>
      </c>
      <c r="R1439" s="33">
        <f>IF(ISBLANK(Q1440),"",Long3[[#This Row],[Adj Close]]/Q1440-1)</f>
        <v>0.10106354791712135</v>
      </c>
      <c r="AK1439" s="37">
        <v>35023</v>
      </c>
      <c r="AL1439" s="39">
        <v>1.627545</v>
      </c>
      <c r="AM1439" s="36">
        <f>IF(ISBLANK(AL1440),"",Short1[[#This Row],[Adj Close]]/AL1440-1)</f>
        <v>6.8965585185827294E-2</v>
      </c>
      <c r="AN1439" s="29">
        <v>35023</v>
      </c>
      <c r="AO1439" s="44">
        <v>3.0329600000000001</v>
      </c>
      <c r="AP1439" s="33">
        <f>IF(ISBLANK(AO1440),"",Short2[[#This Row],[Adj Close]]/AO1440-1)</f>
        <v>2.3391881928779945E-2</v>
      </c>
    </row>
    <row r="1440" spans="1:42" x14ac:dyDescent="0.25">
      <c r="A1440" s="37">
        <v>35016</v>
      </c>
      <c r="B1440" s="39">
        <v>600.07000700000003</v>
      </c>
      <c r="C1440" s="36">
        <f>IF(ISBLANK(B1441), "", GSPC[[#This Row],[Adj Close]]/B1441-1)</f>
        <v>1.2400520244997937E-2</v>
      </c>
      <c r="D144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4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40" s="11" t="e">
        <f>IF(ISBLANK(GSPC[[#This Row],[Long Exp.]]), "", (GSPC[[#This Row],[Long Exp.]]/D1441-1)+(E1441/GSPC[[#This Row],[Short Exp.]]-1))</f>
        <v>#VALUE!</v>
      </c>
      <c r="G1440" s="37">
        <v>35016</v>
      </c>
      <c r="H1440">
        <v>7.9583599999999999</v>
      </c>
      <c r="I1440" s="36">
        <f>IF(ISBLANK(H1441), "", Long0[[#This Row],[Adj Close]]/H1441-1)</f>
        <v>5.8824652080640139E-3</v>
      </c>
      <c r="M1440" s="37">
        <v>35016</v>
      </c>
      <c r="N1440">
        <v>26.170753000000001</v>
      </c>
      <c r="O1440" s="36">
        <f>IF(ISBLANK(N1441),"",Long2[[#This Row],[Adj Close]]/N1441-1)</f>
        <v>-3.0150985989735202E-2</v>
      </c>
      <c r="P1440" s="29">
        <v>35016</v>
      </c>
      <c r="Q1440">
        <v>2.9061219999999999</v>
      </c>
      <c r="R1440" s="33">
        <f>IF(ISBLANK(Q1441),"",Long3[[#This Row],[Adj Close]]/Q1441-1)</f>
        <v>2.1739352084123587E-2</v>
      </c>
      <c r="AK1440" s="37">
        <v>35016</v>
      </c>
      <c r="AL1440" s="39">
        <v>1.5225420000000001</v>
      </c>
      <c r="AM1440" s="36">
        <f>IF(ISBLANK(AL1441),"",Short1[[#This Row],[Adj Close]]/AL1441-1)</f>
        <v>-2.2471931754051044E-2</v>
      </c>
      <c r="AN1440" s="29">
        <v>35016</v>
      </c>
      <c r="AO1440" s="44">
        <v>2.963635</v>
      </c>
      <c r="AP1440" s="33">
        <f>IF(ISBLANK(AO1441),"",Short2[[#This Row],[Adj Close]]/AO1441-1)</f>
        <v>-5.5248019968472506E-2</v>
      </c>
    </row>
    <row r="1441" spans="1:42" x14ac:dyDescent="0.25">
      <c r="A1441" s="37">
        <v>35009</v>
      </c>
      <c r="B1441" s="39">
        <v>592.71997099999999</v>
      </c>
      <c r="C1441" s="36">
        <f>IF(ISBLANK(B1442), "", GSPC[[#This Row],[Adj Close]]/B1442-1)</f>
        <v>3.640489653244261E-3</v>
      </c>
      <c r="D144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4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41" s="11" t="e">
        <f>IF(ISBLANK(GSPC[[#This Row],[Long Exp.]]), "", (GSPC[[#This Row],[Long Exp.]]/D1442-1)+(E1442/GSPC[[#This Row],[Short Exp.]]-1))</f>
        <v>#VALUE!</v>
      </c>
      <c r="G1441" s="37">
        <v>35009</v>
      </c>
      <c r="H1441">
        <v>7.9118190000000004</v>
      </c>
      <c r="I1441" s="36">
        <f>IF(ISBLANK(H1442), "", Long0[[#This Row],[Adj Close]]/H1442-1)</f>
        <v>7.5949170846060676E-2</v>
      </c>
      <c r="M1441" s="37">
        <v>35009</v>
      </c>
      <c r="N1441">
        <v>26.984358</v>
      </c>
      <c r="O1441" s="36">
        <f>IF(ISBLANK(N1442),"",Long2[[#This Row],[Adj Close]]/N1442-1)</f>
        <v>3.6458750437725618E-2</v>
      </c>
      <c r="P1441" s="29">
        <v>35009</v>
      </c>
      <c r="Q1441">
        <v>2.8442889999999998</v>
      </c>
      <c r="R1441" s="33">
        <f>IF(ISBLANK(Q1442),"",Long3[[#This Row],[Adj Close]]/Q1442-1)</f>
        <v>0</v>
      </c>
      <c r="AK1441" s="37">
        <v>35009</v>
      </c>
      <c r="AL1441" s="39">
        <v>1.5575429999999999</v>
      </c>
      <c r="AM1441" s="36">
        <f>IF(ISBLANK(AL1442),"",Short1[[#This Row],[Adj Close]]/AL1442-1)</f>
        <v>-4.3010792328322833E-2</v>
      </c>
      <c r="AN1441" s="29">
        <v>35009</v>
      </c>
      <c r="AO1441" s="44">
        <v>3.1369449999999999</v>
      </c>
      <c r="AP1441" s="33">
        <f>IF(ISBLANK(AO1442),"",Short2[[#This Row],[Adj Close]]/AO1442-1)</f>
        <v>-4.4004557558214863E-3</v>
      </c>
    </row>
    <row r="1442" spans="1:42" x14ac:dyDescent="0.25">
      <c r="A1442" s="37">
        <v>35002</v>
      </c>
      <c r="B1442" s="39">
        <v>590.57000700000003</v>
      </c>
      <c r="C1442" s="36">
        <f>IF(ISBLANK(B1443), "", GSPC[[#This Row],[Adj Close]]/B1443-1)</f>
        <v>1.8751069130562792E-2</v>
      </c>
      <c r="D144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4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42" s="11" t="e">
        <f>IF(ISBLANK(GSPC[[#This Row],[Long Exp.]]), "", (GSPC[[#This Row],[Long Exp.]]/D1443-1)+(E1443/GSPC[[#This Row],[Short Exp.]]-1))</f>
        <v>#VALUE!</v>
      </c>
      <c r="G1442" s="37">
        <v>35002</v>
      </c>
      <c r="H1442">
        <v>7.3533390000000001</v>
      </c>
      <c r="I1442" s="36">
        <f>IF(ISBLANK(H1443), "", Long0[[#This Row],[Adj Close]]/H1443-1)</f>
        <v>3.2680086441716716E-2</v>
      </c>
      <c r="M1442" s="37">
        <v>35002</v>
      </c>
      <c r="N1442">
        <v>26.035149000000001</v>
      </c>
      <c r="O1442" s="36">
        <f>IF(ISBLANK(N1443),"",Long2[[#This Row],[Adj Close]]/N1443-1)</f>
        <v>5.1094444060012068E-2</v>
      </c>
      <c r="P1442" s="29">
        <v>35002</v>
      </c>
      <c r="Q1442">
        <v>2.8442889999999998</v>
      </c>
      <c r="R1442" s="33">
        <f>IF(ISBLANK(Q1443),"",Long3[[#This Row],[Adj Close]]/Q1443-1)</f>
        <v>1.657375826373686E-2</v>
      </c>
      <c r="AK1442" s="37">
        <v>35002</v>
      </c>
      <c r="AL1442" s="39">
        <v>1.627545</v>
      </c>
      <c r="AM1442" s="36">
        <f>IF(ISBLANK(AL1443),"",Short1[[#This Row],[Adj Close]]/AL1443-1)</f>
        <v>6.2857377952735272E-2</v>
      </c>
      <c r="AN1442" s="29">
        <v>35002</v>
      </c>
      <c r="AO1442" s="44">
        <v>3.1508099999999999</v>
      </c>
      <c r="AP1442" s="33">
        <f>IF(ISBLANK(AO1443),"",Short2[[#This Row],[Adj Close]]/AO1443-1)</f>
        <v>2.2471056904870279E-2</v>
      </c>
    </row>
    <row r="1443" spans="1:42" x14ac:dyDescent="0.25">
      <c r="A1443" s="37">
        <v>34995</v>
      </c>
      <c r="B1443" s="39">
        <v>579.70001200000002</v>
      </c>
      <c r="C1443" s="36">
        <f>IF(ISBLANK(B1444), "", GSPC[[#This Row],[Adj Close]]/B1444-1)</f>
        <v>-1.3209426530134127E-2</v>
      </c>
      <c r="D144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4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43" s="11" t="e">
        <f>IF(ISBLANK(GSPC[[#This Row],[Long Exp.]]), "", (GSPC[[#This Row],[Long Exp.]]/D1444-1)+(E1444/GSPC[[#This Row],[Short Exp.]]-1))</f>
        <v>#VALUE!</v>
      </c>
      <c r="G1443" s="37">
        <v>34995</v>
      </c>
      <c r="H1443">
        <v>7.1206360000000002</v>
      </c>
      <c r="I1443" s="36">
        <f>IF(ISBLANK(H1444), "", Long0[[#This Row],[Adj Close]]/H1444-1)</f>
        <v>1.9999515829995707E-2</v>
      </c>
      <c r="M1443" s="37">
        <v>34995</v>
      </c>
      <c r="N1443">
        <v>24.769562000000001</v>
      </c>
      <c r="O1443" s="36">
        <f>IF(ISBLANK(N1444),"",Long2[[#This Row],[Adj Close]]/N1444-1)</f>
        <v>-3.5210868773504211E-2</v>
      </c>
      <c r="P1443" s="29">
        <v>34995</v>
      </c>
      <c r="Q1443">
        <v>2.797917</v>
      </c>
      <c r="R1443" s="33">
        <f>IF(ISBLANK(Q1444),"",Long3[[#This Row],[Adj Close]]/Q1444-1)</f>
        <v>-3.7233467831013223E-2</v>
      </c>
      <c r="AK1443" s="37">
        <v>34995</v>
      </c>
      <c r="AL1443" s="39">
        <v>1.5312920000000001</v>
      </c>
      <c r="AM1443" s="36">
        <f>IF(ISBLANK(AL1444),"",Short1[[#This Row],[Adj Close]]/AL1444-1)</f>
        <v>-6.9148868268041341E-2</v>
      </c>
      <c r="AN1443" s="29">
        <v>34995</v>
      </c>
      <c r="AO1443" s="44">
        <v>3.0815640000000002</v>
      </c>
      <c r="AP1443" s="33">
        <f>IF(ISBLANK(AO1444),"",Short2[[#This Row],[Adj Close]]/AO1444-1)</f>
        <v>-3.2608105329413384E-2</v>
      </c>
    </row>
    <row r="1444" spans="1:42" x14ac:dyDescent="0.25">
      <c r="A1444" s="37">
        <v>34988</v>
      </c>
      <c r="B1444" s="39">
        <v>587.46002199999998</v>
      </c>
      <c r="C1444" s="36">
        <f>IF(ISBLANK(B1445), "", GSPC[[#This Row],[Adj Close]]/B1445-1)</f>
        <v>5.0641950384944234E-3</v>
      </c>
      <c r="D144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4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44" s="11" t="e">
        <f>IF(ISBLANK(GSPC[[#This Row],[Long Exp.]]), "", (GSPC[[#This Row],[Long Exp.]]/D1445-1)+(E1445/GSPC[[#This Row],[Short Exp.]]-1))</f>
        <v>#VALUE!</v>
      </c>
      <c r="G1444" s="37">
        <v>34988</v>
      </c>
      <c r="H1444">
        <v>6.9810189999999999</v>
      </c>
      <c r="I1444" s="36">
        <f>IF(ISBLANK(H1445), "", Long0[[#This Row],[Adj Close]]/H1445-1)</f>
        <v>-3.8461702685344212E-2</v>
      </c>
      <c r="M1444" s="37">
        <v>34988</v>
      </c>
      <c r="N1444">
        <v>25.673549999999999</v>
      </c>
      <c r="O1444" s="36">
        <f>IF(ISBLANK(N1445),"",Long2[[#This Row],[Adj Close]]/N1445-1)</f>
        <v>0</v>
      </c>
      <c r="P1444" s="29">
        <v>34988</v>
      </c>
      <c r="Q1444">
        <v>2.9061219999999999</v>
      </c>
      <c r="R1444" s="33">
        <f>IF(ISBLANK(Q1445),"",Long3[[#This Row],[Adj Close]]/Q1445-1)</f>
        <v>-5.2913131622913667E-3</v>
      </c>
      <c r="AK1444" s="37">
        <v>34988</v>
      </c>
      <c r="AL1444" s="39">
        <v>1.6450450000000001</v>
      </c>
      <c r="AM1444" s="36">
        <f>IF(ISBLANK(AL1445),"",Short1[[#This Row],[Adj Close]]/AL1445-1)</f>
        <v>-5.0504286754868177E-2</v>
      </c>
      <c r="AN1444" s="29">
        <v>34988</v>
      </c>
      <c r="AO1444" s="44">
        <v>3.185435</v>
      </c>
      <c r="AP1444" s="33">
        <f>IF(ISBLANK(AO1445),"",Short2[[#This Row],[Adj Close]]/AO1445-1)</f>
        <v>0</v>
      </c>
    </row>
    <row r="1445" spans="1:42" x14ac:dyDescent="0.25">
      <c r="A1445" s="37">
        <v>34981</v>
      </c>
      <c r="B1445" s="39">
        <v>584.5</v>
      </c>
      <c r="C1445" s="36">
        <f>IF(ISBLANK(B1446), "", GSPC[[#This Row],[Adj Close]]/B1446-1)</f>
        <v>3.4507202432783046E-3</v>
      </c>
      <c r="D144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4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45" s="11" t="e">
        <f>IF(ISBLANK(GSPC[[#This Row],[Long Exp.]]), "", (GSPC[[#This Row],[Long Exp.]]/D1446-1)+(E1446/GSPC[[#This Row],[Short Exp.]]-1))</f>
        <v>#VALUE!</v>
      </c>
      <c r="G1445" s="37">
        <v>34981</v>
      </c>
      <c r="H1445">
        <v>7.2602609999999999</v>
      </c>
      <c r="I1445" s="36">
        <f>IF(ISBLANK(H1446), "", Long0[[#This Row],[Adj Close]]/H1446-1)</f>
        <v>1.2987540282596743E-2</v>
      </c>
      <c r="M1445" s="37">
        <v>34981</v>
      </c>
      <c r="N1445">
        <v>25.673549999999999</v>
      </c>
      <c r="O1445" s="36">
        <f>IF(ISBLANK(N1446),"",Long2[[#This Row],[Adj Close]]/N1446-1)</f>
        <v>9.8645681712736133E-2</v>
      </c>
      <c r="P1445" s="29">
        <v>34981</v>
      </c>
      <c r="Q1445">
        <v>2.9215810000000002</v>
      </c>
      <c r="R1445" s="33">
        <f>IF(ISBLANK(Q1446),"",Long3[[#This Row],[Adj Close]]/Q1446-1)</f>
        <v>1.6128925673873251E-2</v>
      </c>
      <c r="AK1445" s="37">
        <v>34981</v>
      </c>
      <c r="AL1445" s="39">
        <v>1.7325459999999999</v>
      </c>
      <c r="AM1445" s="36">
        <f>IF(ISBLANK(AL1446),"",Short1[[#This Row],[Adj Close]]/AL1446-1)</f>
        <v>4.2104724984887598E-2</v>
      </c>
      <c r="AN1445" s="29">
        <v>34981</v>
      </c>
      <c r="AO1445" s="44">
        <v>3.185435</v>
      </c>
      <c r="AP1445" s="33">
        <f>IF(ISBLANK(AO1446),"",Short2[[#This Row],[Adj Close]]/AO1446-1)</f>
        <v>0</v>
      </c>
    </row>
    <row r="1446" spans="1:42" x14ac:dyDescent="0.25">
      <c r="A1446" s="37">
        <v>34974</v>
      </c>
      <c r="B1446" s="39">
        <v>582.48999000000003</v>
      </c>
      <c r="C1446" s="36">
        <f>IF(ISBLANK(B1447), "", GSPC[[#This Row],[Adj Close]]/B1447-1)</f>
        <v>-3.2853357894355728E-3</v>
      </c>
      <c r="D144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4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46" s="11" t="e">
        <f>IF(ISBLANK(GSPC[[#This Row],[Long Exp.]]), "", (GSPC[[#This Row],[Long Exp.]]/D1447-1)+(E1447/GSPC[[#This Row],[Short Exp.]]-1))</f>
        <v>#VALUE!</v>
      </c>
      <c r="G1446" s="37">
        <v>34974</v>
      </c>
      <c r="H1446">
        <v>7.1671769999999997</v>
      </c>
      <c r="I1446" s="36">
        <f>IF(ISBLANK(H1447), "", Long0[[#This Row],[Adj Close]]/H1447-1)</f>
        <v>-4.1608437381616459E-2</v>
      </c>
      <c r="M1446" s="37">
        <v>34974</v>
      </c>
      <c r="N1446">
        <v>23.368362000000001</v>
      </c>
      <c r="O1446" s="36">
        <f>IF(ISBLANK(N1447),"",Long2[[#This Row],[Adj Close]]/N1447-1)</f>
        <v>1.9723943081539019E-2</v>
      </c>
      <c r="P1446" s="29">
        <v>34974</v>
      </c>
      <c r="Q1446">
        <v>2.8752070000000001</v>
      </c>
      <c r="R1446" s="33">
        <f>IF(ISBLANK(Q1447),"",Long3[[#This Row],[Adj Close]]/Q1447-1)</f>
        <v>-5.3475584337858706E-3</v>
      </c>
      <c r="AK1446" s="37">
        <v>34974</v>
      </c>
      <c r="AL1446" s="39">
        <v>1.6625449999999999</v>
      </c>
      <c r="AM1446" s="36">
        <f>IF(ISBLANK(AL1447),"",Short1[[#This Row],[Adj Close]]/AL1447-1)</f>
        <v>-9.5238224810209271E-2</v>
      </c>
      <c r="AN1446" s="29">
        <v>34974</v>
      </c>
      <c r="AO1446" s="44">
        <v>3.185435</v>
      </c>
      <c r="AP1446" s="33">
        <f>IF(ISBLANK(AO1447),"",Short2[[#This Row],[Adj Close]]/AO1447-1)</f>
        <v>5.7471100290341637E-2</v>
      </c>
    </row>
    <row r="1447" spans="1:42" x14ac:dyDescent="0.25">
      <c r="A1447" s="37">
        <v>34967</v>
      </c>
      <c r="B1447" s="39">
        <v>584.40997300000004</v>
      </c>
      <c r="C1447" s="36">
        <f>IF(ISBLANK(B1448), "", GSPC[[#This Row],[Adj Close]]/B1448-1)</f>
        <v>4.6069363659064777E-3</v>
      </c>
      <c r="D144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4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47" s="11" t="e">
        <f>IF(ISBLANK(GSPC[[#This Row],[Long Exp.]]), "", (GSPC[[#This Row],[Long Exp.]]/D1448-1)+(E1448/GSPC[[#This Row],[Short Exp.]]-1))</f>
        <v>#VALUE!</v>
      </c>
      <c r="G1447" s="37">
        <v>34967</v>
      </c>
      <c r="H1447">
        <v>7.4783390000000001</v>
      </c>
      <c r="I1447" s="36">
        <f>IF(ISBLANK(H1448), "", Long0[[#This Row],[Adj Close]]/H1448-1)</f>
        <v>-3.592803641185538E-2</v>
      </c>
      <c r="M1447" s="37">
        <v>34967</v>
      </c>
      <c r="N1447">
        <v>22.916360999999998</v>
      </c>
      <c r="O1447" s="36">
        <f>IF(ISBLANK(N1448),"",Long2[[#This Row],[Adj Close]]/N1448-1)</f>
        <v>-4.3396217200071252E-2</v>
      </c>
      <c r="P1447" s="29">
        <v>34967</v>
      </c>
      <c r="Q1447">
        <v>2.8906649999999998</v>
      </c>
      <c r="R1447" s="33">
        <f>IF(ISBLANK(Q1448),"",Long3[[#This Row],[Adj Close]]/Q1448-1)</f>
        <v>6.2500344589937917E-2</v>
      </c>
      <c r="AK1447" s="37">
        <v>34967</v>
      </c>
      <c r="AL1447" s="39">
        <v>1.83755</v>
      </c>
      <c r="AM1447" s="36">
        <f>IF(ISBLANK(AL1448),"",Short1[[#This Row],[Adj Close]]/AL1448-1)</f>
        <v>-4.5454852411855651E-2</v>
      </c>
      <c r="AN1447" s="29">
        <v>34967</v>
      </c>
      <c r="AO1447" s="44">
        <v>3.0123139999999999</v>
      </c>
      <c r="AP1447" s="33">
        <f>IF(ISBLANK(AO1448),"",Short2[[#This Row],[Adj Close]]/AO1448-1)</f>
        <v>6.0975798748376109E-2</v>
      </c>
    </row>
    <row r="1448" spans="1:42" x14ac:dyDescent="0.25">
      <c r="A1448" s="37">
        <v>34960</v>
      </c>
      <c r="B1448" s="39">
        <v>581.72997999999995</v>
      </c>
      <c r="C1448" s="36">
        <f>IF(ISBLANK(B1449), "", GSPC[[#This Row],[Adj Close]]/B1449-1)</f>
        <v>-2.7770567697769089E-3</v>
      </c>
      <c r="D144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4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48" s="11" t="e">
        <f>IF(ISBLANK(GSPC[[#This Row],[Long Exp.]]), "", (GSPC[[#This Row],[Long Exp.]]/D1449-1)+(E1449/GSPC[[#This Row],[Short Exp.]]-1))</f>
        <v>#VALUE!</v>
      </c>
      <c r="G1448" s="37">
        <v>34960</v>
      </c>
      <c r="H1448">
        <v>7.757034</v>
      </c>
      <c r="I1448" s="36">
        <f>IF(ISBLANK(H1449), "", Long0[[#This Row],[Adj Close]]/H1449-1)</f>
        <v>-0.10215045424714431</v>
      </c>
      <c r="M1448" s="37">
        <v>34960</v>
      </c>
      <c r="N1448">
        <v>23.955959</v>
      </c>
      <c r="O1448" s="36">
        <f>IF(ISBLANK(N1449),"",Long2[[#This Row],[Adj Close]]/N1449-1)</f>
        <v>1.4961428137400645E-2</v>
      </c>
      <c r="P1448" s="29">
        <v>34960</v>
      </c>
      <c r="Q1448">
        <v>2.7206250000000001</v>
      </c>
      <c r="R1448" s="33">
        <f>IF(ISBLANK(Q1449),"",Long3[[#This Row],[Adj Close]]/Q1449-1)</f>
        <v>0</v>
      </c>
      <c r="AK1448" s="37">
        <v>34960</v>
      </c>
      <c r="AL1448" s="39">
        <v>1.9250529999999999</v>
      </c>
      <c r="AM1448" s="36">
        <f>IF(ISBLANK(AL1449),"",Short1[[#This Row],[Adj Close]]/AL1449-1)</f>
        <v>4.5660837560657086E-3</v>
      </c>
      <c r="AN1448" s="29">
        <v>34960</v>
      </c>
      <c r="AO1448" s="44">
        <v>2.8391920000000002</v>
      </c>
      <c r="AP1448" s="33">
        <f>IF(ISBLANK(AO1449),"",Short2[[#This Row],[Adj Close]]/AO1449-1)</f>
        <v>1.2345212401620564E-2</v>
      </c>
    </row>
    <row r="1449" spans="1:42" x14ac:dyDescent="0.25">
      <c r="A1449" s="37">
        <v>34953</v>
      </c>
      <c r="B1449" s="39">
        <v>583.34997599999997</v>
      </c>
      <c r="C1449" s="36">
        <f>IF(ISBLANK(B1450), "", GSPC[[#This Row],[Adj Close]]/B1450-1)</f>
        <v>1.8631667127229301E-2</v>
      </c>
      <c r="D144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4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49" s="11" t="e">
        <f>IF(ISBLANK(GSPC[[#This Row],[Long Exp.]]), "", (GSPC[[#This Row],[Long Exp.]]/D1450-1)+(E1450/GSPC[[#This Row],[Short Exp.]]-1))</f>
        <v>#VALUE!</v>
      </c>
      <c r="G1449" s="37">
        <v>34953</v>
      </c>
      <c r="H1449">
        <v>8.6395700000000009</v>
      </c>
      <c r="I1449" s="36">
        <f>IF(ISBLANK(H1450), "", Long0[[#This Row],[Adj Close]]/H1450-1)</f>
        <v>-1.587325092380365E-2</v>
      </c>
      <c r="M1449" s="37">
        <v>34953</v>
      </c>
      <c r="N1449">
        <v>23.602827000000001</v>
      </c>
      <c r="O1449" s="36">
        <f>IF(ISBLANK(N1450),"",Long2[[#This Row],[Adj Close]]/N1450-1)</f>
        <v>3.8383712682792392E-3</v>
      </c>
      <c r="P1449" s="29">
        <v>34953</v>
      </c>
      <c r="Q1449">
        <v>2.7206250000000001</v>
      </c>
      <c r="R1449" s="33">
        <f>IF(ISBLANK(Q1450),"",Long3[[#This Row],[Adj Close]]/Q1450-1)</f>
        <v>2.5192848360200193E-2</v>
      </c>
      <c r="AK1449" s="37">
        <v>34953</v>
      </c>
      <c r="AL1449" s="39">
        <v>1.9163030000000001</v>
      </c>
      <c r="AM1449" s="36">
        <f>IF(ISBLANK(AL1450),"",Short1[[#This Row],[Adj Close]]/AL1450-1)</f>
        <v>-2.6666443180733079E-2</v>
      </c>
      <c r="AN1449" s="29">
        <v>34953</v>
      </c>
      <c r="AO1449" s="44">
        <v>2.8045689999999999</v>
      </c>
      <c r="AP1449" s="33">
        <f>IF(ISBLANK(AO1450),"",Short2[[#This Row],[Adj Close]]/AO1450-1)</f>
        <v>-1.2194666651639041E-2</v>
      </c>
    </row>
    <row r="1450" spans="1:42" x14ac:dyDescent="0.25">
      <c r="A1450" s="37">
        <v>34946</v>
      </c>
      <c r="B1450" s="39">
        <v>572.67999299999997</v>
      </c>
      <c r="C1450" s="36">
        <f>IF(ISBLANK(B1451), "", GSPC[[#This Row],[Adj Close]]/B1451-1)</f>
        <v>1.5678145531870857E-2</v>
      </c>
      <c r="D145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5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50" s="11" t="e">
        <f>IF(ISBLANK(GSPC[[#This Row],[Long Exp.]]), "", (GSPC[[#This Row],[Long Exp.]]/D1451-1)+(E1451/GSPC[[#This Row],[Short Exp.]]-1))</f>
        <v>#VALUE!</v>
      </c>
      <c r="G1450" s="37">
        <v>34946</v>
      </c>
      <c r="H1450">
        <v>8.7789199999999994</v>
      </c>
      <c r="I1450" s="36">
        <f>IF(ISBLANK(H1451), "", Long0[[#This Row],[Adj Close]]/H1451-1)</f>
        <v>5.5865906333653514E-2</v>
      </c>
      <c r="M1450" s="37">
        <v>34946</v>
      </c>
      <c r="N1450">
        <v>23.512577</v>
      </c>
      <c r="O1450" s="36">
        <f>IF(ISBLANK(N1451),"",Long2[[#This Row],[Adj Close]]/N1451-1)</f>
        <v>2.9644151767365123E-2</v>
      </c>
      <c r="P1450" s="29">
        <v>34946</v>
      </c>
      <c r="Q1450">
        <v>2.653769</v>
      </c>
      <c r="R1450" s="33">
        <f>IF(ISBLANK(Q1451),"",Long3[[#This Row],[Adj Close]]/Q1451-1)</f>
        <v>-1.1299512908992115E-2</v>
      </c>
      <c r="AK1450" s="37">
        <v>34946</v>
      </c>
      <c r="AL1450" s="39">
        <v>1.968804</v>
      </c>
      <c r="AM1450" s="36">
        <f>IF(ISBLANK(AL1451),"",Short1[[#This Row],[Adj Close]]/AL1451-1)</f>
        <v>3.211026488399793E-2</v>
      </c>
      <c r="AN1450" s="29">
        <v>34946</v>
      </c>
      <c r="AO1450" s="44">
        <v>2.8391920000000002</v>
      </c>
      <c r="AP1450" s="33">
        <f>IF(ISBLANK(AO1451),"",Short2[[#This Row],[Adj Close]]/AO1451-1)</f>
        <v>3.7974729821274922E-2</v>
      </c>
    </row>
    <row r="1451" spans="1:42" x14ac:dyDescent="0.25">
      <c r="A1451" s="37">
        <v>34939</v>
      </c>
      <c r="B1451" s="39">
        <v>563.84002699999996</v>
      </c>
      <c r="C1451" s="36">
        <f>IF(ISBLANK(B1452), "", GSPC[[#This Row],[Adj Close]]/B1452-1)</f>
        <v>6.6774703807521707E-3</v>
      </c>
      <c r="D145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5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51" s="11" t="e">
        <f>IF(ISBLANK(GSPC[[#This Row],[Long Exp.]]), "", (GSPC[[#This Row],[Long Exp.]]/D1452-1)+(E1452/GSPC[[#This Row],[Short Exp.]]-1))</f>
        <v>#VALUE!</v>
      </c>
      <c r="G1451" s="37">
        <v>34939</v>
      </c>
      <c r="H1451">
        <v>8.3144270000000002</v>
      </c>
      <c r="I1451" s="36">
        <f>IF(ISBLANK(H1452), "", Long0[[#This Row],[Adj Close]]/H1452-1)</f>
        <v>5.6181827329928602E-3</v>
      </c>
      <c r="M1451" s="37">
        <v>34939</v>
      </c>
      <c r="N1451">
        <v>22.835633999999999</v>
      </c>
      <c r="O1451" s="36">
        <f>IF(ISBLANK(N1452),"",Long2[[#This Row],[Adj Close]]/N1452-1)</f>
        <v>2.4291519222796154E-2</v>
      </c>
      <c r="P1451" s="29">
        <v>34939</v>
      </c>
      <c r="Q1451">
        <v>2.6840980000000001</v>
      </c>
      <c r="R1451" s="33">
        <f>IF(ISBLANK(Q1452),"",Long3[[#This Row],[Adj Close]]/Q1452-1)</f>
        <v>0</v>
      </c>
      <c r="AK1451" s="37">
        <v>34939</v>
      </c>
      <c r="AL1451" s="39">
        <v>1.9075519999999999</v>
      </c>
      <c r="AM1451" s="36">
        <f>IF(ISBLANK(AL1452),"",Short1[[#This Row],[Adj Close]]/AL1452-1)</f>
        <v>9.5477681291588956E-2</v>
      </c>
      <c r="AN1451" s="29">
        <v>34939</v>
      </c>
      <c r="AO1451" s="44">
        <v>2.7353190000000001</v>
      </c>
      <c r="AP1451" s="33">
        <f>IF(ISBLANK(AO1452),"",Short2[[#This Row],[Adj Close]]/AO1452-1)</f>
        <v>2.5973417072006955E-2</v>
      </c>
    </row>
    <row r="1452" spans="1:42" x14ac:dyDescent="0.25">
      <c r="A1452" s="37">
        <v>34932</v>
      </c>
      <c r="B1452" s="39">
        <v>560.09997599999997</v>
      </c>
      <c r="C1452" s="36">
        <f>IF(ISBLANK(B1453), "", GSPC[[#This Row],[Adj Close]]/B1453-1)</f>
        <v>1.5914485881656226E-3</v>
      </c>
      <c r="D145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5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52" s="11" t="e">
        <f>IF(ISBLANK(GSPC[[#This Row],[Long Exp.]]), "", (GSPC[[#This Row],[Long Exp.]]/D1453-1)+(E1453/GSPC[[#This Row],[Short Exp.]]-1))</f>
        <v>#VALUE!</v>
      </c>
      <c r="G1452" s="37">
        <v>34932</v>
      </c>
      <c r="H1452">
        <v>8.2679760000000009</v>
      </c>
      <c r="I1452" s="36">
        <f>IF(ISBLANK(H1453), "", Long0[[#This Row],[Adj Close]]/H1453-1)</f>
        <v>-3.2608489622273917E-2</v>
      </c>
      <c r="M1452" s="37">
        <v>34932</v>
      </c>
      <c r="N1452">
        <v>22.294077000000001</v>
      </c>
      <c r="O1452" s="36">
        <f>IF(ISBLANK(N1453),"",Long2[[#This Row],[Adj Close]]/N1453-1)</f>
        <v>3.7815571024926387E-2</v>
      </c>
      <c r="P1452" s="29">
        <v>34932</v>
      </c>
      <c r="Q1452">
        <v>2.6840980000000001</v>
      </c>
      <c r="R1452" s="33">
        <f>IF(ISBLANK(Q1453),"",Long3[[#This Row],[Adj Close]]/Q1453-1)</f>
        <v>1.7241307433283781E-2</v>
      </c>
      <c r="AK1452" s="37">
        <v>34932</v>
      </c>
      <c r="AL1452" s="39">
        <v>1.7412970000000001</v>
      </c>
      <c r="AM1452" s="36">
        <f>IF(ISBLANK(AL1453),"",Short1[[#This Row],[Adj Close]]/AL1453-1)</f>
        <v>5.8510253518900601E-2</v>
      </c>
      <c r="AN1452" s="29">
        <v>34932</v>
      </c>
      <c r="AO1452" s="44">
        <v>2.6660720000000002</v>
      </c>
      <c r="AP1452" s="33">
        <f>IF(ISBLANK(AO1453),"",Short2[[#This Row],[Adj Close]]/AO1453-1)</f>
        <v>6.536268494038211E-3</v>
      </c>
    </row>
    <row r="1453" spans="1:42" x14ac:dyDescent="0.25">
      <c r="A1453" s="37">
        <v>34925</v>
      </c>
      <c r="B1453" s="39">
        <v>559.21002199999998</v>
      </c>
      <c r="C1453" s="36">
        <f>IF(ISBLANK(B1454), "", GSPC[[#This Row],[Adj Close]]/B1454-1)</f>
        <v>7.3859903636932511E-3</v>
      </c>
      <c r="D145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5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53" s="11" t="e">
        <f>IF(ISBLANK(GSPC[[#This Row],[Long Exp.]]), "", (GSPC[[#This Row],[Long Exp.]]/D1454-1)+(E1454/GSPC[[#This Row],[Short Exp.]]-1))</f>
        <v>#VALUE!</v>
      </c>
      <c r="G1453" s="37">
        <v>34925</v>
      </c>
      <c r="H1453">
        <v>8.5466700000000007</v>
      </c>
      <c r="I1453" s="36">
        <f>IF(ISBLANK(H1454), "", Long0[[#This Row],[Adj Close]]/H1454-1)</f>
        <v>0.1358024002277276</v>
      </c>
      <c r="M1453" s="37">
        <v>34925</v>
      </c>
      <c r="N1453">
        <v>21.481732999999998</v>
      </c>
      <c r="O1453" s="36">
        <f>IF(ISBLANK(N1454),"",Long2[[#This Row],[Adj Close]]/N1454-1)</f>
        <v>-2.0966357993479345E-3</v>
      </c>
      <c r="P1453" s="29">
        <v>34925</v>
      </c>
      <c r="Q1453">
        <v>2.6386050000000001</v>
      </c>
      <c r="R1453" s="33">
        <f>IF(ISBLANK(Q1454),"",Long3[[#This Row],[Adj Close]]/Q1454-1)</f>
        <v>0.15231782005953298</v>
      </c>
      <c r="AK1453" s="37">
        <v>34925</v>
      </c>
      <c r="AL1453" s="39">
        <v>1.6450450000000001</v>
      </c>
      <c r="AM1453" s="36">
        <f>IF(ISBLANK(AL1454),"",Short1[[#This Row],[Adj Close]]/AL1454-1)</f>
        <v>2.7321636550417194E-2</v>
      </c>
      <c r="AN1453" s="29">
        <v>34925</v>
      </c>
      <c r="AO1453" s="44">
        <v>2.6487590000000001</v>
      </c>
      <c r="AP1453" s="33">
        <f>IF(ISBLANK(AO1454),"",Short2[[#This Row],[Adj Close]]/AO1454-1)</f>
        <v>6.9929420242612172E-2</v>
      </c>
    </row>
    <row r="1454" spans="1:42" x14ac:dyDescent="0.25">
      <c r="A1454" s="37">
        <v>34918</v>
      </c>
      <c r="B1454" s="39">
        <v>555.10998500000005</v>
      </c>
      <c r="C1454" s="36">
        <f>IF(ISBLANK(B1455), "", GSPC[[#This Row],[Adj Close]]/B1455-1)</f>
        <v>-6.8522864463008704E-3</v>
      </c>
      <c r="D145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5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54" s="11" t="e">
        <f>IF(ISBLANK(GSPC[[#This Row],[Long Exp.]]), "", (GSPC[[#This Row],[Long Exp.]]/D1455-1)+(E1455/GSPC[[#This Row],[Short Exp.]]-1))</f>
        <v>#VALUE!</v>
      </c>
      <c r="G1454" s="37">
        <v>34918</v>
      </c>
      <c r="H1454">
        <v>7.5247859999999998</v>
      </c>
      <c r="I1454" s="36">
        <f>IF(ISBLANK(H1455), "", Long0[[#This Row],[Adj Close]]/H1455-1)</f>
        <v>2.100785092562929E-2</v>
      </c>
      <c r="M1454" s="37">
        <v>34918</v>
      </c>
      <c r="N1454">
        <v>21.526866999999999</v>
      </c>
      <c r="O1454" s="36">
        <f>IF(ISBLANK(N1455),"",Long2[[#This Row],[Adj Close]]/N1455-1)</f>
        <v>-4.980119504117364E-2</v>
      </c>
      <c r="P1454" s="29">
        <v>34918</v>
      </c>
      <c r="Q1454">
        <v>2.2898239999999999</v>
      </c>
      <c r="R1454" s="33">
        <f>IF(ISBLANK(Q1455),"",Long3[[#This Row],[Adj Close]]/Q1455-1)</f>
        <v>6.6673759307991354E-3</v>
      </c>
      <c r="AK1454" s="37">
        <v>34918</v>
      </c>
      <c r="AL1454" s="39">
        <v>1.6012949999999999</v>
      </c>
      <c r="AM1454" s="36">
        <f>IF(ISBLANK(AL1455),"",Short1[[#This Row],[Adj Close]]/AL1455-1)</f>
        <v>-4.6874311774796618E-2</v>
      </c>
      <c r="AN1454" s="29">
        <v>34918</v>
      </c>
      <c r="AO1454" s="44">
        <v>2.4756390000000001</v>
      </c>
      <c r="AP1454" s="33">
        <f>IF(ISBLANK(AO1455),"",Short2[[#This Row],[Adj Close]]/AO1455-1)</f>
        <v>-4.5384400633006972E-2</v>
      </c>
    </row>
    <row r="1455" spans="1:42" x14ac:dyDescent="0.25">
      <c r="A1455" s="37">
        <v>34911</v>
      </c>
      <c r="B1455" s="39">
        <v>558.94000200000005</v>
      </c>
      <c r="C1455" s="36">
        <f>IF(ISBLANK(B1456), "", GSPC[[#This Row],[Adj Close]]/B1456-1)</f>
        <v>-7.0878991164358141E-3</v>
      </c>
      <c r="D145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5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55" s="11" t="e">
        <f>IF(ISBLANK(GSPC[[#This Row],[Long Exp.]]), "", (GSPC[[#This Row],[Long Exp.]]/D1456-1)+(E1456/GSPC[[#This Row],[Short Exp.]]-1))</f>
        <v>#VALUE!</v>
      </c>
      <c r="G1455" s="37">
        <v>34911</v>
      </c>
      <c r="H1455">
        <v>7.3699589999999997</v>
      </c>
      <c r="I1455" s="36">
        <f>IF(ISBLANK(H1456), "", Long0[[#This Row],[Adj Close]]/H1456-1)</f>
        <v>-8.3327424111803161E-3</v>
      </c>
      <c r="M1455" s="37">
        <v>34911</v>
      </c>
      <c r="N1455">
        <v>22.655118999999999</v>
      </c>
      <c r="O1455" s="36">
        <f>IF(ISBLANK(N1456),"",Long2[[#This Row],[Adj Close]]/N1456-1)</f>
        <v>3.9337823940354566E-2</v>
      </c>
      <c r="P1455" s="29">
        <v>34911</v>
      </c>
      <c r="Q1455">
        <v>2.2746580000000001</v>
      </c>
      <c r="R1455" s="33">
        <f>IF(ISBLANK(Q1456),"",Long3[[#This Row],[Adj Close]]/Q1456-1)</f>
        <v>-3.8461814853877119E-2</v>
      </c>
      <c r="AK1455" s="37">
        <v>34911</v>
      </c>
      <c r="AL1455" s="39">
        <v>1.6800459999999999</v>
      </c>
      <c r="AM1455" s="36">
        <f>IF(ISBLANK(AL1456),"",Short1[[#This Row],[Adj Close]]/AL1456-1)</f>
        <v>-7.2463464066396588E-2</v>
      </c>
      <c r="AN1455" s="29">
        <v>34911</v>
      </c>
      <c r="AO1455" s="44">
        <v>2.5933359999999999</v>
      </c>
      <c r="AP1455" s="33">
        <f>IF(ISBLANK(AO1456),"",Short2[[#This Row],[Adj Close]]/AO1456-1)</f>
        <v>-1.9608317543750919E-2</v>
      </c>
    </row>
    <row r="1456" spans="1:42" x14ac:dyDescent="0.25">
      <c r="A1456" s="37">
        <v>34904</v>
      </c>
      <c r="B1456" s="39">
        <v>562.92999299999997</v>
      </c>
      <c r="C1456" s="36">
        <f>IF(ISBLANK(B1457), "", GSPC[[#This Row],[Adj Close]]/B1457-1)</f>
        <v>1.6816585535354367E-2</v>
      </c>
      <c r="D145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5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56" s="11" t="e">
        <f>IF(ISBLANK(GSPC[[#This Row],[Long Exp.]]), "", (GSPC[[#This Row],[Long Exp.]]/D1457-1)+(E1457/GSPC[[#This Row],[Short Exp.]]-1))</f>
        <v>#VALUE!</v>
      </c>
      <c r="G1456" s="37">
        <v>34904</v>
      </c>
      <c r="H1456">
        <v>7.4318869999999997</v>
      </c>
      <c r="I1456" s="36">
        <f>IF(ISBLANK(H1457), "", Long0[[#This Row],[Adj Close]]/H1457-1)</f>
        <v>8.1080841260095182E-2</v>
      </c>
      <c r="M1456" s="37">
        <v>34904</v>
      </c>
      <c r="N1456">
        <v>21.797647000000001</v>
      </c>
      <c r="O1456" s="36">
        <f>IF(ISBLANK(N1457),"",Long2[[#This Row],[Adj Close]]/N1457-1)</f>
        <v>1.0460226704071207E-2</v>
      </c>
      <c r="P1456" s="29">
        <v>34904</v>
      </c>
      <c r="Q1456">
        <v>2.3656450000000002</v>
      </c>
      <c r="R1456" s="33">
        <f>IF(ISBLANK(Q1457),"",Long3[[#This Row],[Adj Close]]/Q1457-1)</f>
        <v>1.2987107526347685E-2</v>
      </c>
      <c r="AK1456" s="37">
        <v>34904</v>
      </c>
      <c r="AL1456" s="39">
        <v>1.811299</v>
      </c>
      <c r="AM1456" s="36">
        <f>IF(ISBLANK(AL1457),"",Short1[[#This Row],[Adj Close]]/AL1457-1)</f>
        <v>-4.6083267239027559E-2</v>
      </c>
      <c r="AN1456" s="29">
        <v>34904</v>
      </c>
      <c r="AO1456" s="44">
        <v>2.6452040000000001</v>
      </c>
      <c r="AP1456" s="33">
        <f>IF(ISBLANK(AO1457),"",Short2[[#This Row],[Adj Close]]/AO1457-1)</f>
        <v>0</v>
      </c>
    </row>
    <row r="1457" spans="1:42" x14ac:dyDescent="0.25">
      <c r="A1457" s="37">
        <v>34897</v>
      </c>
      <c r="B1457" s="39">
        <v>553.61999500000002</v>
      </c>
      <c r="C1457" s="36">
        <f>IF(ISBLANK(B1458), "", GSPC[[#This Row],[Adj Close]]/B1458-1)</f>
        <v>-1.1198663723267055E-2</v>
      </c>
      <c r="D145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5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57" s="11" t="e">
        <f>IF(ISBLANK(GSPC[[#This Row],[Long Exp.]]), "", (GSPC[[#This Row],[Long Exp.]]/D1458-1)+(E1458/GSPC[[#This Row],[Short Exp.]]-1))</f>
        <v>#VALUE!</v>
      </c>
      <c r="G1457" s="37">
        <v>34897</v>
      </c>
      <c r="H1457">
        <v>6.8744969999999999</v>
      </c>
      <c r="I1457" s="36">
        <f>IF(ISBLANK(H1458), "", Long0[[#This Row],[Adj Close]]/H1458-1)</f>
        <v>-5.1282125592664318E-2</v>
      </c>
      <c r="M1457" s="37">
        <v>34897</v>
      </c>
      <c r="N1457">
        <v>21.571999000000002</v>
      </c>
      <c r="O1457" s="36">
        <f>IF(ISBLANK(N1458),"",Long2[[#This Row],[Adj Close]]/N1458-1)</f>
        <v>1.0570752323394661E-2</v>
      </c>
      <c r="P1457" s="29">
        <v>34897</v>
      </c>
      <c r="Q1457">
        <v>2.3353160000000002</v>
      </c>
      <c r="R1457" s="33">
        <f>IF(ISBLANK(Q1458),"",Long3[[#This Row],[Adj Close]]/Q1458-1)</f>
        <v>-6.4518709149317122E-3</v>
      </c>
      <c r="AK1457" s="37">
        <v>34897</v>
      </c>
      <c r="AL1457" s="39">
        <v>1.8988020000000001</v>
      </c>
      <c r="AM1457" s="36">
        <f>IF(ISBLANK(AL1458),"",Short1[[#This Row],[Adj Close]]/AL1458-1)</f>
        <v>-4.5870309171125445E-3</v>
      </c>
      <c r="AN1457" s="29">
        <v>34897</v>
      </c>
      <c r="AO1457" s="44">
        <v>2.6452040000000001</v>
      </c>
      <c r="AP1457" s="33">
        <f>IF(ISBLANK(AO1458),"",Short2[[#This Row],[Adj Close]]/AO1458-1)</f>
        <v>-9.4674977445626474E-2</v>
      </c>
    </row>
    <row r="1458" spans="1:42" x14ac:dyDescent="0.25">
      <c r="A1458" s="37">
        <v>34890</v>
      </c>
      <c r="B1458" s="39">
        <v>559.89001499999995</v>
      </c>
      <c r="C1458" s="36">
        <f>IF(ISBLANK(B1459), "", GSPC[[#This Row],[Adj Close]]/B1459-1)</f>
        <v>6.3267610252777384E-3</v>
      </c>
      <c r="D145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5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58" s="11" t="e">
        <f>IF(ISBLANK(GSPC[[#This Row],[Long Exp.]]), "", (GSPC[[#This Row],[Long Exp.]]/D1459-1)+(E1459/GSPC[[#This Row],[Short Exp.]]-1))</f>
        <v>#VALUE!</v>
      </c>
      <c r="G1458" s="37">
        <v>34890</v>
      </c>
      <c r="H1458">
        <v>7.246092</v>
      </c>
      <c r="I1458" s="36">
        <f>IF(ISBLANK(H1459), "", Long0[[#This Row],[Adj Close]]/H1459-1)</f>
        <v>-4.4897675121178926E-2</v>
      </c>
      <c r="M1458" s="37">
        <v>34890</v>
      </c>
      <c r="N1458">
        <v>21.346352</v>
      </c>
      <c r="O1458" s="36">
        <f>IF(ISBLANK(N1459),"",Long2[[#This Row],[Adj Close]]/N1459-1)</f>
        <v>7.0135963580483685E-2</v>
      </c>
      <c r="P1458" s="29">
        <v>34890</v>
      </c>
      <c r="Q1458">
        <v>2.3504809999999998</v>
      </c>
      <c r="R1458" s="33">
        <f>IF(ISBLANK(Q1459),"",Long3[[#This Row],[Adj Close]]/Q1459-1)</f>
        <v>6.4937678669609866E-3</v>
      </c>
      <c r="AK1458" s="37">
        <v>34890</v>
      </c>
      <c r="AL1458" s="39">
        <v>1.9075519999999999</v>
      </c>
      <c r="AM1458" s="36">
        <f>IF(ISBLANK(AL1459),"",Short1[[#This Row],[Adj Close]]/AL1459-1)</f>
        <v>-1.8018546717362804E-2</v>
      </c>
      <c r="AN1458" s="29">
        <v>34890</v>
      </c>
      <c r="AO1458" s="44">
        <v>2.9218280000000001</v>
      </c>
      <c r="AP1458" s="33">
        <f>IF(ISBLANK(AO1459),"",Short2[[#This Row],[Adj Close]]/AO1459-1)</f>
        <v>3.6810353668242923E-2</v>
      </c>
    </row>
    <row r="1459" spans="1:42" x14ac:dyDescent="0.25">
      <c r="A1459" s="37">
        <v>34883</v>
      </c>
      <c r="B1459" s="39">
        <v>556.36999500000002</v>
      </c>
      <c r="C1459" s="36">
        <f>IF(ISBLANK(B1460), "", GSPC[[#This Row],[Adj Close]]/B1460-1)</f>
        <v>2.1330876548875555E-2</v>
      </c>
      <c r="D145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5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59" s="11" t="e">
        <f>IF(ISBLANK(GSPC[[#This Row],[Long Exp.]]), "", (GSPC[[#This Row],[Long Exp.]]/D1460-1)+(E1460/GSPC[[#This Row],[Short Exp.]]-1))</f>
        <v>#VALUE!</v>
      </c>
      <c r="G1459" s="37">
        <v>34883</v>
      </c>
      <c r="H1459">
        <v>7.5867180000000003</v>
      </c>
      <c r="I1459" s="36">
        <f>IF(ISBLANK(H1460), "", Long0[[#This Row],[Adj Close]]/H1460-1)</f>
        <v>-2.4366066120911078E-3</v>
      </c>
      <c r="M1459" s="37">
        <v>34883</v>
      </c>
      <c r="N1459">
        <v>19.947327000000001</v>
      </c>
      <c r="O1459" s="36">
        <f>IF(ISBLANK(N1460),"",Long2[[#This Row],[Adj Close]]/N1460-1)</f>
        <v>2.0785099678309882E-2</v>
      </c>
      <c r="P1459" s="29">
        <v>34883</v>
      </c>
      <c r="Q1459">
        <v>2.3353160000000002</v>
      </c>
      <c r="R1459" s="33">
        <f>IF(ISBLANK(Q1460),"",Long3[[#This Row],[Adj Close]]/Q1460-1)</f>
        <v>-1.2820604951292336E-2</v>
      </c>
      <c r="AK1459" s="37">
        <v>34883</v>
      </c>
      <c r="AL1459" s="39">
        <v>1.9425539999999999</v>
      </c>
      <c r="AM1459" s="36">
        <f>IF(ISBLANK(AL1460),"",Short1[[#This Row],[Adj Close]]/AL1460-1)</f>
        <v>4.225397453912727E-2</v>
      </c>
      <c r="AN1459" s="29">
        <v>34883</v>
      </c>
      <c r="AO1459" s="44">
        <v>2.8180930000000002</v>
      </c>
      <c r="AP1459" s="33">
        <f>IF(ISBLANK(AO1460),"",Short2[[#This Row],[Adj Close]]/AO1460-1)</f>
        <v>8.6667134532509627E-2</v>
      </c>
    </row>
    <row r="1460" spans="1:42" x14ac:dyDescent="0.25">
      <c r="A1460" s="37">
        <v>34876</v>
      </c>
      <c r="B1460" s="39">
        <v>544.75</v>
      </c>
      <c r="C1460" s="36">
        <f>IF(ISBLANK(B1461), "", GSPC[[#This Row],[Adj Close]]/B1461-1)</f>
        <v>-9.0229790280228483E-3</v>
      </c>
      <c r="D146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6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60" s="11" t="e">
        <f>IF(ISBLANK(GSPC[[#This Row],[Long Exp.]]), "", (GSPC[[#This Row],[Long Exp.]]/D1461-1)+(E1461/GSPC[[#This Row],[Short Exp.]]-1))</f>
        <v>#VALUE!</v>
      </c>
      <c r="G1460" s="37">
        <v>34876</v>
      </c>
      <c r="H1460">
        <v>7.6052489999999997</v>
      </c>
      <c r="I1460" s="36">
        <f>IF(ISBLANK(H1461), "", Long0[[#This Row],[Adj Close]]/H1461-1)</f>
        <v>1.6528981956499544E-2</v>
      </c>
      <c r="M1460" s="37">
        <v>34876</v>
      </c>
      <c r="N1460">
        <v>19.541162</v>
      </c>
      <c r="O1460" s="36">
        <f>IF(ISBLANK(N1461),"",Long2[[#This Row],[Adj Close]]/N1461-1)</f>
        <v>2.078687435989135E-2</v>
      </c>
      <c r="P1460" s="29">
        <v>34876</v>
      </c>
      <c r="Q1460">
        <v>2.3656450000000002</v>
      </c>
      <c r="R1460" s="33">
        <f>IF(ISBLANK(Q1461),"",Long3[[#This Row],[Adj Close]]/Q1461-1)</f>
        <v>1.9607327620204451E-2</v>
      </c>
      <c r="AK1460" s="37">
        <v>34876</v>
      </c>
      <c r="AL1460" s="39">
        <v>1.863801</v>
      </c>
      <c r="AM1460" s="36">
        <f>IF(ISBLANK(AL1461),"",Short1[[#This Row],[Adj Close]]/AL1461-1)</f>
        <v>-4.0540957934760091E-2</v>
      </c>
      <c r="AN1460" s="29">
        <v>34876</v>
      </c>
      <c r="AO1460" s="44">
        <v>2.5933359999999999</v>
      </c>
      <c r="AP1460" s="33">
        <f>IF(ISBLANK(AO1461),"",Short2[[#This Row],[Adj Close]]/AO1461-1)</f>
        <v>1.3513191355653209E-2</v>
      </c>
    </row>
    <row r="1461" spans="1:42" x14ac:dyDescent="0.25">
      <c r="A1461" s="37">
        <v>34869</v>
      </c>
      <c r="B1461" s="39">
        <v>549.71002199999998</v>
      </c>
      <c r="C1461" s="36">
        <f>IF(ISBLANK(B1462), "", GSPC[[#This Row],[Adj Close]]/B1462-1)</f>
        <v>1.8302066741131107E-2</v>
      </c>
      <c r="D146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6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61" s="11" t="e">
        <f>IF(ISBLANK(GSPC[[#This Row],[Long Exp.]]), "", (GSPC[[#This Row],[Long Exp.]]/D1462-1)+(E1462/GSPC[[#This Row],[Short Exp.]]-1))</f>
        <v>#VALUE!</v>
      </c>
      <c r="G1461" s="37">
        <v>34869</v>
      </c>
      <c r="H1461">
        <v>7.4815860000000001</v>
      </c>
      <c r="I1461" s="36">
        <f>IF(ISBLANK(H1462), "", Long0[[#This Row],[Adj Close]]/H1462-1)</f>
        <v>4.3103383372162574E-2</v>
      </c>
      <c r="M1461" s="37">
        <v>34869</v>
      </c>
      <c r="N1461">
        <v>19.143234</v>
      </c>
      <c r="O1461" s="36">
        <f>IF(ISBLANK(N1462),"",Long2[[#This Row],[Adj Close]]/N1462-1)</f>
        <v>0.10103593774641872</v>
      </c>
      <c r="P1461" s="29">
        <v>34869</v>
      </c>
      <c r="Q1461">
        <v>2.3201529999999999</v>
      </c>
      <c r="R1461" s="33">
        <f>IF(ISBLANK(Q1462),"",Long3[[#This Row],[Adj Close]]/Q1462-1)</f>
        <v>2.0000808912812307E-2</v>
      </c>
      <c r="AK1461" s="37">
        <v>34869</v>
      </c>
      <c r="AL1461" s="39">
        <v>1.9425539999999999</v>
      </c>
      <c r="AM1461" s="36">
        <f>IF(ISBLANK(AL1462),"",Short1[[#This Row],[Adj Close]]/AL1462-1)</f>
        <v>-2.6315565235043747E-2</v>
      </c>
      <c r="AN1461" s="29">
        <v>34869</v>
      </c>
      <c r="AO1461" s="44">
        <v>2.5587589999999998</v>
      </c>
      <c r="AP1461" s="33">
        <f>IF(ISBLANK(AO1462),"",Short2[[#This Row],[Adj Close]]/AO1462-1)</f>
        <v>-7.4999683684443652E-2</v>
      </c>
    </row>
    <row r="1462" spans="1:42" x14ac:dyDescent="0.25">
      <c r="A1462" s="37">
        <v>34862</v>
      </c>
      <c r="B1462" s="39">
        <v>539.830017</v>
      </c>
      <c r="C1462" s="36">
        <f>IF(ISBLANK(B1463), "", GSPC[[#This Row],[Adj Close]]/B1463-1)</f>
        <v>2.2521526982151263E-2</v>
      </c>
      <c r="D146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6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62" s="11" t="e">
        <f>IF(ISBLANK(GSPC[[#This Row],[Long Exp.]]), "", (GSPC[[#This Row],[Long Exp.]]/D1463-1)+(E1463/GSPC[[#This Row],[Short Exp.]]-1))</f>
        <v>#VALUE!</v>
      </c>
      <c r="G1462" s="37">
        <v>34862</v>
      </c>
      <c r="H1462">
        <v>7.1724300000000003</v>
      </c>
      <c r="I1462" s="36">
        <f>IF(ISBLANK(H1463), "", Long0[[#This Row],[Adj Close]]/H1463-1)</f>
        <v>4.3293353004238977E-3</v>
      </c>
      <c r="M1462" s="37">
        <v>34862</v>
      </c>
      <c r="N1462">
        <v>17.386565999999998</v>
      </c>
      <c r="O1462" s="36">
        <f>IF(ISBLANK(N1463),"",Long2[[#This Row],[Adj Close]]/N1463-1)</f>
        <v>-7.7120397148815467E-3</v>
      </c>
      <c r="P1462" s="29">
        <v>34862</v>
      </c>
      <c r="Q1462">
        <v>2.2746580000000001</v>
      </c>
      <c r="R1462" s="33">
        <f>IF(ISBLANK(Q1463),"",Long3[[#This Row],[Adj Close]]/Q1463-1)</f>
        <v>3.5427882643573883E-2</v>
      </c>
      <c r="AK1462" s="37">
        <v>34862</v>
      </c>
      <c r="AL1462" s="39">
        <v>1.995055</v>
      </c>
      <c r="AM1462" s="36">
        <f>IF(ISBLANK(AL1463),"",Short1[[#This Row],[Adj Close]]/AL1463-1)</f>
        <v>5.0691435968573728E-2</v>
      </c>
      <c r="AN1462" s="29">
        <v>34862</v>
      </c>
      <c r="AO1462" s="44">
        <v>2.7662249999999999</v>
      </c>
      <c r="AP1462" s="33">
        <f>IF(ISBLANK(AO1463),"",Short2[[#This Row],[Adj Close]]/AO1463-1)</f>
        <v>3.8960478018158051E-2</v>
      </c>
    </row>
    <row r="1463" spans="1:42" x14ac:dyDescent="0.25">
      <c r="A1463" s="37">
        <v>34855</v>
      </c>
      <c r="B1463" s="39">
        <v>527.94000200000005</v>
      </c>
      <c r="C1463" s="36">
        <f>IF(ISBLANK(B1464), "", GSPC[[#This Row],[Adj Close]]/B1464-1)</f>
        <v>-8.5820133221531369E-3</v>
      </c>
      <c r="D146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6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63" s="11" t="e">
        <f>IF(ISBLANK(GSPC[[#This Row],[Long Exp.]]), "", (GSPC[[#This Row],[Long Exp.]]/D1464-1)+(E1464/GSPC[[#This Row],[Short Exp.]]-1))</f>
        <v>#VALUE!</v>
      </c>
      <c r="G1463" s="37">
        <v>34855</v>
      </c>
      <c r="H1463">
        <v>7.1415119999999996</v>
      </c>
      <c r="I1463" s="36">
        <f>IF(ISBLANK(H1464), "", Long0[[#This Row],[Adj Close]]/H1464-1)</f>
        <v>2.6666398313978323E-2</v>
      </c>
      <c r="M1463" s="37">
        <v>34855</v>
      </c>
      <c r="N1463">
        <v>17.521694</v>
      </c>
      <c r="O1463" s="36">
        <f>IF(ISBLANK(N1464),"",Long2[[#This Row],[Adj Close]]/N1464-1)</f>
        <v>7.1625226750366089E-2</v>
      </c>
      <c r="P1463" s="29">
        <v>34855</v>
      </c>
      <c r="Q1463">
        <v>2.1968290000000001</v>
      </c>
      <c r="R1463" s="33">
        <f>IF(ISBLANK(Q1464),"",Long3[[#This Row],[Adj Close]]/Q1464-1)</f>
        <v>-5.7325264405015064E-2</v>
      </c>
      <c r="AK1463" s="37">
        <v>34855</v>
      </c>
      <c r="AL1463" s="39">
        <v>1.8988020000000001</v>
      </c>
      <c r="AM1463" s="36">
        <f>IF(ISBLANK(AL1464),"",Short1[[#This Row],[Adj Close]]/AL1464-1)</f>
        <v>0.10152297515310682</v>
      </c>
      <c r="AN1463" s="29">
        <v>34855</v>
      </c>
      <c r="AO1463" s="44">
        <v>2.662493</v>
      </c>
      <c r="AP1463" s="33">
        <f>IF(ISBLANK(AO1464),"",Short2[[#This Row],[Adj Close]]/AO1464-1)</f>
        <v>-3.1446337256910595E-2</v>
      </c>
    </row>
    <row r="1464" spans="1:42" x14ac:dyDescent="0.25">
      <c r="A1464" s="37">
        <v>34848</v>
      </c>
      <c r="B1464" s="39">
        <v>532.51000999999997</v>
      </c>
      <c r="C1464" s="36">
        <f>IF(ISBLANK(B1465), "", GSPC[[#This Row],[Adj Close]]/B1465-1)</f>
        <v>1.6919670760866756E-2</v>
      </c>
      <c r="D146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6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64" s="11" t="e">
        <f>IF(ISBLANK(GSPC[[#This Row],[Long Exp.]]), "", (GSPC[[#This Row],[Long Exp.]]/D1465-1)+(E1465/GSPC[[#This Row],[Short Exp.]]-1))</f>
        <v>#VALUE!</v>
      </c>
      <c r="G1464" s="37">
        <v>34848</v>
      </c>
      <c r="H1464">
        <v>6.9560199999999996</v>
      </c>
      <c r="I1464" s="36">
        <f>IF(ISBLANK(H1465), "", Long0[[#This Row],[Adj Close]]/H1465-1)</f>
        <v>-4.4251144063394143E-3</v>
      </c>
      <c r="M1464" s="37">
        <v>34848</v>
      </c>
      <c r="N1464">
        <v>16.350580000000001</v>
      </c>
      <c r="O1464" s="36">
        <f>IF(ISBLANK(N1465),"",Long2[[#This Row],[Adj Close]]/N1465-1)</f>
        <v>1.1142393915600124E-2</v>
      </c>
      <c r="P1464" s="29">
        <v>34848</v>
      </c>
      <c r="Q1464">
        <v>2.3304209999999999</v>
      </c>
      <c r="R1464" s="33">
        <f>IF(ISBLANK(Q1465),"",Long3[[#This Row],[Adj Close]]/Q1465-1)</f>
        <v>3.2894631868394919E-2</v>
      </c>
      <c r="AK1464" s="37">
        <v>34848</v>
      </c>
      <c r="AL1464" s="39">
        <v>1.723797</v>
      </c>
      <c r="AM1464" s="36">
        <f>IF(ISBLANK(AL1465),"",Short1[[#This Row],[Adj Close]]/AL1465-1)</f>
        <v>0</v>
      </c>
      <c r="AN1464" s="29">
        <v>34848</v>
      </c>
      <c r="AO1464" s="44">
        <v>2.7489370000000002</v>
      </c>
      <c r="AP1464" s="33">
        <f>IF(ISBLANK(AO1465),"",Short2[[#This Row],[Adj Close]]/AO1465-1)</f>
        <v>3.9215500959472349E-2</v>
      </c>
    </row>
    <row r="1465" spans="1:42" x14ac:dyDescent="0.25">
      <c r="A1465" s="37">
        <v>34841</v>
      </c>
      <c r="B1465" s="39">
        <v>523.65002400000003</v>
      </c>
      <c r="C1465" s="36">
        <f>IF(ISBLANK(B1466), "", GSPC[[#This Row],[Adj Close]]/B1466-1)</f>
        <v>8.5903464681895692E-3</v>
      </c>
      <c r="D146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6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65" s="11" t="e">
        <f>IF(ISBLANK(GSPC[[#This Row],[Long Exp.]]), "", (GSPC[[#This Row],[Long Exp.]]/D1466-1)+(E1466/GSPC[[#This Row],[Short Exp.]]-1))</f>
        <v>#VALUE!</v>
      </c>
      <c r="G1465" s="37">
        <v>34841</v>
      </c>
      <c r="H1465">
        <v>6.9869380000000003</v>
      </c>
      <c r="I1465" s="36">
        <f>IF(ISBLANK(H1466), "", Long0[[#This Row],[Adj Close]]/H1466-1)</f>
        <v>-2.16444360802025E-2</v>
      </c>
      <c r="M1465" s="37">
        <v>34841</v>
      </c>
      <c r="N1465">
        <v>16.170403</v>
      </c>
      <c r="O1465" s="36">
        <f>IF(ISBLANK(N1466),"",Long2[[#This Row],[Adj Close]]/N1466-1)</f>
        <v>-3.2345600435834454E-2</v>
      </c>
      <c r="P1465" s="29">
        <v>34841</v>
      </c>
      <c r="Q1465">
        <v>2.2562039999999999</v>
      </c>
      <c r="R1465" s="33">
        <f>IF(ISBLANK(Q1466),"",Long3[[#This Row],[Adj Close]]/Q1466-1)</f>
        <v>4.1096042116279374E-2</v>
      </c>
      <c r="AK1465" s="37">
        <v>34841</v>
      </c>
      <c r="AL1465" s="39">
        <v>1.723797</v>
      </c>
      <c r="AM1465" s="36">
        <f>IF(ISBLANK(AL1466),"",Short1[[#This Row],[Adj Close]]/AL1466-1)</f>
        <v>-5.28848108568446E-2</v>
      </c>
      <c r="AN1465" s="29">
        <v>34841</v>
      </c>
      <c r="AO1465" s="44">
        <v>2.6452040000000001</v>
      </c>
      <c r="AP1465" s="33">
        <f>IF(ISBLANK(AO1466),"",Short2[[#This Row],[Adj Close]]/AO1466-1)</f>
        <v>-3.164536572794141E-2</v>
      </c>
    </row>
    <row r="1466" spans="1:42" x14ac:dyDescent="0.25">
      <c r="A1466" s="37">
        <v>34834</v>
      </c>
      <c r="B1466" s="39">
        <v>519.19000200000005</v>
      </c>
      <c r="C1466" s="36">
        <f>IF(ISBLANK(B1467), "", GSPC[[#This Row],[Adj Close]]/B1467-1)</f>
        <v>-1.210158147696494E-2</v>
      </c>
      <c r="D146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6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66" s="11" t="e">
        <f>IF(ISBLANK(GSPC[[#This Row],[Long Exp.]]), "", (GSPC[[#This Row],[Long Exp.]]/D1467-1)+(E1467/GSPC[[#This Row],[Short Exp.]]-1))</f>
        <v>#VALUE!</v>
      </c>
      <c r="G1466" s="37">
        <v>34834</v>
      </c>
      <c r="H1466">
        <v>7.1415119999999996</v>
      </c>
      <c r="I1466" s="36">
        <f>IF(ISBLANK(H1467), "", Long0[[#This Row],[Adj Close]]/H1467-1)</f>
        <v>-1.2821071061419942E-2</v>
      </c>
      <c r="M1466" s="37">
        <v>34834</v>
      </c>
      <c r="N1466">
        <v>16.710927999999999</v>
      </c>
      <c r="O1466" s="36">
        <f>IF(ISBLANK(N1467),"",Long2[[#This Row],[Adj Close]]/N1467-1)</f>
        <v>8.1524903120779868E-3</v>
      </c>
      <c r="P1466" s="29">
        <v>34834</v>
      </c>
      <c r="Q1466">
        <v>2.1671429999999998</v>
      </c>
      <c r="R1466" s="33">
        <f>IF(ISBLANK(Q1467),"",Long3[[#This Row],[Adj Close]]/Q1467-1)</f>
        <v>6.8963434465454387E-3</v>
      </c>
      <c r="AK1466" s="37">
        <v>34834</v>
      </c>
      <c r="AL1466" s="39">
        <v>1.8200499999999999</v>
      </c>
      <c r="AM1466" s="36">
        <f>IF(ISBLANK(AL1467),"",Short1[[#This Row],[Adj Close]]/AL1467-1)</f>
        <v>-1.4218158360960631E-2</v>
      </c>
      <c r="AN1466" s="29">
        <v>34834</v>
      </c>
      <c r="AO1466" s="44">
        <v>2.7316479999999999</v>
      </c>
      <c r="AP1466" s="33">
        <f>IF(ISBLANK(AO1467),"",Short2[[#This Row],[Adj Close]]/AO1467-1)</f>
        <v>-1.8633986655726131E-2</v>
      </c>
    </row>
    <row r="1467" spans="1:42" x14ac:dyDescent="0.25">
      <c r="A1467" s="37">
        <v>34827</v>
      </c>
      <c r="B1467" s="39">
        <v>525.54998799999998</v>
      </c>
      <c r="C1467" s="36">
        <f>IF(ISBLANK(B1468), "", GSPC[[#This Row],[Adj Close]]/B1468-1)</f>
        <v>1.0439885126892534E-2</v>
      </c>
      <c r="D146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6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67" s="11" t="e">
        <f>IF(ISBLANK(GSPC[[#This Row],[Long Exp.]]), "", (GSPC[[#This Row],[Long Exp.]]/D1468-1)+(E1468/GSPC[[#This Row],[Short Exp.]]-1))</f>
        <v>#VALUE!</v>
      </c>
      <c r="G1467" s="37">
        <v>34827</v>
      </c>
      <c r="H1467">
        <v>7.2342630000000003</v>
      </c>
      <c r="I1467" s="36">
        <f>IF(ISBLANK(H1468), "", Long0[[#This Row],[Adj Close]]/H1468-1)</f>
        <v>-5.2631516915687793E-2</v>
      </c>
      <c r="M1467" s="37">
        <v>34827</v>
      </c>
      <c r="N1467">
        <v>16.575793999999998</v>
      </c>
      <c r="O1467" s="36">
        <f>IF(ISBLANK(N1468),"",Long2[[#This Row],[Adj Close]]/N1468-1)</f>
        <v>-5.8823148650442691E-2</v>
      </c>
      <c r="P1467" s="29">
        <v>34827</v>
      </c>
      <c r="Q1467">
        <v>2.1522999999999999</v>
      </c>
      <c r="R1467" s="33">
        <f>IF(ISBLANK(Q1468),"",Long3[[#This Row],[Adj Close]]/Q1468-1)</f>
        <v>-6.8491096342050417E-3</v>
      </c>
      <c r="AK1467" s="37">
        <v>34827</v>
      </c>
      <c r="AL1467" s="39">
        <v>1.846301</v>
      </c>
      <c r="AM1467" s="36">
        <f>IF(ISBLANK(AL1468),"",Short1[[#This Row],[Adj Close]]/AL1468-1)</f>
        <v>0.10471215152791613</v>
      </c>
      <c r="AN1467" s="29">
        <v>34827</v>
      </c>
      <c r="AO1467" s="44">
        <v>2.7835160000000001</v>
      </c>
      <c r="AP1467" s="33">
        <f>IF(ISBLANK(AO1468),"",Short2[[#This Row],[Adj Close]]/AO1468-1)</f>
        <v>0.11203059574694207</v>
      </c>
    </row>
    <row r="1468" spans="1:42" x14ac:dyDescent="0.25">
      <c r="A1468" s="37">
        <v>34820</v>
      </c>
      <c r="B1468" s="39">
        <v>520.11999500000002</v>
      </c>
      <c r="C1468" s="36">
        <f>IF(ISBLANK(B1469), "", GSPC[[#This Row],[Adj Close]]/B1469-1)</f>
        <v>1.0510720150694874E-2</v>
      </c>
      <c r="D146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6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68" s="11" t="e">
        <f>IF(ISBLANK(GSPC[[#This Row],[Long Exp.]]), "", (GSPC[[#This Row],[Long Exp.]]/D1469-1)+(E1469/GSPC[[#This Row],[Short Exp.]]-1))</f>
        <v>#VALUE!</v>
      </c>
      <c r="G1468" s="37">
        <v>34820</v>
      </c>
      <c r="H1468">
        <v>7.6361660000000002</v>
      </c>
      <c r="I1468" s="36">
        <f>IF(ISBLANK(H1469), "", Long0[[#This Row],[Adj Close]]/H1469-1)</f>
        <v>4.0652186404417368E-3</v>
      </c>
      <c r="M1468" s="37">
        <v>34820</v>
      </c>
      <c r="N1468">
        <v>17.611774</v>
      </c>
      <c r="O1468" s="36">
        <f>IF(ISBLANK(N1469),"",Long2[[#This Row],[Adj Close]]/N1469-1)</f>
        <v>-5.089294551127499E-3</v>
      </c>
      <c r="P1468" s="29">
        <v>34820</v>
      </c>
      <c r="Q1468">
        <v>2.1671429999999998</v>
      </c>
      <c r="R1468" s="33">
        <f>IF(ISBLANK(Q1469),"",Long3[[#This Row],[Adj Close]]/Q1469-1)</f>
        <v>-6.8029736199162194E-3</v>
      </c>
      <c r="AK1468" s="37">
        <v>34820</v>
      </c>
      <c r="AL1468" s="39">
        <v>1.6712959999999999</v>
      </c>
      <c r="AM1468" s="36">
        <f>IF(ISBLANK(AL1469),"",Short1[[#This Row],[Adj Close]]/AL1469-1)</f>
        <v>-0.12785399803684505</v>
      </c>
      <c r="AN1468" s="29">
        <v>34820</v>
      </c>
      <c r="AO1468" s="44">
        <v>2.5030929999999998</v>
      </c>
      <c r="AP1468" s="33">
        <f>IF(ISBLANK(AO1469),"",Short2[[#This Row],[Adj Close]]/AO1469-1)</f>
        <v>9.8484253376627473E-2</v>
      </c>
    </row>
    <row r="1469" spans="1:42" x14ac:dyDescent="0.25">
      <c r="A1469" s="37">
        <v>34813</v>
      </c>
      <c r="B1469" s="39">
        <v>514.71002199999998</v>
      </c>
      <c r="C1469" s="36">
        <f>IF(ISBLANK(B1470), "", GSPC[[#This Row],[Adj Close]]/B1470-1)</f>
        <v>1.223235879235296E-2</v>
      </c>
      <c r="D146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6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69" s="11" t="e">
        <f>IF(ISBLANK(GSPC[[#This Row],[Long Exp.]]), "", (GSPC[[#This Row],[Long Exp.]]/D1470-1)+(E1470/GSPC[[#This Row],[Short Exp.]]-1))</f>
        <v>#VALUE!</v>
      </c>
      <c r="G1469" s="37">
        <v>34813</v>
      </c>
      <c r="H1469">
        <v>7.6052489999999997</v>
      </c>
      <c r="I1469" s="36">
        <f>IF(ISBLANK(H1470), "", Long0[[#This Row],[Adj Close]]/H1470-1)</f>
        <v>1.2345687229101676E-2</v>
      </c>
      <c r="M1469" s="37">
        <v>34813</v>
      </c>
      <c r="N1469">
        <v>17.701864</v>
      </c>
      <c r="O1469" s="36">
        <f>IF(ISBLANK(N1470),"",Long2[[#This Row],[Adj Close]]/N1470-1)</f>
        <v>1.550344104682444E-2</v>
      </c>
      <c r="P1469" s="29">
        <v>34813</v>
      </c>
      <c r="Q1469">
        <v>2.1819869999999999</v>
      </c>
      <c r="R1469" s="33">
        <f>IF(ISBLANK(Q1470),"",Long3[[#This Row],[Adj Close]]/Q1470-1)</f>
        <v>0</v>
      </c>
      <c r="AK1469" s="37">
        <v>34813</v>
      </c>
      <c r="AL1469" s="39">
        <v>1.9163030000000001</v>
      </c>
      <c r="AM1469" s="36">
        <f>IF(ISBLANK(AL1470),"",Short1[[#This Row],[Adj Close]]/AL1470-1)</f>
        <v>6.829245177834764E-2</v>
      </c>
      <c r="AN1469" s="29">
        <v>34813</v>
      </c>
      <c r="AO1469" s="44">
        <v>2.2786789999999999</v>
      </c>
      <c r="AP1469" s="33">
        <f>IF(ISBLANK(AO1470),"",Short2[[#This Row],[Adj Close]]/AO1470-1)</f>
        <v>2.3255740851258366E-2</v>
      </c>
    </row>
    <row r="1470" spans="1:42" x14ac:dyDescent="0.25">
      <c r="A1470" s="37">
        <v>34806</v>
      </c>
      <c r="B1470" s="39">
        <v>508.48998999999998</v>
      </c>
      <c r="C1470" s="36">
        <f>IF(ISBLANK(B1471), "", GSPC[[#This Row],[Adj Close]]/B1471-1)</f>
        <v>-1.4532156079073433E-3</v>
      </c>
      <c r="D147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7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70" s="11" t="e">
        <f>IF(ISBLANK(GSPC[[#This Row],[Long Exp.]]), "", (GSPC[[#This Row],[Long Exp.]]/D1471-1)+(E1471/GSPC[[#This Row],[Short Exp.]]-1))</f>
        <v>#VALUE!</v>
      </c>
      <c r="G1470" s="37">
        <v>34806</v>
      </c>
      <c r="H1470">
        <v>7.5125019999999996</v>
      </c>
      <c r="I1470" s="36">
        <f>IF(ISBLANK(H1471), "", Long0[[#This Row],[Adj Close]]/H1471-1)</f>
        <v>-5.4475059796177061E-2</v>
      </c>
      <c r="M1470" s="37">
        <v>34806</v>
      </c>
      <c r="N1470">
        <v>17.431614</v>
      </c>
      <c r="O1470" s="36">
        <f>IF(ISBLANK(N1471),"",Long2[[#This Row],[Adj Close]]/N1471-1)</f>
        <v>-6.0679446853389662E-2</v>
      </c>
      <c r="P1470" s="29">
        <v>34806</v>
      </c>
      <c r="Q1470">
        <v>2.1819869999999999</v>
      </c>
      <c r="R1470" s="33">
        <f>IF(ISBLANK(Q1471),"",Long3[[#This Row],[Adj Close]]/Q1471-1)</f>
        <v>-5.1613071474985173E-2</v>
      </c>
      <c r="AK1470" s="37">
        <v>34806</v>
      </c>
      <c r="AL1470" s="39">
        <v>1.7938000000000001</v>
      </c>
      <c r="AM1470" s="36">
        <f>IF(ISBLANK(AL1471),"",Short1[[#This Row],[Adj Close]]/AL1471-1)</f>
        <v>7.8948238995034892E-2</v>
      </c>
      <c r="AN1470" s="29">
        <v>34806</v>
      </c>
      <c r="AO1470" s="44">
        <v>2.2268910000000002</v>
      </c>
      <c r="AP1470" s="33">
        <f>IF(ISBLANK(AO1471),"",Short2[[#This Row],[Adj Close]]/AO1471-1)</f>
        <v>-2.2727202910106992E-2</v>
      </c>
    </row>
    <row r="1471" spans="1:42" x14ac:dyDescent="0.25">
      <c r="A1471" s="37">
        <v>34799</v>
      </c>
      <c r="B1471" s="39">
        <v>509.23001099999999</v>
      </c>
      <c r="C1471" s="36">
        <f>IF(ISBLANK(B1472), "", GSPC[[#This Row],[Adj Close]]/B1472-1)</f>
        <v>5.5487499069275525E-3</v>
      </c>
      <c r="D147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7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71" s="11" t="e">
        <f>IF(ISBLANK(GSPC[[#This Row],[Long Exp.]]), "", (GSPC[[#This Row],[Long Exp.]]/D1472-1)+(E1472/GSPC[[#This Row],[Short Exp.]]-1))</f>
        <v>#VALUE!</v>
      </c>
      <c r="G1471" s="37">
        <v>34799</v>
      </c>
      <c r="H1471">
        <v>7.9453240000000003</v>
      </c>
      <c r="I1471" s="36">
        <f>IF(ISBLANK(H1472), "", Long0[[#This Row],[Adj Close]]/H1472-1)</f>
        <v>1.9841624861710816E-2</v>
      </c>
      <c r="M1471" s="37">
        <v>34799</v>
      </c>
      <c r="N1471">
        <v>18.557683999999998</v>
      </c>
      <c r="O1471" s="36">
        <f>IF(ISBLANK(N1472),"",Long2[[#This Row],[Adj Close]]/N1472-1)</f>
        <v>3.7783733103292194E-2</v>
      </c>
      <c r="P1471" s="29">
        <v>34799</v>
      </c>
      <c r="Q1471">
        <v>2.300735</v>
      </c>
      <c r="R1471" s="33">
        <f>IF(ISBLANK(Q1472),"",Long3[[#This Row],[Adj Close]]/Q1472-1)</f>
        <v>-2.5156899599509841E-2</v>
      </c>
      <c r="AK1471" s="37">
        <v>34799</v>
      </c>
      <c r="AL1471" s="39">
        <v>1.6625449999999999</v>
      </c>
      <c r="AM1471" s="36">
        <f>IF(ISBLANK(AL1472),"",Short1[[#This Row],[Adj Close]]/AL1472-1)</f>
        <v>3.8250291170583761E-2</v>
      </c>
      <c r="AN1471" s="29">
        <v>34799</v>
      </c>
      <c r="AO1471" s="44">
        <v>2.2786789999999999</v>
      </c>
      <c r="AP1471" s="33">
        <f>IF(ISBLANK(AO1472),"",Short2[[#This Row],[Adj Close]]/AO1472-1)</f>
        <v>3.1250989986540523E-2</v>
      </c>
    </row>
    <row r="1472" spans="1:42" x14ac:dyDescent="0.25">
      <c r="A1472" s="37">
        <v>34792</v>
      </c>
      <c r="B1472" s="39">
        <v>506.42001299999998</v>
      </c>
      <c r="C1472" s="36">
        <f>IF(ISBLANK(B1473), "", GSPC[[#This Row],[Adj Close]]/B1473-1)</f>
        <v>1.1403850737222498E-2</v>
      </c>
      <c r="D147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7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72" s="11" t="e">
        <f>IF(ISBLANK(GSPC[[#This Row],[Long Exp.]]), "", (GSPC[[#This Row],[Long Exp.]]/D1473-1)+(E1473/GSPC[[#This Row],[Short Exp.]]-1))</f>
        <v>#VALUE!</v>
      </c>
      <c r="G1472" s="37">
        <v>34792</v>
      </c>
      <c r="H1472">
        <v>7.790743</v>
      </c>
      <c r="I1472" s="36">
        <f>IF(ISBLANK(H1473), "", Long0[[#This Row],[Adj Close]]/H1473-1)</f>
        <v>-6.3967154786715996E-3</v>
      </c>
      <c r="M1472" s="37">
        <v>34792</v>
      </c>
      <c r="N1472">
        <v>17.882034000000001</v>
      </c>
      <c r="O1472" s="36">
        <f>IF(ISBLANK(N1473),"",Long2[[#This Row],[Adj Close]]/N1473-1)</f>
        <v>2.5253139683321102E-3</v>
      </c>
      <c r="P1472" s="29">
        <v>34792</v>
      </c>
      <c r="Q1472">
        <v>2.3601079999999999</v>
      </c>
      <c r="R1472" s="33">
        <f>IF(ISBLANK(Q1473),"",Long3[[#This Row],[Adj Close]]/Q1473-1)</f>
        <v>1.2738899967001727E-2</v>
      </c>
      <c r="AK1472" s="37">
        <v>34792</v>
      </c>
      <c r="AL1472" s="39">
        <v>1.6012949999999999</v>
      </c>
      <c r="AM1472" s="36">
        <f>IF(ISBLANK(AL1473),"",Short1[[#This Row],[Adj Close]]/AL1473-1)</f>
        <v>5.7804545013149022E-2</v>
      </c>
      <c r="AN1472" s="29">
        <v>34792</v>
      </c>
      <c r="AO1472" s="44">
        <v>2.2096260000000001</v>
      </c>
      <c r="AP1472" s="33">
        <f>IF(ISBLANK(AO1473),"",Short2[[#This Row],[Adj Close]]/AO1473-1)</f>
        <v>-1.5385314637638259E-2</v>
      </c>
    </row>
    <row r="1473" spans="1:42" x14ac:dyDescent="0.25">
      <c r="A1473" s="37">
        <v>34785</v>
      </c>
      <c r="B1473" s="39">
        <v>500.709991</v>
      </c>
      <c r="C1473" s="36">
        <f>IF(ISBLANK(B1474), "", GSPC[[#This Row],[Adj Close]]/B1474-1)</f>
        <v>-5.1901311352176016E-4</v>
      </c>
      <c r="D147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7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73" s="11" t="e">
        <f>IF(ISBLANK(GSPC[[#This Row],[Long Exp.]]), "", (GSPC[[#This Row],[Long Exp.]]/D1474-1)+(E1474/GSPC[[#This Row],[Short Exp.]]-1))</f>
        <v>#VALUE!</v>
      </c>
      <c r="G1473" s="37">
        <v>34785</v>
      </c>
      <c r="H1473">
        <v>7.8408990000000003</v>
      </c>
      <c r="I1473" s="36">
        <f>IF(ISBLANK(H1474), "", Long0[[#This Row],[Adj Close]]/H1474-1)</f>
        <v>-5.5762057162235146E-2</v>
      </c>
      <c r="M1473" s="37">
        <v>34785</v>
      </c>
      <c r="N1473">
        <v>17.83699</v>
      </c>
      <c r="O1473" s="36">
        <f>IF(ISBLANK(N1474),"",Long2[[#This Row],[Adj Close]]/N1474-1)</f>
        <v>-4.3478657233545936E-2</v>
      </c>
      <c r="P1473" s="29">
        <v>34785</v>
      </c>
      <c r="Q1473">
        <v>2.3304209999999999</v>
      </c>
      <c r="R1473" s="33">
        <f>IF(ISBLANK(Q1474),"",Long3[[#This Row],[Adj Close]]/Q1474-1)</f>
        <v>6.4109318804477233E-3</v>
      </c>
      <c r="AK1473" s="37">
        <v>34785</v>
      </c>
      <c r="AL1473" s="39">
        <v>1.5137910000000001</v>
      </c>
      <c r="AM1473" s="36">
        <f>IF(ISBLANK(AL1474),"",Short1[[#This Row],[Adj Close]]/AL1474-1)</f>
        <v>0</v>
      </c>
      <c r="AN1473" s="29">
        <v>34785</v>
      </c>
      <c r="AO1473" s="44">
        <v>2.2441529999999998</v>
      </c>
      <c r="AP1473" s="33">
        <f>IF(ISBLANK(AO1474),"",Short2[[#This Row],[Adj Close]]/AO1474-1)</f>
        <v>-2.9850804338916959E-2</v>
      </c>
    </row>
    <row r="1474" spans="1:42" x14ac:dyDescent="0.25">
      <c r="A1474" s="37">
        <v>34778</v>
      </c>
      <c r="B1474" s="39">
        <v>500.97000100000002</v>
      </c>
      <c r="C1474" s="36">
        <f>IF(ISBLANK(B1475), "", GSPC[[#This Row],[Adj Close]]/B1475-1)</f>
        <v>1.0998571442089711E-2</v>
      </c>
      <c r="D147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7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74" s="11" t="e">
        <f>IF(ISBLANK(GSPC[[#This Row],[Long Exp.]]), "", (GSPC[[#This Row],[Long Exp.]]/D1475-1)+(E1475/GSPC[[#This Row],[Short Exp.]]-1))</f>
        <v>#VALUE!</v>
      </c>
      <c r="G1474" s="37">
        <v>34778</v>
      </c>
      <c r="H1474">
        <v>8.3039439999999995</v>
      </c>
      <c r="I1474" s="36">
        <f>IF(ISBLANK(H1475), "", Long0[[#This Row],[Adj Close]]/H1475-1)</f>
        <v>6.7460377143595984E-2</v>
      </c>
      <c r="M1474" s="37">
        <v>34778</v>
      </c>
      <c r="N1474">
        <v>18.647770000000001</v>
      </c>
      <c r="O1474" s="36">
        <f>IF(ISBLANK(N1475),"",Long2[[#This Row],[Adj Close]]/N1475-1)</f>
        <v>2.6892152526423851E-2</v>
      </c>
      <c r="P1474" s="29">
        <v>34778</v>
      </c>
      <c r="Q1474">
        <v>2.3155760000000001</v>
      </c>
      <c r="R1474" s="33">
        <f>IF(ISBLANK(Q1475),"",Long3[[#This Row],[Adj Close]]/Q1475-1)</f>
        <v>-6.3700936440238554E-3</v>
      </c>
      <c r="AK1474" s="37">
        <v>34778</v>
      </c>
      <c r="AL1474" s="39">
        <v>1.5137910000000001</v>
      </c>
      <c r="AM1474" s="36">
        <f>IF(ISBLANK(AL1475),"",Short1[[#This Row],[Adj Close]]/AL1475-1)</f>
        <v>-1.142891101109389E-2</v>
      </c>
      <c r="AN1474" s="29">
        <v>34778</v>
      </c>
      <c r="AO1474" s="44">
        <v>2.3132039999999998</v>
      </c>
      <c r="AP1474" s="33">
        <f>IF(ISBLANK(AO1475),"",Short2[[#This Row],[Adj Close]]/AO1475-1)</f>
        <v>7.5184826097522972E-3</v>
      </c>
    </row>
    <row r="1475" spans="1:42" x14ac:dyDescent="0.25">
      <c r="A1475" s="37">
        <v>34771</v>
      </c>
      <c r="B1475" s="39">
        <v>495.51998900000001</v>
      </c>
      <c r="C1475" s="36">
        <f>IF(ISBLANK(B1476), "", GSPC[[#This Row],[Adj Close]]/B1476-1)</f>
        <v>1.2153485538177744E-2</v>
      </c>
      <c r="D147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7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75" s="11" t="e">
        <f>IF(ISBLANK(GSPC[[#This Row],[Long Exp.]]), "", (GSPC[[#This Row],[Long Exp.]]/D1476-1)+(E1476/GSPC[[#This Row],[Short Exp.]]-1))</f>
        <v>#VALUE!</v>
      </c>
      <c r="G1475" s="37">
        <v>34771</v>
      </c>
      <c r="H1475">
        <v>7.7791589999999999</v>
      </c>
      <c r="I1475" s="36">
        <f>IF(ISBLANK(H1476), "", Long0[[#This Row],[Adj Close]]/H1476-1)</f>
        <v>2.8571734569656781E-2</v>
      </c>
      <c r="M1475" s="37">
        <v>34771</v>
      </c>
      <c r="N1475">
        <v>18.159424000000001</v>
      </c>
      <c r="O1475" s="36">
        <f>IF(ISBLANK(N1476),"",Long2[[#This Row],[Adj Close]]/N1476-1)</f>
        <v>5.208300502976515E-2</v>
      </c>
      <c r="P1475" s="29">
        <v>34771</v>
      </c>
      <c r="Q1475">
        <v>2.3304209999999999</v>
      </c>
      <c r="R1475" s="33">
        <f>IF(ISBLANK(Q1476),"",Long3[[#This Row],[Adj Close]]/Q1476-1)</f>
        <v>7.9745361559595551E-3</v>
      </c>
      <c r="AK1475" s="37">
        <v>34771</v>
      </c>
      <c r="AL1475" s="39">
        <v>1.5312920000000001</v>
      </c>
      <c r="AM1475" s="36">
        <f>IF(ISBLANK(AL1476),"",Short1[[#This Row],[Adj Close]]/AL1476-1)</f>
        <v>6.7073438422231124E-2</v>
      </c>
      <c r="AN1475" s="29">
        <v>34771</v>
      </c>
      <c r="AO1475" s="44">
        <v>2.2959420000000001</v>
      </c>
      <c r="AP1475" s="33">
        <f>IF(ISBLANK(AO1476),"",Short2[[#This Row],[Adj Close]]/AO1476-1)</f>
        <v>-7.4623768591095541E-3</v>
      </c>
    </row>
    <row r="1476" spans="1:42" x14ac:dyDescent="0.25">
      <c r="A1476" s="37">
        <v>34764</v>
      </c>
      <c r="B1476" s="39">
        <v>489.57000699999998</v>
      </c>
      <c r="C1476" s="36">
        <f>IF(ISBLANK(B1477), "", GSPC[[#This Row],[Adj Close]]/B1477-1)</f>
        <v>8.549284926165468E-3</v>
      </c>
      <c r="D147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7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76" s="11" t="e">
        <f>IF(ISBLANK(GSPC[[#This Row],[Long Exp.]]), "", (GSPC[[#This Row],[Long Exp.]]/D1477-1)+(E1477/GSPC[[#This Row],[Short Exp.]]-1))</f>
        <v>#VALUE!</v>
      </c>
      <c r="G1476" s="37">
        <v>34764</v>
      </c>
      <c r="H1476">
        <v>7.5630689999999996</v>
      </c>
      <c r="I1476" s="36">
        <f>IF(ISBLANK(H1477), "", Long0[[#This Row],[Adj Close]]/H1477-1)</f>
        <v>1.6597144494329141E-2</v>
      </c>
      <c r="M1476" s="37">
        <v>34764</v>
      </c>
      <c r="N1476">
        <v>17.260448</v>
      </c>
      <c r="O1476" s="36">
        <f>IF(ISBLANK(N1477),"",Long2[[#This Row],[Adj Close]]/N1477-1)</f>
        <v>5.4944625095796784E-2</v>
      </c>
      <c r="P1476" s="29">
        <v>34764</v>
      </c>
      <c r="Q1476">
        <v>2.3119839999999998</v>
      </c>
      <c r="R1476" s="33">
        <f>IF(ISBLANK(Q1477),"",Long3[[#This Row],[Adj Close]]/Q1477-1)</f>
        <v>-3.048784578947028E-2</v>
      </c>
      <c r="AK1476" s="37">
        <v>34764</v>
      </c>
      <c r="AL1476" s="39">
        <v>1.435039</v>
      </c>
      <c r="AM1476" s="36">
        <f>IF(ISBLANK(AL1477),"",Short1[[#This Row],[Adj Close]]/AL1477-1)</f>
        <v>-3.5293840837893553E-2</v>
      </c>
      <c r="AN1476" s="29">
        <v>34764</v>
      </c>
      <c r="AO1476" s="44">
        <v>2.3132039999999998</v>
      </c>
      <c r="AP1476" s="33">
        <f>IF(ISBLANK(AO1477),"",Short2[[#This Row],[Adj Close]]/AO1477-1)</f>
        <v>0</v>
      </c>
    </row>
    <row r="1477" spans="1:42" x14ac:dyDescent="0.25">
      <c r="A1477" s="37">
        <v>34757</v>
      </c>
      <c r="B1477" s="39">
        <v>485.42001299999998</v>
      </c>
      <c r="C1477" s="36">
        <f>IF(ISBLANK(B1478), "", GSPC[[#This Row],[Adj Close]]/B1478-1)</f>
        <v>-5.5109956416892203E-3</v>
      </c>
      <c r="D147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7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77" s="11" t="e">
        <f>IF(ISBLANK(GSPC[[#This Row],[Long Exp.]]), "", (GSPC[[#This Row],[Long Exp.]]/D1478-1)+(E1478/GSPC[[#This Row],[Short Exp.]]-1))</f>
        <v>#VALUE!</v>
      </c>
      <c r="G1477" s="37">
        <v>34757</v>
      </c>
      <c r="H1477">
        <v>7.4395930000000003</v>
      </c>
      <c r="I1477" s="36">
        <f>IF(ISBLANK(H1478), "", Long0[[#This Row],[Adj Close]]/H1478-1)</f>
        <v>-3.2128584068459198E-2</v>
      </c>
      <c r="M1477" s="37">
        <v>34757</v>
      </c>
      <c r="N1477">
        <v>16.361473</v>
      </c>
      <c r="O1477" s="36">
        <f>IF(ISBLANK(N1478),"",Long2[[#This Row],[Adj Close]]/N1478-1)</f>
        <v>-3.4482284492508342E-2</v>
      </c>
      <c r="P1477" s="29">
        <v>34757</v>
      </c>
      <c r="Q1477">
        <v>2.3846880000000001</v>
      </c>
      <c r="R1477" s="33">
        <f>IF(ISBLANK(Q1478),"",Long3[[#This Row],[Adj Close]]/Q1478-1)</f>
        <v>0</v>
      </c>
      <c r="AK1477" s="37">
        <v>34757</v>
      </c>
      <c r="AL1477" s="39">
        <v>1.4875400000000001</v>
      </c>
      <c r="AM1477" s="36">
        <f>IF(ISBLANK(AL1478),"",Short1[[#This Row],[Adj Close]]/AL1478-1)</f>
        <v>-9.5745101197839522E-2</v>
      </c>
      <c r="AN1477" s="29">
        <v>34757</v>
      </c>
      <c r="AO1477" s="44">
        <v>2.3132039999999998</v>
      </c>
      <c r="AP1477" s="33">
        <f>IF(ISBLANK(AO1478),"",Short2[[#This Row],[Adj Close]]/AO1478-1)</f>
        <v>-1.470570070054944E-2</v>
      </c>
    </row>
    <row r="1478" spans="1:42" x14ac:dyDescent="0.25">
      <c r="A1478" s="37">
        <v>34750</v>
      </c>
      <c r="B1478" s="39">
        <v>488.10998499999999</v>
      </c>
      <c r="C1478" s="36">
        <f>IF(ISBLANK(B1479), "", GSPC[[#This Row],[Adj Close]]/B1479-1)</f>
        <v>1.2739348895700164E-2</v>
      </c>
      <c r="D147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7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78" s="11" t="e">
        <f>IF(ISBLANK(GSPC[[#This Row],[Long Exp.]]), "", (GSPC[[#This Row],[Long Exp.]]/D1479-1)+(E1479/GSPC[[#This Row],[Short Exp.]]-1))</f>
        <v>#VALUE!</v>
      </c>
      <c r="G1478" s="37">
        <v>34750</v>
      </c>
      <c r="H1478">
        <v>7.6865509999999997</v>
      </c>
      <c r="I1478" s="36">
        <f>IF(ISBLANK(H1479), "", Long0[[#This Row],[Adj Close]]/H1479-1)</f>
        <v>2.4691618060848075E-2</v>
      </c>
      <c r="M1478" s="37">
        <v>34750</v>
      </c>
      <c r="N1478">
        <v>16.945803000000002</v>
      </c>
      <c r="O1478" s="36">
        <f>IF(ISBLANK(N1479),"",Long2[[#This Row],[Adj Close]]/N1479-1)</f>
        <v>-3.3333717433532195E-2</v>
      </c>
      <c r="P1478" s="29">
        <v>34750</v>
      </c>
      <c r="Q1478">
        <v>2.3846880000000001</v>
      </c>
      <c r="R1478" s="33">
        <f>IF(ISBLANK(Q1479),"",Long3[[#This Row],[Adj Close]]/Q1479-1)</f>
        <v>6.1346380057281102E-3</v>
      </c>
      <c r="AK1478" s="37">
        <v>34750</v>
      </c>
      <c r="AL1478" s="39">
        <v>1.6450450000000001</v>
      </c>
      <c r="AM1478" s="36">
        <f>IF(ISBLANK(AL1479),"",Short1[[#This Row],[Adj Close]]/AL1479-1)</f>
        <v>-5.0504286754868177E-2</v>
      </c>
      <c r="AN1478" s="29">
        <v>34750</v>
      </c>
      <c r="AO1478" s="44">
        <v>2.3477290000000002</v>
      </c>
      <c r="AP1478" s="33">
        <f>IF(ISBLANK(AO1479),"",Short2[[#This Row],[Adj Close]]/AO1479-1)</f>
        <v>7.4070990921561997E-3</v>
      </c>
    </row>
    <row r="1479" spans="1:42" x14ac:dyDescent="0.25">
      <c r="A1479" s="37">
        <v>34743</v>
      </c>
      <c r="B1479" s="39">
        <v>481.97000100000002</v>
      </c>
      <c r="C1479" s="36">
        <f>IF(ISBLANK(B1480), "", GSPC[[#This Row],[Adj Close]]/B1480-1)</f>
        <v>1.0592988192865693E-3</v>
      </c>
      <c r="D147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7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79" s="11" t="e">
        <f>IF(ISBLANK(GSPC[[#This Row],[Long Exp.]]), "", (GSPC[[#This Row],[Long Exp.]]/D1480-1)+(E1480/GSPC[[#This Row],[Short Exp.]]-1))</f>
        <v>#VALUE!</v>
      </c>
      <c r="G1479" s="37">
        <v>34743</v>
      </c>
      <c r="H1479">
        <v>7.5013310000000004</v>
      </c>
      <c r="I1479" s="36">
        <f>IF(ISBLANK(H1480), "", Long0[[#This Row],[Adj Close]]/H1480-1)</f>
        <v>4.132409516950819E-3</v>
      </c>
      <c r="M1479" s="37">
        <v>34743</v>
      </c>
      <c r="N1479">
        <v>17.530148000000001</v>
      </c>
      <c r="O1479" s="36">
        <f>IF(ISBLANK(N1480),"",Long2[[#This Row],[Adj Close]]/N1480-1)</f>
        <v>5.9783112048296116E-2</v>
      </c>
      <c r="P1479" s="29">
        <v>34743</v>
      </c>
      <c r="Q1479">
        <v>2.3701479999999999</v>
      </c>
      <c r="R1479" s="33">
        <f>IF(ISBLANK(Q1480),"",Long3[[#This Row],[Adj Close]]/Q1480-1)</f>
        <v>6.1733583629859368E-3</v>
      </c>
      <c r="AK1479" s="37">
        <v>34743</v>
      </c>
      <c r="AL1479" s="39">
        <v>1.7325459999999999</v>
      </c>
      <c r="AM1479" s="36">
        <f>IF(ISBLANK(AL1480),"",Short1[[#This Row],[Adj Close]]/AL1480-1)</f>
        <v>-7.9070771199945655E-2</v>
      </c>
      <c r="AN1479" s="29">
        <v>34743</v>
      </c>
      <c r="AO1479" s="44">
        <v>2.3304670000000001</v>
      </c>
      <c r="AP1479" s="33">
        <f>IF(ISBLANK(AO1480),"",Short2[[#This Row],[Adj Close]]/AO1480-1)</f>
        <v>-2.8777029386735209E-2</v>
      </c>
    </row>
    <row r="1480" spans="1:42" x14ac:dyDescent="0.25">
      <c r="A1480" s="37">
        <v>34736</v>
      </c>
      <c r="B1480" s="39">
        <v>481.459991</v>
      </c>
      <c r="C1480" s="36">
        <f>IF(ISBLANK(B1481), "", GSPC[[#This Row],[Adj Close]]/B1481-1)</f>
        <v>5.8706717543592912E-3</v>
      </c>
      <c r="D148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8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80" s="11" t="e">
        <f>IF(ISBLANK(GSPC[[#This Row],[Long Exp.]]), "", (GSPC[[#This Row],[Long Exp.]]/D1481-1)+(E1481/GSPC[[#This Row],[Short Exp.]]-1))</f>
        <v>#VALUE!</v>
      </c>
      <c r="G1480" s="37">
        <v>34736</v>
      </c>
      <c r="H1480">
        <v>7.4704600000000001</v>
      </c>
      <c r="I1480" s="36">
        <f>IF(ISBLANK(H1481), "", Long0[[#This Row],[Adj Close]]/H1481-1)</f>
        <v>2.109685840008213E-2</v>
      </c>
      <c r="M1480" s="37">
        <v>34736</v>
      </c>
      <c r="N1480">
        <v>16.541260000000001</v>
      </c>
      <c r="O1480" s="36">
        <f>IF(ISBLANK(N1481),"",Long2[[#This Row],[Adj Close]]/N1481-1)</f>
        <v>-3.4120566321929169E-2</v>
      </c>
      <c r="P1480" s="29">
        <v>34736</v>
      </c>
      <c r="Q1480">
        <v>2.3556059999999999</v>
      </c>
      <c r="R1480" s="33">
        <f>IF(ISBLANK(Q1481),"",Long3[[#This Row],[Adj Close]]/Q1481-1)</f>
        <v>-2.4096340619172762E-2</v>
      </c>
      <c r="AK1480" s="37">
        <v>34736</v>
      </c>
      <c r="AL1480" s="39">
        <v>1.881302</v>
      </c>
      <c r="AM1480" s="36">
        <f>IF(ISBLANK(AL1481),"",Short1[[#This Row],[Adj Close]]/AL1481-1)</f>
        <v>9.3899509657950908E-3</v>
      </c>
      <c r="AN1480" s="29">
        <v>34736</v>
      </c>
      <c r="AO1480" s="44">
        <v>2.399518</v>
      </c>
      <c r="AP1480" s="33">
        <f>IF(ISBLANK(AO1481),"",Short2[[#This Row],[Adj Close]]/AO1481-1)</f>
        <v>7.9232475590953477E-2</v>
      </c>
    </row>
    <row r="1481" spans="1:42" x14ac:dyDescent="0.25">
      <c r="A1481" s="37">
        <v>34729</v>
      </c>
      <c r="B1481" s="39">
        <v>478.64999399999999</v>
      </c>
      <c r="C1481" s="36">
        <f>IF(ISBLANK(B1482), "", GSPC[[#This Row],[Adj Close]]/B1482-1)</f>
        <v>1.7559851902893886E-2</v>
      </c>
      <c r="D148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8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81" s="11" t="e">
        <f>IF(ISBLANK(GSPC[[#This Row],[Long Exp.]]), "", (GSPC[[#This Row],[Long Exp.]]/D1482-1)+(E1482/GSPC[[#This Row],[Short Exp.]]-1))</f>
        <v>#VALUE!</v>
      </c>
      <c r="G1481" s="37">
        <v>34729</v>
      </c>
      <c r="H1481">
        <v>7.3161129999999996</v>
      </c>
      <c r="I1481" s="36">
        <f>IF(ISBLANK(H1482), "", Long0[[#This Row],[Adj Close]]/H1482-1)</f>
        <v>4.8672351999871521E-2</v>
      </c>
      <c r="M1481" s="37">
        <v>34729</v>
      </c>
      <c r="N1481">
        <v>17.125595000000001</v>
      </c>
      <c r="O1481" s="36">
        <f>IF(ISBLANK(N1482),"",Long2[[#This Row],[Adj Close]]/N1482-1)</f>
        <v>2.1447139606007637E-2</v>
      </c>
      <c r="P1481" s="29">
        <v>34729</v>
      </c>
      <c r="Q1481">
        <v>2.4137689999999998</v>
      </c>
      <c r="R1481" s="33">
        <f>IF(ISBLANK(Q1482),"",Long3[[#This Row],[Adj Close]]/Q1482-1)</f>
        <v>3.1054629767268471E-2</v>
      </c>
      <c r="AK1481" s="37">
        <v>34729</v>
      </c>
      <c r="AL1481" s="39">
        <v>1.863801</v>
      </c>
      <c r="AM1481" s="36">
        <f>IF(ISBLANK(AL1482),"",Short1[[#This Row],[Adj Close]]/AL1482-1)</f>
        <v>-0.15810292748567978</v>
      </c>
      <c r="AN1481" s="29">
        <v>34729</v>
      </c>
      <c r="AO1481" s="44">
        <v>2.2233559999999999</v>
      </c>
      <c r="AP1481" s="33">
        <f>IF(ISBLANK(AO1482),"",Short2[[#This Row],[Adj Close]]/AO1482-1)</f>
        <v>2.3810017180492693E-2</v>
      </c>
    </row>
    <row r="1482" spans="1:42" x14ac:dyDescent="0.25">
      <c r="A1482" s="37">
        <v>34722</v>
      </c>
      <c r="B1482" s="39">
        <v>470.39001500000001</v>
      </c>
      <c r="C1482" s="36">
        <f>IF(ISBLANK(B1483), "", GSPC[[#This Row],[Adj Close]]/B1483-1)</f>
        <v>1.2070261224816692E-2</v>
      </c>
      <c r="D148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8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82" s="11" t="e">
        <f>IF(ISBLANK(GSPC[[#This Row],[Long Exp.]]), "", (GSPC[[#This Row],[Long Exp.]]/D1483-1)+(E1483/GSPC[[#This Row],[Short Exp.]]-1))</f>
        <v>#VALUE!</v>
      </c>
      <c r="G1482" s="37">
        <v>34722</v>
      </c>
      <c r="H1482">
        <v>6.9765480000000002</v>
      </c>
      <c r="I1482" s="36">
        <f>IF(ISBLANK(H1483), "", Long0[[#This Row],[Adj Close]]/H1483-1)</f>
        <v>4.6296325457782395E-2</v>
      </c>
      <c r="M1482" s="37">
        <v>34722</v>
      </c>
      <c r="N1482">
        <v>16.766012</v>
      </c>
      <c r="O1482" s="36">
        <f>IF(ISBLANK(N1483),"",Long2[[#This Row],[Adj Close]]/N1483-1)</f>
        <v>-1.0609765733733734E-2</v>
      </c>
      <c r="P1482" s="29">
        <v>34722</v>
      </c>
      <c r="Q1482">
        <v>2.3410679999999999</v>
      </c>
      <c r="R1482" s="33">
        <f>IF(ISBLANK(Q1483),"",Long3[[#This Row],[Adj Close]]/Q1483-1)</f>
        <v>0</v>
      </c>
      <c r="AK1482" s="37">
        <v>34722</v>
      </c>
      <c r="AL1482" s="39">
        <v>2.2138110000000002</v>
      </c>
      <c r="AM1482" s="36">
        <f>IF(ISBLANK(AL1483),"",Short1[[#This Row],[Adj Close]]/AL1483-1)</f>
        <v>3.6885163360825146E-2</v>
      </c>
      <c r="AN1482" s="29">
        <v>34722</v>
      </c>
      <c r="AO1482" s="44">
        <v>2.1716489999999999</v>
      </c>
      <c r="AP1482" s="33">
        <f>IF(ISBLANK(AO1483),"",Short2[[#This Row],[Adj Close]]/AO1483-1)</f>
        <v>-3.8168131645219816E-2</v>
      </c>
    </row>
    <row r="1483" spans="1:42" x14ac:dyDescent="0.25">
      <c r="A1483" s="37">
        <v>34715</v>
      </c>
      <c r="B1483" s="39">
        <v>464.77999899999998</v>
      </c>
      <c r="C1483" s="36">
        <f>IF(ISBLANK(B1484), "", GSPC[[#This Row],[Adj Close]]/B1484-1)</f>
        <v>-2.5538167638393672E-3</v>
      </c>
      <c r="D148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8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83" s="11" t="e">
        <f>IF(ISBLANK(GSPC[[#This Row],[Long Exp.]]), "", (GSPC[[#This Row],[Long Exp.]]/D1484-1)+(E1484/GSPC[[#This Row],[Short Exp.]]-1))</f>
        <v>#VALUE!</v>
      </c>
      <c r="G1483" s="37">
        <v>34715</v>
      </c>
      <c r="H1483">
        <v>6.6678509999999998</v>
      </c>
      <c r="I1483" s="36">
        <f>IF(ISBLANK(H1484), "", Long0[[#This Row],[Adj Close]]/H1484-1)</f>
        <v>2.3696776327081892E-2</v>
      </c>
      <c r="M1483" s="37">
        <v>34715</v>
      </c>
      <c r="N1483">
        <v>16.945803000000002</v>
      </c>
      <c r="O1483" s="36">
        <f>IF(ISBLANK(N1484),"",Long2[[#This Row],[Adj Close]]/N1484-1)</f>
        <v>4.7222069958040791E-2</v>
      </c>
      <c r="P1483" s="29">
        <v>34715</v>
      </c>
      <c r="Q1483">
        <v>2.3410679999999999</v>
      </c>
      <c r="R1483" s="33">
        <f>IF(ISBLANK(Q1484),"",Long3[[#This Row],[Adj Close]]/Q1484-1)</f>
        <v>1.8988058033188038E-2</v>
      </c>
      <c r="AK1483" s="37">
        <v>34715</v>
      </c>
      <c r="AL1483" s="39">
        <v>2.135059</v>
      </c>
      <c r="AM1483" s="36">
        <f>IF(ISBLANK(AL1484),"",Short1[[#This Row],[Adj Close]]/AL1484-1)</f>
        <v>-7.2243106435326276E-2</v>
      </c>
      <c r="AN1483" s="29">
        <v>34715</v>
      </c>
      <c r="AO1483" s="44">
        <v>2.2578260000000001</v>
      </c>
      <c r="AP1483" s="33">
        <f>IF(ISBLANK(AO1484),"",Short2[[#This Row],[Adj Close]]/AO1484-1)</f>
        <v>-1.5038184389638665E-2</v>
      </c>
    </row>
    <row r="1484" spans="1:42" x14ac:dyDescent="0.25">
      <c r="A1484" s="37">
        <v>34708</v>
      </c>
      <c r="B1484" s="39">
        <v>465.97000100000002</v>
      </c>
      <c r="C1484" s="36">
        <f>IF(ISBLANK(B1485), "", GSPC[[#This Row],[Adj Close]]/B1485-1)</f>
        <v>1.1483042633457785E-2</v>
      </c>
      <c r="D148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8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84" s="11" t="e">
        <f>IF(ISBLANK(GSPC[[#This Row],[Long Exp.]]), "", (GSPC[[#This Row],[Long Exp.]]/D1485-1)+(E1485/GSPC[[#This Row],[Short Exp.]]-1))</f>
        <v>#VALUE!</v>
      </c>
      <c r="G1484" s="37">
        <v>34708</v>
      </c>
      <c r="H1484">
        <v>6.5135019999999999</v>
      </c>
      <c r="I1484" s="36">
        <f>IF(ISBLANK(H1485), "", Long0[[#This Row],[Adj Close]]/H1485-1)</f>
        <v>1.4422913693949768E-2</v>
      </c>
      <c r="M1484" s="37">
        <v>34708</v>
      </c>
      <c r="N1484">
        <v>16.181671000000001</v>
      </c>
      <c r="O1484" s="36">
        <f>IF(ISBLANK(N1485),"",Long2[[#This Row],[Adj Close]]/N1485-1)</f>
        <v>6.1946497861298022E-2</v>
      </c>
      <c r="P1484" s="29">
        <v>34708</v>
      </c>
      <c r="Q1484">
        <v>2.297444</v>
      </c>
      <c r="R1484" s="33">
        <f>IF(ISBLANK(Q1485),"",Long3[[#This Row],[Adj Close]]/Q1485-1)</f>
        <v>6.3690807848251207E-3</v>
      </c>
      <c r="AK1484" s="37">
        <v>34708</v>
      </c>
      <c r="AL1484" s="39">
        <v>2.3013129999999999</v>
      </c>
      <c r="AM1484" s="36">
        <f>IF(ISBLANK(AL1485),"",Short1[[#This Row],[Adj Close]]/AL1485-1)</f>
        <v>7.6626238663148882E-3</v>
      </c>
      <c r="AN1484" s="29">
        <v>34708</v>
      </c>
      <c r="AO1484" s="44">
        <v>2.2922980000000002</v>
      </c>
      <c r="AP1484" s="33">
        <f>IF(ISBLANK(AO1485),"",Short2[[#This Row],[Adj Close]]/AO1485-1)</f>
        <v>3.1008079677748546E-2</v>
      </c>
    </row>
    <row r="1485" spans="1:42" x14ac:dyDescent="0.25">
      <c r="A1485" s="37">
        <v>34701</v>
      </c>
      <c r="B1485" s="39">
        <v>460.67999300000002</v>
      </c>
      <c r="C1485" s="36">
        <f>IF(ISBLANK(B1486), "", GSPC[[#This Row],[Adj Close]]/B1486-1)</f>
        <v>3.0700982728484316E-3</v>
      </c>
      <c r="D148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8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85" s="11" t="e">
        <f>IF(ISBLANK(GSPC[[#This Row],[Long Exp.]]), "", (GSPC[[#This Row],[Long Exp.]]/D1486-1)+(E1486/GSPC[[#This Row],[Short Exp.]]-1))</f>
        <v>#VALUE!</v>
      </c>
      <c r="G1485" s="37">
        <v>34701</v>
      </c>
      <c r="H1485">
        <v>6.4208939999999997</v>
      </c>
      <c r="I1485" s="36">
        <f>IF(ISBLANK(H1486), "", Long0[[#This Row],[Adj Close]]/H1486-1)</f>
        <v>-3.7036970382211654E-2</v>
      </c>
      <c r="M1485" s="37">
        <v>34701</v>
      </c>
      <c r="N1485">
        <v>15.237746</v>
      </c>
      <c r="O1485" s="36">
        <f>IF(ISBLANK(N1486),"",Long2[[#This Row],[Adj Close]]/N1486-1)</f>
        <v>-2.9170355600476872E-2</v>
      </c>
      <c r="P1485" s="29">
        <v>34701</v>
      </c>
      <c r="Q1485">
        <v>2.2829039999999998</v>
      </c>
      <c r="R1485" s="33">
        <f>IF(ISBLANK(Q1486),"",Long3[[#This Row],[Adj Close]]/Q1486-1)</f>
        <v>3.2895227986258213E-2</v>
      </c>
      <c r="AK1485" s="37">
        <v>34701</v>
      </c>
      <c r="AL1485" s="39">
        <v>2.2838129999999999</v>
      </c>
      <c r="AM1485" s="36">
        <f>IF(ISBLANK(AL1486),"",Short1[[#This Row],[Adj Close]]/AL1486-1)</f>
        <v>4.4000164566914801E-2</v>
      </c>
      <c r="AN1485" s="29">
        <v>34701</v>
      </c>
      <c r="AO1485" s="44">
        <v>2.2233559999999999</v>
      </c>
      <c r="AP1485" s="33">
        <f>IF(ISBLANK(AO1486),"",Short2[[#This Row],[Adj Close]]/AO1486-1)</f>
        <v>4.032326741151171E-2</v>
      </c>
    </row>
    <row r="1486" spans="1:42" x14ac:dyDescent="0.25">
      <c r="A1486" s="37">
        <v>34694</v>
      </c>
      <c r="B1486" s="39">
        <v>459.26998900000001</v>
      </c>
      <c r="C1486" s="36">
        <f>IF(ISBLANK(B1487), "", GSPC[[#This Row],[Adj Close]]/B1487-1)</f>
        <v>-1.2178370611571898E-3</v>
      </c>
      <c r="D148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8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86" s="11" t="e">
        <f>IF(ISBLANK(GSPC[[#This Row],[Long Exp.]]), "", (GSPC[[#This Row],[Long Exp.]]/D1487-1)+(E1487/GSPC[[#This Row],[Short Exp.]]-1))</f>
        <v>#VALUE!</v>
      </c>
      <c r="G1486" s="37">
        <v>34694</v>
      </c>
      <c r="H1486">
        <v>6.6678509999999998</v>
      </c>
      <c r="I1486" s="36">
        <f>IF(ISBLANK(H1487), "", Long0[[#This Row],[Adj Close]]/H1487-1)</f>
        <v>1.1604430161778367E-2</v>
      </c>
      <c r="M1486" s="37">
        <v>34694</v>
      </c>
      <c r="N1486">
        <v>15.695592</v>
      </c>
      <c r="O1486" s="36">
        <f>IF(ISBLANK(N1487),"",Long2[[#This Row],[Adj Close]]/N1487-1)</f>
        <v>3.2448443166597007E-2</v>
      </c>
      <c r="P1486" s="29">
        <v>34694</v>
      </c>
      <c r="Q1486">
        <v>2.2101989999999998</v>
      </c>
      <c r="R1486" s="33">
        <f>IF(ISBLANK(Q1487),"",Long3[[#This Row],[Adj Close]]/Q1487-1)</f>
        <v>-1.9354686995994852E-2</v>
      </c>
      <c r="AK1486" s="37">
        <v>34694</v>
      </c>
      <c r="AL1486" s="39">
        <v>2.1875599999999999</v>
      </c>
      <c r="AM1486" s="36">
        <f>IF(ISBLANK(AL1487),"",Short1[[#This Row],[Adj Close]]/AL1487-1)</f>
        <v>4.6025284666478816E-2</v>
      </c>
      <c r="AN1486" s="29">
        <v>34694</v>
      </c>
      <c r="AO1486" s="44">
        <v>2.137178</v>
      </c>
      <c r="AP1486" s="33">
        <f>IF(ISBLANK(AO1487),"",Short2[[#This Row],[Adj Close]]/AO1487-1)</f>
        <v>-5.3435472884093005E-2</v>
      </c>
    </row>
    <row r="1487" spans="1:42" x14ac:dyDescent="0.25">
      <c r="A1487" s="37">
        <v>34687</v>
      </c>
      <c r="B1487" s="39">
        <v>459.82998700000002</v>
      </c>
      <c r="C1487" s="36">
        <f>IF(ISBLANK(B1488), "", GSPC[[#This Row],[Adj Close]]/B1488-1)</f>
        <v>2.2449848015253515E-3</v>
      </c>
      <c r="D148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8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87" s="11" t="e">
        <f>IF(ISBLANK(GSPC[[#This Row],[Long Exp.]]), "", (GSPC[[#This Row],[Long Exp.]]/D1488-1)+(E1488/GSPC[[#This Row],[Short Exp.]]-1))</f>
        <v>#VALUE!</v>
      </c>
      <c r="G1487" s="37">
        <v>34687</v>
      </c>
      <c r="H1487">
        <v>6.5913620000000002</v>
      </c>
      <c r="I1487" s="36">
        <f>IF(ISBLANK(H1488), "", Long0[[#This Row],[Adj Close]]/H1488-1)</f>
        <v>-4.8888981238702445E-2</v>
      </c>
      <c r="M1487" s="37">
        <v>34687</v>
      </c>
      <c r="N1487">
        <v>15.202301</v>
      </c>
      <c r="O1487" s="36">
        <f>IF(ISBLANK(N1488),"",Long2[[#This Row],[Adj Close]]/N1488-1)</f>
        <v>2.7272802832194909E-2</v>
      </c>
      <c r="P1487" s="29">
        <v>34687</v>
      </c>
      <c r="Q1487">
        <v>2.2538209999999999</v>
      </c>
      <c r="R1487" s="33">
        <f>IF(ISBLANK(Q1488),"",Long3[[#This Row],[Adj Close]]/Q1488-1)</f>
        <v>-1.8987622766866163E-2</v>
      </c>
      <c r="AK1487" s="37">
        <v>34687</v>
      </c>
      <c r="AL1487" s="39">
        <v>2.091307</v>
      </c>
      <c r="AM1487" s="36">
        <f>IF(ISBLANK(AL1488),"",Short1[[#This Row],[Adj Close]]/AL1488-1)</f>
        <v>8.4385866187162151E-3</v>
      </c>
      <c r="AN1487" s="29">
        <v>34687</v>
      </c>
      <c r="AO1487" s="44">
        <v>2.2578260000000001</v>
      </c>
      <c r="AP1487" s="33">
        <f>IF(ISBLANK(AO1488),"",Short2[[#This Row],[Adj Close]]/AO1488-1)</f>
        <v>0</v>
      </c>
    </row>
    <row r="1488" spans="1:42" x14ac:dyDescent="0.25">
      <c r="A1488" s="37">
        <v>34680</v>
      </c>
      <c r="B1488" s="39">
        <v>458.79998799999998</v>
      </c>
      <c r="C1488" s="36">
        <f>IF(ISBLANK(B1489), "", GSPC[[#This Row],[Adj Close]]/B1489-1)</f>
        <v>2.6490060046560071E-2</v>
      </c>
      <c r="D148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8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88" s="11" t="e">
        <f>IF(ISBLANK(GSPC[[#This Row],[Long Exp.]]), "", (GSPC[[#This Row],[Long Exp.]]/D1489-1)+(E1489/GSPC[[#This Row],[Short Exp.]]-1))</f>
        <v>#VALUE!</v>
      </c>
      <c r="G1488" s="37">
        <v>34680</v>
      </c>
      <c r="H1488">
        <v>6.9301709999999996</v>
      </c>
      <c r="I1488" s="36">
        <f>IF(ISBLANK(H1489), "", Long0[[#This Row],[Adj Close]]/H1489-1)</f>
        <v>4.651153308797551E-2</v>
      </c>
      <c r="M1488" s="37">
        <v>34680</v>
      </c>
      <c r="N1488">
        <v>14.798698999999999</v>
      </c>
      <c r="O1488" s="36">
        <f>IF(ISBLANK(N1489),"",Long2[[#This Row],[Adj Close]]/N1489-1)</f>
        <v>7.8431449709085665E-2</v>
      </c>
      <c r="P1488" s="29">
        <v>34680</v>
      </c>
      <c r="Q1488">
        <v>2.297444</v>
      </c>
      <c r="R1488" s="33">
        <f>IF(ISBLANK(Q1489),"",Long3[[#This Row],[Adj Close]]/Q1489-1)</f>
        <v>2.7989744461696109E-2</v>
      </c>
      <c r="AK1488" s="37">
        <v>34680</v>
      </c>
      <c r="AL1488" s="39">
        <v>2.073807</v>
      </c>
      <c r="AM1488" s="36">
        <f>IF(ISBLANK(AL1489),"",Short1[[#This Row],[Adj Close]]/AL1489-1)</f>
        <v>-5.1999945144361792E-2</v>
      </c>
      <c r="AN1488" s="29">
        <v>34680</v>
      </c>
      <c r="AO1488" s="44">
        <v>2.2578260000000001</v>
      </c>
      <c r="AP1488" s="33">
        <f>IF(ISBLANK(AO1489),"",Short2[[#This Row],[Adj Close]]/AO1489-1)</f>
        <v>7.3770585359451024E-2</v>
      </c>
    </row>
    <row r="1489" spans="1:42" x14ac:dyDescent="0.25">
      <c r="A1489" s="37">
        <v>34673</v>
      </c>
      <c r="B1489" s="39">
        <v>446.959991</v>
      </c>
      <c r="C1489" s="36">
        <f>IF(ISBLANK(B1490), "", GSPC[[#This Row],[Adj Close]]/B1490-1)</f>
        <v>-1.3986316275834465E-2</v>
      </c>
      <c r="D148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8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89" s="11" t="e">
        <f>IF(ISBLANK(GSPC[[#This Row],[Long Exp.]]), "", (GSPC[[#This Row],[Long Exp.]]/D1490-1)+(E1490/GSPC[[#This Row],[Short Exp.]]-1))</f>
        <v>#VALUE!</v>
      </c>
      <c r="G1489" s="37">
        <v>34673</v>
      </c>
      <c r="H1489">
        <v>6.6221639999999997</v>
      </c>
      <c r="I1489" s="36">
        <f>IF(ISBLANK(H1490), "", Long0[[#This Row],[Adj Close]]/H1490-1)</f>
        <v>-6.5217332999255473E-2</v>
      </c>
      <c r="M1489" s="37">
        <v>34673</v>
      </c>
      <c r="N1489">
        <v>13.722429</v>
      </c>
      <c r="O1489" s="36">
        <f>IF(ISBLANK(N1490),"",Long2[[#This Row],[Adj Close]]/N1490-1)</f>
        <v>-1.9230963029765347E-2</v>
      </c>
      <c r="P1489" s="29">
        <v>34673</v>
      </c>
      <c r="Q1489">
        <v>2.23489</v>
      </c>
      <c r="R1489" s="33">
        <f>IF(ISBLANK(Q1490),"",Long3[[#This Row],[Adj Close]]/Q1490-1)</f>
        <v>-1.2578644139686124E-2</v>
      </c>
      <c r="AK1489" s="37">
        <v>34673</v>
      </c>
      <c r="AL1489" s="39">
        <v>2.1875599999999999</v>
      </c>
      <c r="AM1489" s="36">
        <f>IF(ISBLANK(AL1490),"",Short1[[#This Row],[Adj Close]]/AL1490-1)</f>
        <v>-7.4073760541513378E-2</v>
      </c>
      <c r="AN1489" s="29">
        <v>34673</v>
      </c>
      <c r="AO1489" s="44">
        <v>2.1027079999999998</v>
      </c>
      <c r="AP1489" s="33">
        <f>IF(ISBLANK(AO1490),"",Short2[[#This Row],[Adj Close]]/AO1490-1)</f>
        <v>-2.4000482729650718E-2</v>
      </c>
    </row>
    <row r="1490" spans="1:42" x14ac:dyDescent="0.25">
      <c r="A1490" s="37">
        <v>34666</v>
      </c>
      <c r="B1490" s="39">
        <v>453.29998799999998</v>
      </c>
      <c r="C1490" s="36">
        <f>IF(ISBLANK(B1491), "", GSPC[[#This Row],[Adj Close]]/B1491-1)</f>
        <v>2.2330340708454077E-3</v>
      </c>
      <c r="D149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9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90" s="11" t="e">
        <f>IF(ISBLANK(GSPC[[#This Row],[Long Exp.]]), "", (GSPC[[#This Row],[Long Exp.]]/D1491-1)+(E1491/GSPC[[#This Row],[Short Exp.]]-1))</f>
        <v>#VALUE!</v>
      </c>
      <c r="G1490" s="37">
        <v>34666</v>
      </c>
      <c r="H1490">
        <v>7.0841750000000001</v>
      </c>
      <c r="I1490" s="36">
        <f>IF(ISBLANK(H1491), "", Long0[[#This Row],[Adj Close]]/H1491-1)</f>
        <v>1.769925488843449E-2</v>
      </c>
      <c r="M1490" s="37">
        <v>34666</v>
      </c>
      <c r="N1490">
        <v>13.991498999999999</v>
      </c>
      <c r="O1490" s="36">
        <f>IF(ISBLANK(N1491),"",Long2[[#This Row],[Adj Close]]/N1491-1)</f>
        <v>3.9999955401492482E-2</v>
      </c>
      <c r="P1490" s="29">
        <v>34666</v>
      </c>
      <c r="Q1490">
        <v>2.26336</v>
      </c>
      <c r="R1490" s="33">
        <f>IF(ISBLANK(Q1491),"",Long3[[#This Row],[Adj Close]]/Q1491-1)</f>
        <v>-3.6364124046150192E-2</v>
      </c>
      <c r="AK1490" s="37">
        <v>34666</v>
      </c>
      <c r="AL1490" s="39">
        <v>2.3625639999999999</v>
      </c>
      <c r="AM1490" s="36">
        <f>IF(ISBLANK(AL1491),"",Short1[[#This Row],[Adj Close]]/AL1491-1)</f>
        <v>-0.20588219476451064</v>
      </c>
      <c r="AN1490" s="29">
        <v>34666</v>
      </c>
      <c r="AO1490" s="44">
        <v>2.1544150000000002</v>
      </c>
      <c r="AP1490" s="33">
        <f>IF(ISBLANK(AO1491),"",Short2[[#This Row],[Adj Close]]/AO1491-1)</f>
        <v>8.0653085517445877E-3</v>
      </c>
    </row>
    <row r="1491" spans="1:42" x14ac:dyDescent="0.25">
      <c r="A1491" s="37">
        <v>34659</v>
      </c>
      <c r="B1491" s="39">
        <v>452.290009</v>
      </c>
      <c r="C1491" s="36">
        <f>IF(ISBLANK(B1492), "", GSPC[[#This Row],[Adj Close]]/B1492-1)</f>
        <v>-1.9892933408687696E-2</v>
      </c>
      <c r="D149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9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91" s="11" t="e">
        <f>IF(ISBLANK(GSPC[[#This Row],[Long Exp.]]), "", (GSPC[[#This Row],[Long Exp.]]/D1492-1)+(E1492/GSPC[[#This Row],[Short Exp.]]-1))</f>
        <v>#VALUE!</v>
      </c>
      <c r="G1491" s="37">
        <v>34659</v>
      </c>
      <c r="H1491">
        <v>6.9609709999999998</v>
      </c>
      <c r="I1491" s="36">
        <f>IF(ISBLANK(H1492), "", Long0[[#This Row],[Adj Close]]/H1492-1)</f>
        <v>-3.0042878386573268E-2</v>
      </c>
      <c r="M1491" s="37">
        <v>34659</v>
      </c>
      <c r="N1491">
        <v>13.453365</v>
      </c>
      <c r="O1491" s="36">
        <f>IF(ISBLANK(N1492),"",Long2[[#This Row],[Adj Close]]/N1492-1)</f>
        <v>-3.2257890484460816E-2</v>
      </c>
      <c r="P1491" s="29">
        <v>34659</v>
      </c>
      <c r="Q1491">
        <v>2.3487710000000002</v>
      </c>
      <c r="R1491" s="33">
        <f>IF(ISBLANK(Q1492),"",Long3[[#This Row],[Adj Close]]/Q1492-1)</f>
        <v>8.5526975595214827E-2</v>
      </c>
      <c r="AK1491" s="37">
        <v>34659</v>
      </c>
      <c r="AL1491" s="39">
        <v>2.9750800000000002</v>
      </c>
      <c r="AM1491" s="36">
        <f>IF(ISBLANK(AL1492),"",Short1[[#This Row],[Adj Close]]/AL1492-1)</f>
        <v>-2.9328068513262417E-3</v>
      </c>
      <c r="AN1491" s="29">
        <v>34659</v>
      </c>
      <c r="AO1491" s="44">
        <v>2.137178</v>
      </c>
      <c r="AP1491" s="33">
        <f>IF(ISBLANK(AO1492),"",Short2[[#This Row],[Adj Close]]/AO1492-1)</f>
        <v>2.4792936662330289E-2</v>
      </c>
    </row>
    <row r="1492" spans="1:42" x14ac:dyDescent="0.25">
      <c r="A1492" s="37">
        <v>34652</v>
      </c>
      <c r="B1492" s="39">
        <v>461.47000100000002</v>
      </c>
      <c r="C1492" s="36">
        <f>IF(ISBLANK(B1493), "", GSPC[[#This Row],[Adj Close]]/B1493-1)</f>
        <v>-1.9033307852924786E-3</v>
      </c>
      <c r="D149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9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92" s="11" t="e">
        <f>IF(ISBLANK(GSPC[[#This Row],[Long Exp.]]), "", (GSPC[[#This Row],[Long Exp.]]/D1493-1)+(E1493/GSPC[[#This Row],[Short Exp.]]-1))</f>
        <v>#VALUE!</v>
      </c>
      <c r="G1492" s="37">
        <v>34652</v>
      </c>
      <c r="H1492">
        <v>7.1765759999999998</v>
      </c>
      <c r="I1492" s="36">
        <f>IF(ISBLANK(H1493), "", Long0[[#This Row],[Adj Close]]/H1493-1)</f>
        <v>8.6582197852331788E-3</v>
      </c>
      <c r="M1492" s="37">
        <v>34652</v>
      </c>
      <c r="N1492">
        <v>13.901808000000001</v>
      </c>
      <c r="O1492" s="36">
        <f>IF(ISBLANK(N1493),"",Long2[[#This Row],[Adj Close]]/N1493-1)</f>
        <v>2.9900494176818393E-2</v>
      </c>
      <c r="P1492" s="29">
        <v>34652</v>
      </c>
      <c r="Q1492">
        <v>2.1637149999999998</v>
      </c>
      <c r="R1492" s="33">
        <f>IF(ISBLANK(Q1493),"",Long3[[#This Row],[Adj Close]]/Q1493-1)</f>
        <v>-1.2987042608174071E-2</v>
      </c>
      <c r="AK1492" s="37">
        <v>34652</v>
      </c>
      <c r="AL1492" s="39">
        <v>2.9838309999999999</v>
      </c>
      <c r="AM1492" s="36">
        <f>IF(ISBLANK(AL1493),"",Short1[[#This Row],[Adj Close]]/AL1493-1)</f>
        <v>5.8995439146878326E-3</v>
      </c>
      <c r="AN1492" s="29">
        <v>34652</v>
      </c>
      <c r="AO1492" s="44">
        <v>2.0854729999999999</v>
      </c>
      <c r="AP1492" s="33">
        <f>IF(ISBLANK(AO1493),"",Short2[[#This Row],[Adj Close]]/AO1493-1)</f>
        <v>2.5423757982109052E-2</v>
      </c>
    </row>
    <row r="1493" spans="1:42" x14ac:dyDescent="0.25">
      <c r="A1493" s="37">
        <v>34645</v>
      </c>
      <c r="B1493" s="39">
        <v>462.35000600000001</v>
      </c>
      <c r="C1493" s="36">
        <f>IF(ISBLANK(B1494), "", GSPC[[#This Row],[Adj Close]]/B1494-1)</f>
        <v>1.514385224354875E-4</v>
      </c>
      <c r="D149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9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93" s="11" t="e">
        <f>IF(ISBLANK(GSPC[[#This Row],[Long Exp.]]), "", (GSPC[[#This Row],[Long Exp.]]/D1494-1)+(E1494/GSPC[[#This Row],[Short Exp.]]-1))</f>
        <v>#VALUE!</v>
      </c>
      <c r="G1493" s="37">
        <v>34645</v>
      </c>
      <c r="H1493">
        <v>7.114973</v>
      </c>
      <c r="I1493" s="36">
        <f>IF(ISBLANK(H1494), "", Long0[[#This Row],[Adj Close]]/H1494-1)</f>
        <v>4.0540123540295125E-2</v>
      </c>
      <c r="M1493" s="37">
        <v>34645</v>
      </c>
      <c r="N1493">
        <v>13.498205</v>
      </c>
      <c r="O1493" s="36">
        <f>IF(ISBLANK(N1494),"",Long2[[#This Row],[Adj Close]]/N1494-1)</f>
        <v>-7.6687408849233196E-2</v>
      </c>
      <c r="P1493" s="29">
        <v>34645</v>
      </c>
      <c r="Q1493">
        <v>2.1921849999999998</v>
      </c>
      <c r="R1493" s="33">
        <f>IF(ISBLANK(Q1494),"",Long3[[#This Row],[Adj Close]]/Q1494-1)</f>
        <v>-1.2820541687024734E-2</v>
      </c>
      <c r="AK1493" s="37">
        <v>34645</v>
      </c>
      <c r="AL1493" s="39">
        <v>2.9663309999999998</v>
      </c>
      <c r="AM1493" s="36">
        <f>IF(ISBLANK(AL1494),"",Short1[[#This Row],[Adj Close]]/AL1494-1)</f>
        <v>4.6296080742751933E-2</v>
      </c>
      <c r="AN1493" s="29">
        <v>34645</v>
      </c>
      <c r="AO1493" s="44">
        <v>2.0337670000000001</v>
      </c>
      <c r="AP1493" s="33">
        <f>IF(ISBLANK(AO1494),"",Short2[[#This Row],[Adj Close]]/AO1494-1)</f>
        <v>-6.7751167197357409E-3</v>
      </c>
    </row>
    <row r="1494" spans="1:42" x14ac:dyDescent="0.25">
      <c r="A1494" s="37">
        <v>34638</v>
      </c>
      <c r="B1494" s="39">
        <v>462.27999899999998</v>
      </c>
      <c r="C1494" s="36">
        <f>IF(ISBLANK(B1495), "", GSPC[[#This Row],[Adj Close]]/B1495-1)</f>
        <v>-2.425225376612028E-2</v>
      </c>
      <c r="D149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9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94" s="11" t="e">
        <f>IF(ISBLANK(GSPC[[#This Row],[Long Exp.]]), "", (GSPC[[#This Row],[Long Exp.]]/D1495-1)+(E1495/GSPC[[#This Row],[Short Exp.]]-1))</f>
        <v>#VALUE!</v>
      </c>
      <c r="G1494" s="37">
        <v>34638</v>
      </c>
      <c r="H1494">
        <v>6.8377689999999998</v>
      </c>
      <c r="I1494" s="36">
        <f>IF(ISBLANK(H1495), "", Long0[[#This Row],[Adj Close]]/H1495-1)</f>
        <v>-2.2026179061070517E-2</v>
      </c>
      <c r="M1494" s="37">
        <v>34638</v>
      </c>
      <c r="N1494">
        <v>14.619323</v>
      </c>
      <c r="O1494" s="36">
        <f>IF(ISBLANK(N1495),"",Long2[[#This Row],[Adj Close]]/N1495-1)</f>
        <v>-4.3988192511242863E-2</v>
      </c>
      <c r="P1494" s="29">
        <v>34638</v>
      </c>
      <c r="Q1494">
        <v>2.2206549999999998</v>
      </c>
      <c r="R1494" s="33">
        <f>IF(ISBLANK(Q1495),"",Long3[[#This Row],[Adj Close]]/Q1495-1)</f>
        <v>-6.3694410015706637E-3</v>
      </c>
      <c r="AK1494" s="37">
        <v>34638</v>
      </c>
      <c r="AL1494" s="39">
        <v>2.8350780000000002</v>
      </c>
      <c r="AM1494" s="36">
        <f>IF(ISBLANK(AL1495),"",Short1[[#This Row],[Adj Close]]/AL1495-1)</f>
        <v>9.4594704160619658E-2</v>
      </c>
      <c r="AN1494" s="29">
        <v>34638</v>
      </c>
      <c r="AO1494" s="44">
        <v>2.0476399999999999</v>
      </c>
      <c r="AP1494" s="33">
        <f>IF(ISBLANK(AO1495),"",Short2[[#This Row],[Adj Close]]/AO1495-1)</f>
        <v>-2.459054658256099E-2</v>
      </c>
    </row>
    <row r="1495" spans="1:42" x14ac:dyDescent="0.25">
      <c r="A1495" s="37">
        <v>34631</v>
      </c>
      <c r="B1495" s="39">
        <v>473.76998900000001</v>
      </c>
      <c r="C1495" s="36">
        <f>IF(ISBLANK(B1496), "", GSPC[[#This Row],[Adj Close]]/B1496-1)</f>
        <v>1.910123623541371E-2</v>
      </c>
      <c r="D149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9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95" s="11" t="e">
        <f>IF(ISBLANK(GSPC[[#This Row],[Long Exp.]]), "", (GSPC[[#This Row],[Long Exp.]]/D1496-1)+(E1496/GSPC[[#This Row],[Short Exp.]]-1))</f>
        <v>#VALUE!</v>
      </c>
      <c r="G1495" s="37">
        <v>34631</v>
      </c>
      <c r="H1495">
        <v>6.991771</v>
      </c>
      <c r="I1495" s="36">
        <f>IF(ISBLANK(H1496), "", Long0[[#This Row],[Adj Close]]/H1496-1)</f>
        <v>-2.5751138147216746E-2</v>
      </c>
      <c r="M1495" s="37">
        <v>34631</v>
      </c>
      <c r="N1495">
        <v>15.29199</v>
      </c>
      <c r="O1495" s="36">
        <f>IF(ISBLANK(N1496),"",Long2[[#This Row],[Adj Close]]/N1496-1)</f>
        <v>-2.9243312181649328E-3</v>
      </c>
      <c r="P1495" s="29">
        <v>34631</v>
      </c>
      <c r="Q1495">
        <v>2.23489</v>
      </c>
      <c r="R1495" s="33">
        <f>IF(ISBLANK(Q1496),"",Long3[[#This Row],[Adj Close]]/Q1496-1)</f>
        <v>-1.2578644139686124E-2</v>
      </c>
      <c r="AK1495" s="37">
        <v>34631</v>
      </c>
      <c r="AL1495" s="39">
        <v>2.590071</v>
      </c>
      <c r="AM1495" s="36">
        <f>IF(ISBLANK(AL1496),"",Short1[[#This Row],[Adj Close]]/AL1496-1)</f>
        <v>-4.207080123218121E-2</v>
      </c>
      <c r="AN1495" s="29">
        <v>34631</v>
      </c>
      <c r="AO1495" s="44">
        <v>2.099262</v>
      </c>
      <c r="AP1495" s="33">
        <f>IF(ISBLANK(AO1496),"",Short2[[#This Row],[Adj Close]]/AO1496-1)</f>
        <v>-4.6874829739242174E-2</v>
      </c>
    </row>
    <row r="1496" spans="1:42" x14ac:dyDescent="0.25">
      <c r="A1496" s="37">
        <v>34624</v>
      </c>
      <c r="B1496" s="39">
        <v>464.89001500000001</v>
      </c>
      <c r="C1496" s="36">
        <f>IF(ISBLANK(B1497), "", GSPC[[#This Row],[Adj Close]]/B1497-1)</f>
        <v>-8.9746129741042902E-3</v>
      </c>
      <c r="D149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9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96" s="11" t="e">
        <f>IF(ISBLANK(GSPC[[#This Row],[Long Exp.]]), "", (GSPC[[#This Row],[Long Exp.]]/D1497-1)+(E1497/GSPC[[#This Row],[Short Exp.]]-1))</f>
        <v>#VALUE!</v>
      </c>
      <c r="G1496" s="37">
        <v>34624</v>
      </c>
      <c r="H1496">
        <v>7.1765759999999998</v>
      </c>
      <c r="I1496" s="36">
        <f>IF(ISBLANK(H1497), "", Long0[[#This Row],[Adj Close]]/H1497-1)</f>
        <v>5.4298942333330658E-2</v>
      </c>
      <c r="M1496" s="37">
        <v>34624</v>
      </c>
      <c r="N1496">
        <v>15.33684</v>
      </c>
      <c r="O1496" s="36">
        <f>IF(ISBLANK(N1497),"",Long2[[#This Row],[Adj Close]]/N1497-1)</f>
        <v>2.0895731024417552E-2</v>
      </c>
      <c r="P1496" s="29">
        <v>34624</v>
      </c>
      <c r="Q1496">
        <v>2.26336</v>
      </c>
      <c r="R1496" s="33">
        <f>IF(ISBLANK(Q1497),"",Long3[[#This Row],[Adj Close]]/Q1497-1)</f>
        <v>0</v>
      </c>
      <c r="AK1496" s="37">
        <v>34624</v>
      </c>
      <c r="AL1496" s="39">
        <v>2.7038229999999999</v>
      </c>
      <c r="AM1496" s="36">
        <f>IF(ISBLANK(AL1497),"",Short1[[#This Row],[Adj Close]]/AL1497-1)</f>
        <v>3.2466653036855586E-3</v>
      </c>
      <c r="AN1496" s="29">
        <v>34624</v>
      </c>
      <c r="AO1496" s="44">
        <v>2.2025039999999998</v>
      </c>
      <c r="AP1496" s="33">
        <f>IF(ISBLANK(AO1497),"",Short2[[#This Row],[Adj Close]]/AO1497-1)</f>
        <v>2.3999910734335606E-2</v>
      </c>
    </row>
    <row r="1497" spans="1:42" x14ac:dyDescent="0.25">
      <c r="A1497" s="37">
        <v>34617</v>
      </c>
      <c r="B1497" s="39">
        <v>469.10000600000001</v>
      </c>
      <c r="C1497" s="36">
        <f>IF(ISBLANK(B1498), "", GSPC[[#This Row],[Adj Close]]/B1498-1)</f>
        <v>3.0762469381290236E-2</v>
      </c>
      <c r="D149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9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97" s="11" t="e">
        <f>IF(ISBLANK(GSPC[[#This Row],[Long Exp.]]), "", (GSPC[[#This Row],[Long Exp.]]/D1498-1)+(E1498/GSPC[[#This Row],[Short Exp.]]-1))</f>
        <v>#VALUE!</v>
      </c>
      <c r="G1497" s="37">
        <v>34617</v>
      </c>
      <c r="H1497">
        <v>6.8069649999999999</v>
      </c>
      <c r="I1497" s="36">
        <f>IF(ISBLANK(H1498), "", Long0[[#This Row],[Adj Close]]/H1498-1)</f>
        <v>5.7415781844697422E-2</v>
      </c>
      <c r="M1497" s="37">
        <v>34617</v>
      </c>
      <c r="N1497">
        <v>15.022925000000001</v>
      </c>
      <c r="O1497" s="36">
        <f>IF(ISBLANK(N1498),"",Long2[[#This Row],[Adj Close]]/N1498-1)</f>
        <v>2.7607434352466376E-2</v>
      </c>
      <c r="P1497" s="29">
        <v>34617</v>
      </c>
      <c r="Q1497">
        <v>2.26336</v>
      </c>
      <c r="R1497" s="33">
        <f>IF(ISBLANK(Q1498),"",Long3[[#This Row],[Adj Close]]/Q1498-1)</f>
        <v>0</v>
      </c>
      <c r="AK1497" s="37">
        <v>34617</v>
      </c>
      <c r="AL1497" s="39">
        <v>2.6950729999999998</v>
      </c>
      <c r="AM1497" s="36">
        <f>IF(ISBLANK(AL1498),"",Short1[[#This Row],[Adj Close]]/AL1498-1)</f>
        <v>-6.4525381040014818E-3</v>
      </c>
      <c r="AN1497" s="29">
        <v>34617</v>
      </c>
      <c r="AO1497" s="44">
        <v>2.1508829999999999</v>
      </c>
      <c r="AP1497" s="33">
        <f>IF(ISBLANK(AO1498),"",Short2[[#This Row],[Adj Close]]/AO1498-1)</f>
        <v>1.6260581308103816E-2</v>
      </c>
    </row>
    <row r="1498" spans="1:42" x14ac:dyDescent="0.25">
      <c r="A1498" s="37">
        <v>34610</v>
      </c>
      <c r="B1498" s="39">
        <v>455.10000600000001</v>
      </c>
      <c r="C1498" s="36">
        <f>IF(ISBLANK(B1499), "", GSPC[[#This Row],[Adj Close]]/B1499-1)</f>
        <v>-1.6446554316999817E-2</v>
      </c>
      <c r="D149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9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98" s="11" t="e">
        <f>IF(ISBLANK(GSPC[[#This Row],[Long Exp.]]), "", (GSPC[[#This Row],[Long Exp.]]/D1499-1)+(E1499/GSPC[[#This Row],[Short Exp.]]-1))</f>
        <v>#VALUE!</v>
      </c>
      <c r="G1498" s="37">
        <v>34610</v>
      </c>
      <c r="H1498">
        <v>6.4373589999999998</v>
      </c>
      <c r="I1498" s="36">
        <f>IF(ISBLANK(H1499), "", Long0[[#This Row],[Adj Close]]/H1499-1)</f>
        <v>2.6626858454598779E-2</v>
      </c>
      <c r="M1498" s="37">
        <v>34610</v>
      </c>
      <c r="N1498">
        <v>14.619323</v>
      </c>
      <c r="O1498" s="36">
        <f>IF(ISBLANK(N1499),"",Long2[[#This Row],[Adj Close]]/N1499-1)</f>
        <v>-8.4269635824980593E-2</v>
      </c>
      <c r="P1498" s="29">
        <v>34610</v>
      </c>
      <c r="Q1498">
        <v>2.26336</v>
      </c>
      <c r="R1498" s="33">
        <f>IF(ISBLANK(Q1499),"",Long3[[#This Row],[Adj Close]]/Q1499-1)</f>
        <v>-6.2504500359150672E-3</v>
      </c>
      <c r="AK1498" s="37">
        <v>34610</v>
      </c>
      <c r="AL1498" s="39">
        <v>2.7125759999999999</v>
      </c>
      <c r="AM1498" s="36">
        <f>IF(ISBLANK(AL1499),"",Short1[[#This Row],[Adj Close]]/AL1499-1)</f>
        <v>-9.5840369501519751E-3</v>
      </c>
      <c r="AN1498" s="29">
        <v>34610</v>
      </c>
      <c r="AO1498" s="44">
        <v>2.1164679999999998</v>
      </c>
      <c r="AP1498" s="33">
        <f>IF(ISBLANK(AO1499),"",Short2[[#This Row],[Adj Close]]/AO1499-1)</f>
        <v>8.1962137170108473E-3</v>
      </c>
    </row>
    <row r="1499" spans="1:42" x14ac:dyDescent="0.25">
      <c r="A1499" s="37">
        <v>34603</v>
      </c>
      <c r="B1499" s="39">
        <v>462.709991</v>
      </c>
      <c r="C1499" s="36">
        <f>IF(ISBLANK(B1500), "", GSPC[[#This Row],[Adj Close]]/B1500-1)</f>
        <v>6.6133920291207016E-3</v>
      </c>
      <c r="D149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49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499" s="11" t="e">
        <f>IF(ISBLANK(GSPC[[#This Row],[Long Exp.]]), "", (GSPC[[#This Row],[Long Exp.]]/D1500-1)+(E1500/GSPC[[#This Row],[Short Exp.]]-1))</f>
        <v>#VALUE!</v>
      </c>
      <c r="G1499" s="37">
        <v>34603</v>
      </c>
      <c r="H1499">
        <v>6.2703980000000001</v>
      </c>
      <c r="I1499" s="36">
        <f>IF(ISBLANK(H1500), "", Long0[[#This Row],[Adj Close]]/H1500-1)</f>
        <v>5.154613588031709E-2</v>
      </c>
      <c r="M1499" s="37">
        <v>34603</v>
      </c>
      <c r="N1499">
        <v>15.964658999999999</v>
      </c>
      <c r="O1499" s="36">
        <f>IF(ISBLANK(N1500),"",Long2[[#This Row],[Adj Close]]/N1500-1)</f>
        <v>4.3988323298667975E-2</v>
      </c>
      <c r="P1499" s="29">
        <v>34603</v>
      </c>
      <c r="Q1499">
        <v>2.277596</v>
      </c>
      <c r="R1499" s="33">
        <f>IF(ISBLANK(Q1500),"",Long3[[#This Row],[Adj Close]]/Q1500-1)</f>
        <v>2.564153369163602E-2</v>
      </c>
      <c r="AK1499" s="37">
        <v>34603</v>
      </c>
      <c r="AL1499" s="39">
        <v>2.7388249999999998</v>
      </c>
      <c r="AM1499" s="36">
        <f>IF(ISBLANK(AL1500),"",Short1[[#This Row],[Adj Close]]/AL1500-1)</f>
        <v>-3.1849892414259617E-3</v>
      </c>
      <c r="AN1499" s="29">
        <v>34603</v>
      </c>
      <c r="AO1499" s="44">
        <v>2.099262</v>
      </c>
      <c r="AP1499" s="33">
        <f>IF(ISBLANK(AO1500),"",Short2[[#This Row],[Adj Close]]/AO1500-1)</f>
        <v>-4.6874829739242174E-2</v>
      </c>
    </row>
    <row r="1500" spans="1:42" x14ac:dyDescent="0.25">
      <c r="A1500" s="37">
        <v>34596</v>
      </c>
      <c r="B1500" s="39">
        <v>459.67001299999998</v>
      </c>
      <c r="C1500" s="36">
        <f>IF(ISBLANK(B1501), "", GSPC[[#This Row],[Adj Close]]/B1501-1)</f>
        <v>-2.4448712729689848E-2</v>
      </c>
      <c r="D150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0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00" s="11" t="e">
        <f>IF(ISBLANK(GSPC[[#This Row],[Long Exp.]]), "", (GSPC[[#This Row],[Long Exp.]]/D1501-1)+(E1501/GSPC[[#This Row],[Short Exp.]]-1))</f>
        <v>#VALUE!</v>
      </c>
      <c r="G1500" s="37">
        <v>34596</v>
      </c>
      <c r="H1500">
        <v>5.9630270000000003</v>
      </c>
      <c r="I1500" s="36">
        <f>IF(ISBLANK(H1501), "", Long0[[#This Row],[Adj Close]]/H1501-1)</f>
        <v>-6.2801743309742308E-2</v>
      </c>
      <c r="M1500" s="37">
        <v>34596</v>
      </c>
      <c r="N1500">
        <v>15.29199</v>
      </c>
      <c r="O1500" s="36">
        <f>IF(ISBLANK(N1501),"",Long2[[#This Row],[Adj Close]]/N1501-1)</f>
        <v>-8.7208250829318157E-3</v>
      </c>
      <c r="P1500" s="29">
        <v>34596</v>
      </c>
      <c r="Q1500">
        <v>2.2206549999999998</v>
      </c>
      <c r="R1500" s="33">
        <f>IF(ISBLANK(Q1501),"",Long3[[#This Row],[Adj Close]]/Q1501-1)</f>
        <v>-6.3694410015706637E-3</v>
      </c>
      <c r="AK1500" s="37">
        <v>34596</v>
      </c>
      <c r="AL1500" s="39">
        <v>2.747576</v>
      </c>
      <c r="AM1500" s="36">
        <f>IF(ISBLANK(AL1501),"",Short1[[#This Row],[Adj Close]]/AL1501-1)</f>
        <v>6.4104465994525572E-3</v>
      </c>
      <c r="AN1500" s="29">
        <v>34596</v>
      </c>
      <c r="AO1500" s="44">
        <v>2.2025039999999998</v>
      </c>
      <c r="AP1500" s="33">
        <f>IF(ISBLANK(AO1501),"",Short2[[#This Row],[Adj Close]]/AO1501-1)</f>
        <v>-0.20000029057825452</v>
      </c>
    </row>
    <row r="1501" spans="1:42" x14ac:dyDescent="0.25">
      <c r="A1501" s="37">
        <v>34589</v>
      </c>
      <c r="B1501" s="39">
        <v>471.19000199999999</v>
      </c>
      <c r="C1501" s="36">
        <f>IF(ISBLANK(B1502), "", GSPC[[#This Row],[Adj Close]]/B1502-1)</f>
        <v>6.4291705006709332E-3</v>
      </c>
      <c r="D150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0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01" s="11" t="e">
        <f>IF(ISBLANK(GSPC[[#This Row],[Long Exp.]]), "", (GSPC[[#This Row],[Long Exp.]]/D1502-1)+(E1502/GSPC[[#This Row],[Short Exp.]]-1))</f>
        <v>#VALUE!</v>
      </c>
      <c r="G1501" s="37">
        <v>34589</v>
      </c>
      <c r="H1501">
        <v>6.3626100000000001</v>
      </c>
      <c r="I1501" s="36">
        <f>IF(ISBLANK(H1502), "", Long0[[#This Row],[Adj Close]]/H1502-1)</f>
        <v>0</v>
      </c>
      <c r="M1501" s="37">
        <v>34589</v>
      </c>
      <c r="N1501">
        <v>15.426522</v>
      </c>
      <c r="O1501" s="36">
        <f>IF(ISBLANK(N1502),"",Long2[[#This Row],[Adj Close]]/N1502-1)</f>
        <v>0.15824842664565986</v>
      </c>
      <c r="P1501" s="29">
        <v>34589</v>
      </c>
      <c r="Q1501">
        <v>2.23489</v>
      </c>
      <c r="R1501" s="33">
        <f>IF(ISBLANK(Q1502),"",Long3[[#This Row],[Adj Close]]/Q1502-1)</f>
        <v>-6.3291279942199186E-3</v>
      </c>
      <c r="AK1501" s="37">
        <v>34589</v>
      </c>
      <c r="AL1501" s="39">
        <v>2.7300749999999998</v>
      </c>
      <c r="AM1501" s="36">
        <f>IF(ISBLANK(AL1502),"",Short1[[#This Row],[Adj Close]]/AL1502-1)</f>
        <v>7.5861946665510605E-2</v>
      </c>
      <c r="AN1501" s="29">
        <v>34589</v>
      </c>
      <c r="AO1501" s="44">
        <v>2.7531310000000002</v>
      </c>
      <c r="AP1501" s="33">
        <f>IF(ISBLANK(AO1502),"",Short2[[#This Row],[Adj Close]]/AO1502-1)</f>
        <v>3.2258705542436816E-2</v>
      </c>
    </row>
    <row r="1502" spans="1:42" x14ac:dyDescent="0.25">
      <c r="A1502" s="37">
        <v>34582</v>
      </c>
      <c r="B1502" s="39">
        <v>468.17999300000002</v>
      </c>
      <c r="C1502" s="36">
        <f>IF(ISBLANK(B1503), "", GSPC[[#This Row],[Adj Close]]/B1503-1)</f>
        <v>-5.9661501510891446E-3</v>
      </c>
      <c r="D150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0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02" s="11" t="e">
        <f>IF(ISBLANK(GSPC[[#This Row],[Long Exp.]]), "", (GSPC[[#This Row],[Long Exp.]]/D1503-1)+(E1503/GSPC[[#This Row],[Short Exp.]]-1))</f>
        <v>#VALUE!</v>
      </c>
      <c r="G1502" s="37">
        <v>34582</v>
      </c>
      <c r="H1502">
        <v>6.3626100000000001</v>
      </c>
      <c r="I1502" s="36">
        <f>IF(ISBLANK(H1503), "", Long0[[#This Row],[Adj Close]]/H1503-1)</f>
        <v>9.7558583474697258E-3</v>
      </c>
      <c r="M1502" s="37">
        <v>34582</v>
      </c>
      <c r="N1502">
        <v>13.318837</v>
      </c>
      <c r="O1502" s="36">
        <f>IF(ISBLANK(N1503),"",Long2[[#This Row],[Adj Close]]/N1503-1)</f>
        <v>-6.0126064189680251E-2</v>
      </c>
      <c r="P1502" s="29">
        <v>34582</v>
      </c>
      <c r="Q1502">
        <v>2.2491249999999998</v>
      </c>
      <c r="R1502" s="33">
        <f>IF(ISBLANK(Q1503),"",Long3[[#This Row],[Adj Close]]/Q1503-1)</f>
        <v>-4.8841588486500109E-3</v>
      </c>
      <c r="AK1502" s="37">
        <v>34582</v>
      </c>
      <c r="AL1502" s="39">
        <v>2.5375700000000001</v>
      </c>
      <c r="AM1502" s="36">
        <f>IF(ISBLANK(AL1503),"",Short1[[#This Row],[Adj Close]]/AL1503-1)</f>
        <v>-1.023824224721015E-2</v>
      </c>
      <c r="AN1502" s="29">
        <v>34582</v>
      </c>
      <c r="AO1502" s="44">
        <v>2.6670940000000001</v>
      </c>
      <c r="AP1502" s="33">
        <f>IF(ISBLANK(AO1503),"",Short2[[#This Row],[Adj Close]]/AO1503-1)</f>
        <v>-6.0605868488047832E-2</v>
      </c>
    </row>
    <row r="1503" spans="1:42" x14ac:dyDescent="0.25">
      <c r="A1503" s="37">
        <v>34575</v>
      </c>
      <c r="B1503" s="39">
        <v>470.98998999999998</v>
      </c>
      <c r="C1503" s="36">
        <f>IF(ISBLANK(B1504), "", GSPC[[#This Row],[Adj Close]]/B1504-1)</f>
        <v>-5.9307684068578004E-3</v>
      </c>
      <c r="D150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0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03" s="11" t="e">
        <f>IF(ISBLANK(GSPC[[#This Row],[Long Exp.]]), "", (GSPC[[#This Row],[Long Exp.]]/D1504-1)+(E1504/GSPC[[#This Row],[Short Exp.]]-1))</f>
        <v>#VALUE!</v>
      </c>
      <c r="G1503" s="37">
        <v>34575</v>
      </c>
      <c r="H1503">
        <v>6.3011369999999998</v>
      </c>
      <c r="I1503" s="36">
        <f>IF(ISBLANK(H1504), "", Long0[[#This Row],[Adj Close]]/H1504-1)</f>
        <v>4.9022406552183817E-3</v>
      </c>
      <c r="M1503" s="37">
        <v>34575</v>
      </c>
      <c r="N1503">
        <v>14.170876</v>
      </c>
      <c r="O1503" s="36">
        <f>IF(ISBLANK(N1504),"",Long2[[#This Row],[Adj Close]]/N1504-1)</f>
        <v>-1.5576411417774105E-2</v>
      </c>
      <c r="P1503" s="29">
        <v>34575</v>
      </c>
      <c r="Q1503">
        <v>2.2601640000000001</v>
      </c>
      <c r="R1503" s="33">
        <f>IF(ISBLANK(Q1504),"",Long3[[#This Row],[Adj Close]]/Q1504-1)</f>
        <v>-2.9939641730341915E-2</v>
      </c>
      <c r="AK1503" s="37">
        <v>34575</v>
      </c>
      <c r="AL1503" s="39">
        <v>2.5638190000000001</v>
      </c>
      <c r="AM1503" s="36">
        <f>IF(ISBLANK(AL1504),"",Short1[[#This Row],[Adj Close]]/AL1504-1)</f>
        <v>1.0344148141726128E-2</v>
      </c>
      <c r="AN1503" s="29">
        <v>34575</v>
      </c>
      <c r="AO1503" s="44">
        <v>2.8391639999999998</v>
      </c>
      <c r="AP1503" s="33">
        <f>IF(ISBLANK(AO1504),"",Short2[[#This Row],[Adj Close]]/AO1504-1)</f>
        <v>5.7692508288939459E-2</v>
      </c>
    </row>
    <row r="1504" spans="1:42" x14ac:dyDescent="0.25">
      <c r="A1504" s="37">
        <v>34568</v>
      </c>
      <c r="B1504" s="39">
        <v>473.79998799999998</v>
      </c>
      <c r="C1504" s="36">
        <f>IF(ISBLANK(B1505), "", GSPC[[#This Row],[Adj Close]]/B1505-1)</f>
        <v>2.1825386371587374E-2</v>
      </c>
      <c r="D150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0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04" s="11" t="e">
        <f>IF(ISBLANK(GSPC[[#This Row],[Long Exp.]]), "", (GSPC[[#This Row],[Long Exp.]]/D1505-1)+(E1505/GSPC[[#This Row],[Short Exp.]]-1))</f>
        <v>#VALUE!</v>
      </c>
      <c r="G1504" s="37">
        <v>34568</v>
      </c>
      <c r="H1504">
        <v>6.2703980000000001</v>
      </c>
      <c r="I1504" s="36">
        <f>IF(ISBLANK(H1505), "", Long0[[#This Row],[Adj Close]]/H1505-1)</f>
        <v>-1.9230925643340502E-2</v>
      </c>
      <c r="M1504" s="37">
        <v>34568</v>
      </c>
      <c r="N1504">
        <v>14.395099999999999</v>
      </c>
      <c r="O1504" s="36">
        <f>IF(ISBLANK(N1505),"",Long2[[#This Row],[Adj Close]]/N1505-1)</f>
        <v>5.2459341683395389E-2</v>
      </c>
      <c r="P1504" s="29">
        <v>34568</v>
      </c>
      <c r="Q1504">
        <v>2.3299210000000001</v>
      </c>
      <c r="R1504" s="33">
        <f>IF(ISBLANK(Q1505),"",Long3[[#This Row],[Adj Close]]/Q1505-1)</f>
        <v>1.8292296510548089E-2</v>
      </c>
      <c r="AK1504" s="37">
        <v>34568</v>
      </c>
      <c r="AL1504" s="39">
        <v>2.5375700000000001</v>
      </c>
      <c r="AM1504" s="36">
        <f>IF(ISBLANK(AL1505),"",Short1[[#This Row],[Adj Close]]/AL1505-1)</f>
        <v>0.22362881406032487</v>
      </c>
      <c r="AN1504" s="29">
        <v>34568</v>
      </c>
      <c r="AO1504" s="44">
        <v>2.6842999999999999</v>
      </c>
      <c r="AP1504" s="33">
        <f>IF(ISBLANK(AO1505),"",Short2[[#This Row],[Adj Close]]/AO1505-1)</f>
        <v>4.6978902456576099E-2</v>
      </c>
    </row>
    <row r="1505" spans="1:42" x14ac:dyDescent="0.25">
      <c r="A1505" s="37">
        <v>34561</v>
      </c>
      <c r="B1505" s="39">
        <v>463.67999300000002</v>
      </c>
      <c r="C1505" s="36">
        <f>IF(ISBLANK(B1506), "", GSPC[[#This Row],[Adj Close]]/B1506-1)</f>
        <v>3.7667034516746245E-3</v>
      </c>
      <c r="D150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0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05" s="11" t="e">
        <f>IF(ISBLANK(GSPC[[#This Row],[Long Exp.]]), "", (GSPC[[#This Row],[Long Exp.]]/D1506-1)+(E1506/GSPC[[#This Row],[Short Exp.]]-1))</f>
        <v>#VALUE!</v>
      </c>
      <c r="G1505" s="37">
        <v>34561</v>
      </c>
      <c r="H1505">
        <v>6.3933479999999996</v>
      </c>
      <c r="I1505" s="36">
        <f>IF(ISBLANK(H1506), "", Long0[[#This Row],[Adj Close]]/H1506-1)</f>
        <v>8.9005745712858797E-2</v>
      </c>
      <c r="M1505" s="37">
        <v>34561</v>
      </c>
      <c r="N1505">
        <v>13.677583</v>
      </c>
      <c r="O1505" s="36">
        <f>IF(ISBLANK(N1506),"",Long2[[#This Row],[Adj Close]]/N1506-1)</f>
        <v>1.6666313595148807E-2</v>
      </c>
      <c r="P1505" s="29">
        <v>34561</v>
      </c>
      <c r="Q1505">
        <v>2.2880669999999999</v>
      </c>
      <c r="R1505" s="33">
        <f>IF(ISBLANK(Q1506),"",Long3[[#This Row],[Adj Close]]/Q1506-1)</f>
        <v>-6.0607666574429286E-3</v>
      </c>
      <c r="AK1505" s="37">
        <v>34561</v>
      </c>
      <c r="AL1505" s="39">
        <v>2.073807</v>
      </c>
      <c r="AM1505" s="36">
        <f>IF(ISBLANK(AL1506),"",Short1[[#This Row],[Adj Close]]/AL1506-1)</f>
        <v>-2.0661063356942178E-2</v>
      </c>
      <c r="AN1505" s="29">
        <v>34561</v>
      </c>
      <c r="AO1505" s="44">
        <v>2.5638529999999999</v>
      </c>
      <c r="AP1505" s="33">
        <f>IF(ISBLANK(AO1506),"",Short2[[#This Row],[Adj Close]]/AO1506-1)</f>
        <v>-6.6662559825251266E-3</v>
      </c>
    </row>
    <row r="1506" spans="1:42" x14ac:dyDescent="0.25">
      <c r="A1506" s="37">
        <v>34554</v>
      </c>
      <c r="B1506" s="39">
        <v>461.94000199999999</v>
      </c>
      <c r="C1506" s="36">
        <f>IF(ISBLANK(B1507), "", GSPC[[#This Row],[Adj Close]]/B1507-1)</f>
        <v>1.0610615070210327E-2</v>
      </c>
      <c r="D150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0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06" s="11" t="e">
        <f>IF(ISBLANK(GSPC[[#This Row],[Long Exp.]]), "", (GSPC[[#This Row],[Long Exp.]]/D1507-1)+(E1507/GSPC[[#This Row],[Short Exp.]]-1))</f>
        <v>#VALUE!</v>
      </c>
      <c r="G1506" s="37">
        <v>34554</v>
      </c>
      <c r="H1506">
        <v>5.8708119999999999</v>
      </c>
      <c r="I1506" s="36">
        <f>IF(ISBLANK(H1507), "", Long0[[#This Row],[Adj Close]]/H1507-1)</f>
        <v>0</v>
      </c>
      <c r="M1506" s="37">
        <v>34554</v>
      </c>
      <c r="N1506">
        <v>13.453365</v>
      </c>
      <c r="O1506" s="36">
        <f>IF(ISBLANK(N1507),"",Long2[[#This Row],[Adj Close]]/N1507-1)</f>
        <v>6.7111005351818687E-3</v>
      </c>
      <c r="P1506" s="29">
        <v>34554</v>
      </c>
      <c r="Q1506">
        <v>2.302019</v>
      </c>
      <c r="R1506" s="33">
        <f>IF(ISBLANK(Q1507),"",Long3[[#This Row],[Adj Close]]/Q1507-1)</f>
        <v>-4.0697509667955711E-2</v>
      </c>
      <c r="AK1506" s="37">
        <v>34554</v>
      </c>
      <c r="AL1506" s="39">
        <v>2.1175579999999998</v>
      </c>
      <c r="AM1506" s="36">
        <f>IF(ISBLANK(AL1507),"",Short1[[#This Row],[Adj Close]]/AL1507-1)</f>
        <v>0.11009188740333165</v>
      </c>
      <c r="AN1506" s="29">
        <v>34554</v>
      </c>
      <c r="AO1506" s="44">
        <v>2.5810590000000002</v>
      </c>
      <c r="AP1506" s="33">
        <f>IF(ISBLANK(AO1507),"",Short2[[#This Row],[Adj Close]]/AO1507-1)</f>
        <v>-5.3872022732605052E-3</v>
      </c>
    </row>
    <row r="1507" spans="1:42" x14ac:dyDescent="0.25">
      <c r="A1507" s="37">
        <v>34547</v>
      </c>
      <c r="B1507" s="39">
        <v>457.08999599999999</v>
      </c>
      <c r="C1507" s="36">
        <f>IF(ISBLANK(B1508), "", GSPC[[#This Row],[Adj Close]]/B1508-1)</f>
        <v>-2.553166269079532E-3</v>
      </c>
      <c r="D150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0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07" s="11" t="e">
        <f>IF(ISBLANK(GSPC[[#This Row],[Long Exp.]]), "", (GSPC[[#This Row],[Long Exp.]]/D1508-1)+(E1508/GSPC[[#This Row],[Short Exp.]]-1))</f>
        <v>#VALUE!</v>
      </c>
      <c r="G1507" s="37">
        <v>34547</v>
      </c>
      <c r="H1507">
        <v>5.8708119999999999</v>
      </c>
      <c r="I1507" s="36">
        <f>IF(ISBLANK(H1508), "", Long0[[#This Row],[Adj Close]]/H1508-1)</f>
        <v>7.909539097001117E-2</v>
      </c>
      <c r="M1507" s="37">
        <v>34547</v>
      </c>
      <c r="N1507">
        <v>13.36368</v>
      </c>
      <c r="O1507" s="36">
        <f>IF(ISBLANK(N1508),"",Long2[[#This Row],[Adj Close]]/N1508-1)</f>
        <v>-4.4871460877780045E-2</v>
      </c>
      <c r="P1507" s="29">
        <v>34547</v>
      </c>
      <c r="Q1507">
        <v>2.39968</v>
      </c>
      <c r="R1507" s="33">
        <f>IF(ISBLANK(Q1508),"",Long3[[#This Row],[Adj Close]]/Q1508-1)</f>
        <v>4.8780477145118573E-2</v>
      </c>
      <c r="AK1507" s="37">
        <v>34547</v>
      </c>
      <c r="AL1507" s="39">
        <v>1.9075519999999999</v>
      </c>
      <c r="AM1507" s="36">
        <f>IF(ISBLANK(AL1508),"",Short1[[#This Row],[Adj Close]]/AL1508-1)</f>
        <v>0.11224473731623674</v>
      </c>
      <c r="AN1507" s="29">
        <v>34547</v>
      </c>
      <c r="AO1507" s="44">
        <v>2.5950389999999999</v>
      </c>
      <c r="AP1507" s="33">
        <f>IF(ISBLANK(AO1508),"",Short2[[#This Row],[Adj Close]]/AO1508-1)</f>
        <v>-6.2111839404155433E-2</v>
      </c>
    </row>
    <row r="1508" spans="1:42" x14ac:dyDescent="0.25">
      <c r="A1508" s="37">
        <v>34540</v>
      </c>
      <c r="B1508" s="39">
        <v>458.26001000000002</v>
      </c>
      <c r="C1508" s="36">
        <f>IF(ISBLANK(B1509), "", GSPC[[#This Row],[Adj Close]]/B1509-1)</f>
        <v>1.1365949042151602E-2</v>
      </c>
      <c r="D150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0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08" s="11" t="e">
        <f>IF(ISBLANK(GSPC[[#This Row],[Long Exp.]]), "", (GSPC[[#This Row],[Long Exp.]]/D1509-1)+(E1509/GSPC[[#This Row],[Short Exp.]]-1))</f>
        <v>#VALUE!</v>
      </c>
      <c r="G1508" s="37">
        <v>34540</v>
      </c>
      <c r="H1508">
        <v>5.4404940000000002</v>
      </c>
      <c r="I1508" s="36">
        <f>IF(ISBLANK(H1509), "", Long0[[#This Row],[Adj Close]]/H1509-1)</f>
        <v>-1.1173272695647607E-2</v>
      </c>
      <c r="M1508" s="37">
        <v>34540</v>
      </c>
      <c r="N1508">
        <v>13.991498999999999</v>
      </c>
      <c r="O1508" s="36">
        <f>IF(ISBLANK(N1509),"",Long2[[#This Row],[Adj Close]]/N1509-1)</f>
        <v>6.4517507363068827E-3</v>
      </c>
      <c r="P1508" s="29">
        <v>34540</v>
      </c>
      <c r="Q1508">
        <v>2.2880669999999999</v>
      </c>
      <c r="R1508" s="33">
        <f>IF(ISBLANK(Q1509),"",Long3[[#This Row],[Adj Close]]/Q1509-1)</f>
        <v>-6.0607666574429286E-3</v>
      </c>
      <c r="AK1508" s="37">
        <v>34540</v>
      </c>
      <c r="AL1508" s="39">
        <v>1.715047</v>
      </c>
      <c r="AM1508" s="36">
        <f>IF(ISBLANK(AL1509),"",Short1[[#This Row],[Adj Close]]/AL1509-1)</f>
        <v>4.2553243224349391E-2</v>
      </c>
      <c r="AN1508" s="29">
        <v>34540</v>
      </c>
      <c r="AO1508" s="44">
        <v>2.766896</v>
      </c>
      <c r="AP1508" s="33">
        <f>IF(ISBLANK(AO1509),"",Short2[[#This Row],[Adj Close]]/AO1509-1)</f>
        <v>1.2578105386737315E-2</v>
      </c>
    </row>
    <row r="1509" spans="1:42" x14ac:dyDescent="0.25">
      <c r="A1509" s="37">
        <v>34533</v>
      </c>
      <c r="B1509" s="39">
        <v>453.10998499999999</v>
      </c>
      <c r="C1509" s="36">
        <f>IF(ISBLANK(B1510), "", GSPC[[#This Row],[Adj Close]]/B1510-1)</f>
        <v>-2.3120023576537196E-3</v>
      </c>
      <c r="D150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0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09" s="11" t="e">
        <f>IF(ISBLANK(GSPC[[#This Row],[Long Exp.]]), "", (GSPC[[#This Row],[Long Exp.]]/D1510-1)+(E1510/GSPC[[#This Row],[Short Exp.]]-1))</f>
        <v>#VALUE!</v>
      </c>
      <c r="G1509" s="37">
        <v>34533</v>
      </c>
      <c r="H1509">
        <v>5.5019689999999999</v>
      </c>
      <c r="I1509" s="36">
        <f>IF(ISBLANK(H1510), "", Long0[[#This Row],[Adj Close]]/H1510-1)</f>
        <v>3.4682559219549436E-2</v>
      </c>
      <c r="M1509" s="37">
        <v>34533</v>
      </c>
      <c r="N1509">
        <v>13.901808000000001</v>
      </c>
      <c r="O1509" s="36">
        <f>IF(ISBLANK(N1510),"",Long2[[#This Row],[Adj Close]]/N1510-1)</f>
        <v>2.6490116591896484E-2</v>
      </c>
      <c r="P1509" s="29">
        <v>34533</v>
      </c>
      <c r="Q1509">
        <v>2.302019</v>
      </c>
      <c r="R1509" s="33">
        <f>IF(ISBLANK(Q1510),"",Long3[[#This Row],[Adj Close]]/Q1510-1)</f>
        <v>1.2270267774496801E-2</v>
      </c>
      <c r="AK1509" s="37">
        <v>34533</v>
      </c>
      <c r="AL1509" s="39">
        <v>1.6450450000000001</v>
      </c>
      <c r="AM1509" s="36">
        <f>IF(ISBLANK(AL1510),"",Short1[[#This Row],[Adj Close]]/AL1510-1)</f>
        <v>-5.2908613219896372E-3</v>
      </c>
      <c r="AN1509" s="29">
        <v>34533</v>
      </c>
      <c r="AO1509" s="44">
        <v>2.732526</v>
      </c>
      <c r="AP1509" s="33">
        <f>IF(ISBLANK(AO1510),"",Short2[[#This Row],[Adj Close]]/AO1510-1)</f>
        <v>-5.3571335797314878E-2</v>
      </c>
    </row>
    <row r="1510" spans="1:42" x14ac:dyDescent="0.25">
      <c r="A1510" s="37">
        <v>34526</v>
      </c>
      <c r="B1510" s="39">
        <v>454.16000400000001</v>
      </c>
      <c r="C1510" s="36">
        <f>IF(ISBLANK(B1511), "", GSPC[[#This Row],[Adj Close]]/B1511-1)</f>
        <v>1.0254735008468074E-2</v>
      </c>
      <c r="D151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1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10" s="11" t="e">
        <f>IF(ISBLANK(GSPC[[#This Row],[Long Exp.]]), "", (GSPC[[#This Row],[Long Exp.]]/D1511-1)+(E1511/GSPC[[#This Row],[Short Exp.]]-1))</f>
        <v>#VALUE!</v>
      </c>
      <c r="G1510" s="37">
        <v>34526</v>
      </c>
      <c r="H1510">
        <v>5.3175429999999997</v>
      </c>
      <c r="I1510" s="36">
        <f>IF(ISBLANK(H1511), "", Long0[[#This Row],[Adj Close]]/H1511-1)</f>
        <v>2.3668447684564553E-2</v>
      </c>
      <c r="M1510" s="37">
        <v>34526</v>
      </c>
      <c r="N1510">
        <v>13.543051</v>
      </c>
      <c r="O1510" s="36">
        <f>IF(ISBLANK(N1511),"",Long2[[#This Row],[Adj Close]]/N1511-1)</f>
        <v>4.8611065944790033E-2</v>
      </c>
      <c r="P1510" s="29">
        <v>34526</v>
      </c>
      <c r="Q1510">
        <v>2.2741150000000001</v>
      </c>
      <c r="R1510" s="33">
        <f>IF(ISBLANK(Q1511),"",Long3[[#This Row],[Adj Close]]/Q1511-1)</f>
        <v>6.1725609292069272E-3</v>
      </c>
      <c r="AK1510" s="37">
        <v>34526</v>
      </c>
      <c r="AL1510" s="39">
        <v>1.6537949999999999</v>
      </c>
      <c r="AM1510" s="36">
        <f>IF(ISBLANK(AL1511),"",Short1[[#This Row],[Adj Close]]/AL1511-1)</f>
        <v>-5.0251048500054907E-2</v>
      </c>
      <c r="AN1510" s="29">
        <v>34526</v>
      </c>
      <c r="AO1510" s="44">
        <v>2.887197</v>
      </c>
      <c r="AP1510" s="33">
        <f>IF(ISBLANK(AO1511),"",Short2[[#This Row],[Adj Close]]/AO1511-1)</f>
        <v>1.2048762910014776E-2</v>
      </c>
    </row>
    <row r="1511" spans="1:42" x14ac:dyDescent="0.25">
      <c r="A1511" s="37">
        <v>34519</v>
      </c>
      <c r="B1511" s="39">
        <v>449.54998799999998</v>
      </c>
      <c r="C1511" s="36">
        <f>IF(ISBLANK(B1512), "", GSPC[[#This Row],[Adj Close]]/B1512-1)</f>
        <v>7.5077900266842246E-3</v>
      </c>
      <c r="D151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1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11" s="11" t="e">
        <f>IF(ISBLANK(GSPC[[#This Row],[Long Exp.]]), "", (GSPC[[#This Row],[Long Exp.]]/D1512-1)+(E1512/GSPC[[#This Row],[Short Exp.]]-1))</f>
        <v>#VALUE!</v>
      </c>
      <c r="G1511" s="37">
        <v>34519</v>
      </c>
      <c r="H1511">
        <v>5.1945949999999996</v>
      </c>
      <c r="I1511" s="36">
        <f>IF(ISBLANK(H1512), "", Long0[[#This Row],[Adj Close]]/H1512-1)</f>
        <v>-2.3121204661626593E-2</v>
      </c>
      <c r="M1511" s="37">
        <v>34519</v>
      </c>
      <c r="N1511">
        <v>12.915228000000001</v>
      </c>
      <c r="O1511" s="36">
        <f>IF(ISBLANK(N1512),"",Long2[[#This Row],[Adj Close]]/N1512-1)</f>
        <v>4.7272553891418712E-2</v>
      </c>
      <c r="P1511" s="29">
        <v>34519</v>
      </c>
      <c r="Q1511">
        <v>2.2601640000000001</v>
      </c>
      <c r="R1511" s="33">
        <f>IF(ISBLANK(Q1512),"",Long3[[#This Row],[Adj Close]]/Q1512-1)</f>
        <v>2.5316679648532459E-2</v>
      </c>
      <c r="AK1511" s="37">
        <v>34519</v>
      </c>
      <c r="AL1511" s="39">
        <v>1.7412970000000001</v>
      </c>
      <c r="AM1511" s="36">
        <f>IF(ISBLANK(AL1512),"",Short1[[#This Row],[Adj Close]]/AL1512-1)</f>
        <v>-0.13478290034309615</v>
      </c>
      <c r="AN1511" s="29">
        <v>34519</v>
      </c>
      <c r="AO1511" s="44">
        <v>2.852824</v>
      </c>
      <c r="AP1511" s="33">
        <f>IF(ISBLANK(AO1512),"",Short2[[#This Row],[Adj Close]]/AO1512-1)</f>
        <v>5.7325161814456793E-2</v>
      </c>
    </row>
    <row r="1512" spans="1:42" x14ac:dyDescent="0.25">
      <c r="A1512" s="37">
        <v>34512</v>
      </c>
      <c r="B1512" s="39">
        <v>446.20001200000002</v>
      </c>
      <c r="C1512" s="36">
        <f>IF(ISBLANK(B1513), "", GSPC[[#This Row],[Adj Close]]/B1513-1)</f>
        <v>7.6784645260650208E-3</v>
      </c>
      <c r="D151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1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12" s="11" t="e">
        <f>IF(ISBLANK(GSPC[[#This Row],[Long Exp.]]), "", (GSPC[[#This Row],[Long Exp.]]/D1513-1)+(E1513/GSPC[[#This Row],[Short Exp.]]-1))</f>
        <v>#VALUE!</v>
      </c>
      <c r="G1512" s="37">
        <v>34512</v>
      </c>
      <c r="H1512">
        <v>5.3175429999999997</v>
      </c>
      <c r="I1512" s="36">
        <f>IF(ISBLANK(H1513), "", Long0[[#This Row],[Adj Close]]/H1513-1)</f>
        <v>1.9543635443670881E-2</v>
      </c>
      <c r="M1512" s="37">
        <v>34512</v>
      </c>
      <c r="N1512">
        <v>12.332250999999999</v>
      </c>
      <c r="O1512" s="36">
        <f>IF(ISBLANK(N1513),"",Long2[[#This Row],[Adj Close]]/N1513-1)</f>
        <v>9.5617415200431433E-2</v>
      </c>
      <c r="P1512" s="29">
        <v>34512</v>
      </c>
      <c r="Q1512">
        <v>2.2043569999999999</v>
      </c>
      <c r="R1512" s="33">
        <f>IF(ISBLANK(Q1513),"",Long3[[#This Row],[Adj Close]]/Q1513-1)</f>
        <v>-1.2499888005877535E-2</v>
      </c>
      <c r="AK1512" s="37">
        <v>34512</v>
      </c>
      <c r="AL1512" s="39">
        <v>2.0125549999999999</v>
      </c>
      <c r="AM1512" s="36">
        <f>IF(ISBLANK(AL1513),"",Short1[[#This Row],[Adj Close]]/AL1513-1)</f>
        <v>4.0724438179296385E-2</v>
      </c>
      <c r="AN1512" s="29">
        <v>34512</v>
      </c>
      <c r="AO1512" s="44">
        <v>2.6981519999999999</v>
      </c>
      <c r="AP1512" s="33">
        <f>IF(ISBLANK(AO1513),"",Short2[[#This Row],[Adj Close]]/AO1513-1)</f>
        <v>3.9734662947262134E-2</v>
      </c>
    </row>
    <row r="1513" spans="1:42" x14ac:dyDescent="0.25">
      <c r="A1513" s="37">
        <v>34505</v>
      </c>
      <c r="B1513" s="39">
        <v>442.79998799999998</v>
      </c>
      <c r="C1513" s="36">
        <f>IF(ISBLANK(B1514), "", GSPC[[#This Row],[Adj Close]]/B1514-1)</f>
        <v>-3.4136816643817736E-2</v>
      </c>
      <c r="D151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1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13" s="11" t="e">
        <f>IF(ISBLANK(GSPC[[#This Row],[Long Exp.]]), "", (GSPC[[#This Row],[Long Exp.]]/D1514-1)+(E1514/GSPC[[#This Row],[Short Exp.]]-1))</f>
        <v>#VALUE!</v>
      </c>
      <c r="G1513" s="37">
        <v>34505</v>
      </c>
      <c r="H1513">
        <v>5.215611</v>
      </c>
      <c r="I1513" s="36">
        <f>IF(ISBLANK(H1514), "", Long0[[#This Row],[Adj Close]]/H1514-1)</f>
        <v>3.6585491888153188E-2</v>
      </c>
      <c r="M1513" s="37">
        <v>34505</v>
      </c>
      <c r="N1513">
        <v>11.255983000000001</v>
      </c>
      <c r="O1513" s="36">
        <f>IF(ISBLANK(N1514),"",Long2[[#This Row],[Adj Close]]/N1514-1)</f>
        <v>-0.11929805069286137</v>
      </c>
      <c r="P1513" s="29">
        <v>34505</v>
      </c>
      <c r="Q1513">
        <v>2.2322600000000001</v>
      </c>
      <c r="R1513" s="33">
        <f>IF(ISBLANK(Q1514),"",Long3[[#This Row],[Adj Close]]/Q1514-1)</f>
        <v>-2.4390457097628548E-2</v>
      </c>
      <c r="AK1513" s="37">
        <v>34505</v>
      </c>
      <c r="AL1513" s="39">
        <v>1.933802</v>
      </c>
      <c r="AM1513" s="36">
        <f>IF(ISBLANK(AL1514),"",Short1[[#This Row],[Adj Close]]/AL1514-1)</f>
        <v>-4.5054088586468088E-3</v>
      </c>
      <c r="AN1513" s="29">
        <v>34505</v>
      </c>
      <c r="AO1513" s="44">
        <v>2.5950389999999999</v>
      </c>
      <c r="AP1513" s="33">
        <f>IF(ISBLANK(AO1514),"",Short2[[#This Row],[Adj Close]]/AO1514-1)</f>
        <v>-0.10119087821163575</v>
      </c>
    </row>
    <row r="1514" spans="1:42" x14ac:dyDescent="0.25">
      <c r="A1514" s="37">
        <v>34498</v>
      </c>
      <c r="B1514" s="39">
        <v>458.45001200000002</v>
      </c>
      <c r="C1514" s="36">
        <f>IF(ISBLANK(B1515), "", GSPC[[#This Row],[Adj Close]]/B1515-1)</f>
        <v>-4.7964984360115981E-4</v>
      </c>
      <c r="D151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1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14" s="11" t="e">
        <f>IF(ISBLANK(GSPC[[#This Row],[Long Exp.]]), "", (GSPC[[#This Row],[Long Exp.]]/D1515-1)+(E1515/GSPC[[#This Row],[Short Exp.]]-1))</f>
        <v>#VALUE!</v>
      </c>
      <c r="G1514" s="37">
        <v>34498</v>
      </c>
      <c r="H1514">
        <v>5.0315300000000001</v>
      </c>
      <c r="I1514" s="36">
        <f>IF(ISBLANK(H1515), "", Long0[[#This Row],[Adj Close]]/H1515-1)</f>
        <v>-3.5294234941984692E-2</v>
      </c>
      <c r="M1514" s="37">
        <v>34498</v>
      </c>
      <c r="N1514">
        <v>12.780695</v>
      </c>
      <c r="O1514" s="36">
        <f>IF(ISBLANK(N1515),"",Long2[[#This Row],[Adj Close]]/N1515-1)</f>
        <v>1.063792773240535E-2</v>
      </c>
      <c r="P1514" s="29">
        <v>34498</v>
      </c>
      <c r="Q1514">
        <v>2.2880669999999999</v>
      </c>
      <c r="R1514" s="33">
        <f>IF(ISBLANK(Q1515),"",Long3[[#This Row],[Adj Close]]/Q1515-1)</f>
        <v>-1.0681131284131173E-2</v>
      </c>
      <c r="AK1514" s="37">
        <v>34498</v>
      </c>
      <c r="AL1514" s="39">
        <v>1.9425539999999999</v>
      </c>
      <c r="AM1514" s="36">
        <f>IF(ISBLANK(AL1515),"",Short1[[#This Row],[Adj Close]]/AL1515-1)</f>
        <v>5.21328862411925E-2</v>
      </c>
      <c r="AN1514" s="29">
        <v>34498</v>
      </c>
      <c r="AO1514" s="44">
        <v>2.887197</v>
      </c>
      <c r="AP1514" s="33">
        <f>IF(ISBLANK(AO1515),"",Short2[[#This Row],[Adj Close]]/AO1515-1)</f>
        <v>9.0909193957372514E-2</v>
      </c>
    </row>
    <row r="1515" spans="1:42" x14ac:dyDescent="0.25">
      <c r="A1515" s="37">
        <v>34491</v>
      </c>
      <c r="B1515" s="39">
        <v>458.67001299999998</v>
      </c>
      <c r="C1515" s="36">
        <f>IF(ISBLANK(B1516), "", GSPC[[#This Row],[Adj Close]]/B1516-1)</f>
        <v>-3.1729989006041848E-3</v>
      </c>
      <c r="D151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1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15" s="11" t="e">
        <f>IF(ISBLANK(GSPC[[#This Row],[Long Exp.]]), "", (GSPC[[#This Row],[Long Exp.]]/D1516-1)+(E1516/GSPC[[#This Row],[Short Exp.]]-1))</f>
        <v>#VALUE!</v>
      </c>
      <c r="G1515" s="37">
        <v>34491</v>
      </c>
      <c r="H1515">
        <v>5.215611</v>
      </c>
      <c r="I1515" s="36">
        <f>IF(ISBLANK(H1516), "", Long0[[#This Row],[Adj Close]]/H1516-1)</f>
        <v>1.7964231971067113E-2</v>
      </c>
      <c r="M1515" s="37">
        <v>34491</v>
      </c>
      <c r="N1515">
        <v>12.646165999999999</v>
      </c>
      <c r="O1515" s="36">
        <f>IF(ISBLANK(N1516),"",Long2[[#This Row],[Adj Close]]/N1516-1)</f>
        <v>2.9197542458927694E-2</v>
      </c>
      <c r="P1515" s="29">
        <v>34491</v>
      </c>
      <c r="Q1515">
        <v>2.31277</v>
      </c>
      <c r="R1515" s="33">
        <f>IF(ISBLANK(Q1516),"",Long3[[#This Row],[Adj Close]]/Q1516-1)</f>
        <v>-3.4285239463037631E-2</v>
      </c>
      <c r="AK1515" s="37">
        <v>34491</v>
      </c>
      <c r="AL1515" s="39">
        <v>1.846301</v>
      </c>
      <c r="AM1515" s="36">
        <f>IF(ISBLANK(AL1516),"",Short1[[#This Row],[Adj Close]]/AL1516-1)</f>
        <v>-6.6370913952748634E-2</v>
      </c>
      <c r="AN1515" s="29">
        <v>34491</v>
      </c>
      <c r="AO1515" s="44">
        <v>2.6465969999999999</v>
      </c>
      <c r="AP1515" s="33">
        <f>IF(ISBLANK(AO1516),"",Short2[[#This Row],[Adj Close]]/AO1516-1)</f>
        <v>4.7619518852897613E-2</v>
      </c>
    </row>
    <row r="1516" spans="1:42" x14ac:dyDescent="0.25">
      <c r="A1516" s="37">
        <v>34484</v>
      </c>
      <c r="B1516" s="39">
        <v>460.13000499999998</v>
      </c>
      <c r="C1516" s="36">
        <f>IF(ISBLANK(B1517), "", GSPC[[#This Row],[Adj Close]]/B1517-1)</f>
        <v>6.1225331371064229E-3</v>
      </c>
      <c r="D151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1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16" s="11" t="e">
        <f>IF(ISBLANK(GSPC[[#This Row],[Long Exp.]]), "", (GSPC[[#This Row],[Long Exp.]]/D1517-1)+(E1517/GSPC[[#This Row],[Short Exp.]]-1))</f>
        <v>#VALUE!</v>
      </c>
      <c r="G1516" s="37">
        <v>34484</v>
      </c>
      <c r="H1516">
        <v>5.12357</v>
      </c>
      <c r="I1516" s="36">
        <f>IF(ISBLANK(H1517), "", Long0[[#This Row],[Adj Close]]/H1517-1)</f>
        <v>7.0513120527662565E-2</v>
      </c>
      <c r="M1516" s="37">
        <v>34484</v>
      </c>
      <c r="N1516">
        <v>12.287404</v>
      </c>
      <c r="O1516" s="36">
        <f>IF(ISBLANK(N1517),"",Long2[[#This Row],[Adj Close]]/N1517-1)</f>
        <v>-3.636562376163055E-3</v>
      </c>
      <c r="P1516" s="29">
        <v>34484</v>
      </c>
      <c r="Q1516">
        <v>2.394879</v>
      </c>
      <c r="R1516" s="33">
        <f>IF(ISBLANK(Q1517),"",Long3[[#This Row],[Adj Close]]/Q1517-1)</f>
        <v>-2.7778127353291659E-2</v>
      </c>
      <c r="AK1516" s="37">
        <v>34484</v>
      </c>
      <c r="AL1516" s="39">
        <v>1.9775529999999999</v>
      </c>
      <c r="AM1516" s="36">
        <f>IF(ISBLANK(AL1517),"",Short1[[#This Row],[Adj Close]]/AL1517-1)</f>
        <v>-3.8298755973694587E-2</v>
      </c>
      <c r="AN1516" s="29">
        <v>34484</v>
      </c>
      <c r="AO1516" s="44">
        <v>2.5262959999999999</v>
      </c>
      <c r="AP1516" s="33">
        <f>IF(ISBLANK(AO1517),"",Short2[[#This Row],[Adj Close]]/AO1517-1)</f>
        <v>-3.92156415317505E-2</v>
      </c>
    </row>
    <row r="1517" spans="1:42" x14ac:dyDescent="0.25">
      <c r="A1517" s="37">
        <v>34477</v>
      </c>
      <c r="B1517" s="39">
        <v>457.32998700000002</v>
      </c>
      <c r="C1517" s="36">
        <f>IF(ISBLANK(B1518), "", GSPC[[#This Row],[Adj Close]]/B1518-1)</f>
        <v>5.2975774446748503E-3</v>
      </c>
      <c r="D151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1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17" s="11" t="e">
        <f>IF(ISBLANK(GSPC[[#This Row],[Long Exp.]]), "", (GSPC[[#This Row],[Long Exp.]]/D1518-1)+(E1518/GSPC[[#This Row],[Short Exp.]]-1))</f>
        <v>#VALUE!</v>
      </c>
      <c r="G1517" s="37">
        <v>34477</v>
      </c>
      <c r="H1517">
        <v>4.7860880000000003</v>
      </c>
      <c r="I1517" s="36">
        <f>IF(ISBLANK(H1518), "", Long0[[#This Row],[Adj Close]]/H1518-1)</f>
        <v>0</v>
      </c>
      <c r="M1517" s="37">
        <v>34477</v>
      </c>
      <c r="N1517">
        <v>12.332250999999999</v>
      </c>
      <c r="O1517" s="36">
        <f>IF(ISBLANK(N1518),"",Long2[[#This Row],[Adj Close]]/N1518-1)</f>
        <v>2.2304807752248523E-2</v>
      </c>
      <c r="P1517" s="29">
        <v>34477</v>
      </c>
      <c r="Q1517">
        <v>2.4633050000000001</v>
      </c>
      <c r="R1517" s="33">
        <f>IF(ISBLANK(Q1518),"",Long3[[#This Row],[Adj Close]]/Q1518-1)</f>
        <v>0</v>
      </c>
      <c r="AK1517" s="37">
        <v>34477</v>
      </c>
      <c r="AL1517" s="39">
        <v>2.0563069999999999</v>
      </c>
      <c r="AM1517" s="36">
        <f>IF(ISBLANK(AL1518),"",Short1[[#This Row],[Adj Close]]/AL1518-1)</f>
        <v>4.2743662563398122E-3</v>
      </c>
      <c r="AN1517" s="29">
        <v>34477</v>
      </c>
      <c r="AO1517" s="44">
        <v>2.62941</v>
      </c>
      <c r="AP1517" s="33">
        <f>IF(ISBLANK(AO1518),"",Short2[[#This Row],[Adj Close]]/AO1518-1)</f>
        <v>-3.1645415782491915E-2</v>
      </c>
    </row>
    <row r="1518" spans="1:42" x14ac:dyDescent="0.25">
      <c r="A1518" s="37">
        <v>34470</v>
      </c>
      <c r="B1518" s="39">
        <v>454.92001299999998</v>
      </c>
      <c r="C1518" s="36">
        <f>IF(ISBLANK(B1519), "", GSPC[[#This Row],[Adj Close]]/B1519-1)</f>
        <v>2.4271620741040278E-2</v>
      </c>
      <c r="D151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1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18" s="11" t="e">
        <f>IF(ISBLANK(GSPC[[#This Row],[Long Exp.]]), "", (GSPC[[#This Row],[Long Exp.]]/D1519-1)+(E1519/GSPC[[#This Row],[Short Exp.]]-1))</f>
        <v>#VALUE!</v>
      </c>
      <c r="G1518" s="37">
        <v>34470</v>
      </c>
      <c r="H1518">
        <v>4.7860880000000003</v>
      </c>
      <c r="I1518" s="36">
        <f>IF(ISBLANK(H1519), "", Long0[[#This Row],[Adj Close]]/H1519-1)</f>
        <v>-6.37024131513797E-3</v>
      </c>
      <c r="M1518" s="37">
        <v>34470</v>
      </c>
      <c r="N1518">
        <v>12.063184</v>
      </c>
      <c r="O1518" s="36">
        <f>IF(ISBLANK(N1519),"",Long2[[#This Row],[Adj Close]]/N1519-1)</f>
        <v>-3.5842024050271371E-2</v>
      </c>
      <c r="P1518" s="29">
        <v>34470</v>
      </c>
      <c r="Q1518">
        <v>2.4633050000000001</v>
      </c>
      <c r="R1518" s="33">
        <f>IF(ISBLANK(Q1519),"",Long3[[#This Row],[Adj Close]]/Q1519-1)</f>
        <v>1.1235931993259118E-2</v>
      </c>
      <c r="AK1518" s="37">
        <v>34470</v>
      </c>
      <c r="AL1518" s="39">
        <v>2.047555</v>
      </c>
      <c r="AM1518" s="36">
        <f>IF(ISBLANK(AL1519),"",Short1[[#This Row],[Adj Close]]/AL1519-1)</f>
        <v>-2.5000273802092021E-2</v>
      </c>
      <c r="AN1518" s="29">
        <v>34470</v>
      </c>
      <c r="AO1518" s="44">
        <v>2.715338</v>
      </c>
      <c r="AP1518" s="33">
        <f>IF(ISBLANK(AO1519),"",Short2[[#This Row],[Adj Close]]/AO1519-1)</f>
        <v>-4.2423977399081769E-2</v>
      </c>
    </row>
    <row r="1519" spans="1:42" x14ac:dyDescent="0.25">
      <c r="A1519" s="37">
        <v>34463</v>
      </c>
      <c r="B1519" s="39">
        <v>444.14001500000001</v>
      </c>
      <c r="C1519" s="36">
        <f>IF(ISBLANK(B1520), "", GSPC[[#This Row],[Adj Close]]/B1520-1)</f>
        <v>-8.2175694307466962E-3</v>
      </c>
      <c r="D151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1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19" s="11" t="e">
        <f>IF(ISBLANK(GSPC[[#This Row],[Long Exp.]]), "", (GSPC[[#This Row],[Long Exp.]]/D1520-1)+(E1520/GSPC[[#This Row],[Short Exp.]]-1))</f>
        <v>#VALUE!</v>
      </c>
      <c r="G1519" s="37">
        <v>34463</v>
      </c>
      <c r="H1519">
        <v>4.8167720000000003</v>
      </c>
      <c r="I1519" s="36">
        <f>IF(ISBLANK(H1520), "", Long0[[#This Row],[Adj Close]]/H1520-1)</f>
        <v>-6.3282783023148603E-3</v>
      </c>
      <c r="M1519" s="37">
        <v>34463</v>
      </c>
      <c r="N1519">
        <v>12.511626</v>
      </c>
      <c r="O1519" s="36">
        <f>IF(ISBLANK(N1520),"",Long2[[#This Row],[Adj Close]]/N1520-1)</f>
        <v>-5.1020331541479003E-2</v>
      </c>
      <c r="P1519" s="29">
        <v>34463</v>
      </c>
      <c r="Q1519">
        <v>2.4359350000000002</v>
      </c>
      <c r="R1519" s="33">
        <f>IF(ISBLANK(Q1520),"",Long3[[#This Row],[Adj Close]]/Q1520-1)</f>
        <v>-4.8128248212262026E-2</v>
      </c>
      <c r="AK1519" s="37">
        <v>34463</v>
      </c>
      <c r="AL1519" s="39">
        <v>2.1000570000000001</v>
      </c>
      <c r="AM1519" s="36">
        <f>IF(ISBLANK(AL1520),"",Short1[[#This Row],[Adj Close]]/AL1520-1)</f>
        <v>-0.11764757784027824</v>
      </c>
      <c r="AN1519" s="29">
        <v>34463</v>
      </c>
      <c r="AO1519" s="44">
        <v>2.8356370000000002</v>
      </c>
      <c r="AP1519" s="33">
        <f>IF(ISBLANK(AO1520),"",Short2[[#This Row],[Adj Close]]/AO1520-1)</f>
        <v>-3.9526706506345932E-2</v>
      </c>
    </row>
    <row r="1520" spans="1:42" x14ac:dyDescent="0.25">
      <c r="A1520" s="37">
        <v>34456</v>
      </c>
      <c r="B1520" s="39">
        <v>447.82000699999998</v>
      </c>
      <c r="C1520" s="36">
        <f>IF(ISBLANK(B1521), "", GSPC[[#This Row],[Adj Close]]/B1521-1)</f>
        <v>-6.8528020504953213E-3</v>
      </c>
      <c r="D152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2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20" s="11" t="e">
        <f>IF(ISBLANK(GSPC[[#This Row],[Long Exp.]]), "", (GSPC[[#This Row],[Long Exp.]]/D1521-1)+(E1521/GSPC[[#This Row],[Short Exp.]]-1))</f>
        <v>#VALUE!</v>
      </c>
      <c r="G1520" s="37">
        <v>34456</v>
      </c>
      <c r="H1520">
        <v>4.847448</v>
      </c>
      <c r="I1520" s="36">
        <f>IF(ISBLANK(H1521), "", Long0[[#This Row],[Adj Close]]/H1521-1)</f>
        <v>4.6357309976991834E-2</v>
      </c>
      <c r="M1520" s="37">
        <v>34456</v>
      </c>
      <c r="N1520">
        <v>13.184293</v>
      </c>
      <c r="O1520" s="36">
        <f>IF(ISBLANK(N1521),"",Long2[[#This Row],[Adj Close]]/N1521-1)</f>
        <v>-6.7572006242584415E-3</v>
      </c>
      <c r="P1520" s="29">
        <v>34456</v>
      </c>
      <c r="Q1520">
        <v>2.5590999999999999</v>
      </c>
      <c r="R1520" s="33">
        <f>IF(ISBLANK(Q1521),"",Long3[[#This Row],[Adj Close]]/Q1521-1)</f>
        <v>-5.0761327175949056E-2</v>
      </c>
      <c r="AK1520" s="37">
        <v>34456</v>
      </c>
      <c r="AL1520" s="39">
        <v>2.3800659999999998</v>
      </c>
      <c r="AM1520" s="36">
        <f>IF(ISBLANK(AL1521),"",Short1[[#This Row],[Adj Close]]/AL1521-1)</f>
        <v>-5.8823110708991044E-2</v>
      </c>
      <c r="AN1520" s="29">
        <v>34456</v>
      </c>
      <c r="AO1520" s="44">
        <v>2.9523329999999999</v>
      </c>
      <c r="AP1520" s="33">
        <f>IF(ISBLANK(AO1521),"",Short2[[#This Row],[Adj Close]]/AO1521-1)</f>
        <v>4.878018455312505E-2</v>
      </c>
    </row>
    <row r="1521" spans="1:42" x14ac:dyDescent="0.25">
      <c r="A1521" s="37">
        <v>34449</v>
      </c>
      <c r="B1521" s="39">
        <v>450.91000400000001</v>
      </c>
      <c r="C1521" s="36">
        <f>IF(ISBLANK(B1522), "", GSPC[[#This Row],[Adj Close]]/B1522-1)</f>
        <v>7.3274779692216185E-3</v>
      </c>
      <c r="D152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2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21" s="11" t="e">
        <f>IF(ISBLANK(GSPC[[#This Row],[Long Exp.]]), "", (GSPC[[#This Row],[Long Exp.]]/D1522-1)+(E1522/GSPC[[#This Row],[Short Exp.]]-1))</f>
        <v>#VALUE!</v>
      </c>
      <c r="G1521" s="37">
        <v>34449</v>
      </c>
      <c r="H1521">
        <v>4.6326890000000001</v>
      </c>
      <c r="I1521" s="36">
        <f>IF(ISBLANK(H1522), "", Long0[[#This Row],[Adj Close]]/H1522-1)</f>
        <v>4.8611486790071545E-2</v>
      </c>
      <c r="M1521" s="37">
        <v>34449</v>
      </c>
      <c r="N1521">
        <v>13.273987999999999</v>
      </c>
      <c r="O1521" s="36">
        <f>IF(ISBLANK(N1522),"",Long2[[#This Row],[Adj Close]]/N1522-1)</f>
        <v>-7.4999465166074808E-2</v>
      </c>
      <c r="P1521" s="29">
        <v>34449</v>
      </c>
      <c r="Q1521">
        <v>2.6959499999999998</v>
      </c>
      <c r="R1521" s="33">
        <f>IF(ISBLANK(Q1522),"",Long3[[#This Row],[Adj Close]]/Q1522-1)</f>
        <v>-1.0050959820395944E-2</v>
      </c>
      <c r="AK1521" s="37">
        <v>34449</v>
      </c>
      <c r="AL1521" s="39">
        <v>2.5288189999999999</v>
      </c>
      <c r="AM1521" s="36">
        <f>IF(ISBLANK(AL1522),"",Short1[[#This Row],[Adj Close]]/AL1522-1)</f>
        <v>2.846937024212437E-2</v>
      </c>
      <c r="AN1521" s="29">
        <v>34449</v>
      </c>
      <c r="AO1521" s="44">
        <v>2.815016</v>
      </c>
      <c r="AP1521" s="33">
        <f>IF(ISBLANK(AO1522),"",Short2[[#This Row],[Adj Close]]/AO1522-1)</f>
        <v>2.500002730890416E-2</v>
      </c>
    </row>
    <row r="1522" spans="1:42" x14ac:dyDescent="0.25">
      <c r="A1522" s="37">
        <v>34442</v>
      </c>
      <c r="B1522" s="39">
        <v>447.63000499999998</v>
      </c>
      <c r="C1522" s="36">
        <f>IF(ISBLANK(B1523), "", GSPC[[#This Row],[Adj Close]]/B1523-1)</f>
        <v>3.2498364398869661E-3</v>
      </c>
      <c r="D152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2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22" s="11" t="e">
        <f>IF(ISBLANK(GSPC[[#This Row],[Long Exp.]]), "", (GSPC[[#This Row],[Long Exp.]]/D1523-1)+(E1523/GSPC[[#This Row],[Short Exp.]]-1))</f>
        <v>#VALUE!</v>
      </c>
      <c r="G1522" s="37">
        <v>34442</v>
      </c>
      <c r="H1522">
        <v>4.4179269999999997</v>
      </c>
      <c r="I1522" s="36">
        <f>IF(ISBLANK(H1523), "", Long0[[#This Row],[Adj Close]]/H1523-1)</f>
        <v>8.270635969383755E-2</v>
      </c>
      <c r="M1522" s="37">
        <v>34442</v>
      </c>
      <c r="N1522">
        <v>14.350249</v>
      </c>
      <c r="O1522" s="36">
        <f>IF(ISBLANK(N1523),"",Long2[[#This Row],[Adj Close]]/N1523-1)</f>
        <v>-6.4328179729331469E-2</v>
      </c>
      <c r="P1522" s="29">
        <v>34442</v>
      </c>
      <c r="Q1522">
        <v>2.723322</v>
      </c>
      <c r="R1522" s="33">
        <f>IF(ISBLANK(Q1523),"",Long3[[#This Row],[Adj Close]]/Q1523-1)</f>
        <v>6.4171779141104279E-2</v>
      </c>
      <c r="AK1522" s="37">
        <v>34442</v>
      </c>
      <c r="AL1522" s="39">
        <v>2.4588179999999999</v>
      </c>
      <c r="AM1522" s="36">
        <f>IF(ISBLANK(AL1523),"",Short1[[#This Row],[Adj Close]]/AL1523-1)</f>
        <v>8.9764101991716139E-3</v>
      </c>
      <c r="AN1522" s="29">
        <v>34442</v>
      </c>
      <c r="AO1522" s="44">
        <v>2.7463570000000002</v>
      </c>
      <c r="AP1522" s="33">
        <f>IF(ISBLANK(AO1523),"",Short2[[#This Row],[Adj Close]]/AO1523-1)</f>
        <v>-2.8340053756307659E-2</v>
      </c>
    </row>
    <row r="1523" spans="1:42" x14ac:dyDescent="0.25">
      <c r="A1523" s="37">
        <v>34435</v>
      </c>
      <c r="B1523" s="39">
        <v>446.17999300000002</v>
      </c>
      <c r="C1523" s="36">
        <f>IF(ISBLANK(B1524), "", GSPC[[#This Row],[Adj Close]]/B1524-1)</f>
        <v>-2.0577342600169857E-3</v>
      </c>
      <c r="D152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2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23" s="11" t="e">
        <f>IF(ISBLANK(GSPC[[#This Row],[Long Exp.]]), "", (GSPC[[#This Row],[Long Exp.]]/D1524-1)+(E1524/GSPC[[#This Row],[Short Exp.]]-1))</f>
        <v>#VALUE!</v>
      </c>
      <c r="G1523" s="37">
        <v>34435</v>
      </c>
      <c r="H1523">
        <v>4.0804479999999996</v>
      </c>
      <c r="I1523" s="36">
        <f>IF(ISBLANK(H1524), "", Long0[[#This Row],[Adj Close]]/H1524-1)</f>
        <v>0</v>
      </c>
      <c r="M1523" s="37">
        <v>34435</v>
      </c>
      <c r="N1523">
        <v>15.33684</v>
      </c>
      <c r="O1523" s="36">
        <f>IF(ISBLANK(N1524),"",Long2[[#This Row],[Adj Close]]/N1524-1)</f>
        <v>-5.8134944480681128E-3</v>
      </c>
      <c r="P1523" s="29">
        <v>34435</v>
      </c>
      <c r="Q1523">
        <v>2.5590999999999999</v>
      </c>
      <c r="R1523" s="33">
        <f>IF(ISBLANK(Q1524),"",Long3[[#This Row],[Adj Close]]/Q1524-1)</f>
        <v>-5.3195252150780581E-3</v>
      </c>
      <c r="AK1523" s="37">
        <v>34435</v>
      </c>
      <c r="AL1523" s="39">
        <v>2.4369429999999999</v>
      </c>
      <c r="AM1523" s="36">
        <f>IF(ISBLANK(AL1524),"",Short1[[#This Row],[Adj Close]]/AL1524-1)</f>
        <v>-5.5931827153616331E-2</v>
      </c>
      <c r="AN1523" s="29">
        <v>34435</v>
      </c>
      <c r="AO1523" s="44">
        <v>2.8264589999999998</v>
      </c>
      <c r="AP1523" s="33">
        <f>IF(ISBLANK(AO1524),"",Short2[[#This Row],[Adj Close]]/AO1524-1)</f>
        <v>-8.0320213943907426E-3</v>
      </c>
    </row>
    <row r="1524" spans="1:42" x14ac:dyDescent="0.25">
      <c r="A1524" s="37">
        <v>34428</v>
      </c>
      <c r="B1524" s="39">
        <v>447.10000600000001</v>
      </c>
      <c r="C1524" s="36">
        <f>IF(ISBLANK(B1525), "", GSPC[[#This Row],[Adj Close]]/B1525-1)</f>
        <v>2.983639618682421E-3</v>
      </c>
      <c r="D152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2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24" s="11" t="e">
        <f>IF(ISBLANK(GSPC[[#This Row],[Long Exp.]]), "", (GSPC[[#This Row],[Long Exp.]]/D1525-1)+(E1525/GSPC[[#This Row],[Short Exp.]]-1))</f>
        <v>#VALUE!</v>
      </c>
      <c r="G1524" s="37">
        <v>34428</v>
      </c>
      <c r="H1524">
        <v>4.0804479999999996</v>
      </c>
      <c r="I1524" s="36">
        <f>IF(ISBLANK(H1525), "", Long0[[#This Row],[Adj Close]]/H1525-1)</f>
        <v>-4.9999906872961741E-2</v>
      </c>
      <c r="M1524" s="37">
        <v>34428</v>
      </c>
      <c r="N1524">
        <v>15.426522</v>
      </c>
      <c r="O1524" s="36">
        <f>IF(ISBLANK(N1525),"",Long2[[#This Row],[Adj Close]]/N1525-1)</f>
        <v>8.8607507397566732E-2</v>
      </c>
      <c r="P1524" s="29">
        <v>34428</v>
      </c>
      <c r="Q1524">
        <v>2.5727859999999998</v>
      </c>
      <c r="R1524" s="33">
        <f>IF(ISBLANK(Q1525),"",Long3[[#This Row],[Adj Close]]/Q1525-1)</f>
        <v>2.1739890168718023E-2</v>
      </c>
      <c r="AK1524" s="37">
        <v>34428</v>
      </c>
      <c r="AL1524" s="39">
        <v>2.581321</v>
      </c>
      <c r="AM1524" s="36">
        <f>IF(ISBLANK(AL1525),"",Short1[[#This Row],[Adj Close]]/AL1525-1)</f>
        <v>0.15459908055066784</v>
      </c>
      <c r="AN1524" s="29">
        <v>34428</v>
      </c>
      <c r="AO1524" s="44">
        <v>2.849345</v>
      </c>
      <c r="AP1524" s="33">
        <f>IF(ISBLANK(AO1525),"",Short2[[#This Row],[Adj Close]]/AO1525-1)</f>
        <v>4.0318502781808707E-3</v>
      </c>
    </row>
    <row r="1525" spans="1:42" x14ac:dyDescent="0.25">
      <c r="A1525" s="37">
        <v>34421</v>
      </c>
      <c r="B1525" s="39">
        <v>445.76998900000001</v>
      </c>
      <c r="C1525" s="36">
        <f>IF(ISBLANK(B1526), "", GSPC[[#This Row],[Adj Close]]/B1526-1)</f>
        <v>-3.2155105341127199E-2</v>
      </c>
      <c r="D152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2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25" s="11" t="e">
        <f>IF(ISBLANK(GSPC[[#This Row],[Long Exp.]]), "", (GSPC[[#This Row],[Long Exp.]]/D1526-1)+(E1526/GSPC[[#This Row],[Short Exp.]]-1))</f>
        <v>#VALUE!</v>
      </c>
      <c r="G1525" s="37">
        <v>34421</v>
      </c>
      <c r="H1525">
        <v>4.2952079999999997</v>
      </c>
      <c r="I1525" s="36">
        <f>IF(ISBLANK(H1526), "", Long0[[#This Row],[Adj Close]]/H1526-1)</f>
        <v>-3.9032196791305984E-2</v>
      </c>
      <c r="M1525" s="37">
        <v>34421</v>
      </c>
      <c r="N1525">
        <v>14.170876</v>
      </c>
      <c r="O1525" s="36">
        <f>IF(ISBLANK(N1526),"",Long2[[#This Row],[Adj Close]]/N1526-1)</f>
        <v>6.3693489498186651E-3</v>
      </c>
      <c r="P1525" s="29">
        <v>34421</v>
      </c>
      <c r="Q1525">
        <v>2.5180440000000002</v>
      </c>
      <c r="R1525" s="33">
        <f>IF(ISBLANK(Q1526),"",Long3[[#This Row],[Adj Close]]/Q1526-1)</f>
        <v>-2.645573834000059E-2</v>
      </c>
      <c r="AK1525" s="37">
        <v>34421</v>
      </c>
      <c r="AL1525" s="39">
        <v>2.2356859999999998</v>
      </c>
      <c r="AM1525" s="36">
        <f>IF(ISBLANK(AL1526),"",Short1[[#This Row],[Adj Close]]/AL1526-1)</f>
        <v>-6.7518086058146576E-2</v>
      </c>
      <c r="AN1525" s="29">
        <v>34421</v>
      </c>
      <c r="AO1525" s="44">
        <v>2.8379029999999998</v>
      </c>
      <c r="AP1525" s="33">
        <f>IF(ISBLANK(AO1526),"",Short2[[#This Row],[Adj Close]]/AO1526-1)</f>
        <v>-7.8066224915998239E-2</v>
      </c>
    </row>
    <row r="1526" spans="1:42" x14ac:dyDescent="0.25">
      <c r="A1526" s="37">
        <v>34414</v>
      </c>
      <c r="B1526" s="39">
        <v>460.57998700000002</v>
      </c>
      <c r="C1526" s="36">
        <f>IF(ISBLANK(B1527), "", GSPC[[#This Row],[Adj Close]]/B1527-1)</f>
        <v>-2.2247720130122328E-2</v>
      </c>
      <c r="D152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2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26" s="11" t="e">
        <f>IF(ISBLANK(GSPC[[#This Row],[Long Exp.]]), "", (GSPC[[#This Row],[Long Exp.]]/D1527-1)+(E1527/GSPC[[#This Row],[Short Exp.]]-1))</f>
        <v>#VALUE!</v>
      </c>
      <c r="G1526" s="37">
        <v>34414</v>
      </c>
      <c r="H1526">
        <v>4.4696689999999997</v>
      </c>
      <c r="I1526" s="36">
        <f>IF(ISBLANK(H1527), "", Long0[[#This Row],[Adj Close]]/H1527-1)</f>
        <v>-6.4102228543897022E-2</v>
      </c>
      <c r="M1526" s="37">
        <v>34414</v>
      </c>
      <c r="N1526">
        <v>14.081187999999999</v>
      </c>
      <c r="O1526" s="36">
        <f>IF(ISBLANK(N1527),"",Long2[[#This Row],[Adj Close]]/N1527-1)</f>
        <v>-0.12044803894887168</v>
      </c>
      <c r="P1526" s="29">
        <v>34414</v>
      </c>
      <c r="Q1526">
        <v>2.586471</v>
      </c>
      <c r="R1526" s="33">
        <f>IF(ISBLANK(Q1527),"",Long3[[#This Row],[Adj Close]]/Q1527-1)</f>
        <v>5.3191365313711714E-3</v>
      </c>
      <c r="AK1526" s="37">
        <v>34414</v>
      </c>
      <c r="AL1526" s="39">
        <v>2.3975650000000002</v>
      </c>
      <c r="AM1526" s="36">
        <f>IF(ISBLANK(AL1527),"",Short1[[#This Row],[Adj Close]]/AL1527-1)</f>
        <v>5.3846468292498617E-2</v>
      </c>
      <c r="AN1526" s="29">
        <v>34414</v>
      </c>
      <c r="AO1526" s="44">
        <v>3.0782069999999999</v>
      </c>
      <c r="AP1526" s="33">
        <f>IF(ISBLANK(AO1527),"",Short2[[#This Row],[Adj Close]]/AO1527-1)</f>
        <v>1.8939480455254509E-2</v>
      </c>
    </row>
    <row r="1527" spans="1:42" x14ac:dyDescent="0.25">
      <c r="A1527" s="37">
        <v>34407</v>
      </c>
      <c r="B1527" s="39">
        <v>471.05999800000001</v>
      </c>
      <c r="C1527" s="36">
        <f>IF(ISBLANK(B1528), "", GSPC[[#This Row],[Adj Close]]/B1528-1)</f>
        <v>9.9048022900918298E-3</v>
      </c>
      <c r="D152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2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27" s="11" t="e">
        <f>IF(ISBLANK(GSPC[[#This Row],[Long Exp.]]), "", (GSPC[[#This Row],[Long Exp.]]/D1528-1)+(E1528/GSPC[[#This Row],[Short Exp.]]-1))</f>
        <v>#VALUE!</v>
      </c>
      <c r="G1527" s="37">
        <v>34407</v>
      </c>
      <c r="H1527">
        <v>4.7758089999999997</v>
      </c>
      <c r="I1527" s="36">
        <f>IF(ISBLANK(H1528), "", Long0[[#This Row],[Adj Close]]/H1528-1)</f>
        <v>-0.1475413903413435</v>
      </c>
      <c r="M1527" s="37">
        <v>34407</v>
      </c>
      <c r="N1527">
        <v>16.009501</v>
      </c>
      <c r="O1527" s="36">
        <f>IF(ISBLANK(N1528),"",Long2[[#This Row],[Adj Close]]/N1528-1)</f>
        <v>7.5301239818658772E-2</v>
      </c>
      <c r="P1527" s="29">
        <v>34407</v>
      </c>
      <c r="Q1527">
        <v>2.5727859999999998</v>
      </c>
      <c r="R1527" s="33">
        <f>IF(ISBLANK(Q1528),"",Long3[[#This Row],[Adj Close]]/Q1528-1)</f>
        <v>0</v>
      </c>
      <c r="AK1527" s="37">
        <v>34407</v>
      </c>
      <c r="AL1527" s="39">
        <v>2.275061</v>
      </c>
      <c r="AM1527" s="36">
        <f>IF(ISBLANK(AL1528),"",Short1[[#This Row],[Adj Close]]/AL1528-1)</f>
        <v>6.1223737749025231E-2</v>
      </c>
      <c r="AN1527" s="29">
        <v>34407</v>
      </c>
      <c r="AO1527" s="44">
        <v>3.020991</v>
      </c>
      <c r="AP1527" s="33">
        <f>IF(ISBLANK(AO1528),"",Short2[[#This Row],[Adj Close]]/AO1528-1)</f>
        <v>1.5384413718788403E-2</v>
      </c>
    </row>
    <row r="1528" spans="1:42" x14ac:dyDescent="0.25">
      <c r="A1528" s="37">
        <v>34400</v>
      </c>
      <c r="B1528" s="39">
        <v>466.44000199999999</v>
      </c>
      <c r="C1528" s="36">
        <f>IF(ISBLANK(B1529), "", GSPC[[#This Row],[Adj Close]]/B1529-1)</f>
        <v>3.6579851886644477E-3</v>
      </c>
      <c r="D152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2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28" s="11" t="e">
        <f>IF(ISBLANK(GSPC[[#This Row],[Long Exp.]]), "", (GSPC[[#This Row],[Long Exp.]]/D1529-1)+(E1529/GSPC[[#This Row],[Short Exp.]]-1))</f>
        <v>#VALUE!</v>
      </c>
      <c r="G1528" s="37">
        <v>34400</v>
      </c>
      <c r="H1528">
        <v>5.6023940000000003</v>
      </c>
      <c r="I1528" s="36">
        <f>IF(ISBLANK(H1529), "", Long0[[#This Row],[Adj Close]]/H1529-1)</f>
        <v>2.2346424785540497E-2</v>
      </c>
      <c r="M1528" s="37">
        <v>34400</v>
      </c>
      <c r="N1528">
        <v>14.888387</v>
      </c>
      <c r="O1528" s="36">
        <f>IF(ISBLANK(N1529),"",Long2[[#This Row],[Adj Close]]/N1529-1)</f>
        <v>-1.4837010647993143E-2</v>
      </c>
      <c r="P1528" s="29">
        <v>34400</v>
      </c>
      <c r="Q1528">
        <v>2.5727859999999998</v>
      </c>
      <c r="R1528" s="33">
        <f>IF(ISBLANK(Q1529),"",Long3[[#This Row],[Adj Close]]/Q1529-1)</f>
        <v>1.2022553498474808E-2</v>
      </c>
      <c r="AK1528" s="37">
        <v>34400</v>
      </c>
      <c r="AL1528" s="39">
        <v>2.1438090000000001</v>
      </c>
      <c r="AM1528" s="36">
        <f>IF(ISBLANK(AL1529),"",Short1[[#This Row],[Adj Close]]/AL1529-1)</f>
        <v>1.6597528082215263E-2</v>
      </c>
      <c r="AN1528" s="29">
        <v>34400</v>
      </c>
      <c r="AO1528" s="44">
        <v>2.9752190000000001</v>
      </c>
      <c r="AP1528" s="33">
        <f>IF(ISBLANK(AO1529),"",Short2[[#This Row],[Adj Close]]/AO1529-1)</f>
        <v>-2.9850999342955875E-2</v>
      </c>
    </row>
    <row r="1529" spans="1:42" x14ac:dyDescent="0.25">
      <c r="A1529" s="37">
        <v>34393</v>
      </c>
      <c r="B1529" s="39">
        <v>464.73998999999998</v>
      </c>
      <c r="C1529" s="36">
        <f>IF(ISBLANK(B1530), "", GSPC[[#This Row],[Adj Close]]/B1530-1)</f>
        <v>-2.8536850259064384E-3</v>
      </c>
      <c r="D152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2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29" s="11" t="e">
        <f>IF(ISBLANK(GSPC[[#This Row],[Long Exp.]]), "", (GSPC[[#This Row],[Long Exp.]]/D1530-1)+(E1530/GSPC[[#This Row],[Short Exp.]]-1))</f>
        <v>#VALUE!</v>
      </c>
      <c r="G1529" s="37">
        <v>34393</v>
      </c>
      <c r="H1529">
        <v>5.4799369999999996</v>
      </c>
      <c r="I1529" s="36">
        <f>IF(ISBLANK(H1530), "", Long0[[#This Row],[Adj Close]]/H1530-1)</f>
        <v>-3.7634541730525162E-2</v>
      </c>
      <c r="M1529" s="37">
        <v>34393</v>
      </c>
      <c r="N1529">
        <v>15.112613</v>
      </c>
      <c r="O1529" s="36">
        <f>IF(ISBLANK(N1530),"",Long2[[#This Row],[Adj Close]]/N1530-1)</f>
        <v>-5.8658835098940765E-2</v>
      </c>
      <c r="P1529" s="29">
        <v>34393</v>
      </c>
      <c r="Q1529">
        <v>2.5422220000000002</v>
      </c>
      <c r="R1529" s="33">
        <f>IF(ISBLANK(Q1530),"",Long3[[#This Row],[Adj Close]]/Q1530-1)</f>
        <v>-2.0725524320634681E-2</v>
      </c>
      <c r="AK1529" s="37">
        <v>34393</v>
      </c>
      <c r="AL1529" s="39">
        <v>2.1088079999999998</v>
      </c>
      <c r="AM1529" s="36">
        <f>IF(ISBLANK(AL1530),"",Short1[[#This Row],[Adj Close]]/AL1530-1)</f>
        <v>0.1157407309428522</v>
      </c>
      <c r="AN1529" s="29">
        <v>34393</v>
      </c>
      <c r="AO1529" s="44">
        <v>3.0667650000000002</v>
      </c>
      <c r="AP1529" s="33">
        <f>IF(ISBLANK(AO1530),"",Short2[[#This Row],[Adj Close]]/AO1530-1)</f>
        <v>-1.1069964341616112E-2</v>
      </c>
    </row>
    <row r="1530" spans="1:42" x14ac:dyDescent="0.25">
      <c r="A1530" s="37">
        <v>34386</v>
      </c>
      <c r="B1530" s="39">
        <v>466.07000699999998</v>
      </c>
      <c r="C1530" s="36">
        <f>IF(ISBLANK(B1531), "", GSPC[[#This Row],[Adj Close]]/B1531-1)</f>
        <v>-3.4638221750996623E-3</v>
      </c>
      <c r="D153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3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30" s="11" t="e">
        <f>IF(ISBLANK(GSPC[[#This Row],[Long Exp.]]), "", (GSPC[[#This Row],[Long Exp.]]/D1531-1)+(E1531/GSPC[[#This Row],[Short Exp.]]-1))</f>
        <v>#VALUE!</v>
      </c>
      <c r="G1530" s="37">
        <v>34386</v>
      </c>
      <c r="H1530">
        <v>5.6942370000000002</v>
      </c>
      <c r="I1530" s="36">
        <f>IF(ISBLANK(H1531), "", Long0[[#This Row],[Adj Close]]/H1531-1)</f>
        <v>-1.0638064976168704E-2</v>
      </c>
      <c r="M1530" s="37">
        <v>34386</v>
      </c>
      <c r="N1530">
        <v>16.054341999999998</v>
      </c>
      <c r="O1530" s="36">
        <f>IF(ISBLANK(N1531),"",Long2[[#This Row],[Adj Close]]/N1531-1)</f>
        <v>-6.2828278936618354E-2</v>
      </c>
      <c r="P1530" s="29">
        <v>34386</v>
      </c>
      <c r="Q1530">
        <v>2.5960260000000002</v>
      </c>
      <c r="R1530" s="33">
        <f>IF(ISBLANK(Q1531),"",Long3[[#This Row],[Adj Close]]/Q1531-1)</f>
        <v>2.6595923474288519E-2</v>
      </c>
      <c r="AK1530" s="37">
        <v>34386</v>
      </c>
      <c r="AL1530" s="39">
        <v>1.8900520000000001</v>
      </c>
      <c r="AM1530" s="36">
        <f>IF(ISBLANK(AL1531),"",Short1[[#This Row],[Adj Close]]/AL1531-1)</f>
        <v>3.3493000874890599E-2</v>
      </c>
      <c r="AN1530" s="29">
        <v>34386</v>
      </c>
      <c r="AO1530" s="44">
        <v>3.1010939999999998</v>
      </c>
      <c r="AP1530" s="33">
        <f>IF(ISBLANK(AO1531),"",Short2[[#This Row],[Adj Close]]/AO1531-1)</f>
        <v>1.4981404572547152E-2</v>
      </c>
    </row>
    <row r="1531" spans="1:42" x14ac:dyDescent="0.25">
      <c r="A1531" s="37">
        <v>34379</v>
      </c>
      <c r="B1531" s="39">
        <v>467.69000199999999</v>
      </c>
      <c r="C1531" s="36">
        <f>IF(ISBLANK(B1532), "", GSPC[[#This Row],[Adj Close]]/B1532-1)</f>
        <v>-5.295825082034078E-3</v>
      </c>
      <c r="D153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3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31" s="11" t="e">
        <f>IF(ISBLANK(GSPC[[#This Row],[Long Exp.]]), "", (GSPC[[#This Row],[Long Exp.]]/D1532-1)+(E1532/GSPC[[#This Row],[Short Exp.]]-1))</f>
        <v>#VALUE!</v>
      </c>
      <c r="G1531" s="37">
        <v>34379</v>
      </c>
      <c r="H1531">
        <v>5.7554639999999999</v>
      </c>
      <c r="I1531" s="36">
        <f>IF(ISBLANK(H1532), "", Long0[[#This Row],[Adj Close]]/H1532-1)</f>
        <v>-2.08335530821947E-2</v>
      </c>
      <c r="M1531" s="37">
        <v>34379</v>
      </c>
      <c r="N1531">
        <v>17.13063</v>
      </c>
      <c r="O1531" s="36">
        <f>IF(ISBLANK(N1532),"",Long2[[#This Row],[Adj Close]]/N1532-1)</f>
        <v>3.5231631357481197E-2</v>
      </c>
      <c r="P1531" s="29">
        <v>34379</v>
      </c>
      <c r="Q1531">
        <v>2.5287709999999999</v>
      </c>
      <c r="R1531" s="33">
        <f>IF(ISBLANK(Q1532),"",Long3[[#This Row],[Adj Close]]/Q1532-1)</f>
        <v>-4.081586207131993E-2</v>
      </c>
      <c r="AK1531" s="37">
        <v>34379</v>
      </c>
      <c r="AL1531" s="39">
        <v>1.8288</v>
      </c>
      <c r="AM1531" s="36">
        <f>IF(ISBLANK(AL1532),"",Short1[[#This Row],[Adj Close]]/AL1532-1)</f>
        <v>1.703172218038973E-2</v>
      </c>
      <c r="AN1531" s="29">
        <v>34379</v>
      </c>
      <c r="AO1531" s="44">
        <v>3.0553210000000002</v>
      </c>
      <c r="AP1531" s="33">
        <f>IF(ISBLANK(AO1532),"",Short2[[#This Row],[Adj Close]]/AO1532-1)</f>
        <v>-3.2609507863694209E-2</v>
      </c>
    </row>
    <row r="1532" spans="1:42" x14ac:dyDescent="0.25">
      <c r="A1532" s="37">
        <v>34372</v>
      </c>
      <c r="B1532" s="39">
        <v>470.17999300000002</v>
      </c>
      <c r="C1532" s="36">
        <f>IF(ISBLANK(B1533), "", GSPC[[#This Row],[Adj Close]]/B1533-1)</f>
        <v>7.8754177555850902E-4</v>
      </c>
      <c r="D153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3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32" s="11" t="e">
        <f>IF(ISBLANK(GSPC[[#This Row],[Long Exp.]]), "", (GSPC[[#This Row],[Long Exp.]]/D1533-1)+(E1533/GSPC[[#This Row],[Short Exp.]]-1))</f>
        <v>#VALUE!</v>
      </c>
      <c r="G1532" s="37">
        <v>34372</v>
      </c>
      <c r="H1532">
        <v>5.8779219999999999</v>
      </c>
      <c r="I1532" s="36">
        <f>IF(ISBLANK(H1533), "", Long0[[#This Row],[Adj Close]]/H1533-1)</f>
        <v>1.0526427989237197E-2</v>
      </c>
      <c r="M1532" s="37">
        <v>34372</v>
      </c>
      <c r="N1532">
        <v>16.547630000000002</v>
      </c>
      <c r="O1532" s="36">
        <f>IF(ISBLANK(N1533),"",Long2[[#This Row],[Adj Close]]/N1533-1)</f>
        <v>5.730601502241317E-2</v>
      </c>
      <c r="P1532" s="29">
        <v>34372</v>
      </c>
      <c r="Q1532">
        <v>2.636377</v>
      </c>
      <c r="R1532" s="33">
        <f>IF(ISBLANK(Q1533),"",Long3[[#This Row],[Adj Close]]/Q1533-1)</f>
        <v>5.1274758590400538E-3</v>
      </c>
      <c r="AK1532" s="37">
        <v>34372</v>
      </c>
      <c r="AL1532" s="39">
        <v>1.7981739999999999</v>
      </c>
      <c r="AM1532" s="36">
        <f>IF(ISBLANK(AL1533),"",Short1[[#This Row],[Adj Close]]/AL1533-1)</f>
        <v>5.3845842781180542E-2</v>
      </c>
      <c r="AN1532" s="29">
        <v>34372</v>
      </c>
      <c r="AO1532" s="44">
        <v>3.158312</v>
      </c>
      <c r="AP1532" s="33">
        <f>IF(ISBLANK(AO1533),"",Short2[[#This Row],[Adj Close]]/AO1533-1)</f>
        <v>1.1851072030079512E-2</v>
      </c>
    </row>
    <row r="1533" spans="1:42" x14ac:dyDescent="0.25">
      <c r="A1533" s="37">
        <v>34365</v>
      </c>
      <c r="B1533" s="39">
        <v>469.80999800000001</v>
      </c>
      <c r="C1533" s="36">
        <f>IF(ISBLANK(B1534), "", GSPC[[#This Row],[Adj Close]]/B1534-1)</f>
        <v>-1.8571158924474807E-2</v>
      </c>
      <c r="D153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3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33" s="11" t="e">
        <f>IF(ISBLANK(GSPC[[#This Row],[Long Exp.]]), "", (GSPC[[#This Row],[Long Exp.]]/D1534-1)+(E1534/GSPC[[#This Row],[Short Exp.]]-1))</f>
        <v>#VALUE!</v>
      </c>
      <c r="G1533" s="37">
        <v>34365</v>
      </c>
      <c r="H1533">
        <v>5.8166929999999999</v>
      </c>
      <c r="I1533" s="36">
        <f>IF(ISBLANK(H1534), "", Long0[[#This Row],[Adj Close]]/H1534-1)</f>
        <v>-1.5543954635116819E-2</v>
      </c>
      <c r="M1533" s="37">
        <v>34365</v>
      </c>
      <c r="N1533">
        <v>15.650748</v>
      </c>
      <c r="O1533" s="36">
        <f>IF(ISBLANK(N1534),"",Long2[[#This Row],[Adj Close]]/N1534-1)</f>
        <v>0</v>
      </c>
      <c r="P1533" s="29">
        <v>34365</v>
      </c>
      <c r="Q1533">
        <v>2.6229279999999999</v>
      </c>
      <c r="R1533" s="33">
        <f>IF(ISBLANK(Q1534),"",Long3[[#This Row],[Adj Close]]/Q1534-1)</f>
        <v>-4.8780443578584021E-2</v>
      </c>
      <c r="AK1533" s="37">
        <v>34365</v>
      </c>
      <c r="AL1533" s="39">
        <v>1.706297</v>
      </c>
      <c r="AM1533" s="36">
        <f>IF(ISBLANK(AL1534),"",Short1[[#This Row],[Adj Close]]/AL1534-1)</f>
        <v>5.4054438056973186E-2</v>
      </c>
      <c r="AN1533" s="29">
        <v>34365</v>
      </c>
      <c r="AO1533" s="44">
        <v>3.121321</v>
      </c>
      <c r="AP1533" s="33">
        <f>IF(ISBLANK(AO1534),"",Short2[[#This Row],[Adj Close]]/AO1534-1)</f>
        <v>-3.8732834630392121E-2</v>
      </c>
    </row>
    <row r="1534" spans="1:42" x14ac:dyDescent="0.25">
      <c r="A1534" s="37">
        <v>34358</v>
      </c>
      <c r="B1534" s="39">
        <v>478.70001200000002</v>
      </c>
      <c r="C1534" s="36">
        <f>IF(ISBLANK(B1535), "", GSPC[[#This Row],[Adj Close]]/B1535-1)</f>
        <v>8.3839126045164303E-3</v>
      </c>
      <c r="D153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3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34" s="11" t="e">
        <f>IF(ISBLANK(GSPC[[#This Row],[Long Exp.]]), "", (GSPC[[#This Row],[Long Exp.]]/D1535-1)+(E1535/GSPC[[#This Row],[Short Exp.]]-1))</f>
        <v>#VALUE!</v>
      </c>
      <c r="G1534" s="37">
        <v>34358</v>
      </c>
      <c r="H1534">
        <v>5.9085349999999996</v>
      </c>
      <c r="I1534" s="36">
        <f>IF(ISBLANK(H1535), "", Long0[[#This Row],[Adj Close]]/H1535-1)</f>
        <v>2.1164253431124491E-2</v>
      </c>
      <c r="M1534" s="37">
        <v>34358</v>
      </c>
      <c r="N1534">
        <v>15.650748</v>
      </c>
      <c r="O1534" s="36">
        <f>IF(ISBLANK(N1535),"",Long2[[#This Row],[Adj Close]]/N1535-1)</f>
        <v>-2.785482100091019E-2</v>
      </c>
      <c r="P1534" s="29">
        <v>34358</v>
      </c>
      <c r="Q1534">
        <v>2.7574369999999999</v>
      </c>
      <c r="R1534" s="33">
        <f>IF(ISBLANK(Q1535),"",Long3[[#This Row],[Adj Close]]/Q1535-1)</f>
        <v>4.9019929401972195E-3</v>
      </c>
      <c r="AK1534" s="37">
        <v>34358</v>
      </c>
      <c r="AL1534" s="39">
        <v>1.6187940000000001</v>
      </c>
      <c r="AM1534" s="36">
        <f>IF(ISBLANK(AL1535),"",Short1[[#This Row],[Adj Close]]/AL1535-1)</f>
        <v>1.3698887482012312E-2</v>
      </c>
      <c r="AN1534" s="29">
        <v>34358</v>
      </c>
      <c r="AO1534" s="44">
        <v>3.24709</v>
      </c>
      <c r="AP1534" s="33">
        <f>IF(ISBLANK(AO1535),"",Short2[[#This Row],[Adj Close]]/AO1535-1)</f>
        <v>-3.7287687348644627E-2</v>
      </c>
    </row>
    <row r="1535" spans="1:42" x14ac:dyDescent="0.25">
      <c r="A1535" s="37">
        <v>34351</v>
      </c>
      <c r="B1535" s="39">
        <v>474.72000100000002</v>
      </c>
      <c r="C1535" s="36">
        <f>IF(ISBLANK(B1536), "", GSPC[[#This Row],[Adj Close]]/B1536-1)</f>
        <v>-4.0008211745312661E-4</v>
      </c>
      <c r="D153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3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35" s="11" t="e">
        <f>IF(ISBLANK(GSPC[[#This Row],[Long Exp.]]), "", (GSPC[[#This Row],[Long Exp.]]/D1536-1)+(E1536/GSPC[[#This Row],[Short Exp.]]-1))</f>
        <v>#VALUE!</v>
      </c>
      <c r="G1535" s="37">
        <v>34351</v>
      </c>
      <c r="H1535">
        <v>5.7860769999999997</v>
      </c>
      <c r="I1535" s="36">
        <f>IF(ISBLANK(H1536), "", Long0[[#This Row],[Adj Close]]/H1536-1)</f>
        <v>-2.5773717489250614E-2</v>
      </c>
      <c r="M1535" s="37">
        <v>34351</v>
      </c>
      <c r="N1535">
        <v>16.099188000000002</v>
      </c>
      <c r="O1535" s="36">
        <f>IF(ISBLANK(N1536),"",Long2[[#This Row],[Adj Close]]/N1536-1)</f>
        <v>-4.266720422722392E-2</v>
      </c>
      <c r="P1535" s="29">
        <v>34351</v>
      </c>
      <c r="Q1535">
        <v>2.743986</v>
      </c>
      <c r="R1535" s="33">
        <f>IF(ISBLANK(Q1536),"",Long3[[#This Row],[Adj Close]]/Q1536-1)</f>
        <v>-2.8570922826929634E-2</v>
      </c>
      <c r="AK1535" s="37">
        <v>34351</v>
      </c>
      <c r="AL1535" s="39">
        <v>1.5969180000000001</v>
      </c>
      <c r="AM1535" s="36">
        <f>IF(ISBLANK(AL1536),"",Short1[[#This Row],[Adj Close]]/AL1536-1)</f>
        <v>0.16241952906853174</v>
      </c>
      <c r="AN1535" s="29">
        <v>34351</v>
      </c>
      <c r="AO1535" s="44">
        <v>3.3728560000000001</v>
      </c>
      <c r="AP1535" s="33">
        <f>IF(ISBLANK(AO1536),"",Short2[[#This Row],[Adj Close]]/AO1536-1)</f>
        <v>1.7241670506995765E-2</v>
      </c>
    </row>
    <row r="1536" spans="1:42" x14ac:dyDescent="0.25">
      <c r="A1536" s="37">
        <v>34344</v>
      </c>
      <c r="B1536" s="39">
        <v>474.91000400000001</v>
      </c>
      <c r="C1536" s="36">
        <f>IF(ISBLANK(B1537), "", GSPC[[#This Row],[Adj Close]]/B1537-1)</f>
        <v>1.0661864362569107E-2</v>
      </c>
      <c r="D153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3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36" s="11" t="e">
        <f>IF(ISBLANK(GSPC[[#This Row],[Long Exp.]]), "", (GSPC[[#This Row],[Long Exp.]]/D1537-1)+(E1537/GSPC[[#This Row],[Short Exp.]]-1))</f>
        <v>#VALUE!</v>
      </c>
      <c r="G1536" s="37">
        <v>34344</v>
      </c>
      <c r="H1536">
        <v>5.9391509999999998</v>
      </c>
      <c r="I1536" s="36">
        <f>IF(ISBLANK(H1537), "", Long0[[#This Row],[Adj Close]]/H1537-1)</f>
        <v>2.6455576031912509E-2</v>
      </c>
      <c r="M1536" s="37">
        <v>34344</v>
      </c>
      <c r="N1536">
        <v>16.81671</v>
      </c>
      <c r="O1536" s="36">
        <f>IF(ISBLANK(N1537),"",Long2[[#This Row],[Adj Close]]/N1537-1)</f>
        <v>9.3294324172265686E-2</v>
      </c>
      <c r="P1536" s="29">
        <v>34344</v>
      </c>
      <c r="Q1536">
        <v>2.8246899999999999</v>
      </c>
      <c r="R1536" s="33">
        <f>IF(ISBLANK(Q1537),"",Long3[[#This Row],[Adj Close]]/Q1537-1)</f>
        <v>-9.4340284304347266E-3</v>
      </c>
      <c r="AK1536" s="37">
        <v>34344</v>
      </c>
      <c r="AL1536" s="39">
        <v>1.373788</v>
      </c>
      <c r="AM1536" s="36">
        <f>IF(ISBLANK(AL1537),"",Short1[[#This Row],[Adj Close]]/AL1537-1)</f>
        <v>-3.3845928797381464E-2</v>
      </c>
      <c r="AN1536" s="29">
        <v>34344</v>
      </c>
      <c r="AO1536" s="44">
        <v>3.3156880000000002</v>
      </c>
      <c r="AP1536" s="33">
        <f>IF(ISBLANK(AO1537),"",Short2[[#This Row],[Adj Close]]/AO1537-1)</f>
        <v>4.3165177908489838E-2</v>
      </c>
    </row>
    <row r="1537" spans="1:42" x14ac:dyDescent="0.25">
      <c r="A1537" s="37">
        <v>34337</v>
      </c>
      <c r="B1537" s="39">
        <v>469.89999399999999</v>
      </c>
      <c r="C1537" s="36">
        <f>IF(ISBLANK(B1538), "", GSPC[[#This Row],[Adj Close]]/B1538-1)</f>
        <v>7.3962523555470838E-3</v>
      </c>
      <c r="D153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3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37" s="11" t="e">
        <f>IF(ISBLANK(GSPC[[#This Row],[Long Exp.]]), "", (GSPC[[#This Row],[Long Exp.]]/D1538-1)+(E1538/GSPC[[#This Row],[Short Exp.]]-1))</f>
        <v>#VALUE!</v>
      </c>
      <c r="G1537" s="37">
        <v>34337</v>
      </c>
      <c r="H1537">
        <v>5.7860769999999997</v>
      </c>
      <c r="I1537" s="36">
        <f>IF(ISBLANK(H1538), "", Long0[[#This Row],[Adj Close]]/H1538-1)</f>
        <v>-6.7411577739381667E-2</v>
      </c>
      <c r="M1537" s="37">
        <v>34337</v>
      </c>
      <c r="N1537">
        <v>15.381686</v>
      </c>
      <c r="O1537" s="36">
        <f>IF(ISBLANK(N1538),"",Long2[[#This Row],[Adj Close]]/N1538-1)</f>
        <v>-5.5095646028728296E-2</v>
      </c>
      <c r="P1537" s="29">
        <v>34337</v>
      </c>
      <c r="Q1537">
        <v>2.8515920000000001</v>
      </c>
      <c r="R1537" s="33">
        <f>IF(ISBLANK(Q1538),"",Long3[[#This Row],[Adj Close]]/Q1538-1)</f>
        <v>-1.8519321621340623E-2</v>
      </c>
      <c r="AK1537" s="37">
        <v>34337</v>
      </c>
      <c r="AL1537" s="39">
        <v>1.4219139999999999</v>
      </c>
      <c r="AM1537" s="36">
        <f>IF(ISBLANK(AL1538),"",Short1[[#This Row],[Adj Close]]/AL1538-1)</f>
        <v>-0.12634427926724001</v>
      </c>
      <c r="AN1537" s="29">
        <v>34337</v>
      </c>
      <c r="AO1537" s="44">
        <v>3.1784880000000002</v>
      </c>
      <c r="AP1537" s="33">
        <f>IF(ISBLANK(AO1538),"",Short2[[#This Row],[Adj Close]]/AO1538-1)</f>
        <v>1.8315001885419679E-2</v>
      </c>
    </row>
    <row r="1538" spans="1:42" x14ac:dyDescent="0.25">
      <c r="A1538" s="37">
        <v>34330</v>
      </c>
      <c r="B1538" s="39">
        <v>466.45001200000002</v>
      </c>
      <c r="C1538" s="36">
        <f>IF(ISBLANK(B1539), "", GSPC[[#This Row],[Adj Close]]/B1539-1)</f>
        <v>-1.9898005692391418E-3</v>
      </c>
      <c r="D153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3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38" s="11" t="e">
        <f>IF(ISBLANK(GSPC[[#This Row],[Long Exp.]]), "", (GSPC[[#This Row],[Long Exp.]]/D1539-1)+(E1539/GSPC[[#This Row],[Short Exp.]]-1))</f>
        <v>#VALUE!</v>
      </c>
      <c r="G1538" s="37">
        <v>34330</v>
      </c>
      <c r="H1538">
        <v>6.2043200000000001</v>
      </c>
      <c r="I1538" s="36">
        <f>IF(ISBLANK(H1539), "", Long0[[#This Row],[Adj Close]]/H1539-1)</f>
        <v>5.7291724358291551E-2</v>
      </c>
      <c r="M1538" s="37">
        <v>34330</v>
      </c>
      <c r="N1538">
        <v>16.278563999999999</v>
      </c>
      <c r="O1538" s="36">
        <f>IF(ISBLANK(N1539),"",Long2[[#This Row],[Adj Close]]/N1539-1)</f>
        <v>6.1402740069010253E-2</v>
      </c>
      <c r="P1538" s="29">
        <v>34330</v>
      </c>
      <c r="Q1538">
        <v>2.9053979999999999</v>
      </c>
      <c r="R1538" s="33">
        <f>IF(ISBLANK(Q1539),"",Long3[[#This Row],[Adj Close]]/Q1539-1)</f>
        <v>-9.1733545408259065E-3</v>
      </c>
      <c r="AK1538" s="37">
        <v>34330</v>
      </c>
      <c r="AL1538" s="39">
        <v>1.627545</v>
      </c>
      <c r="AM1538" s="36">
        <f>IF(ISBLANK(AL1539),"",Short1[[#This Row],[Adj Close]]/AL1539-1)</f>
        <v>4.2017597606018864E-2</v>
      </c>
      <c r="AN1538" s="29">
        <v>34330</v>
      </c>
      <c r="AO1538" s="44">
        <v>3.121321</v>
      </c>
      <c r="AP1538" s="33">
        <f>IF(ISBLANK(AO1539),"",Short2[[#This Row],[Adj Close]]/AO1539-1)</f>
        <v>3.018824333177661E-2</v>
      </c>
    </row>
    <row r="1539" spans="1:42" x14ac:dyDescent="0.25">
      <c r="A1539" s="37">
        <v>34323</v>
      </c>
      <c r="B1539" s="39">
        <v>467.38000499999998</v>
      </c>
      <c r="C1539" s="36">
        <f>IF(ISBLANK(B1540), "", GSPC[[#This Row],[Adj Close]]/B1540-1)</f>
        <v>2.1441742554979548E-3</v>
      </c>
      <c r="D153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3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39" s="11" t="e">
        <f>IF(ISBLANK(GSPC[[#This Row],[Long Exp.]]), "", (GSPC[[#This Row],[Long Exp.]]/D1540-1)+(E1540/GSPC[[#This Row],[Short Exp.]]-1))</f>
        <v>#VALUE!</v>
      </c>
      <c r="G1539" s="37">
        <v>34323</v>
      </c>
      <c r="H1539">
        <v>5.868125</v>
      </c>
      <c r="I1539" s="36">
        <f>IF(ISBLANK(H1540), "", Long0[[#This Row],[Adj Close]]/H1540-1)</f>
        <v>1.0526437240033548E-2</v>
      </c>
      <c r="M1539" s="37">
        <v>34323</v>
      </c>
      <c r="N1539">
        <v>15.33684</v>
      </c>
      <c r="O1539" s="36">
        <f>IF(ISBLANK(N1540),"",Long2[[#This Row],[Adj Close]]/N1540-1)</f>
        <v>8.2278893697185662E-2</v>
      </c>
      <c r="P1539" s="29">
        <v>34323</v>
      </c>
      <c r="Q1539">
        <v>2.9322970000000002</v>
      </c>
      <c r="R1539" s="33">
        <f>IF(ISBLANK(Q1540),"",Long3[[#This Row],[Adj Close]]/Q1540-1)</f>
        <v>0</v>
      </c>
      <c r="AK1539" s="37">
        <v>34323</v>
      </c>
      <c r="AL1539" s="39">
        <v>1.561917</v>
      </c>
      <c r="AM1539" s="36">
        <f>IF(ISBLANK(AL1540),"",Short1[[#This Row],[Adj Close]]/AL1540-1)</f>
        <v>-1.1080037760768713E-2</v>
      </c>
      <c r="AN1539" s="29">
        <v>34323</v>
      </c>
      <c r="AO1539" s="44">
        <v>3.029855</v>
      </c>
      <c r="AP1539" s="33">
        <f>IF(ISBLANK(AO1540),"",Short2[[#This Row],[Adj Close]]/AO1540-1)</f>
        <v>-1.4869356646389775E-2</v>
      </c>
    </row>
    <row r="1540" spans="1:42" x14ac:dyDescent="0.25">
      <c r="A1540" s="37">
        <v>34316</v>
      </c>
      <c r="B1540" s="39">
        <v>466.38000499999998</v>
      </c>
      <c r="C1540" s="36">
        <f>IF(ISBLANK(B1541), "", GSPC[[#This Row],[Adj Close]]/B1541-1)</f>
        <v>5.2809950573726727E-3</v>
      </c>
      <c r="D154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4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40" s="11" t="e">
        <f>IF(ISBLANK(GSPC[[#This Row],[Long Exp.]]), "", (GSPC[[#This Row],[Long Exp.]]/D1541-1)+(E1541/GSPC[[#This Row],[Short Exp.]]-1))</f>
        <v>#VALUE!</v>
      </c>
      <c r="G1540" s="37">
        <v>34316</v>
      </c>
      <c r="H1540">
        <v>5.8069980000000001</v>
      </c>
      <c r="I1540" s="36">
        <f>IF(ISBLANK(H1541), "", Long0[[#This Row],[Adj Close]]/H1541-1)</f>
        <v>-5.9405823522313383E-2</v>
      </c>
      <c r="M1540" s="37">
        <v>34316</v>
      </c>
      <c r="N1540">
        <v>14.170876</v>
      </c>
      <c r="O1540" s="36">
        <f>IF(ISBLANK(N1541),"",Long2[[#This Row],[Adj Close]]/N1541-1)</f>
        <v>-6.2890929544011653E-3</v>
      </c>
      <c r="P1540" s="29">
        <v>34316</v>
      </c>
      <c r="Q1540">
        <v>2.9322970000000002</v>
      </c>
      <c r="R1540" s="33">
        <f>IF(ISBLANK(Q1541),"",Long3[[#This Row],[Adj Close]]/Q1541-1)</f>
        <v>2.9665550606342128E-2</v>
      </c>
      <c r="AK1540" s="37">
        <v>34316</v>
      </c>
      <c r="AL1540" s="39">
        <v>1.5794170000000001</v>
      </c>
      <c r="AM1540" s="36">
        <f>IF(ISBLANK(AL1541),"",Short1[[#This Row],[Adj Close]]/AL1541-1)</f>
        <v>5.5554701592136935E-2</v>
      </c>
      <c r="AN1540" s="29">
        <v>34316</v>
      </c>
      <c r="AO1540" s="44">
        <v>3.0755870000000001</v>
      </c>
      <c r="AP1540" s="33">
        <f>IF(ISBLANK(AO1541),"",Short2[[#This Row],[Adj Close]]/AO1541-1)</f>
        <v>8.0321217428384717E-2</v>
      </c>
    </row>
    <row r="1541" spans="1:42" x14ac:dyDescent="0.25">
      <c r="A1541" s="37">
        <v>34309</v>
      </c>
      <c r="B1541" s="39">
        <v>463.92999300000002</v>
      </c>
      <c r="C1541" s="36">
        <f>IF(ISBLANK(B1542), "", GSPC[[#This Row],[Adj Close]]/B1542-1)</f>
        <v>-2.0650518811422547E-3</v>
      </c>
      <c r="D154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4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41" s="11" t="e">
        <f>IF(ISBLANK(GSPC[[#This Row],[Long Exp.]]), "", (GSPC[[#This Row],[Long Exp.]]/D1542-1)+(E1542/GSPC[[#This Row],[Short Exp.]]-1))</f>
        <v>#VALUE!</v>
      </c>
      <c r="G1541" s="37">
        <v>34309</v>
      </c>
      <c r="H1541">
        <v>6.1737549999999999</v>
      </c>
      <c r="I1541" s="36">
        <f>IF(ISBLANK(H1542), "", Long0[[#This Row],[Adj Close]]/H1542-1)</f>
        <v>-5.6074950684304015E-2</v>
      </c>
      <c r="M1541" s="37">
        <v>34309</v>
      </c>
      <c r="N1541">
        <v>14.260562</v>
      </c>
      <c r="O1541" s="36">
        <f>IF(ISBLANK(N1542),"",Long2[[#This Row],[Adj Close]]/N1542-1)</f>
        <v>1.2738555866167012E-2</v>
      </c>
      <c r="P1541" s="29">
        <v>34309</v>
      </c>
      <c r="Q1541">
        <v>2.8478150000000002</v>
      </c>
      <c r="R1541" s="33">
        <f>IF(ISBLANK(Q1542),"",Long3[[#This Row],[Adj Close]]/Q1542-1)</f>
        <v>-4.6307946973571656E-3</v>
      </c>
      <c r="AK1541" s="37">
        <v>34309</v>
      </c>
      <c r="AL1541" s="39">
        <v>1.496291</v>
      </c>
      <c r="AM1541" s="36">
        <f>IF(ISBLANK(AL1542),"",Short1[[#This Row],[Adj Close]]/AL1542-1)</f>
        <v>-0.12755102338303259</v>
      </c>
      <c r="AN1541" s="29">
        <v>34309</v>
      </c>
      <c r="AO1541" s="44">
        <v>2.8469190000000002</v>
      </c>
      <c r="AP1541" s="33">
        <f>IF(ISBLANK(AO1542),"",Short2[[#This Row],[Adj Close]]/AO1542-1)</f>
        <v>0</v>
      </c>
    </row>
    <row r="1542" spans="1:42" x14ac:dyDescent="0.25">
      <c r="A1542" s="37">
        <v>34302</v>
      </c>
      <c r="B1542" s="39">
        <v>464.89001500000001</v>
      </c>
      <c r="C1542" s="36">
        <f>IF(ISBLANK(B1543), "", GSPC[[#This Row],[Adj Close]]/B1543-1)</f>
        <v>3.9520083961128716E-3</v>
      </c>
      <c r="D154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4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42" s="11" t="e">
        <f>IF(ISBLANK(GSPC[[#This Row],[Long Exp.]]), "", (GSPC[[#This Row],[Long Exp.]]/D1543-1)+(E1543/GSPC[[#This Row],[Short Exp.]]-1))</f>
        <v>#VALUE!</v>
      </c>
      <c r="G1542" s="37">
        <v>34302</v>
      </c>
      <c r="H1542">
        <v>6.5405139999999999</v>
      </c>
      <c r="I1542" s="36">
        <f>IF(ISBLANK(H1543), "", Long0[[#This Row],[Adj Close]]/H1543-1)</f>
        <v>-7.3593002465833668E-2</v>
      </c>
      <c r="M1542" s="37">
        <v>34302</v>
      </c>
      <c r="N1542">
        <v>14.081187999999999</v>
      </c>
      <c r="O1542" s="36">
        <f>IF(ISBLANK(N1543),"",Long2[[#This Row],[Adj Close]]/N1543-1)</f>
        <v>1.2903357606435018E-2</v>
      </c>
      <c r="P1542" s="29">
        <v>34302</v>
      </c>
      <c r="Q1542">
        <v>2.8610639999999998</v>
      </c>
      <c r="R1542" s="33">
        <f>IF(ISBLANK(Q1543),"",Long3[[#This Row],[Adj Close]]/Q1543-1)</f>
        <v>-1.3698290126861523E-2</v>
      </c>
      <c r="AK1542" s="37">
        <v>34302</v>
      </c>
      <c r="AL1542" s="39">
        <v>1.715047</v>
      </c>
      <c r="AM1542" s="36">
        <f>IF(ISBLANK(AL1543),"",Short1[[#This Row],[Adj Close]]/AL1543-1)</f>
        <v>-4.622856297555189E-2</v>
      </c>
      <c r="AN1542" s="29">
        <v>34302</v>
      </c>
      <c r="AO1542" s="44">
        <v>2.8469190000000002</v>
      </c>
      <c r="AP1542" s="33">
        <f>IF(ISBLANK(AO1543),"",Short2[[#This Row],[Adj Close]]/AO1543-1)</f>
        <v>4.0317589183092029E-3</v>
      </c>
    </row>
    <row r="1543" spans="1:42" x14ac:dyDescent="0.25">
      <c r="A1543" s="37">
        <v>34295</v>
      </c>
      <c r="B1543" s="39">
        <v>463.05999800000001</v>
      </c>
      <c r="C1543" s="36">
        <f>IF(ISBLANK(B1544), "", GSPC[[#This Row],[Adj Close]]/B1544-1)</f>
        <v>9.943622871462221E-4</v>
      </c>
      <c r="D154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4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43" s="11" t="e">
        <f>IF(ISBLANK(GSPC[[#This Row],[Long Exp.]]), "", (GSPC[[#This Row],[Long Exp.]]/D1544-1)+(E1544/GSPC[[#This Row],[Short Exp.]]-1))</f>
        <v>#VALUE!</v>
      </c>
      <c r="G1543" s="37">
        <v>34295</v>
      </c>
      <c r="H1543">
        <v>7.0600870000000002</v>
      </c>
      <c r="I1543" s="36">
        <f>IF(ISBLANK(H1544), "", Long0[[#This Row],[Adj Close]]/H1544-1)</f>
        <v>-2.118661221610596E-2</v>
      </c>
      <c r="M1543" s="37">
        <v>34295</v>
      </c>
      <c r="N1543">
        <v>13.901808000000001</v>
      </c>
      <c r="O1543" s="36">
        <f>IF(ISBLANK(N1544),"",Long2[[#This Row],[Adj Close]]/N1544-1)</f>
        <v>1.30719568671116E-2</v>
      </c>
      <c r="P1543" s="29">
        <v>34295</v>
      </c>
      <c r="Q1543">
        <v>2.9007999999999998</v>
      </c>
      <c r="R1543" s="33">
        <f>IF(ISBLANK(Q1544),"",Long3[[#This Row],[Adj Close]]/Q1544-1)</f>
        <v>2.8169388496539716E-2</v>
      </c>
      <c r="AK1543" s="37">
        <v>34295</v>
      </c>
      <c r="AL1543" s="39">
        <v>1.7981739999999999</v>
      </c>
      <c r="AM1543" s="36">
        <f>IF(ISBLANK(AL1544),"",Short1[[#This Row],[Adj Close]]/AL1544-1)</f>
        <v>0.1544939690268583</v>
      </c>
      <c r="AN1543" s="29">
        <v>34295</v>
      </c>
      <c r="AO1543" s="44">
        <v>2.8354870000000001</v>
      </c>
      <c r="AP1543" s="33">
        <f>IF(ISBLANK(AO1544),"",Short2[[#This Row],[Adj Close]]/AO1544-1)</f>
        <v>1.2245170438521358E-2</v>
      </c>
    </row>
    <row r="1544" spans="1:42" x14ac:dyDescent="0.25">
      <c r="A1544" s="37">
        <v>34288</v>
      </c>
      <c r="B1544" s="39">
        <v>462.60000600000001</v>
      </c>
      <c r="C1544" s="36">
        <f>IF(ISBLANK(B1545), "", GSPC[[#This Row],[Adj Close]]/B1545-1)</f>
        <v>-5.9949911043966075E-3</v>
      </c>
      <c r="D154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4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44" s="11" t="e">
        <f>IF(ISBLANK(GSPC[[#This Row],[Long Exp.]]), "", (GSPC[[#This Row],[Long Exp.]]/D1545-1)+(E1545/GSPC[[#This Row],[Short Exp.]]-1))</f>
        <v>#VALUE!</v>
      </c>
      <c r="G1544" s="37">
        <v>34288</v>
      </c>
      <c r="H1544">
        <v>7.212904</v>
      </c>
      <c r="I1544" s="36">
        <f>IF(ISBLANK(H1545), "", Long0[[#This Row],[Adj Close]]/H1545-1)</f>
        <v>-7.450945974781098E-2</v>
      </c>
      <c r="M1544" s="37">
        <v>34288</v>
      </c>
      <c r="N1544">
        <v>13.722429</v>
      </c>
      <c r="O1544" s="36">
        <f>IF(ISBLANK(N1545),"",Long2[[#This Row],[Adj Close]]/N1545-1)</f>
        <v>-2.5477892916421441E-2</v>
      </c>
      <c r="P1544" s="29">
        <v>34288</v>
      </c>
      <c r="Q1544">
        <v>2.8213249999999999</v>
      </c>
      <c r="R1544" s="33">
        <f>IF(ISBLANK(Q1545),"",Long3[[#This Row],[Adj Close]]/Q1545-1)</f>
        <v>-9.301868274449121E-3</v>
      </c>
      <c r="AK1544" s="37">
        <v>34288</v>
      </c>
      <c r="AL1544" s="39">
        <v>1.5575429999999999</v>
      </c>
      <c r="AM1544" s="36">
        <f>IF(ISBLANK(AL1545),"",Short1[[#This Row],[Adj Close]]/AL1545-1)</f>
        <v>-0.1032740675747098</v>
      </c>
      <c r="AN1544" s="29">
        <v>34288</v>
      </c>
      <c r="AO1544" s="44">
        <v>2.801186</v>
      </c>
      <c r="AP1544" s="33">
        <f>IF(ISBLANK(AO1545),"",Short2[[#This Row],[Adj Close]]/AO1545-1)</f>
        <v>-3.5433499260352885E-2</v>
      </c>
    </row>
    <row r="1545" spans="1:42" x14ac:dyDescent="0.25">
      <c r="A1545" s="37">
        <v>34281</v>
      </c>
      <c r="B1545" s="39">
        <v>465.39001500000001</v>
      </c>
      <c r="C1545" s="36">
        <f>IF(ISBLANK(B1546), "", GSPC[[#This Row],[Adj Close]]/B1546-1)</f>
        <v>1.2664029225910811E-2</v>
      </c>
      <c r="D154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4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45" s="11" t="e">
        <f>IF(ISBLANK(GSPC[[#This Row],[Long Exp.]]), "", (GSPC[[#This Row],[Long Exp.]]/D1546-1)+(E1546/GSPC[[#This Row],[Short Exp.]]-1))</f>
        <v>#VALUE!</v>
      </c>
      <c r="G1545" s="37">
        <v>34281</v>
      </c>
      <c r="H1545">
        <v>7.7936009999999998</v>
      </c>
      <c r="I1545" s="36">
        <f>IF(ISBLANK(H1546), "", Long0[[#This Row],[Adj Close]]/H1546-1)</f>
        <v>5.8090858734787698E-2</v>
      </c>
      <c r="M1545" s="37">
        <v>34281</v>
      </c>
      <c r="N1545">
        <v>14.081187999999999</v>
      </c>
      <c r="O1545" s="36">
        <f>IF(ISBLANK(N1546),"",Long2[[#This Row],[Adj Close]]/N1546-1)</f>
        <v>0.12949597526676659</v>
      </c>
      <c r="P1545" s="29">
        <v>34281</v>
      </c>
      <c r="Q1545">
        <v>2.8478150000000002</v>
      </c>
      <c r="R1545" s="33">
        <f>IF(ISBLANK(Q1546),"",Long3[[#This Row],[Adj Close]]/Q1546-1)</f>
        <v>-1.8265650854936477E-2</v>
      </c>
      <c r="AK1545" s="37">
        <v>34281</v>
      </c>
      <c r="AL1545" s="39">
        <v>1.7369220000000001</v>
      </c>
      <c r="AM1545" s="36">
        <f>IF(ISBLANK(AL1546),"",Short1[[#This Row],[Adj Close]]/AL1546-1)</f>
        <v>-0.10585651673003671</v>
      </c>
      <c r="AN1545" s="29">
        <v>34281</v>
      </c>
      <c r="AO1545" s="44">
        <v>2.9040879999999998</v>
      </c>
      <c r="AP1545" s="33">
        <f>IF(ISBLANK(AO1546),"",Short2[[#This Row],[Adj Close]]/AO1546-1)</f>
        <v>6.3732261135426294E-2</v>
      </c>
    </row>
    <row r="1546" spans="1:42" x14ac:dyDescent="0.25">
      <c r="A1546" s="37">
        <v>34274</v>
      </c>
      <c r="B1546" s="39">
        <v>459.57000699999998</v>
      </c>
      <c r="C1546" s="36">
        <f>IF(ISBLANK(B1547), "", GSPC[[#This Row],[Adj Close]]/B1547-1)</f>
        <v>-1.7655943888864156E-2</v>
      </c>
      <c r="D154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4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46" s="11" t="e">
        <f>IF(ISBLANK(GSPC[[#This Row],[Long Exp.]]), "", (GSPC[[#This Row],[Long Exp.]]/D1547-1)+(E1547/GSPC[[#This Row],[Short Exp.]]-1))</f>
        <v>#VALUE!</v>
      </c>
      <c r="G1546" s="37">
        <v>34274</v>
      </c>
      <c r="H1546">
        <v>7.3657199999999996</v>
      </c>
      <c r="I1546" s="36">
        <f>IF(ISBLANK(H1547), "", Long0[[#This Row],[Adj Close]]/H1547-1)</f>
        <v>2.1186473575691478E-2</v>
      </c>
      <c r="M1546" s="37">
        <v>34274</v>
      </c>
      <c r="N1546">
        <v>12.466789</v>
      </c>
      <c r="O1546" s="36">
        <f>IF(ISBLANK(N1547),"",Long2[[#This Row],[Adj Close]]/N1547-1)</f>
        <v>-4.4673294883087911E-2</v>
      </c>
      <c r="P1546" s="29">
        <v>34274</v>
      </c>
      <c r="Q1546">
        <v>2.9007999999999998</v>
      </c>
      <c r="R1546" s="33">
        <f>IF(ISBLANK(Q1547),"",Long3[[#This Row],[Adj Close]]/Q1547-1)</f>
        <v>-6.4102282831593915E-2</v>
      </c>
      <c r="AK1546" s="37">
        <v>34274</v>
      </c>
      <c r="AL1546" s="39">
        <v>1.9425539999999999</v>
      </c>
      <c r="AM1546" s="36">
        <f>IF(ISBLANK(AL1547),"",Short1[[#This Row],[Adj Close]]/AL1547-1)</f>
        <v>-7.8837902739367416E-2</v>
      </c>
      <c r="AN1546" s="29">
        <v>34274</v>
      </c>
      <c r="AO1546" s="44">
        <v>2.7300930000000001</v>
      </c>
      <c r="AP1546" s="33">
        <f>IF(ISBLANK(AO1547),"",Short2[[#This Row],[Adj Close]]/AO1547-1)</f>
        <v>-9.1254571865667322E-2</v>
      </c>
    </row>
    <row r="1547" spans="1:42" x14ac:dyDescent="0.25">
      <c r="A1547" s="37">
        <v>34267</v>
      </c>
      <c r="B1547" s="39">
        <v>467.82998700000002</v>
      </c>
      <c r="C1547" s="36">
        <f>IF(ISBLANK(B1548), "", GSPC[[#This Row],[Adj Close]]/B1548-1)</f>
        <v>9.8430679911796215E-3</v>
      </c>
      <c r="D154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4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47" s="11" t="e">
        <f>IF(ISBLANK(GSPC[[#This Row],[Long Exp.]]), "", (GSPC[[#This Row],[Long Exp.]]/D1548-1)+(E1548/GSPC[[#This Row],[Short Exp.]]-1))</f>
        <v>#VALUE!</v>
      </c>
      <c r="G1547" s="37">
        <v>34267</v>
      </c>
      <c r="H1547">
        <v>7.212904</v>
      </c>
      <c r="I1547" s="36">
        <f>IF(ISBLANK(H1548), "", Long0[[#This Row],[Adj Close]]/H1548-1)</f>
        <v>-4.8386992505337623E-2</v>
      </c>
      <c r="M1547" s="37">
        <v>34267</v>
      </c>
      <c r="N1547">
        <v>13.049765000000001</v>
      </c>
      <c r="O1547" s="36">
        <f>IF(ISBLANK(N1548),"",Long2[[#This Row],[Adj Close]]/N1548-1)</f>
        <v>6.5934504864097798E-2</v>
      </c>
      <c r="P1547" s="29">
        <v>34267</v>
      </c>
      <c r="Q1547">
        <v>3.0994839999999999</v>
      </c>
      <c r="R1547" s="33">
        <f>IF(ISBLANK(Q1548),"",Long3[[#This Row],[Adj Close]]/Q1548-1)</f>
        <v>0</v>
      </c>
      <c r="AK1547" s="37">
        <v>34267</v>
      </c>
      <c r="AL1547" s="39">
        <v>2.1088079999999998</v>
      </c>
      <c r="AM1547" s="36">
        <f>IF(ISBLANK(AL1548),"",Short1[[#This Row],[Adj Close]]/AL1548-1)</f>
        <v>5.0109576885327245E-2</v>
      </c>
      <c r="AN1547" s="29">
        <v>34267</v>
      </c>
      <c r="AO1547" s="44">
        <v>3.0042439999999999</v>
      </c>
      <c r="AP1547" s="33">
        <f>IF(ISBLANK(AO1548),"",Short2[[#This Row],[Adj Close]]/AO1548-1)</f>
        <v>2.3346343264618374E-2</v>
      </c>
    </row>
    <row r="1548" spans="1:42" x14ac:dyDescent="0.25">
      <c r="A1548" s="37">
        <v>34260</v>
      </c>
      <c r="B1548" s="39">
        <v>463.26998900000001</v>
      </c>
      <c r="C1548" s="36">
        <f>IF(ISBLANK(B1549), "", GSPC[[#This Row],[Adj Close]]/B1549-1)</f>
        <v>-1.3269458998935058E-2</v>
      </c>
      <c r="D154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4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48" s="11" t="e">
        <f>IF(ISBLANK(GSPC[[#This Row],[Long Exp.]]), "", (GSPC[[#This Row],[Long Exp.]]/D1549-1)+(E1549/GSPC[[#This Row],[Short Exp.]]-1))</f>
        <v>#VALUE!</v>
      </c>
      <c r="G1548" s="37">
        <v>34260</v>
      </c>
      <c r="H1548">
        <v>7.5796609999999998</v>
      </c>
      <c r="I1548" s="36">
        <f>IF(ISBLANK(H1549), "", Long0[[#This Row],[Adj Close]]/H1549-1)</f>
        <v>-1.5872811842046586E-2</v>
      </c>
      <c r="M1548" s="37">
        <v>34260</v>
      </c>
      <c r="N1548">
        <v>12.242558000000001</v>
      </c>
      <c r="O1548" s="36">
        <f>IF(ISBLANK(N1549),"",Long2[[#This Row],[Adj Close]]/N1549-1)</f>
        <v>-1.0869676748813228E-2</v>
      </c>
      <c r="P1548" s="29">
        <v>34260</v>
      </c>
      <c r="Q1548">
        <v>3.0994839999999999</v>
      </c>
      <c r="R1548" s="33">
        <f>IF(ISBLANK(Q1549),"",Long3[[#This Row],[Adj Close]]/Q1549-1)</f>
        <v>-8.4747931526026887E-3</v>
      </c>
      <c r="AK1548" s="37">
        <v>34260</v>
      </c>
      <c r="AL1548" s="39">
        <v>2.0081790000000002</v>
      </c>
      <c r="AM1548" s="36">
        <f>IF(ISBLANK(AL1549),"",Short1[[#This Row],[Adj Close]]/AL1549-1)</f>
        <v>-3.773625590100671E-2</v>
      </c>
      <c r="AN1548" s="29">
        <v>34260</v>
      </c>
      <c r="AO1548" s="44">
        <v>2.9357060000000001</v>
      </c>
      <c r="AP1548" s="33">
        <f>IF(ISBLANK(AO1549),"",Short2[[#This Row],[Adj Close]]/AO1549-1)</f>
        <v>-1.1537815326940648E-2</v>
      </c>
    </row>
    <row r="1549" spans="1:42" x14ac:dyDescent="0.25">
      <c r="A1549" s="37">
        <v>34253</v>
      </c>
      <c r="B1549" s="39">
        <v>469.5</v>
      </c>
      <c r="C1549" s="36">
        <f>IF(ISBLANK(B1550), "", GSPC[[#This Row],[Adj Close]]/B1550-1)</f>
        <v>1.9964810757814533E-2</v>
      </c>
      <c r="D154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4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49" s="11" t="e">
        <f>IF(ISBLANK(GSPC[[#This Row],[Long Exp.]]), "", (GSPC[[#This Row],[Long Exp.]]/D1550-1)+(E1550/GSPC[[#This Row],[Short Exp.]]-1))</f>
        <v>#VALUE!</v>
      </c>
      <c r="G1549" s="37">
        <v>34253</v>
      </c>
      <c r="H1549">
        <v>7.7019120000000001</v>
      </c>
      <c r="I1549" s="36">
        <f>IF(ISBLANK(H1550), "", Long0[[#This Row],[Adj Close]]/H1550-1)</f>
        <v>9.0908936391293826E-2</v>
      </c>
      <c r="M1549" s="37">
        <v>34253</v>
      </c>
      <c r="N1549">
        <v>12.377093</v>
      </c>
      <c r="O1549" s="36">
        <f>IF(ISBLANK(N1550),"",Long2[[#This Row],[Adj Close]]/N1550-1)</f>
        <v>-2.8169371288332856E-2</v>
      </c>
      <c r="P1549" s="29">
        <v>34253</v>
      </c>
      <c r="Q1549">
        <v>3.1259760000000001</v>
      </c>
      <c r="R1549" s="33">
        <f>IF(ISBLANK(Q1550),"",Long3[[#This Row],[Adj Close]]/Q1550-1)</f>
        <v>4.2551058861173274E-3</v>
      </c>
      <c r="AK1549" s="37">
        <v>34253</v>
      </c>
      <c r="AL1549" s="39">
        <v>2.086932</v>
      </c>
      <c r="AM1549" s="36">
        <f>IF(ISBLANK(AL1550),"",Short1[[#This Row],[Adj Close]]/AL1550-1)</f>
        <v>0.1357144023291883</v>
      </c>
      <c r="AN1549" s="29">
        <v>34253</v>
      </c>
      <c r="AO1549" s="44">
        <v>2.969973</v>
      </c>
      <c r="AP1549" s="33">
        <f>IF(ISBLANK(AO1550),"",Short2[[#This Row],[Adj Close]]/AO1550-1)</f>
        <v>-1.5151876898834238E-2</v>
      </c>
    </row>
    <row r="1550" spans="1:42" x14ac:dyDescent="0.25">
      <c r="A1550" s="37">
        <v>34246</v>
      </c>
      <c r="B1550" s="39">
        <v>460.30999800000001</v>
      </c>
      <c r="C1550" s="36">
        <f>IF(ISBLANK(B1551), "", GSPC[[#This Row],[Adj Close]]/B1551-1)</f>
        <v>-2.1028464318912921E-3</v>
      </c>
      <c r="D155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5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50" s="11" t="e">
        <f>IF(ISBLANK(GSPC[[#This Row],[Long Exp.]]), "", (GSPC[[#This Row],[Long Exp.]]/D1551-1)+(E1551/GSPC[[#This Row],[Short Exp.]]-1))</f>
        <v>#VALUE!</v>
      </c>
      <c r="G1550" s="37">
        <v>34246</v>
      </c>
      <c r="H1550">
        <v>7.0600870000000002</v>
      </c>
      <c r="I1550" s="36">
        <f>IF(ISBLANK(H1551), "", Long0[[#This Row],[Adj Close]]/H1551-1)</f>
        <v>-2.5316202303207413E-2</v>
      </c>
      <c r="M1550" s="37">
        <v>34246</v>
      </c>
      <c r="N1550">
        <v>12.735854</v>
      </c>
      <c r="O1550" s="36">
        <f>IF(ISBLANK(N1551),"",Long2[[#This Row],[Adj Close]]/N1551-1)</f>
        <v>4.0293539961174796E-2</v>
      </c>
      <c r="P1550" s="29">
        <v>34246</v>
      </c>
      <c r="Q1550">
        <v>3.1127310000000001</v>
      </c>
      <c r="R1550" s="33">
        <f>IF(ISBLANK(Q1551),"",Long3[[#This Row],[Adj Close]]/Q1551-1)</f>
        <v>-1.6735887534936822E-2</v>
      </c>
      <c r="AK1550" s="37">
        <v>34246</v>
      </c>
      <c r="AL1550" s="39">
        <v>1.83755</v>
      </c>
      <c r="AM1550" s="36">
        <f>IF(ISBLANK(AL1551),"",Short1[[#This Row],[Adj Close]]/AL1551-1)</f>
        <v>5.7934668338589734E-2</v>
      </c>
      <c r="AN1550" s="29">
        <v>34246</v>
      </c>
      <c r="AO1550" s="44">
        <v>3.015666</v>
      </c>
      <c r="AP1550" s="33">
        <f>IF(ISBLANK(AO1551),"",Short2[[#This Row],[Adj Close]]/AO1551-1)</f>
        <v>-2.2222265453258006E-2</v>
      </c>
    </row>
    <row r="1551" spans="1:42" x14ac:dyDescent="0.25">
      <c r="A1551" s="37">
        <v>34239</v>
      </c>
      <c r="B1551" s="39">
        <v>461.27999899999998</v>
      </c>
      <c r="C1551" s="36">
        <f>IF(ISBLANK(B1552), "", GSPC[[#This Row],[Adj Close]]/B1552-1)</f>
        <v>7.9758625092776203E-3</v>
      </c>
      <c r="D155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5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51" s="11" t="e">
        <f>IF(ISBLANK(GSPC[[#This Row],[Long Exp.]]), "", (GSPC[[#This Row],[Long Exp.]]/D1552-1)+(E1552/GSPC[[#This Row],[Short Exp.]]-1))</f>
        <v>#VALUE!</v>
      </c>
      <c r="G1551" s="37">
        <v>34239</v>
      </c>
      <c r="H1551">
        <v>7.2434640000000003</v>
      </c>
      <c r="I1551" s="36">
        <f>IF(ISBLANK(H1552), "", Long0[[#This Row],[Adj Close]]/H1552-1)</f>
        <v>8.8697212163770134E-2</v>
      </c>
      <c r="M1551" s="37">
        <v>34239</v>
      </c>
      <c r="N1551">
        <v>12.242558000000001</v>
      </c>
      <c r="O1551" s="36">
        <f>IF(ISBLANK(N1552),"",Long2[[#This Row],[Adj Close]]/N1552-1)</f>
        <v>7.9050841673297123E-2</v>
      </c>
      <c r="P1551" s="29">
        <v>34239</v>
      </c>
      <c r="Q1551">
        <v>3.1657120000000001</v>
      </c>
      <c r="R1551" s="33">
        <f>IF(ISBLANK(Q1552),"",Long3[[#This Row],[Adj Close]]/Q1552-1)</f>
        <v>-8.2986576981476379E-3</v>
      </c>
      <c r="AK1551" s="37">
        <v>34239</v>
      </c>
      <c r="AL1551" s="39">
        <v>1.7369220000000001</v>
      </c>
      <c r="AM1551" s="36">
        <f>IF(ISBLANK(AL1552),"",Short1[[#This Row],[Adj Close]]/AL1552-1)</f>
        <v>-6.3679146114659968E-2</v>
      </c>
      <c r="AN1551" s="29">
        <v>34239</v>
      </c>
      <c r="AO1551" s="44">
        <v>3.0842040000000002</v>
      </c>
      <c r="AP1551" s="33">
        <f>IF(ISBLANK(AO1552),"",Short2[[#This Row],[Adj Close]]/AO1552-1)</f>
        <v>-3.2258125246508396E-2</v>
      </c>
    </row>
    <row r="1552" spans="1:42" x14ac:dyDescent="0.25">
      <c r="A1552" s="37">
        <v>34232</v>
      </c>
      <c r="B1552" s="39">
        <v>457.63000499999998</v>
      </c>
      <c r="C1552" s="36">
        <f>IF(ISBLANK(B1553), "", GSPC[[#This Row],[Adj Close]]/B1553-1)</f>
        <v>-2.6153085761589923E-3</v>
      </c>
      <c r="D155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5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52" s="11" t="e">
        <f>IF(ISBLANK(GSPC[[#This Row],[Long Exp.]]), "", (GSPC[[#This Row],[Long Exp.]]/D1553-1)+(E1553/GSPC[[#This Row],[Short Exp.]]-1))</f>
        <v>#VALUE!</v>
      </c>
      <c r="G1552" s="37">
        <v>34232</v>
      </c>
      <c r="H1552">
        <v>6.6533319999999998</v>
      </c>
      <c r="I1552" s="36">
        <f>IF(ISBLANK(H1553), "", Long0[[#This Row],[Adj Close]]/H1553-1)</f>
        <v>-5.2173986131061278E-2</v>
      </c>
      <c r="M1552" s="37">
        <v>34232</v>
      </c>
      <c r="N1552">
        <v>11.345673</v>
      </c>
      <c r="O1552" s="36">
        <f>IF(ISBLANK(N1553),"",Long2[[#This Row],[Adj Close]]/N1553-1)</f>
        <v>0.10480399096383342</v>
      </c>
      <c r="P1552" s="29">
        <v>34232</v>
      </c>
      <c r="Q1552">
        <v>3.1922030000000001</v>
      </c>
      <c r="R1552" s="33">
        <f>IF(ISBLANK(Q1553),"",Long3[[#This Row],[Adj Close]]/Q1553-1)</f>
        <v>-2.8226519631346147E-2</v>
      </c>
      <c r="AK1552" s="37">
        <v>34232</v>
      </c>
      <c r="AL1552" s="39">
        <v>1.8550500000000001</v>
      </c>
      <c r="AM1552" s="36">
        <f>IF(ISBLANK(AL1553),"",Short1[[#This Row],[Adj Close]]/AL1553-1)</f>
        <v>0.16483510963283265</v>
      </c>
      <c r="AN1552" s="29">
        <v>34232</v>
      </c>
      <c r="AO1552" s="44">
        <v>3.187011</v>
      </c>
      <c r="AP1552" s="33">
        <f>IF(ISBLANK(AO1553),"",Short2[[#This Row],[Adj Close]]/AO1553-1)</f>
        <v>7.2199119768052711E-3</v>
      </c>
    </row>
    <row r="1553" spans="1:42" x14ac:dyDescent="0.25">
      <c r="A1553" s="37">
        <v>34225</v>
      </c>
      <c r="B1553" s="39">
        <v>458.82998700000002</v>
      </c>
      <c r="C1553" s="36">
        <f>IF(ISBLANK(B1554), "", GSPC[[#This Row],[Adj Close]]/B1554-1)</f>
        <v>-6.2592350206635006E-3</v>
      </c>
      <c r="D155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5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53" s="11" t="e">
        <f>IF(ISBLANK(GSPC[[#This Row],[Long Exp.]]), "", (GSPC[[#This Row],[Long Exp.]]/D1554-1)+(E1554/GSPC[[#This Row],[Short Exp.]]-1))</f>
        <v>#VALUE!</v>
      </c>
      <c r="G1553" s="37">
        <v>34225</v>
      </c>
      <c r="H1553">
        <v>7.019571</v>
      </c>
      <c r="I1553" s="36">
        <f>IF(ISBLANK(H1554), "", Long0[[#This Row],[Adj Close]]/H1554-1)</f>
        <v>6.4815099940217946E-2</v>
      </c>
      <c r="M1553" s="37">
        <v>34225</v>
      </c>
      <c r="N1553">
        <v>10.269399</v>
      </c>
      <c r="O1553" s="36">
        <f>IF(ISBLANK(N1554),"",Long2[[#This Row],[Adj Close]]/N1554-1)</f>
        <v>4.090889740315018E-2</v>
      </c>
      <c r="P1553" s="29">
        <v>34225</v>
      </c>
      <c r="Q1553">
        <v>3.2849249999999999</v>
      </c>
      <c r="R1553" s="33">
        <f>IF(ISBLANK(Q1554),"",Long3[[#This Row],[Adj Close]]/Q1554-1)</f>
        <v>2.9046398365016213E-2</v>
      </c>
      <c r="AK1553" s="37">
        <v>34225</v>
      </c>
      <c r="AL1553" s="39">
        <v>1.592543</v>
      </c>
      <c r="AM1553" s="36">
        <f>IF(ISBLANK(AL1554),"",Short1[[#This Row],[Adj Close]]/AL1554-1)</f>
        <v>0.10975590210440278</v>
      </c>
      <c r="AN1553" s="29">
        <v>34225</v>
      </c>
      <c r="AO1553" s="44">
        <v>3.1641659999999998</v>
      </c>
      <c r="AP1553" s="33">
        <f>IF(ISBLANK(AO1554),"",Short2[[#This Row],[Adj Close]]/AO1554-1)</f>
        <v>3.6225574856196818E-3</v>
      </c>
    </row>
    <row r="1554" spans="1:42" x14ac:dyDescent="0.25">
      <c r="A1554" s="37">
        <v>34218</v>
      </c>
      <c r="B1554" s="39">
        <v>461.72000100000002</v>
      </c>
      <c r="C1554" s="36">
        <f>IF(ISBLANK(B1555), "", GSPC[[#This Row],[Adj Close]]/B1555-1)</f>
        <v>8.2369836410212116E-4</v>
      </c>
      <c r="D155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5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54" s="11" t="e">
        <f>IF(ISBLANK(GSPC[[#This Row],[Long Exp.]]), "", (GSPC[[#This Row],[Long Exp.]]/D1555-1)+(E1555/GSPC[[#This Row],[Short Exp.]]-1))</f>
        <v>#VALUE!</v>
      </c>
      <c r="G1554" s="37">
        <v>34218</v>
      </c>
      <c r="H1554">
        <v>6.5922910000000003</v>
      </c>
      <c r="I1554" s="36">
        <f>IF(ISBLANK(H1555), "", Long0[[#This Row],[Adj Close]]/H1555-1)</f>
        <v>7.4626692926914595E-2</v>
      </c>
      <c r="M1554" s="37">
        <v>34218</v>
      </c>
      <c r="N1554">
        <v>9.8658000000000001</v>
      </c>
      <c r="O1554" s="36">
        <f>IF(ISBLANK(N1555),"",Long2[[#This Row],[Adj Close]]/N1555-1)</f>
        <v>-3.9301131448880255E-2</v>
      </c>
      <c r="P1554" s="29">
        <v>34218</v>
      </c>
      <c r="Q1554">
        <v>3.1922030000000001</v>
      </c>
      <c r="R1554" s="33">
        <f>IF(ISBLANK(Q1555),"",Long3[[#This Row],[Adj Close]]/Q1555-1)</f>
        <v>1.0081568196556034E-3</v>
      </c>
      <c r="AK1554" s="37">
        <v>34218</v>
      </c>
      <c r="AL1554" s="39">
        <v>1.435039</v>
      </c>
      <c r="AM1554" s="36">
        <f>IF(ISBLANK(AL1555),"",Short1[[#This Row],[Adj Close]]/AL1555-1)</f>
        <v>5.8063626604379026E-2</v>
      </c>
      <c r="AN1554" s="29">
        <v>34218</v>
      </c>
      <c r="AO1554" s="44">
        <v>3.1527449999999999</v>
      </c>
      <c r="AP1554" s="33">
        <f>IF(ISBLANK(AO1555),"",Short2[[#This Row],[Adj Close]]/AO1555-1)</f>
        <v>-3.8326974532667757E-2</v>
      </c>
    </row>
    <row r="1555" spans="1:42" x14ac:dyDescent="0.25">
      <c r="A1555" s="37">
        <v>34211</v>
      </c>
      <c r="B1555" s="39">
        <v>461.33999599999999</v>
      </c>
      <c r="C1555" s="36">
        <f>IF(ISBLANK(B1556), "", GSPC[[#This Row],[Adj Close]]/B1556-1)</f>
        <v>1.7370629790385284E-3</v>
      </c>
      <c r="D155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5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55" s="11" t="e">
        <f>IF(ISBLANK(GSPC[[#This Row],[Long Exp.]]), "", (GSPC[[#This Row],[Long Exp.]]/D1556-1)+(E1556/GSPC[[#This Row],[Short Exp.]]-1))</f>
        <v>#VALUE!</v>
      </c>
      <c r="G1555" s="37">
        <v>34211</v>
      </c>
      <c r="H1555">
        <v>6.1344940000000001</v>
      </c>
      <c r="I1555" s="36">
        <f>IF(ISBLANK(H1556), "", Long0[[#This Row],[Adj Close]]/H1556-1)</f>
        <v>0.10439589422489237</v>
      </c>
      <c r="M1555" s="37">
        <v>34211</v>
      </c>
      <c r="N1555">
        <v>10.269399</v>
      </c>
      <c r="O1555" s="36">
        <f>IF(ISBLANK(N1556),"",Long2[[#This Row],[Adj Close]]/N1556-1)</f>
        <v>-3.3755701833619312E-2</v>
      </c>
      <c r="P1555" s="29">
        <v>34211</v>
      </c>
      <c r="Q1555">
        <v>3.1889880000000002</v>
      </c>
      <c r="R1555" s="33">
        <f>IF(ISBLANK(Q1556),"",Long3[[#This Row],[Adj Close]]/Q1556-1)</f>
        <v>4.1153455473348366E-3</v>
      </c>
      <c r="AK1555" s="37">
        <v>34211</v>
      </c>
      <c r="AL1555" s="39">
        <v>1.3562879999999999</v>
      </c>
      <c r="AM1555" s="36">
        <f>IF(ISBLANK(AL1556),"",Short1[[#This Row],[Adj Close]]/AL1556-1)</f>
        <v>0.21409990385940914</v>
      </c>
      <c r="AN1555" s="29">
        <v>34211</v>
      </c>
      <c r="AO1555" s="44">
        <v>3.2783959999999999</v>
      </c>
      <c r="AP1555" s="33">
        <f>IF(ISBLANK(AO1556),"",Short2[[#This Row],[Adj Close]]/AO1556-1)</f>
        <v>6.6914954238521895E-2</v>
      </c>
    </row>
    <row r="1556" spans="1:42" x14ac:dyDescent="0.25">
      <c r="A1556" s="37">
        <v>34204</v>
      </c>
      <c r="B1556" s="39">
        <v>460.540009</v>
      </c>
      <c r="C1556" s="36">
        <f>IF(ISBLANK(B1557), "", GSPC[[#This Row],[Adj Close]]/B1557-1)</f>
        <v>9.6019049491238295E-3</v>
      </c>
      <c r="D155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5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56" s="11" t="e">
        <f>IF(ISBLANK(GSPC[[#This Row],[Long Exp.]]), "", (GSPC[[#This Row],[Long Exp.]]/D1557-1)+(E1557/GSPC[[#This Row],[Short Exp.]]-1))</f>
        <v>#VALUE!</v>
      </c>
      <c r="G1556" s="37">
        <v>34204</v>
      </c>
      <c r="H1556">
        <v>5.5546150000000001</v>
      </c>
      <c r="I1556" s="36">
        <f>IF(ISBLANK(H1557), "", Long0[[#This Row],[Adj Close]]/H1557-1)</f>
        <v>-4.7119967076613478E-2</v>
      </c>
      <c r="M1556" s="37">
        <v>34204</v>
      </c>
      <c r="N1556">
        <v>10.628159999999999</v>
      </c>
      <c r="O1556" s="36">
        <f>IF(ISBLANK(N1557),"",Long2[[#This Row],[Adj Close]]/N1557-1)</f>
        <v>-6.692893165936753E-2</v>
      </c>
      <c r="P1556" s="29">
        <v>34204</v>
      </c>
      <c r="Q1556">
        <v>3.1759179999999998</v>
      </c>
      <c r="R1556" s="33">
        <f>IF(ISBLANK(Q1557),"",Long3[[#This Row],[Adj Close]]/Q1557-1)</f>
        <v>0</v>
      </c>
      <c r="AK1556" s="37">
        <v>34204</v>
      </c>
      <c r="AL1556" s="39">
        <v>1.1171139999999999</v>
      </c>
      <c r="AM1556" s="36">
        <f>IF(ISBLANK(AL1557),"",Short1[[#This Row],[Adj Close]]/AL1557-1)</f>
        <v>0</v>
      </c>
      <c r="AN1556" s="29">
        <v>34204</v>
      </c>
      <c r="AO1556" s="44">
        <v>3.072781</v>
      </c>
      <c r="AP1556" s="33">
        <f>IF(ISBLANK(AO1557),"",Short2[[#This Row],[Adj Close]]/AO1557-1)</f>
        <v>3.8610116911961256E-2</v>
      </c>
    </row>
    <row r="1557" spans="1:42" x14ac:dyDescent="0.25">
      <c r="A1557" s="37">
        <v>34197</v>
      </c>
      <c r="B1557" s="39">
        <v>456.16000400000001</v>
      </c>
      <c r="C1557" s="36">
        <f>IF(ISBLANK(B1558), "", GSPC[[#This Row],[Adj Close]]/B1558-1)</f>
        <v>1.3373592214413588E-2</v>
      </c>
      <c r="D155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5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57" s="11" t="e">
        <f>IF(ISBLANK(GSPC[[#This Row],[Long Exp.]]), "", (GSPC[[#This Row],[Long Exp.]]/D1558-1)+(E1558/GSPC[[#This Row],[Short Exp.]]-1))</f>
        <v>#VALUE!</v>
      </c>
      <c r="G1557" s="37">
        <v>34197</v>
      </c>
      <c r="H1557">
        <v>5.8292909999999996</v>
      </c>
      <c r="I1557" s="36">
        <f>IF(ISBLANK(H1558), "", Long0[[#This Row],[Adj Close]]/H1558-1)</f>
        <v>3.8042935329894556E-2</v>
      </c>
      <c r="M1557" s="37">
        <v>34197</v>
      </c>
      <c r="N1557">
        <v>11.390515000000001</v>
      </c>
      <c r="O1557" s="36">
        <f>IF(ISBLANK(N1558),"",Long2[[#This Row],[Adj Close]]/N1558-1)</f>
        <v>-3.9217822750166054E-3</v>
      </c>
      <c r="P1557" s="29">
        <v>34197</v>
      </c>
      <c r="Q1557">
        <v>3.1759179999999998</v>
      </c>
      <c r="R1557" s="33">
        <f>IF(ISBLANK(Q1558),"",Long3[[#This Row],[Adj Close]]/Q1558-1)</f>
        <v>-4.0984788904819824E-3</v>
      </c>
      <c r="AK1557" s="37">
        <v>34197</v>
      </c>
      <c r="AL1557" s="39">
        <v>1.1171139999999999</v>
      </c>
      <c r="AM1557" s="36">
        <f>IF(ISBLANK(AL1558),"",Short1[[#This Row],[Adj Close]]/AL1558-1)</f>
        <v>-1.7948521842481746E-2</v>
      </c>
      <c r="AN1557" s="29">
        <v>34197</v>
      </c>
      <c r="AO1557" s="44">
        <v>2.9585509999999999</v>
      </c>
      <c r="AP1557" s="33">
        <f>IF(ISBLANK(AO1558),"",Short2[[#This Row],[Adj Close]]/AO1558-1)</f>
        <v>7.4688178706465935E-2</v>
      </c>
    </row>
    <row r="1558" spans="1:42" x14ac:dyDescent="0.25">
      <c r="A1558" s="37">
        <v>34190</v>
      </c>
      <c r="B1558" s="39">
        <v>450.14001500000001</v>
      </c>
      <c r="C1558" s="36">
        <f>IF(ISBLANK(B1559), "", GSPC[[#This Row],[Adj Close]]/B1559-1)</f>
        <v>3.254038563738737E-3</v>
      </c>
      <c r="D155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5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58" s="11" t="e">
        <f>IF(ISBLANK(GSPC[[#This Row],[Long Exp.]]), "", (GSPC[[#This Row],[Long Exp.]]/D1559-1)+(E1559/GSPC[[#This Row],[Short Exp.]]-1))</f>
        <v>#VALUE!</v>
      </c>
      <c r="G1558" s="37">
        <v>34190</v>
      </c>
      <c r="H1558">
        <v>5.6156550000000003</v>
      </c>
      <c r="I1558" s="36">
        <f>IF(ISBLANK(H1559), "", Long0[[#This Row],[Adj Close]]/H1559-1)</f>
        <v>-5.4056054929919606E-3</v>
      </c>
      <c r="M1558" s="37">
        <v>34190</v>
      </c>
      <c r="N1558">
        <v>11.435362</v>
      </c>
      <c r="O1558" s="36">
        <f>IF(ISBLANK(N1559),"",Long2[[#This Row],[Adj Close]]/N1559-1)</f>
        <v>2.8226000786947703E-2</v>
      </c>
      <c r="P1558" s="29">
        <v>34190</v>
      </c>
      <c r="Q1558">
        <v>3.1889880000000002</v>
      </c>
      <c r="R1558" s="33">
        <f>IF(ISBLANK(Q1559),"",Long3[[#This Row],[Adj Close]]/Q1559-1)</f>
        <v>0</v>
      </c>
      <c r="AK1558" s="37">
        <v>34190</v>
      </c>
      <c r="AL1558" s="39">
        <v>1.1375310000000001</v>
      </c>
      <c r="AM1558" s="36">
        <f>IF(ISBLANK(AL1559),"",Short1[[#This Row],[Adj Close]]/AL1559-1)</f>
        <v>1.2986353775954029E-2</v>
      </c>
      <c r="AN1558" s="29">
        <v>34190</v>
      </c>
      <c r="AO1558" s="44">
        <v>2.752939</v>
      </c>
      <c r="AP1558" s="33">
        <f>IF(ISBLANK(AO1559),"",Short2[[#This Row],[Adj Close]]/AO1559-1)</f>
        <v>0</v>
      </c>
    </row>
    <row r="1559" spans="1:42" x14ac:dyDescent="0.25">
      <c r="A1559" s="37">
        <v>34183</v>
      </c>
      <c r="B1559" s="39">
        <v>448.67999300000002</v>
      </c>
      <c r="C1559" s="36">
        <f>IF(ISBLANK(B1560), "", GSPC[[#This Row],[Adj Close]]/B1560-1)</f>
        <v>1.2272956371222055E-3</v>
      </c>
      <c r="D155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5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59" s="11" t="e">
        <f>IF(ISBLANK(GSPC[[#This Row],[Long Exp.]]), "", (GSPC[[#This Row],[Long Exp.]]/D1560-1)+(E1560/GSPC[[#This Row],[Short Exp.]]-1))</f>
        <v>#VALUE!</v>
      </c>
      <c r="G1559" s="37">
        <v>34183</v>
      </c>
      <c r="H1559">
        <v>5.6461759999999996</v>
      </c>
      <c r="I1559" s="36">
        <f>IF(ISBLANK(H1560), "", Long0[[#This Row],[Adj Close]]/H1560-1)</f>
        <v>-1.0694885455495462E-2</v>
      </c>
      <c r="M1559" s="37">
        <v>34183</v>
      </c>
      <c r="N1559">
        <v>11.121448000000001</v>
      </c>
      <c r="O1559" s="36">
        <f>IF(ISBLANK(N1560),"",Long2[[#This Row],[Adj Close]]/N1560-1)</f>
        <v>3.765700682767803E-2</v>
      </c>
      <c r="P1559" s="29">
        <v>34183</v>
      </c>
      <c r="Q1559">
        <v>3.1889880000000002</v>
      </c>
      <c r="R1559" s="33">
        <f>IF(ISBLANK(Q1560),"",Long3[[#This Row],[Adj Close]]/Q1560-1)</f>
        <v>8.2650219881013065E-3</v>
      </c>
      <c r="AK1559" s="37">
        <v>34183</v>
      </c>
      <c r="AL1559" s="39">
        <v>1.1229480000000001</v>
      </c>
      <c r="AM1559" s="36">
        <f>IF(ISBLANK(AL1560),"",Short1[[#This Row],[Adj Close]]/AL1560-1)</f>
        <v>0.24193671469855382</v>
      </c>
      <c r="AN1559" s="29">
        <v>34183</v>
      </c>
      <c r="AO1559" s="44">
        <v>2.752939</v>
      </c>
      <c r="AP1559" s="33">
        <f>IF(ISBLANK(AO1560),"",Short2[[#This Row],[Adj Close]]/AO1560-1)</f>
        <v>2.2217857164075427E-2</v>
      </c>
    </row>
    <row r="1560" spans="1:42" x14ac:dyDescent="0.25">
      <c r="A1560" s="37">
        <v>34176</v>
      </c>
      <c r="B1560" s="39">
        <v>448.13000499999998</v>
      </c>
      <c r="C1560" s="36">
        <f>IF(ISBLANK(B1561), "", GSPC[[#This Row],[Adj Close]]/B1561-1)</f>
        <v>2.303732914733958E-3</v>
      </c>
      <c r="D156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6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60" s="11" t="e">
        <f>IF(ISBLANK(GSPC[[#This Row],[Long Exp.]]), "", (GSPC[[#This Row],[Long Exp.]]/D1561-1)+(E1561/GSPC[[#This Row],[Short Exp.]]-1))</f>
        <v>#VALUE!</v>
      </c>
      <c r="G1560" s="37">
        <v>34176</v>
      </c>
      <c r="H1560">
        <v>5.7072139999999996</v>
      </c>
      <c r="I1560" s="36">
        <f>IF(ISBLANK(H1561), "", Long0[[#This Row],[Adj Close]]/H1561-1)</f>
        <v>-0.10526330641646542</v>
      </c>
      <c r="M1560" s="37">
        <v>34176</v>
      </c>
      <c r="N1560">
        <v>10.717846</v>
      </c>
      <c r="O1560" s="36">
        <f>IF(ISBLANK(N1561),"",Long2[[#This Row],[Adj Close]]/N1561-1)</f>
        <v>4.2019117588223409E-3</v>
      </c>
      <c r="P1560" s="29">
        <v>34176</v>
      </c>
      <c r="Q1560">
        <v>3.1628470000000002</v>
      </c>
      <c r="R1560" s="33">
        <f>IF(ISBLANK(Q1561),"",Long3[[#This Row],[Adj Close]]/Q1561-1)</f>
        <v>8.3329374832028513E-3</v>
      </c>
      <c r="AK1560" s="37">
        <v>34176</v>
      </c>
      <c r="AL1560" s="39">
        <v>0.90419099999999997</v>
      </c>
      <c r="AM1560" s="36">
        <f>IF(ISBLANK(AL1561),"",Short1[[#This Row],[Adj Close]]/AL1561-1)</f>
        <v>2.3102060028921345E-2</v>
      </c>
      <c r="AN1560" s="29">
        <v>34176</v>
      </c>
      <c r="AO1560" s="44">
        <v>2.6931039999999999</v>
      </c>
      <c r="AP1560" s="33">
        <f>IF(ISBLANK(AO1561),"",Short2[[#This Row],[Adj Close]]/AO1561-1)</f>
        <v>4.2547732888242873E-3</v>
      </c>
    </row>
    <row r="1561" spans="1:42" x14ac:dyDescent="0.25">
      <c r="A1561" s="37">
        <v>34169</v>
      </c>
      <c r="B1561" s="39">
        <v>447.10000600000001</v>
      </c>
      <c r="C1561" s="36">
        <f>IF(ISBLANK(B1562), "", GSPC[[#This Row],[Adj Close]]/B1562-1)</f>
        <v>3.0286169377453653E-3</v>
      </c>
      <c r="D156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6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61" s="11" t="e">
        <f>IF(ISBLANK(GSPC[[#This Row],[Long Exp.]]), "", (GSPC[[#This Row],[Long Exp.]]/D1562-1)+(E1562/GSPC[[#This Row],[Short Exp.]]-1))</f>
        <v>#VALUE!</v>
      </c>
      <c r="G1561" s="37">
        <v>34169</v>
      </c>
      <c r="H1561">
        <v>6.3786519999999998</v>
      </c>
      <c r="I1561" s="36">
        <f>IF(ISBLANK(H1562), "", Long0[[#This Row],[Adj Close]]/H1562-1)</f>
        <v>1.9511630642703004E-2</v>
      </c>
      <c r="M1561" s="37">
        <v>34169</v>
      </c>
      <c r="N1561">
        <v>10.672999000000001</v>
      </c>
      <c r="O1561" s="36">
        <f>IF(ISBLANK(N1562),"",Long2[[#This Row],[Adj Close]]/N1562-1)</f>
        <v>9.6774170344160915E-2</v>
      </c>
      <c r="P1561" s="29">
        <v>34169</v>
      </c>
      <c r="Q1561">
        <v>3.1367090000000002</v>
      </c>
      <c r="R1561" s="33">
        <f>IF(ISBLANK(Q1562),"",Long3[[#This Row],[Adj Close]]/Q1562-1)</f>
        <v>4.1842223125017064E-3</v>
      </c>
      <c r="AK1561" s="37">
        <v>34169</v>
      </c>
      <c r="AL1561" s="39">
        <v>0.88377399999999995</v>
      </c>
      <c r="AM1561" s="36">
        <f>IF(ISBLANK(AL1562),"",Short1[[#This Row],[Adj Close]]/AL1562-1)</f>
        <v>-7.9027938433321898E-2</v>
      </c>
      <c r="AN1561" s="29">
        <v>34169</v>
      </c>
      <c r="AO1561" s="44">
        <v>2.6816939999999998</v>
      </c>
      <c r="AP1561" s="33">
        <f>IF(ISBLANK(AO1562),"",Short2[[#This Row],[Adj Close]]/AO1562-1)</f>
        <v>-1.2604899688062443E-2</v>
      </c>
    </row>
    <row r="1562" spans="1:42" x14ac:dyDescent="0.25">
      <c r="A1562" s="37">
        <v>34162</v>
      </c>
      <c r="B1562" s="39">
        <v>445.75</v>
      </c>
      <c r="C1562" s="36">
        <f>IF(ISBLANK(B1563), "", GSPC[[#This Row],[Adj Close]]/B1563-1)</f>
        <v>-5.2665307156679608E-3</v>
      </c>
      <c r="D156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6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62" s="11" t="e">
        <f>IF(ISBLANK(GSPC[[#This Row],[Long Exp.]]), "", (GSPC[[#This Row],[Long Exp.]]/D1563-1)+(E1563/GSPC[[#This Row],[Short Exp.]]-1))</f>
        <v>#VALUE!</v>
      </c>
      <c r="G1562" s="37">
        <v>34162</v>
      </c>
      <c r="H1562">
        <v>6.2565759999999999</v>
      </c>
      <c r="I1562" s="36">
        <f>IF(ISBLANK(H1563), "", Long0[[#This Row],[Adj Close]]/H1563-1)</f>
        <v>-9.6615589366492172E-3</v>
      </c>
      <c r="M1562" s="37">
        <v>34162</v>
      </c>
      <c r="N1562">
        <v>9.7312639999999995</v>
      </c>
      <c r="O1562" s="36">
        <f>IF(ISBLANK(N1563),"",Long2[[#This Row],[Adj Close]]/N1563-1)</f>
        <v>1.8779008005641584E-2</v>
      </c>
      <c r="P1562" s="29">
        <v>34162</v>
      </c>
      <c r="Q1562">
        <v>3.1236389999999998</v>
      </c>
      <c r="R1562" s="33">
        <f>IF(ISBLANK(Q1563),"",Long3[[#This Row],[Adj Close]]/Q1563-1)</f>
        <v>-4.1667875470757787E-3</v>
      </c>
      <c r="AK1562" s="37">
        <v>34162</v>
      </c>
      <c r="AL1562" s="39">
        <v>0.95960999999999996</v>
      </c>
      <c r="AM1562" s="36">
        <f>IF(ISBLANK(AL1563),"",Short1[[#This Row],[Adj Close]]/AL1563-1)</f>
        <v>-9.035895741253297E-3</v>
      </c>
      <c r="AN1562" s="29">
        <v>34162</v>
      </c>
      <c r="AO1562" s="44">
        <v>2.7159279999999999</v>
      </c>
      <c r="AP1562" s="33">
        <f>IF(ISBLANK(AO1563),"",Short2[[#This Row],[Adj Close]]/AO1563-1)</f>
        <v>3.0303720041304327E-2</v>
      </c>
    </row>
    <row r="1563" spans="1:42" x14ac:dyDescent="0.25">
      <c r="A1563" s="37">
        <v>34155</v>
      </c>
      <c r="B1563" s="39">
        <v>448.10998499999999</v>
      </c>
      <c r="C1563" s="36">
        <f>IF(ISBLANK(B1564), "", GSPC[[#This Row],[Adj Close]]/B1564-1)</f>
        <v>5.0914880234298465E-3</v>
      </c>
      <c r="D156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6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63" s="11" t="e">
        <f>IF(ISBLANK(GSPC[[#This Row],[Long Exp.]]), "", (GSPC[[#This Row],[Long Exp.]]/D1564-1)+(E1564/GSPC[[#This Row],[Short Exp.]]-1))</f>
        <v>#VALUE!</v>
      </c>
      <c r="G1563" s="37">
        <v>34155</v>
      </c>
      <c r="H1563">
        <v>6.3176139999999998</v>
      </c>
      <c r="I1563" s="36">
        <f>IF(ISBLANK(H1564), "", Long0[[#This Row],[Adj Close]]/H1564-1)</f>
        <v>-3.7209303034408503E-2</v>
      </c>
      <c r="M1563" s="37">
        <v>34155</v>
      </c>
      <c r="N1563">
        <v>9.5518889999999992</v>
      </c>
      <c r="O1563" s="36">
        <f>IF(ISBLANK(N1564),"",Long2[[#This Row],[Adj Close]]/N1564-1)</f>
        <v>-4.0540256845295497E-2</v>
      </c>
      <c r="P1563" s="29">
        <v>34155</v>
      </c>
      <c r="Q1563">
        <v>3.1367090000000002</v>
      </c>
      <c r="R1563" s="33">
        <f>IF(ISBLANK(Q1564),"",Long3[[#This Row],[Adj Close]]/Q1564-1)</f>
        <v>-4.1488651418813971E-3</v>
      </c>
      <c r="AK1563" s="37">
        <v>34155</v>
      </c>
      <c r="AL1563" s="39">
        <v>0.96836</v>
      </c>
      <c r="AM1563" s="36">
        <f>IF(ISBLANK(AL1564),"",Short1[[#This Row],[Adj Close]]/AL1564-1)</f>
        <v>0.20289880276563865</v>
      </c>
      <c r="AN1563" s="29">
        <v>34155</v>
      </c>
      <c r="AO1563" s="44">
        <v>2.6360459999999999</v>
      </c>
      <c r="AP1563" s="33">
        <f>IF(ISBLANK(AO1564),"",Short2[[#This Row],[Adj Close]]/AO1564-1)</f>
        <v>-2.5316193593377667E-2</v>
      </c>
    </row>
    <row r="1564" spans="1:42" x14ac:dyDescent="0.25">
      <c r="A1564" s="37">
        <v>34148</v>
      </c>
      <c r="B1564" s="39">
        <v>445.83999599999999</v>
      </c>
      <c r="C1564" s="36">
        <f>IF(ISBLANK(B1565), "", GSPC[[#This Row],[Adj Close]]/B1565-1)</f>
        <v>-3.9321045049316439E-3</v>
      </c>
      <c r="D156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6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64" s="11" t="e">
        <f>IF(ISBLANK(GSPC[[#This Row],[Long Exp.]]), "", (GSPC[[#This Row],[Long Exp.]]/D1565-1)+(E1565/GSPC[[#This Row],[Short Exp.]]-1))</f>
        <v>#VALUE!</v>
      </c>
      <c r="G1564" s="37">
        <v>34148</v>
      </c>
      <c r="H1564">
        <v>6.5617729999999996</v>
      </c>
      <c r="I1564" s="36">
        <f>IF(ISBLANK(H1565), "", Long0[[#This Row],[Adj Close]]/H1565-1)</f>
        <v>-7.626744517031081E-2</v>
      </c>
      <c r="M1564" s="37">
        <v>34148</v>
      </c>
      <c r="N1564">
        <v>9.9554869999999998</v>
      </c>
      <c r="O1564" s="36">
        <f>IF(ISBLANK(N1565),"",Long2[[#This Row],[Adj Close]]/N1565-1)</f>
        <v>-3.0567708976932395E-2</v>
      </c>
      <c r="P1564" s="29">
        <v>34148</v>
      </c>
      <c r="Q1564">
        <v>3.1497769999999998</v>
      </c>
      <c r="R1564" s="33">
        <f>IF(ISBLANK(Q1565),"",Long3[[#This Row],[Adj Close]]/Q1565-1)</f>
        <v>1.6877158999192732E-2</v>
      </c>
      <c r="AK1564" s="37">
        <v>34148</v>
      </c>
      <c r="AL1564" s="39">
        <v>0.80502200000000002</v>
      </c>
      <c r="AM1564" s="36">
        <f>IF(ISBLANK(AL1565),"",Short1[[#This Row],[Adj Close]]/AL1565-1)</f>
        <v>-4.8275356561873428E-2</v>
      </c>
      <c r="AN1564" s="29">
        <v>34148</v>
      </c>
      <c r="AO1564" s="44">
        <v>2.7045140000000001</v>
      </c>
      <c r="AP1564" s="33">
        <f>IF(ISBLANK(AO1565),"",Short2[[#This Row],[Adj Close]]/AO1565-1)</f>
        <v>3.9472460368035645E-2</v>
      </c>
    </row>
    <row r="1565" spans="1:42" x14ac:dyDescent="0.25">
      <c r="A1565" s="37">
        <v>34141</v>
      </c>
      <c r="B1565" s="39">
        <v>447.60000600000001</v>
      </c>
      <c r="C1565" s="36">
        <f>IF(ISBLANK(B1566), "", GSPC[[#This Row],[Adj Close]]/B1566-1)</f>
        <v>8.8352259778365916E-3</v>
      </c>
      <c r="D156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6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65" s="11" t="e">
        <f>IF(ISBLANK(GSPC[[#This Row],[Long Exp.]]), "", (GSPC[[#This Row],[Long Exp.]]/D1566-1)+(E1566/GSPC[[#This Row],[Short Exp.]]-1))</f>
        <v>#VALUE!</v>
      </c>
      <c r="G1565" s="37">
        <v>34141</v>
      </c>
      <c r="H1565">
        <v>7.103542</v>
      </c>
      <c r="I1565" s="36">
        <f>IF(ISBLANK(H1566), "", Long0[[#This Row],[Adj Close]]/H1566-1)</f>
        <v>3.5555338505126599E-2</v>
      </c>
      <c r="M1565" s="37">
        <v>34141</v>
      </c>
      <c r="N1565">
        <v>10.269399</v>
      </c>
      <c r="O1565" s="36">
        <f>IF(ISBLANK(N1566),"",Long2[[#This Row],[Adj Close]]/N1566-1)</f>
        <v>9.0476166710539596E-2</v>
      </c>
      <c r="P1565" s="29">
        <v>34141</v>
      </c>
      <c r="Q1565">
        <v>3.0975000000000001</v>
      </c>
      <c r="R1565" s="33">
        <f>IF(ISBLANK(Q1566),"",Long3[[#This Row],[Adj Close]]/Q1566-1)</f>
        <v>2.5973780780455424E-2</v>
      </c>
      <c r="AK1565" s="37">
        <v>34141</v>
      </c>
      <c r="AL1565" s="39">
        <v>0.84585600000000005</v>
      </c>
      <c r="AM1565" s="36">
        <f>IF(ISBLANK(AL1566),"",Short1[[#This Row],[Adj Close]]/AL1566-1)</f>
        <v>3.5713717216713015E-2</v>
      </c>
      <c r="AN1565" s="29">
        <v>34141</v>
      </c>
      <c r="AO1565" s="44">
        <v>2.6018140000000001</v>
      </c>
      <c r="AP1565" s="33">
        <f>IF(ISBLANK(AO1566),"",Short2[[#This Row],[Adj Close]]/AO1566-1)</f>
        <v>8.8499761534555077E-3</v>
      </c>
    </row>
    <row r="1566" spans="1:42" x14ac:dyDescent="0.25">
      <c r="A1566" s="37">
        <v>34134</v>
      </c>
      <c r="B1566" s="39">
        <v>443.67999300000002</v>
      </c>
      <c r="C1566" s="36">
        <f>IF(ISBLANK(B1567), "", GSPC[[#This Row],[Adj Close]]/B1567-1)</f>
        <v>-8.0043306353277943E-3</v>
      </c>
      <c r="D156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6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66" s="11" t="e">
        <f>IF(ISBLANK(GSPC[[#This Row],[Long Exp.]]), "", (GSPC[[#This Row],[Long Exp.]]/D1567-1)+(E1567/GSPC[[#This Row],[Short Exp.]]-1))</f>
        <v>#VALUE!</v>
      </c>
      <c r="G1566" s="37">
        <v>34134</v>
      </c>
      <c r="H1566">
        <v>6.8596450000000004</v>
      </c>
      <c r="I1566" s="36">
        <f>IF(ISBLANK(H1567), "", Long0[[#This Row],[Adj Close]]/H1567-1)</f>
        <v>2.7396973036023953E-2</v>
      </c>
      <c r="M1566" s="37">
        <v>34134</v>
      </c>
      <c r="N1566">
        <v>9.4173530000000003</v>
      </c>
      <c r="O1566" s="36">
        <f>IF(ISBLANK(N1567),"",Long2[[#This Row],[Adj Close]]/N1567-1)</f>
        <v>-9.0908976823922849E-2</v>
      </c>
      <c r="P1566" s="29">
        <v>34134</v>
      </c>
      <c r="Q1566">
        <v>3.0190830000000002</v>
      </c>
      <c r="R1566" s="33">
        <f>IF(ISBLANK(Q1567),"",Long3[[#This Row],[Adj Close]]/Q1567-1)</f>
        <v>-4.3094833698860135E-3</v>
      </c>
      <c r="AK1566" s="37">
        <v>34134</v>
      </c>
      <c r="AL1566" s="39">
        <v>0.816689</v>
      </c>
      <c r="AM1566" s="36">
        <f>IF(ISBLANK(AL1567),"",Short1[[#This Row],[Adj Close]]/AL1567-1)</f>
        <v>-0.11111099017713799</v>
      </c>
      <c r="AN1566" s="29">
        <v>34134</v>
      </c>
      <c r="AO1566" s="44">
        <v>2.5789900000000001</v>
      </c>
      <c r="AP1566" s="33">
        <f>IF(ISBLANK(AO1567),"",Short2[[#This Row],[Adj Close]]/AO1567-1)</f>
        <v>-6.6115241608764919E-2</v>
      </c>
    </row>
    <row r="1567" spans="1:42" x14ac:dyDescent="0.25">
      <c r="A1567" s="37">
        <v>34127</v>
      </c>
      <c r="B1567" s="39">
        <v>447.26001000000002</v>
      </c>
      <c r="C1567" s="36">
        <f>IF(ISBLANK(B1568), "", GSPC[[#This Row],[Adj Close]]/B1568-1)</f>
        <v>-6.2213660677303828E-3</v>
      </c>
      <c r="D156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6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67" s="11" t="e">
        <f>IF(ISBLANK(GSPC[[#This Row],[Long Exp.]]), "", (GSPC[[#This Row],[Long Exp.]]/D1568-1)+(E1568/GSPC[[#This Row],[Short Exp.]]-1))</f>
        <v>#VALUE!</v>
      </c>
      <c r="G1567" s="37">
        <v>34127</v>
      </c>
      <c r="H1567">
        <v>6.676723</v>
      </c>
      <c r="I1567" s="36">
        <f>IF(ISBLANK(H1568), "", Long0[[#This Row],[Adj Close]]/H1568-1)</f>
        <v>-1.7936890597719968E-2</v>
      </c>
      <c r="M1567" s="37">
        <v>34127</v>
      </c>
      <c r="N1567">
        <v>10.359087000000001</v>
      </c>
      <c r="O1567" s="36">
        <f>IF(ISBLANK(N1568),"",Long2[[#This Row],[Adj Close]]/N1568-1)</f>
        <v>-5.7143247217257942E-2</v>
      </c>
      <c r="P1567" s="29">
        <v>34127</v>
      </c>
      <c r="Q1567">
        <v>3.0321500000000001</v>
      </c>
      <c r="R1567" s="33">
        <f>IF(ISBLANK(Q1568),"",Long3[[#This Row],[Adj Close]]/Q1568-1)</f>
        <v>2.298187839465915E-2</v>
      </c>
      <c r="AK1567" s="37">
        <v>34127</v>
      </c>
      <c r="AL1567" s="39">
        <v>0.91877500000000001</v>
      </c>
      <c r="AM1567" s="36">
        <f>IF(ISBLANK(AL1568),"",Short1[[#This Row],[Adj Close]]/AL1568-1)</f>
        <v>-2.1738898968475029E-2</v>
      </c>
      <c r="AN1567" s="29">
        <v>34127</v>
      </c>
      <c r="AO1567" s="44">
        <v>2.7615720000000001</v>
      </c>
      <c r="AP1567" s="33">
        <f>IF(ISBLANK(AO1568),"",Short2[[#This Row],[Adj Close]]/AO1568-1)</f>
        <v>-4.1157813691742318E-3</v>
      </c>
    </row>
    <row r="1568" spans="1:42" x14ac:dyDescent="0.25">
      <c r="A1568" s="37">
        <v>34120</v>
      </c>
      <c r="B1568" s="39">
        <v>450.05999800000001</v>
      </c>
      <c r="C1568" s="36">
        <f>IF(ISBLANK(B1569), "", GSPC[[#This Row],[Adj Close]]/B1569-1)</f>
        <v>-2.8877584891362496E-4</v>
      </c>
      <c r="D156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6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68" s="11" t="e">
        <f>IF(ISBLANK(GSPC[[#This Row],[Long Exp.]]), "", (GSPC[[#This Row],[Long Exp.]]/D1569-1)+(E1569/GSPC[[#This Row],[Short Exp.]]-1))</f>
        <v>#VALUE!</v>
      </c>
      <c r="G1568" s="37">
        <v>34120</v>
      </c>
      <c r="H1568">
        <v>6.7986700000000004</v>
      </c>
      <c r="I1568" s="36">
        <f>IF(ISBLANK(H1569), "", Long0[[#This Row],[Adj Close]]/H1569-1)</f>
        <v>-3.8793268596591268E-2</v>
      </c>
      <c r="M1568" s="37">
        <v>34120</v>
      </c>
      <c r="N1568">
        <v>10.986915</v>
      </c>
      <c r="O1568" s="36">
        <f>IF(ISBLANK(N1569),"",Long2[[#This Row],[Adj Close]]/N1569-1)</f>
        <v>-2.7778048161064217E-2</v>
      </c>
      <c r="P1568" s="29">
        <v>34120</v>
      </c>
      <c r="Q1568">
        <v>2.9640309999999999</v>
      </c>
      <c r="R1568" s="33">
        <f>IF(ISBLANK(Q1569),"",Long3[[#This Row],[Adj Close]]/Q1569-1)</f>
        <v>-3.3613215233669891E-2</v>
      </c>
      <c r="AK1568" s="37">
        <v>34120</v>
      </c>
      <c r="AL1568" s="39">
        <v>0.93919200000000003</v>
      </c>
      <c r="AM1568" s="36">
        <f>IF(ISBLANK(AL1569),"",Short1[[#This Row],[Adj Close]]/AL1569-1)</f>
        <v>7.6921665665261596E-2</v>
      </c>
      <c r="AN1568" s="29">
        <v>34120</v>
      </c>
      <c r="AO1568" s="44">
        <v>2.7729849999999998</v>
      </c>
      <c r="AP1568" s="33">
        <f>IF(ISBLANK(AO1569),"",Short2[[#This Row],[Adj Close]]/AO1569-1)</f>
        <v>8.00002959987971E-2</v>
      </c>
    </row>
    <row r="1569" spans="1:42" x14ac:dyDescent="0.25">
      <c r="A1569" s="37">
        <v>34113</v>
      </c>
      <c r="B1569" s="39">
        <v>450.19000199999999</v>
      </c>
      <c r="C1569" s="36">
        <f>IF(ISBLANK(B1570), "", GSPC[[#This Row],[Adj Close]]/B1570-1)</f>
        <v>9.7568769940505895E-3</v>
      </c>
      <c r="D156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6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69" s="11" t="e">
        <f>IF(ISBLANK(GSPC[[#This Row],[Long Exp.]]), "", (GSPC[[#This Row],[Long Exp.]]/D1570-1)+(E1570/GSPC[[#This Row],[Short Exp.]]-1))</f>
        <v>#VALUE!</v>
      </c>
      <c r="G1569" s="37">
        <v>34113</v>
      </c>
      <c r="H1569">
        <v>7.0730570000000004</v>
      </c>
      <c r="I1569" s="36">
        <f>IF(ISBLANK(H1570), "", Long0[[#This Row],[Adj Close]]/H1570-1)</f>
        <v>-3.7344682403202656E-2</v>
      </c>
      <c r="M1569" s="37">
        <v>34113</v>
      </c>
      <c r="N1569">
        <v>11.300829999999999</v>
      </c>
      <c r="O1569" s="36">
        <f>IF(ISBLANK(N1570),"",Long2[[#This Row],[Adj Close]]/N1570-1)</f>
        <v>2.8571714625989175E-2</v>
      </c>
      <c r="P1569" s="29">
        <v>34113</v>
      </c>
      <c r="Q1569">
        <v>3.0671270000000002</v>
      </c>
      <c r="R1569" s="33">
        <f>IF(ISBLANK(Q1570),"",Long3[[#This Row],[Adj Close]]/Q1570-1)</f>
        <v>3.4782362262743005E-2</v>
      </c>
      <c r="AK1569" s="37">
        <v>34113</v>
      </c>
      <c r="AL1569" s="39">
        <v>0.87210799999999999</v>
      </c>
      <c r="AM1569" s="36">
        <f>IF(ISBLANK(AL1570),"",Short1[[#This Row],[Adj Close]]/AL1570-1)</f>
        <v>3.3571486096251046E-3</v>
      </c>
      <c r="AN1569" s="29">
        <v>34113</v>
      </c>
      <c r="AO1569" s="44">
        <v>2.5675780000000001</v>
      </c>
      <c r="AP1569" s="33">
        <f>IF(ISBLANK(AO1570),"",Short2[[#This Row],[Adj Close]]/AO1570-1)</f>
        <v>-5.8577955077108057E-2</v>
      </c>
    </row>
    <row r="1570" spans="1:42" x14ac:dyDescent="0.25">
      <c r="A1570" s="37">
        <v>34106</v>
      </c>
      <c r="B1570" s="39">
        <v>445.83999599999999</v>
      </c>
      <c r="C1570" s="36">
        <f>IF(ISBLANK(B1571), "", GSPC[[#This Row],[Adj Close]]/B1571-1)</f>
        <v>1.4287009802015582E-2</v>
      </c>
      <c r="D157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7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70" s="11" t="e">
        <f>IF(ISBLANK(GSPC[[#This Row],[Long Exp.]]), "", (GSPC[[#This Row],[Long Exp.]]/D1571-1)+(E1571/GSPC[[#This Row],[Short Exp.]]-1))</f>
        <v>#VALUE!</v>
      </c>
      <c r="G1570" s="37">
        <v>34106</v>
      </c>
      <c r="H1570">
        <v>7.3474449999999996</v>
      </c>
      <c r="I1570" s="36">
        <f>IF(ISBLANK(H1571), "", Long0[[#This Row],[Adj Close]]/H1571-1)</f>
        <v>4.3290156393169577E-2</v>
      </c>
      <c r="M1570" s="37">
        <v>34106</v>
      </c>
      <c r="N1570">
        <v>10.986915</v>
      </c>
      <c r="O1570" s="36">
        <f>IF(ISBLANK(N1571),"",Long2[[#This Row],[Adj Close]]/N1571-1)</f>
        <v>-9.5940488775200228E-2</v>
      </c>
      <c r="P1570" s="29">
        <v>34106</v>
      </c>
      <c r="Q1570">
        <v>2.9640309999999999</v>
      </c>
      <c r="R1570" s="33">
        <f>IF(ISBLANK(Q1571),"",Long3[[#This Row],[Adj Close]]/Q1571-1)</f>
        <v>-1.7093898054071799E-2</v>
      </c>
      <c r="AK1570" s="37">
        <v>34106</v>
      </c>
      <c r="AL1570" s="39">
        <v>0.86919000000000002</v>
      </c>
      <c r="AM1570" s="36">
        <f>IF(ISBLANK(AL1571),"",Short1[[#This Row],[Adj Close]]/AL1571-1)</f>
        <v>-2.295168208918974E-2</v>
      </c>
      <c r="AN1570" s="29">
        <v>34106</v>
      </c>
      <c r="AO1570" s="44">
        <v>2.7273399999999999</v>
      </c>
      <c r="AP1570" s="33">
        <f>IF(ISBLANK(AO1571),"",Short2[[#This Row],[Adj Close]]/AO1571-1)</f>
        <v>2.5751155283577187E-2</v>
      </c>
    </row>
    <row r="1571" spans="1:42" x14ac:dyDescent="0.25">
      <c r="A1571" s="37">
        <v>34099</v>
      </c>
      <c r="B1571" s="39">
        <v>439.55999800000001</v>
      </c>
      <c r="C1571" s="36">
        <f>IF(ISBLANK(B1572), "", GSPC[[#This Row],[Adj Close]]/B1572-1)</f>
        <v>-6.2173588940668267E-3</v>
      </c>
      <c r="D157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7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71" s="11" t="e">
        <f>IF(ISBLANK(GSPC[[#This Row],[Long Exp.]]), "", (GSPC[[#This Row],[Long Exp.]]/D1572-1)+(E1572/GSPC[[#This Row],[Short Exp.]]-1))</f>
        <v>#VALUE!</v>
      </c>
      <c r="G1571" s="37">
        <v>34099</v>
      </c>
      <c r="H1571">
        <v>7.0425709999999997</v>
      </c>
      <c r="I1571" s="36">
        <f>IF(ISBLANK(H1572), "", Long0[[#This Row],[Adj Close]]/H1572-1)</f>
        <v>1.3158046170480997E-2</v>
      </c>
      <c r="M1571" s="37">
        <v>34099</v>
      </c>
      <c r="N1571">
        <v>12.152867000000001</v>
      </c>
      <c r="O1571" s="36">
        <f>IF(ISBLANK(N1572),"",Long2[[#This Row],[Adj Close]]/N1572-1)</f>
        <v>-3.9007790977913626E-2</v>
      </c>
      <c r="P1571" s="29">
        <v>34099</v>
      </c>
      <c r="Q1571">
        <v>3.0155789999999998</v>
      </c>
      <c r="R1571" s="33">
        <f>IF(ISBLANK(Q1572),"",Long3[[#This Row],[Adj Close]]/Q1572-1)</f>
        <v>-2.4999830256448585E-2</v>
      </c>
      <c r="AK1571" s="37">
        <v>34099</v>
      </c>
      <c r="AL1571" s="39">
        <v>0.88960799999999995</v>
      </c>
      <c r="AM1571" s="36">
        <f>IF(ISBLANK(AL1572),"",Short1[[#This Row],[Adj Close]]/AL1572-1)</f>
        <v>-4.6874782372056334E-2</v>
      </c>
      <c r="AN1571" s="29">
        <v>34099</v>
      </c>
      <c r="AO1571" s="44">
        <v>2.658871</v>
      </c>
      <c r="AP1571" s="33">
        <f>IF(ISBLANK(AO1572),"",Short2[[#This Row],[Adj Close]]/AO1572-1)</f>
        <v>-7.8147996495474992E-2</v>
      </c>
    </row>
    <row r="1572" spans="1:42" x14ac:dyDescent="0.25">
      <c r="A1572" s="37">
        <v>34092</v>
      </c>
      <c r="B1572" s="39">
        <v>442.30999800000001</v>
      </c>
      <c r="C1572" s="36">
        <f>IF(ISBLANK(B1573), "", GSPC[[#This Row],[Adj Close]]/B1573-1)</f>
        <v>4.8160930288463355E-3</v>
      </c>
      <c r="D157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7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72" s="11" t="e">
        <f>IF(ISBLANK(GSPC[[#This Row],[Long Exp.]]), "", (GSPC[[#This Row],[Long Exp.]]/D1573-1)+(E1573/GSPC[[#This Row],[Short Exp.]]-1))</f>
        <v>#VALUE!</v>
      </c>
      <c r="G1572" s="37">
        <v>34092</v>
      </c>
      <c r="H1572">
        <v>6.9511079999999996</v>
      </c>
      <c r="I1572" s="36">
        <f>IF(ISBLANK(H1573), "", Long0[[#This Row],[Adj Close]]/H1573-1)</f>
        <v>5.0691327827379062E-2</v>
      </c>
      <c r="M1572" s="37">
        <v>34092</v>
      </c>
      <c r="N1572">
        <v>12.646165999999999</v>
      </c>
      <c r="O1572" s="36">
        <f>IF(ISBLANK(N1573),"",Long2[[#This Row],[Adj Close]]/N1573-1)</f>
        <v>0</v>
      </c>
      <c r="P1572" s="29">
        <v>34092</v>
      </c>
      <c r="Q1572">
        <v>3.0929009999999999</v>
      </c>
      <c r="R1572" s="33">
        <f>IF(ISBLANK(Q1573),"",Long3[[#This Row],[Adj Close]]/Q1573-1)</f>
        <v>8.4033038084174727E-3</v>
      </c>
      <c r="AK1572" s="37">
        <v>34092</v>
      </c>
      <c r="AL1572" s="39">
        <v>0.93335900000000005</v>
      </c>
      <c r="AM1572" s="36">
        <f>IF(ISBLANK(AL1573),"",Short1[[#This Row],[Adj Close]]/AL1573-1)</f>
        <v>1.9108857486641151E-2</v>
      </c>
      <c r="AN1572" s="29">
        <v>34092</v>
      </c>
      <c r="AO1572" s="44">
        <v>2.884271</v>
      </c>
      <c r="AP1572" s="33">
        <f>IF(ISBLANK(AO1573),"",Short2[[#This Row],[Adj Close]]/AO1573-1)</f>
        <v>3.2652970621205535E-2</v>
      </c>
    </row>
    <row r="1573" spans="1:42" x14ac:dyDescent="0.25">
      <c r="A1573" s="37">
        <v>34085</v>
      </c>
      <c r="B1573" s="39">
        <v>440.19000199999999</v>
      </c>
      <c r="C1573" s="36">
        <f>IF(ISBLANK(B1574), "", GSPC[[#This Row],[Adj Close]]/B1574-1)</f>
        <v>7.2306317809547327E-3</v>
      </c>
      <c r="D157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7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73" s="11" t="e">
        <f>IF(ISBLANK(GSPC[[#This Row],[Long Exp.]]), "", (GSPC[[#This Row],[Long Exp.]]/D1574-1)+(E1574/GSPC[[#This Row],[Short Exp.]]-1))</f>
        <v>#VALUE!</v>
      </c>
      <c r="G1573" s="37">
        <v>34085</v>
      </c>
      <c r="H1573">
        <v>6.6157469999999998</v>
      </c>
      <c r="I1573" s="36">
        <f>IF(ISBLANK(H1574), "", Long0[[#This Row],[Adj Close]]/H1574-1)</f>
        <v>0.10714237900124446</v>
      </c>
      <c r="M1573" s="37">
        <v>34085</v>
      </c>
      <c r="N1573">
        <v>12.646165999999999</v>
      </c>
      <c r="O1573" s="36">
        <f>IF(ISBLANK(N1574),"",Long2[[#This Row],[Adj Close]]/N1574-1)</f>
        <v>2.9197542458927694E-2</v>
      </c>
      <c r="P1573" s="29">
        <v>34085</v>
      </c>
      <c r="Q1573">
        <v>3.0671270000000002</v>
      </c>
      <c r="R1573" s="33">
        <f>IF(ISBLANK(Q1574),"",Long3[[#This Row],[Adj Close]]/Q1574-1)</f>
        <v>4.2193802713605955E-3</v>
      </c>
      <c r="AK1573" s="37">
        <v>34085</v>
      </c>
      <c r="AL1573" s="39">
        <v>0.91585799999999995</v>
      </c>
      <c r="AM1573" s="36">
        <f>IF(ISBLANK(AL1574),"",Short1[[#This Row],[Adj Close]]/AL1574-1)</f>
        <v>7.5341967147671163E-2</v>
      </c>
      <c r="AN1573" s="29">
        <v>34085</v>
      </c>
      <c r="AO1573" s="44">
        <v>2.793069</v>
      </c>
      <c r="AP1573" s="33">
        <f>IF(ISBLANK(AO1574),"",Short2[[#This Row],[Adj Close]]/AO1574-1)</f>
        <v>-1.2096828389223546E-2</v>
      </c>
    </row>
    <row r="1574" spans="1:42" x14ac:dyDescent="0.25">
      <c r="A1574" s="37">
        <v>34078</v>
      </c>
      <c r="B1574" s="39">
        <v>437.02999899999998</v>
      </c>
      <c r="C1574" s="36">
        <f>IF(ISBLANK(B1575), "", GSPC[[#This Row],[Adj Close]]/B1575-1)</f>
        <v>-2.6529164135389305E-2</v>
      </c>
      <c r="D157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7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74" s="11" t="e">
        <f>IF(ISBLANK(GSPC[[#This Row],[Long Exp.]]), "", (GSPC[[#This Row],[Long Exp.]]/D1575-1)+(E1575/GSPC[[#This Row],[Short Exp.]]-1))</f>
        <v>#VALUE!</v>
      </c>
      <c r="G1574" s="37">
        <v>34078</v>
      </c>
      <c r="H1574">
        <v>5.9755159999999998</v>
      </c>
      <c r="I1574" s="36">
        <f>IF(ISBLANK(H1575), "", Long0[[#This Row],[Adj Close]]/H1575-1)</f>
        <v>-1.5074893171638348E-2</v>
      </c>
      <c r="M1574" s="37">
        <v>34078</v>
      </c>
      <c r="N1574">
        <v>12.287404</v>
      </c>
      <c r="O1574" s="36">
        <f>IF(ISBLANK(N1575),"",Long2[[#This Row],[Adj Close]]/N1575-1)</f>
        <v>-4.1957781878104838E-2</v>
      </c>
      <c r="P1574" s="29">
        <v>34078</v>
      </c>
      <c r="Q1574">
        <v>3.0542400000000001</v>
      </c>
      <c r="R1574" s="33">
        <f>IF(ISBLANK(Q1575),"",Long3[[#This Row],[Adj Close]]/Q1575-1)</f>
        <v>-2.8688641892858802E-2</v>
      </c>
      <c r="AK1574" s="37">
        <v>34078</v>
      </c>
      <c r="AL1574" s="39">
        <v>0.85168999999999995</v>
      </c>
      <c r="AM1574" s="36">
        <f>IF(ISBLANK(AL1575),"",Short1[[#This Row],[Adj Close]]/AL1575-1)</f>
        <v>-2.6666697142021301E-2</v>
      </c>
      <c r="AN1574" s="29">
        <v>34078</v>
      </c>
      <c r="AO1574" s="44">
        <v>2.8272699999999999</v>
      </c>
      <c r="AP1574" s="33">
        <f>IF(ISBLANK(AO1575),"",Short2[[#This Row],[Adj Close]]/AO1575-1)</f>
        <v>-4.6153721585129648E-2</v>
      </c>
    </row>
    <row r="1575" spans="1:42" x14ac:dyDescent="0.25">
      <c r="A1575" s="37">
        <v>34071</v>
      </c>
      <c r="B1575" s="39">
        <v>448.94000199999999</v>
      </c>
      <c r="C1575" s="36">
        <f>IF(ISBLANK(B1576), "", GSPC[[#This Row],[Adj Close]]/B1576-1)</f>
        <v>1.6069179033760372E-2</v>
      </c>
      <c r="D157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7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75" s="11" t="e">
        <f>IF(ISBLANK(GSPC[[#This Row],[Long Exp.]]), "", (GSPC[[#This Row],[Long Exp.]]/D1576-1)+(E1576/GSPC[[#This Row],[Short Exp.]]-1))</f>
        <v>#VALUE!</v>
      </c>
      <c r="G1575" s="37">
        <v>34071</v>
      </c>
      <c r="H1575">
        <v>6.0669750000000002</v>
      </c>
      <c r="I1575" s="36">
        <f>IF(ISBLANK(H1576), "", Long0[[#This Row],[Adj Close]]/H1576-1)</f>
        <v>-6.13210378827449E-2</v>
      </c>
      <c r="M1575" s="37">
        <v>34071</v>
      </c>
      <c r="N1575">
        <v>12.825535</v>
      </c>
      <c r="O1575" s="36">
        <f>IF(ISBLANK(N1576),"",Long2[[#This Row],[Adj Close]]/N1576-1)</f>
        <v>-2.3891179023295628E-2</v>
      </c>
      <c r="P1575" s="29">
        <v>34071</v>
      </c>
      <c r="Q1575">
        <v>3.14445</v>
      </c>
      <c r="R1575" s="33">
        <f>IF(ISBLANK(Q1576),"",Long3[[#This Row],[Adj Close]]/Q1576-1)</f>
        <v>2.9535989313216993E-2</v>
      </c>
      <c r="AK1575" s="37">
        <v>34071</v>
      </c>
      <c r="AL1575" s="39">
        <v>0.87502400000000002</v>
      </c>
      <c r="AM1575" s="36">
        <f>IF(ISBLANK(AL1576),"",Short1[[#This Row],[Adj Close]]/AL1576-1)</f>
        <v>-3.32254673150012E-3</v>
      </c>
      <c r="AN1575" s="29">
        <v>34071</v>
      </c>
      <c r="AO1575" s="44">
        <v>2.964073</v>
      </c>
      <c r="AP1575" s="33">
        <f>IF(ISBLANK(AO1576),"",Short2[[#This Row],[Adj Close]]/AO1576-1)</f>
        <v>4.417667428760641E-2</v>
      </c>
    </row>
    <row r="1576" spans="1:42" x14ac:dyDescent="0.25">
      <c r="A1576" s="37">
        <v>34064</v>
      </c>
      <c r="B1576" s="39">
        <v>441.83999599999999</v>
      </c>
      <c r="C1576" s="36">
        <f>IF(ISBLANK(B1577), "", GSPC[[#This Row],[Adj Close]]/B1577-1)</f>
        <v>1.0194634783480261E-3</v>
      </c>
      <c r="D157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7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76" s="11" t="e">
        <f>IF(ISBLANK(GSPC[[#This Row],[Long Exp.]]), "", (GSPC[[#This Row],[Long Exp.]]/D1577-1)+(E1577/GSPC[[#This Row],[Short Exp.]]-1))</f>
        <v>#VALUE!</v>
      </c>
      <c r="G1576" s="37">
        <v>34064</v>
      </c>
      <c r="H1576">
        <v>6.4633120000000002</v>
      </c>
      <c r="I1576" s="36">
        <f>IF(ISBLANK(H1577), "", Long0[[#This Row],[Adj Close]]/H1577-1)</f>
        <v>-1.3953494048765003E-2</v>
      </c>
      <c r="M1576" s="37">
        <v>34064</v>
      </c>
      <c r="N1576">
        <v>13.139452</v>
      </c>
      <c r="O1576" s="36">
        <f>IF(ISBLANK(N1577),"",Long2[[#This Row],[Adj Close]]/N1577-1)</f>
        <v>8.1181255418988796E-2</v>
      </c>
      <c r="P1576" s="29">
        <v>34064</v>
      </c>
      <c r="Q1576">
        <v>3.0542400000000001</v>
      </c>
      <c r="R1576" s="33">
        <f>IF(ISBLANK(Q1577),"",Long3[[#This Row],[Adj Close]]/Q1577-1)</f>
        <v>-8.368143781164572E-3</v>
      </c>
      <c r="AK1576" s="37">
        <v>34064</v>
      </c>
      <c r="AL1576" s="39">
        <v>0.87794099999999997</v>
      </c>
      <c r="AM1576" s="36">
        <f>IF(ISBLANK(AL1577),"",Short1[[#This Row],[Adj Close]]/AL1577-1)</f>
        <v>-0.14730806100556426</v>
      </c>
      <c r="AN1576" s="29">
        <v>34064</v>
      </c>
      <c r="AO1576" s="44">
        <v>2.83867</v>
      </c>
      <c r="AP1576" s="33">
        <f>IF(ISBLANK(AO1577),"",Short2[[#This Row],[Adj Close]]/AO1577-1)</f>
        <v>-2.3529852879511481E-2</v>
      </c>
    </row>
    <row r="1577" spans="1:42" x14ac:dyDescent="0.25">
      <c r="A1577" s="37">
        <v>34057</v>
      </c>
      <c r="B1577" s="39">
        <v>441.39001500000001</v>
      </c>
      <c r="C1577" s="36">
        <f>IF(ISBLANK(B1578), "", GSPC[[#This Row],[Adj Close]]/B1578-1)</f>
        <v>-1.4270364943209435E-2</v>
      </c>
      <c r="D157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7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77" s="11" t="e">
        <f>IF(ISBLANK(GSPC[[#This Row],[Long Exp.]]), "", (GSPC[[#This Row],[Long Exp.]]/D1578-1)+(E1578/GSPC[[#This Row],[Short Exp.]]-1))</f>
        <v>#VALUE!</v>
      </c>
      <c r="G1577" s="37">
        <v>34057</v>
      </c>
      <c r="H1577">
        <v>6.5547740000000001</v>
      </c>
      <c r="I1577" s="36">
        <f>IF(ISBLANK(H1578), "", Long0[[#This Row],[Adj Close]]/H1578-1)</f>
        <v>-3.0453965831457652E-2</v>
      </c>
      <c r="M1577" s="37">
        <v>34057</v>
      </c>
      <c r="N1577">
        <v>12.152867000000001</v>
      </c>
      <c r="O1577" s="36">
        <f>IF(ISBLANK(N1578),"",Long2[[#This Row],[Adj Close]]/N1578-1)</f>
        <v>3.0417620037378024E-2</v>
      </c>
      <c r="P1577" s="29">
        <v>34057</v>
      </c>
      <c r="Q1577">
        <v>3.0800139999999998</v>
      </c>
      <c r="R1577" s="33">
        <f>IF(ISBLANK(Q1578),"",Long3[[#This Row],[Adj Close]]/Q1578-1)</f>
        <v>-4.1666383760747827E-3</v>
      </c>
      <c r="AK1577" s="37">
        <v>34057</v>
      </c>
      <c r="AL1577" s="39">
        <v>1.0296110000000001</v>
      </c>
      <c r="AM1577" s="36">
        <f>IF(ISBLANK(AL1578),"",Short1[[#This Row],[Adj Close]]/AL1578-1)</f>
        <v>-4.5946241461235937E-2</v>
      </c>
      <c r="AN1577" s="29">
        <v>34057</v>
      </c>
      <c r="AO1577" s="44">
        <v>2.907073</v>
      </c>
      <c r="AP1577" s="33">
        <f>IF(ISBLANK(AO1578),"",Short2[[#This Row],[Adj Close]]/AO1578-1)</f>
        <v>-7.7819072703834147E-3</v>
      </c>
    </row>
    <row r="1578" spans="1:42" x14ac:dyDescent="0.25">
      <c r="A1578" s="37">
        <v>34050</v>
      </c>
      <c r="B1578" s="39">
        <v>447.77999899999998</v>
      </c>
      <c r="C1578" s="36">
        <f>IF(ISBLANK(B1579), "", GSPC[[#This Row],[Adj Close]]/B1579-1)</f>
        <v>-5.3311876078865339E-3</v>
      </c>
      <c r="D157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7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78" s="11" t="e">
        <f>IF(ISBLANK(GSPC[[#This Row],[Long Exp.]]), "", (GSPC[[#This Row],[Long Exp.]]/D1579-1)+(E1579/GSPC[[#This Row],[Short Exp.]]-1))</f>
        <v>#VALUE!</v>
      </c>
      <c r="G1578" s="37">
        <v>34050</v>
      </c>
      <c r="H1578">
        <v>6.7606630000000001</v>
      </c>
      <c r="I1578" s="36">
        <f>IF(ISBLANK(H1579), "", Long0[[#This Row],[Adj Close]]/H1579-1)</f>
        <v>6.7307841070082697E-2</v>
      </c>
      <c r="M1578" s="37">
        <v>34050</v>
      </c>
      <c r="N1578">
        <v>11.794117999999999</v>
      </c>
      <c r="O1578" s="36">
        <f>IF(ISBLANK(N1579),"",Long2[[#This Row],[Adj Close]]/N1579-1)</f>
        <v>-0.11148646510754723</v>
      </c>
      <c r="P1578" s="29">
        <v>34050</v>
      </c>
      <c r="Q1578">
        <v>3.0929009999999999</v>
      </c>
      <c r="R1578" s="33">
        <f>IF(ISBLANK(Q1579),"",Long3[[#This Row],[Adj Close]]/Q1579-1)</f>
        <v>8.4033038084174727E-3</v>
      </c>
      <c r="AK1578" s="37">
        <v>34050</v>
      </c>
      <c r="AL1578" s="39">
        <v>1.079196</v>
      </c>
      <c r="AM1578" s="36">
        <f>IF(ISBLANK(AL1579),"",Short1[[#This Row],[Adj Close]]/AL1579-1)</f>
        <v>-1.8567441454402478E-2</v>
      </c>
      <c r="AN1578" s="29">
        <v>34050</v>
      </c>
      <c r="AO1578" s="44">
        <v>2.9298730000000002</v>
      </c>
      <c r="AP1578" s="33">
        <f>IF(ISBLANK(AO1579),"",Short2[[#This Row],[Adj Close]]/AO1579-1)</f>
        <v>-1.1538177366076985E-2</v>
      </c>
    </row>
    <row r="1579" spans="1:42" x14ac:dyDescent="0.25">
      <c r="A1579" s="37">
        <v>34043</v>
      </c>
      <c r="B1579" s="39">
        <v>450.17999300000002</v>
      </c>
      <c r="C1579" s="36">
        <f>IF(ISBLANK(B1580), "", GSPC[[#This Row],[Adj Close]]/B1580-1)</f>
        <v>7.7808507684040684E-4</v>
      </c>
      <c r="D157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7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79" s="11" t="e">
        <f>IF(ISBLANK(GSPC[[#This Row],[Long Exp.]]), "", (GSPC[[#This Row],[Long Exp.]]/D1580-1)+(E1580/GSPC[[#This Row],[Short Exp.]]-1))</f>
        <v>#VALUE!</v>
      </c>
      <c r="G1579" s="37">
        <v>34043</v>
      </c>
      <c r="H1579">
        <v>6.334314</v>
      </c>
      <c r="I1579" s="36">
        <f>IF(ISBLANK(H1580), "", Long0[[#This Row],[Adj Close]]/H1580-1)</f>
        <v>-0.13333347015423136</v>
      </c>
      <c r="M1579" s="37">
        <v>34043</v>
      </c>
      <c r="N1579">
        <v>13.273987999999999</v>
      </c>
      <c r="O1579" s="36">
        <f>IF(ISBLANK(N1580),"",Long2[[#This Row],[Adj Close]]/N1580-1)</f>
        <v>7.2766202340610597E-3</v>
      </c>
      <c r="P1579" s="29">
        <v>34043</v>
      </c>
      <c r="Q1579">
        <v>3.0671270000000002</v>
      </c>
      <c r="R1579" s="33">
        <f>IF(ISBLANK(Q1580),"",Long3[[#This Row],[Adj Close]]/Q1580-1)</f>
        <v>1.2765534509704191E-2</v>
      </c>
      <c r="AK1579" s="37">
        <v>34043</v>
      </c>
      <c r="AL1579" s="39">
        <v>1.099613</v>
      </c>
      <c r="AM1579" s="36">
        <f>IF(ISBLANK(AL1580),"",Short1[[#This Row],[Adj Close]]/AL1580-1)</f>
        <v>3.0054452853271352E-2</v>
      </c>
      <c r="AN1579" s="29">
        <v>34043</v>
      </c>
      <c r="AO1579" s="44">
        <v>2.964073</v>
      </c>
      <c r="AP1579" s="33">
        <f>IF(ISBLANK(AO1580),"",Short2[[#This Row],[Adj Close]]/AO1580-1)</f>
        <v>-1.5151474877345472E-2</v>
      </c>
    </row>
    <row r="1580" spans="1:42" x14ac:dyDescent="0.25">
      <c r="A1580" s="37">
        <v>34036</v>
      </c>
      <c r="B1580" s="39">
        <v>449.82998700000002</v>
      </c>
      <c r="C1580" s="36">
        <f>IF(ISBLANK(B1581), "", GSPC[[#This Row],[Adj Close]]/B1581-1)</f>
        <v>8.3387552959615086E-3</v>
      </c>
      <c r="D158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8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80" s="11" t="e">
        <f>IF(ISBLANK(GSPC[[#This Row],[Long Exp.]]), "", (GSPC[[#This Row],[Long Exp.]]/D1581-1)+(E1581/GSPC[[#This Row],[Short Exp.]]-1))</f>
        <v>#VALUE!</v>
      </c>
      <c r="G1580" s="37">
        <v>34036</v>
      </c>
      <c r="H1580">
        <v>7.3088249999999997</v>
      </c>
      <c r="I1580" s="36">
        <f>IF(ISBLANK(H1581), "", Long0[[#This Row],[Adj Close]]/H1581-1)</f>
        <v>8.4032396057407421E-3</v>
      </c>
      <c r="M1580" s="37">
        <v>34036</v>
      </c>
      <c r="N1580">
        <v>13.178096</v>
      </c>
      <c r="O1580" s="36">
        <f>IF(ISBLANK(N1581),"",Long2[[#This Row],[Adj Close]]/N1581-1)</f>
        <v>-1.98670709047154E-2</v>
      </c>
      <c r="P1580" s="29">
        <v>34036</v>
      </c>
      <c r="Q1580">
        <v>3.028467</v>
      </c>
      <c r="R1580" s="33">
        <f>IF(ISBLANK(Q1581),"",Long3[[#This Row],[Adj Close]]/Q1581-1)</f>
        <v>9.1549153798275995E-4</v>
      </c>
      <c r="AK1580" s="37">
        <v>34036</v>
      </c>
      <c r="AL1580" s="39">
        <v>1.067529</v>
      </c>
      <c r="AM1580" s="36">
        <f>IF(ISBLANK(AL1581),"",Short1[[#This Row],[Adj Close]]/AL1581-1)</f>
        <v>2.8089433164927069E-2</v>
      </c>
      <c r="AN1580" s="29">
        <v>34036</v>
      </c>
      <c r="AO1580" s="44">
        <v>3.009674</v>
      </c>
      <c r="AP1580" s="33">
        <f>IF(ISBLANK(AO1581),"",Short2[[#This Row],[Adj Close]]/AO1581-1)</f>
        <v>3.9369790501134094E-2</v>
      </c>
    </row>
    <row r="1581" spans="1:42" x14ac:dyDescent="0.25">
      <c r="A1581" s="37">
        <v>34029</v>
      </c>
      <c r="B1581" s="39">
        <v>446.10998499999999</v>
      </c>
      <c r="C1581" s="36">
        <f>IF(ISBLANK(B1582), "", GSPC[[#This Row],[Adj Close]]/B1582-1)</f>
        <v>6.1572014281519039E-3</v>
      </c>
      <c r="D158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8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81" s="11" t="e">
        <f>IF(ISBLANK(GSPC[[#This Row],[Long Exp.]]), "", (GSPC[[#This Row],[Long Exp.]]/D1582-1)+(E1582/GSPC[[#This Row],[Short Exp.]]-1))</f>
        <v>#VALUE!</v>
      </c>
      <c r="G1581" s="37">
        <v>34029</v>
      </c>
      <c r="H1581">
        <v>7.2479189999999996</v>
      </c>
      <c r="I1581" s="36">
        <f>IF(ISBLANK(H1582), "", Long0[[#This Row],[Adj Close]]/H1582-1)</f>
        <v>-2.4590341533119453E-2</v>
      </c>
      <c r="M1581" s="37">
        <v>34029</v>
      </c>
      <c r="N1581">
        <v>13.445213000000001</v>
      </c>
      <c r="O1581" s="36">
        <f>IF(ISBLANK(N1582),"",Long2[[#This Row],[Adj Close]]/N1582-1)</f>
        <v>-3.3001399360743644E-3</v>
      </c>
      <c r="P1581" s="29">
        <v>34029</v>
      </c>
      <c r="Q1581">
        <v>3.0256970000000001</v>
      </c>
      <c r="R1581" s="33">
        <f>IF(ISBLANK(Q1582),"",Long3[[#This Row],[Adj Close]]/Q1582-1)</f>
        <v>-1.2447798265898813E-2</v>
      </c>
      <c r="AK1581" s="37">
        <v>34029</v>
      </c>
      <c r="AL1581" s="39">
        <v>1.038362</v>
      </c>
      <c r="AM1581" s="36">
        <f>IF(ISBLANK(AL1582),"",Short1[[#This Row],[Adj Close]]/AL1582-1)</f>
        <v>8.2066672919206773E-2</v>
      </c>
      <c r="AN1581" s="29">
        <v>34029</v>
      </c>
      <c r="AO1581" s="44">
        <v>2.8956719999999998</v>
      </c>
      <c r="AP1581" s="33">
        <f>IF(ISBLANK(AO1582),"",Short2[[#This Row],[Adj Close]]/AO1582-1)</f>
        <v>6.7226680151020846E-2</v>
      </c>
    </row>
    <row r="1582" spans="1:42" x14ac:dyDescent="0.25">
      <c r="A1582" s="37">
        <v>34022</v>
      </c>
      <c r="B1582" s="39">
        <v>443.38000499999998</v>
      </c>
      <c r="C1582" s="36">
        <f>IF(ISBLANK(B1583), "", GSPC[[#This Row],[Adj Close]]/B1583-1)</f>
        <v>2.1095306478063236E-2</v>
      </c>
      <c r="D158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8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82" s="11" t="e">
        <f>IF(ISBLANK(GSPC[[#This Row],[Long Exp.]]), "", (GSPC[[#This Row],[Long Exp.]]/D1583-1)+(E1583/GSPC[[#This Row],[Short Exp.]]-1))</f>
        <v>#VALUE!</v>
      </c>
      <c r="G1582" s="37">
        <v>34022</v>
      </c>
      <c r="H1582">
        <v>7.4306409999999996</v>
      </c>
      <c r="I1582" s="36">
        <f>IF(ISBLANK(H1583), "", Long0[[#This Row],[Adj Close]]/H1583-1)</f>
        <v>4.1154370984728406E-3</v>
      </c>
      <c r="M1582" s="37">
        <v>34022</v>
      </c>
      <c r="N1582">
        <v>13.489731000000001</v>
      </c>
      <c r="O1582" s="36">
        <f>IF(ISBLANK(N1583),"",Long2[[#This Row],[Adj Close]]/N1583-1)</f>
        <v>-2.8847057207520233E-2</v>
      </c>
      <c r="P1582" s="29">
        <v>34022</v>
      </c>
      <c r="Q1582">
        <v>3.0638350000000001</v>
      </c>
      <c r="R1582" s="33">
        <f>IF(ISBLANK(Q1583),"",Long3[[#This Row],[Adj Close]]/Q1583-1)</f>
        <v>2.553155453383682E-2</v>
      </c>
      <c r="AK1582" s="37">
        <v>34022</v>
      </c>
      <c r="AL1582" s="39">
        <v>0.95960999999999996</v>
      </c>
      <c r="AM1582" s="36">
        <f>IF(ISBLANK(AL1583),"",Short1[[#This Row],[Adj Close]]/AL1583-1)</f>
        <v>0</v>
      </c>
      <c r="AN1582" s="29">
        <v>34022</v>
      </c>
      <c r="AO1582" s="44">
        <v>2.7132679999999998</v>
      </c>
      <c r="AP1582" s="33">
        <f>IF(ISBLANK(AO1583),"",Short2[[#This Row],[Adj Close]]/AO1583-1)</f>
        <v>2.5862179785289596E-2</v>
      </c>
    </row>
    <row r="1583" spans="1:42" x14ac:dyDescent="0.25">
      <c r="A1583" s="37">
        <v>34015</v>
      </c>
      <c r="B1583" s="39">
        <v>434.22000100000002</v>
      </c>
      <c r="C1583" s="36">
        <f>IF(ISBLANK(B1584), "", GSPC[[#This Row],[Adj Close]]/B1584-1)</f>
        <v>-2.3302861808757069E-2</v>
      </c>
      <c r="D158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8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83" s="11" t="e">
        <f>IF(ISBLANK(GSPC[[#This Row],[Long Exp.]]), "", (GSPC[[#This Row],[Long Exp.]]/D1584-1)+(E1584/GSPC[[#This Row],[Short Exp.]]-1))</f>
        <v>#VALUE!</v>
      </c>
      <c r="G1583" s="37">
        <v>34015</v>
      </c>
      <c r="H1583">
        <v>7.4001859999999997</v>
      </c>
      <c r="I1583" s="36">
        <f>IF(ISBLANK(H1584), "", Long0[[#This Row],[Adj Close]]/H1584-1)</f>
        <v>-0.16206927905007307</v>
      </c>
      <c r="M1583" s="37">
        <v>34015</v>
      </c>
      <c r="N1583">
        <v>13.890428999999999</v>
      </c>
      <c r="O1583" s="36">
        <f>IF(ISBLANK(N1584),"",Long2[[#This Row],[Adj Close]]/N1584-1)</f>
        <v>-7.9645386194113321E-2</v>
      </c>
      <c r="P1583" s="29">
        <v>34015</v>
      </c>
      <c r="Q1583">
        <v>2.9875579999999999</v>
      </c>
      <c r="R1583" s="33">
        <f>IF(ISBLANK(Q1584),"",Long3[[#This Row],[Adj Close]]/Q1584-1)</f>
        <v>2.1739108130559792E-2</v>
      </c>
      <c r="AK1583" s="37">
        <v>34015</v>
      </c>
      <c r="AL1583" s="39">
        <v>0.95960999999999996</v>
      </c>
      <c r="AM1583" s="36">
        <f>IF(ISBLANK(AL1584),"",Short1[[#This Row],[Adj Close]]/AL1584-1)</f>
        <v>-5.4597508640155779E-2</v>
      </c>
      <c r="AN1583" s="29">
        <v>34015</v>
      </c>
      <c r="AO1583" s="44">
        <v>2.6448659999999999</v>
      </c>
      <c r="AP1583" s="33">
        <f>IF(ISBLANK(AO1584),"",Short2[[#This Row],[Adj Close]]/AO1584-1)</f>
        <v>-7.199996070273329E-2</v>
      </c>
    </row>
    <row r="1584" spans="1:42" x14ac:dyDescent="0.25">
      <c r="A1584" s="37">
        <v>34008</v>
      </c>
      <c r="B1584" s="39">
        <v>444.57998700000002</v>
      </c>
      <c r="C1584" s="36">
        <f>IF(ISBLANK(B1585), "", GSPC[[#This Row],[Adj Close]]/B1585-1)</f>
        <v>-9.6897201519792198E-3</v>
      </c>
      <c r="D158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8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84" s="11" t="e">
        <f>IF(ISBLANK(GSPC[[#This Row],[Long Exp.]]), "", (GSPC[[#This Row],[Long Exp.]]/D1585-1)+(E1585/GSPC[[#This Row],[Short Exp.]]-1))</f>
        <v>#VALUE!</v>
      </c>
      <c r="G1584" s="37">
        <v>34008</v>
      </c>
      <c r="H1584">
        <v>8.8315009999999994</v>
      </c>
      <c r="I1584" s="36">
        <f>IF(ISBLANK(H1585), "", Long0[[#This Row],[Adj Close]]/H1585-1)</f>
        <v>1.3986036467211527E-2</v>
      </c>
      <c r="M1584" s="37">
        <v>34008</v>
      </c>
      <c r="N1584">
        <v>15.092475</v>
      </c>
      <c r="O1584" s="36">
        <f>IF(ISBLANK(N1585),"",Long2[[#This Row],[Adj Close]]/N1585-1)</f>
        <v>-4.2373086226158208E-2</v>
      </c>
      <c r="P1584" s="29">
        <v>34008</v>
      </c>
      <c r="Q1584">
        <v>2.9239929999999998</v>
      </c>
      <c r="R1584" s="33">
        <f>IF(ISBLANK(Q1585),"",Long3[[#This Row],[Adj Close]]/Q1585-1)</f>
        <v>0</v>
      </c>
      <c r="AK1584" s="37">
        <v>34008</v>
      </c>
      <c r="AL1584" s="39">
        <v>1.015028</v>
      </c>
      <c r="AM1584" s="36">
        <f>IF(ISBLANK(AL1585),"",Short1[[#This Row],[Adj Close]]/AL1585-1)</f>
        <v>-6.4515326318467014E-2</v>
      </c>
      <c r="AN1584" s="29">
        <v>34008</v>
      </c>
      <c r="AO1584" s="44">
        <v>2.8500709999999998</v>
      </c>
      <c r="AP1584" s="33">
        <f>IF(ISBLANK(AO1585),"",Short2[[#This Row],[Adj Close]]/AO1585-1)</f>
        <v>-4.1202376278659414E-2</v>
      </c>
    </row>
    <row r="1585" spans="1:42" x14ac:dyDescent="0.25">
      <c r="A1585" s="37">
        <v>34001</v>
      </c>
      <c r="B1585" s="39">
        <v>448.92999300000002</v>
      </c>
      <c r="C1585" s="36">
        <f>IF(ISBLANK(B1586), "", GSPC[[#This Row],[Adj Close]]/B1586-1)</f>
        <v>2.3132307815151965E-2</v>
      </c>
      <c r="D158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8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85" s="11" t="e">
        <f>IF(ISBLANK(GSPC[[#This Row],[Long Exp.]]), "", (GSPC[[#This Row],[Long Exp.]]/D1586-1)+(E1586/GSPC[[#This Row],[Short Exp.]]-1))</f>
        <v>#VALUE!</v>
      </c>
      <c r="G1585" s="37">
        <v>34001</v>
      </c>
      <c r="H1585">
        <v>8.7096870000000006</v>
      </c>
      <c r="I1585" s="36">
        <f>IF(ISBLANK(H1586), "", Long0[[#This Row],[Adj Close]]/H1586-1)</f>
        <v>-3.4842691307004348E-3</v>
      </c>
      <c r="M1585" s="37">
        <v>34001</v>
      </c>
      <c r="N1585">
        <v>15.760287</v>
      </c>
      <c r="O1585" s="36">
        <f>IF(ISBLANK(N1586),"",Long2[[#This Row],[Adj Close]]/N1586-1)</f>
        <v>2.0172970543300917E-2</v>
      </c>
      <c r="P1585" s="29">
        <v>34001</v>
      </c>
      <c r="Q1585">
        <v>2.9239929999999998</v>
      </c>
      <c r="R1585" s="33">
        <f>IF(ISBLANK(Q1586),"",Long3[[#This Row],[Adj Close]]/Q1586-1)</f>
        <v>3.1390828924162228E-2</v>
      </c>
      <c r="AK1585" s="37">
        <v>34001</v>
      </c>
      <c r="AL1585" s="39">
        <v>1.085029</v>
      </c>
      <c r="AM1585" s="36">
        <f>IF(ISBLANK(AL1586),"",Short1[[#This Row],[Adj Close]]/AL1586-1)</f>
        <v>0.14814724674241764</v>
      </c>
      <c r="AN1585" s="29">
        <v>34001</v>
      </c>
      <c r="AO1585" s="44">
        <v>2.9725470000000001</v>
      </c>
      <c r="AP1585" s="33">
        <f>IF(ISBLANK(AO1586),"",Short2[[#This Row],[Adj Close]]/AO1586-1)</f>
        <v>6.9672064781698628E-2</v>
      </c>
    </row>
    <row r="1586" spans="1:42" x14ac:dyDescent="0.25">
      <c r="A1586" s="37">
        <v>33994</v>
      </c>
      <c r="B1586" s="39">
        <v>438.77999899999998</v>
      </c>
      <c r="C1586" s="36">
        <f>IF(ISBLANK(B1587), "", GSPC[[#This Row],[Adj Close]]/B1587-1)</f>
        <v>6.1223409044395272E-3</v>
      </c>
      <c r="D158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8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86" s="11" t="e">
        <f>IF(ISBLANK(GSPC[[#This Row],[Long Exp.]]), "", (GSPC[[#This Row],[Long Exp.]]/D1587-1)+(E1587/GSPC[[#This Row],[Short Exp.]]-1))</f>
        <v>#VALUE!</v>
      </c>
      <c r="G1586" s="37">
        <v>33994</v>
      </c>
      <c r="H1586">
        <v>8.7401400000000002</v>
      </c>
      <c r="I1586" s="36">
        <f>IF(ISBLANK(H1587), "", Long0[[#This Row],[Adj Close]]/H1587-1)</f>
        <v>8.3019017088006741E-2</v>
      </c>
      <c r="M1586" s="37">
        <v>33994</v>
      </c>
      <c r="N1586">
        <v>15.448642</v>
      </c>
      <c r="O1586" s="36">
        <f>IF(ISBLANK(N1587),"",Long2[[#This Row],[Adj Close]]/N1587-1)</f>
        <v>-5.73096846841048E-3</v>
      </c>
      <c r="P1586" s="29">
        <v>33994</v>
      </c>
      <c r="Q1586">
        <v>2.835</v>
      </c>
      <c r="R1586" s="33">
        <f>IF(ISBLANK(Q1587),"",Long3[[#This Row],[Adj Close]]/Q1587-1)</f>
        <v>1.3635271504084612E-2</v>
      </c>
      <c r="AK1586" s="37">
        <v>33994</v>
      </c>
      <c r="AL1586" s="39">
        <v>0.94502600000000003</v>
      </c>
      <c r="AM1586" s="36">
        <f>IF(ISBLANK(AL1587),"",Short1[[#This Row],[Adj Close]]/AL1587-1)</f>
        <v>4.180097628948265E-2</v>
      </c>
      <c r="AN1586" s="29">
        <v>33994</v>
      </c>
      <c r="AO1586" s="44">
        <v>2.7789329999999999</v>
      </c>
      <c r="AP1586" s="33">
        <f>IF(ISBLANK(AO1587),"",Short2[[#This Row],[Adj Close]]/AO1587-1)</f>
        <v>1.6666563009785973E-2</v>
      </c>
    </row>
    <row r="1587" spans="1:42" x14ac:dyDescent="0.25">
      <c r="A1587" s="37">
        <v>33987</v>
      </c>
      <c r="B1587" s="39">
        <v>436.10998499999999</v>
      </c>
      <c r="C1587" s="36">
        <f>IF(ISBLANK(B1588), "", GSPC[[#This Row],[Adj Close]]/B1588-1)</f>
        <v>-2.3790667145703326E-3</v>
      </c>
      <c r="D158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8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87" s="11" t="e">
        <f>IF(ISBLANK(GSPC[[#This Row],[Long Exp.]]), "", (GSPC[[#This Row],[Long Exp.]]/D1588-1)+(E1588/GSPC[[#This Row],[Short Exp.]]-1))</f>
        <v>#VALUE!</v>
      </c>
      <c r="G1587" s="37">
        <v>33987</v>
      </c>
      <c r="H1587">
        <v>8.0701630000000009</v>
      </c>
      <c r="I1587" s="36">
        <f>IF(ISBLANK(H1588), "", Long0[[#This Row],[Adj Close]]/H1588-1)</f>
        <v>8.6065522476459488E-2</v>
      </c>
      <c r="M1587" s="37">
        <v>33987</v>
      </c>
      <c r="N1587">
        <v>15.537687999999999</v>
      </c>
      <c r="O1587" s="36">
        <f>IF(ISBLANK(N1588),"",Long2[[#This Row],[Adj Close]]/N1588-1)</f>
        <v>2.6471038242990907E-2</v>
      </c>
      <c r="P1587" s="29">
        <v>33987</v>
      </c>
      <c r="Q1587">
        <v>2.7968639999999998</v>
      </c>
      <c r="R1587" s="33">
        <f>IF(ISBLANK(Q1588),"",Long3[[#This Row],[Adj Close]]/Q1588-1)</f>
        <v>4.5665643014922708E-3</v>
      </c>
      <c r="AK1587" s="37">
        <v>33987</v>
      </c>
      <c r="AL1587" s="39">
        <v>0.90710800000000003</v>
      </c>
      <c r="AM1587" s="36">
        <f>IF(ISBLANK(AL1588),"",Short1[[#This Row],[Adj Close]]/AL1588-1)</f>
        <v>2.3026059811140476E-2</v>
      </c>
      <c r="AN1587" s="29">
        <v>33987</v>
      </c>
      <c r="AO1587" s="44">
        <v>2.7333769999999999</v>
      </c>
      <c r="AP1587" s="33">
        <f>IF(ISBLANK(AO1588),"",Short2[[#This Row],[Adj Close]]/AO1588-1)</f>
        <v>2.5642016630144315E-2</v>
      </c>
    </row>
    <row r="1588" spans="1:42" x14ac:dyDescent="0.25">
      <c r="A1588" s="37">
        <v>33980</v>
      </c>
      <c r="B1588" s="39">
        <v>437.14999399999999</v>
      </c>
      <c r="C1588" s="36">
        <f>IF(ISBLANK(B1589), "", GSPC[[#This Row],[Adj Close]]/B1589-1)</f>
        <v>1.8878933053367186E-2</v>
      </c>
      <c r="D158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8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88" s="11" t="e">
        <f>IF(ISBLANK(GSPC[[#This Row],[Long Exp.]]), "", (GSPC[[#This Row],[Long Exp.]]/D1589-1)+(E1589/GSPC[[#This Row],[Short Exp.]]-1))</f>
        <v>#VALUE!</v>
      </c>
      <c r="G1588" s="37">
        <v>33980</v>
      </c>
      <c r="H1588">
        <v>7.4306409999999996</v>
      </c>
      <c r="I1588" s="36">
        <f>IF(ISBLANK(H1589), "", Long0[[#This Row],[Adj Close]]/H1589-1)</f>
        <v>2.5210270699769222E-2</v>
      </c>
      <c r="M1588" s="37">
        <v>33980</v>
      </c>
      <c r="N1588">
        <v>15.136996</v>
      </c>
      <c r="O1588" s="36">
        <f>IF(ISBLANK(N1589),"",Long2[[#This Row],[Adj Close]]/N1589-1)</f>
        <v>5.917015844742135E-3</v>
      </c>
      <c r="P1588" s="29">
        <v>33980</v>
      </c>
      <c r="Q1588">
        <v>2.7841499999999999</v>
      </c>
      <c r="R1588" s="33">
        <f>IF(ISBLANK(Q1589),"",Long3[[#This Row],[Adj Close]]/Q1589-1)</f>
        <v>2.3364836373366726E-2</v>
      </c>
      <c r="AK1588" s="37">
        <v>33980</v>
      </c>
      <c r="AL1588" s="39">
        <v>0.88669100000000001</v>
      </c>
      <c r="AM1588" s="36">
        <f>IF(ISBLANK(AL1589),"",Short1[[#This Row],[Adj Close]]/AL1589-1)</f>
        <v>0.17374579217062447</v>
      </c>
      <c r="AN1588" s="29">
        <v>33980</v>
      </c>
      <c r="AO1588" s="44">
        <v>2.6650399999999999</v>
      </c>
      <c r="AP1588" s="33">
        <f>IF(ISBLANK(AO1589),"",Short2[[#This Row],[Adj Close]]/AO1589-1)</f>
        <v>5.4053337857981942E-2</v>
      </c>
    </row>
    <row r="1589" spans="1:42" x14ac:dyDescent="0.25">
      <c r="A1589" s="37">
        <v>33973</v>
      </c>
      <c r="B1589" s="39">
        <v>429.04998799999998</v>
      </c>
      <c r="C1589" s="36">
        <f>IF(ISBLANK(B1590), "", GSPC[[#This Row],[Adj Close]]/B1590-1)</f>
        <v>-1.5285403450847279E-2</v>
      </c>
      <c r="D158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8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89" s="11" t="e">
        <f>IF(ISBLANK(GSPC[[#This Row],[Long Exp.]]), "", (GSPC[[#This Row],[Long Exp.]]/D1590-1)+(E1590/GSPC[[#This Row],[Short Exp.]]-1))</f>
        <v>#VALUE!</v>
      </c>
      <c r="G1589" s="37">
        <v>33973</v>
      </c>
      <c r="H1589">
        <v>7.2479189999999996</v>
      </c>
      <c r="I1589" s="36">
        <f>IF(ISBLANK(H1590), "", Long0[[#This Row],[Adj Close]]/H1590-1)</f>
        <v>-5.5555533837954973E-2</v>
      </c>
      <c r="M1589" s="37">
        <v>33973</v>
      </c>
      <c r="N1589">
        <v>15.047957</v>
      </c>
      <c r="O1589" s="36">
        <f>IF(ISBLANK(N1590),"",Long2[[#This Row],[Adj Close]]/N1590-1)</f>
        <v>-8.7978662481930092E-3</v>
      </c>
      <c r="P1589" s="29">
        <v>33973</v>
      </c>
      <c r="Q1589">
        <v>2.7205840000000001</v>
      </c>
      <c r="R1589" s="33">
        <f>IF(ISBLANK(Q1590),"",Long3[[#This Row],[Adj Close]]/Q1590-1)</f>
        <v>-1.8348610611971572E-2</v>
      </c>
      <c r="AK1589" s="37">
        <v>33973</v>
      </c>
      <c r="AL1589" s="39">
        <v>0.75543700000000003</v>
      </c>
      <c r="AM1589" s="36">
        <f>IF(ISBLANK(AL1590),"",Short1[[#This Row],[Adj Close]]/AL1590-1)</f>
        <v>-0.16987225625669622</v>
      </c>
      <c r="AN1589" s="29">
        <v>33973</v>
      </c>
      <c r="AO1589" s="44">
        <v>2.5283730000000002</v>
      </c>
      <c r="AP1589" s="33">
        <f>IF(ISBLANK(AO1590),"",Short2[[#This Row],[Adj Close]]/AO1590-1)</f>
        <v>-1.7699011899706574E-2</v>
      </c>
    </row>
    <row r="1590" spans="1:42" x14ac:dyDescent="0.25">
      <c r="A1590" s="37">
        <v>33966</v>
      </c>
      <c r="B1590" s="39">
        <v>435.709991</v>
      </c>
      <c r="C1590" s="36">
        <f>IF(ISBLANK(B1591), "", GSPC[[#This Row],[Adj Close]]/B1591-1)</f>
        <v>-9.2320942800850903E-3</v>
      </c>
      <c r="D159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9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90" s="11" t="e">
        <f>IF(ISBLANK(GSPC[[#This Row],[Long Exp.]]), "", (GSPC[[#This Row],[Long Exp.]]/D1591-1)+(E1591/GSPC[[#This Row],[Short Exp.]]-1))</f>
        <v>#VALUE!</v>
      </c>
      <c r="G1590" s="37">
        <v>33966</v>
      </c>
      <c r="H1590">
        <v>7.6742670000000004</v>
      </c>
      <c r="I1590" s="36">
        <f>IF(ISBLANK(H1591), "", Long0[[#This Row],[Adj Close]]/H1591-1)</f>
        <v>5.5457159062340056E-2</v>
      </c>
      <c r="M1590" s="37">
        <v>33966</v>
      </c>
      <c r="N1590">
        <v>15.181521999999999</v>
      </c>
      <c r="O1590" s="36">
        <f>IF(ISBLANK(N1591),"",Long2[[#This Row],[Adj Close]]/N1591-1)</f>
        <v>5.9000925958134776E-3</v>
      </c>
      <c r="P1590" s="29">
        <v>33966</v>
      </c>
      <c r="Q1590">
        <v>2.771436</v>
      </c>
      <c r="R1590" s="33">
        <f>IF(ISBLANK(Q1591),"",Long3[[#This Row],[Adj Close]]/Q1591-1)</f>
        <v>-2.2421164021164008E-2</v>
      </c>
      <c r="AK1590" s="37">
        <v>33966</v>
      </c>
      <c r="AL1590" s="39">
        <v>0.91002499999999997</v>
      </c>
      <c r="AM1590" s="36">
        <f>IF(ISBLANK(AL1591),"",Short1[[#This Row],[Adj Close]]/AL1591-1)</f>
        <v>0.11827868459631863</v>
      </c>
      <c r="AN1590" s="29">
        <v>33966</v>
      </c>
      <c r="AO1590" s="44">
        <v>2.5739290000000001</v>
      </c>
      <c r="AP1590" s="33">
        <f>IF(ISBLANK(AO1591),"",Short2[[#This Row],[Adj Close]]/AO1591-1)</f>
        <v>6.6036884071296598E-2</v>
      </c>
    </row>
    <row r="1591" spans="1:42" x14ac:dyDescent="0.25">
      <c r="A1591" s="37">
        <v>33959</v>
      </c>
      <c r="B1591" s="39">
        <v>439.76998900000001</v>
      </c>
      <c r="C1591" s="36">
        <f>IF(ISBLANK(B1592), "", GSPC[[#This Row],[Adj Close]]/B1592-1)</f>
        <v>-3.4218863384287701E-3</v>
      </c>
      <c r="D159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9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91" s="11" t="e">
        <f>IF(ISBLANK(GSPC[[#This Row],[Long Exp.]]), "", (GSPC[[#This Row],[Long Exp.]]/D1592-1)+(E1592/GSPC[[#This Row],[Short Exp.]]-1))</f>
        <v>#VALUE!</v>
      </c>
      <c r="G1591" s="37">
        <v>33959</v>
      </c>
      <c r="H1591">
        <v>7.2710359999999996</v>
      </c>
      <c r="I1591" s="36">
        <f>IF(ISBLANK(H1592), "", Long0[[#This Row],[Adj Close]]/H1592-1)</f>
        <v>-2.0491443857975633E-2</v>
      </c>
      <c r="M1591" s="37">
        <v>33959</v>
      </c>
      <c r="N1591">
        <v>15.092475</v>
      </c>
      <c r="O1591" s="36">
        <f>IF(ISBLANK(N1592),"",Long2[[#This Row],[Adj Close]]/N1592-1)</f>
        <v>2.7272575054152703E-2</v>
      </c>
      <c r="P1591" s="29">
        <v>33959</v>
      </c>
      <c r="Q1591">
        <v>2.835</v>
      </c>
      <c r="R1591" s="33">
        <f>IF(ISBLANK(Q1592),"",Long3[[#This Row],[Adj Close]]/Q1592-1)</f>
        <v>2.7649759562579979E-2</v>
      </c>
      <c r="AK1591" s="37">
        <v>33959</v>
      </c>
      <c r="AL1591" s="39">
        <v>0.81377299999999997</v>
      </c>
      <c r="AM1591" s="36">
        <f>IF(ISBLANK(AL1592),"",Short1[[#This Row],[Adj Close]]/AL1592-1)</f>
        <v>-3.5705146022537715E-3</v>
      </c>
      <c r="AN1591" s="29">
        <v>33959</v>
      </c>
      <c r="AO1591" s="44">
        <v>2.4144839999999999</v>
      </c>
      <c r="AP1591" s="33">
        <f>IF(ISBLANK(AO1592),"",Short2[[#This Row],[Adj Close]]/AO1592-1)</f>
        <v>-3.6363019562219767E-2</v>
      </c>
    </row>
    <row r="1592" spans="1:42" x14ac:dyDescent="0.25">
      <c r="A1592" s="37">
        <v>33952</v>
      </c>
      <c r="B1592" s="39">
        <v>441.27999899999998</v>
      </c>
      <c r="C1592" s="36">
        <f>IF(ISBLANK(B1593), "", GSPC[[#This Row],[Adj Close]]/B1593-1)</f>
        <v>1.7407114584007788E-2</v>
      </c>
      <c r="D159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9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92" s="11" t="e">
        <f>IF(ISBLANK(GSPC[[#This Row],[Long Exp.]]), "", (GSPC[[#This Row],[Long Exp.]]/D1593-1)+(E1593/GSPC[[#This Row],[Short Exp.]]-1))</f>
        <v>#VALUE!</v>
      </c>
      <c r="G1592" s="37">
        <v>33952</v>
      </c>
      <c r="H1592">
        <v>7.4231470000000002</v>
      </c>
      <c r="I1592" s="36">
        <f>IF(ISBLANK(H1593), "", Long0[[#This Row],[Adj Close]]/H1593-1)</f>
        <v>6.5502335719171079E-2</v>
      </c>
      <c r="M1592" s="37">
        <v>33952</v>
      </c>
      <c r="N1592">
        <v>14.691792</v>
      </c>
      <c r="O1592" s="36">
        <f>IF(ISBLANK(N1593),"",Long2[[#This Row],[Adj Close]]/N1593-1)</f>
        <v>1.9042110437512472E-2</v>
      </c>
      <c r="P1592" s="29">
        <v>33952</v>
      </c>
      <c r="Q1592">
        <v>2.7587220000000001</v>
      </c>
      <c r="R1592" s="33">
        <f>IF(ISBLANK(Q1593),"",Long3[[#This Row],[Adj Close]]/Q1593-1)</f>
        <v>2.8436008356558462E-2</v>
      </c>
      <c r="AK1592" s="37">
        <v>33952</v>
      </c>
      <c r="AL1592" s="39">
        <v>0.816689</v>
      </c>
      <c r="AM1592" s="36">
        <f>IF(ISBLANK(AL1593),"",Short1[[#This Row],[Adj Close]]/AL1593-1)</f>
        <v>-3.1142192801385638E-2</v>
      </c>
      <c r="AN1592" s="29">
        <v>33952</v>
      </c>
      <c r="AO1592" s="44">
        <v>2.505595</v>
      </c>
      <c r="AP1592" s="33">
        <f>IF(ISBLANK(AO1593),"",Short2[[#This Row],[Adj Close]]/AO1593-1)</f>
        <v>-4.3478011899285574E-2</v>
      </c>
    </row>
    <row r="1593" spans="1:42" x14ac:dyDescent="0.25">
      <c r="A1593" s="37">
        <v>33945</v>
      </c>
      <c r="B1593" s="39">
        <v>433.73001099999999</v>
      </c>
      <c r="C1593" s="36">
        <f>IF(ISBLANK(B1594), "", GSPC[[#This Row],[Adj Close]]/B1594-1)</f>
        <v>3.8652340131704044E-3</v>
      </c>
      <c r="D159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9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93" s="11" t="e">
        <f>IF(ISBLANK(GSPC[[#This Row],[Long Exp.]]), "", (GSPC[[#This Row],[Long Exp.]]/D1594-1)+(E1594/GSPC[[#This Row],[Short Exp.]]-1))</f>
        <v>#VALUE!</v>
      </c>
      <c r="G1593" s="37">
        <v>33945</v>
      </c>
      <c r="H1593">
        <v>6.9668049999999999</v>
      </c>
      <c r="I1593" s="36">
        <f>IF(ISBLANK(H1594), "", Long0[[#This Row],[Adj Close]]/H1594-1)</f>
        <v>-3.7815449854238792E-2</v>
      </c>
      <c r="M1593" s="37">
        <v>33945</v>
      </c>
      <c r="N1593">
        <v>14.417256999999999</v>
      </c>
      <c r="O1593" s="36">
        <f>IF(ISBLANK(N1594),"",Long2[[#This Row],[Adj Close]]/N1594-1)</f>
        <v>-6.0969834061070927E-3</v>
      </c>
      <c r="P1593" s="29">
        <v>33945</v>
      </c>
      <c r="Q1593">
        <v>2.6824439999999998</v>
      </c>
      <c r="R1593" s="33">
        <f>IF(ISBLANK(Q1594),"",Long3[[#This Row],[Adj Close]]/Q1594-1)</f>
        <v>1.9942235653590323E-2</v>
      </c>
      <c r="AK1593" s="37">
        <v>33945</v>
      </c>
      <c r="AL1593" s="39">
        <v>0.84294000000000002</v>
      </c>
      <c r="AM1593" s="36">
        <f>IF(ISBLANK(AL1594),"",Short1[[#This Row],[Adj Close]]/AL1594-1)</f>
        <v>-7.3717755006730501E-2</v>
      </c>
      <c r="AN1593" s="29">
        <v>33945</v>
      </c>
      <c r="AO1593" s="44">
        <v>2.6194850000000001</v>
      </c>
      <c r="AP1593" s="33">
        <f>IF(ISBLANK(AO1594),"",Short2[[#This Row],[Adj Close]]/AO1594-1)</f>
        <v>2.6785154314599824E-2</v>
      </c>
    </row>
    <row r="1594" spans="1:42" x14ac:dyDescent="0.25">
      <c r="A1594" s="37">
        <v>33938</v>
      </c>
      <c r="B1594" s="39">
        <v>432.05999800000001</v>
      </c>
      <c r="C1594" s="36">
        <f>IF(ISBLANK(B1595), "", GSPC[[#This Row],[Adj Close]]/B1595-1)</f>
        <v>4.4169471413710859E-3</v>
      </c>
      <c r="D159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9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94" s="11" t="e">
        <f>IF(ISBLANK(GSPC[[#This Row],[Long Exp.]]), "", (GSPC[[#This Row],[Long Exp.]]/D1595-1)+(E1595/GSPC[[#This Row],[Short Exp.]]-1))</f>
        <v>#VALUE!</v>
      </c>
      <c r="G1594" s="37">
        <v>33938</v>
      </c>
      <c r="H1594">
        <v>7.2406119999999996</v>
      </c>
      <c r="I1594" s="36">
        <f>IF(ISBLANK(H1595), "", Long0[[#This Row],[Adj Close]]/H1595-1)</f>
        <v>4.2195848430026661E-3</v>
      </c>
      <c r="M1594" s="37">
        <v>33938</v>
      </c>
      <c r="N1594">
        <v>14.505698000000001</v>
      </c>
      <c r="O1594" s="36">
        <f>IF(ISBLANK(N1595),"",Long2[[#This Row],[Adj Close]]/N1595-1)</f>
        <v>7.1895174656932515E-2</v>
      </c>
      <c r="P1594" s="29">
        <v>33938</v>
      </c>
      <c r="Q1594">
        <v>2.6299959999999998</v>
      </c>
      <c r="R1594" s="33">
        <f>IF(ISBLANK(Q1595),"",Long3[[#This Row],[Adj Close]]/Q1595-1)</f>
        <v>-3.6697133455376285E-2</v>
      </c>
      <c r="AK1594" s="37">
        <v>33938</v>
      </c>
      <c r="AL1594" s="39">
        <v>0.91002499999999997</v>
      </c>
      <c r="AM1594" s="36">
        <f>IF(ISBLANK(AL1595),"",Short1[[#This Row],[Adj Close]]/AL1595-1)</f>
        <v>0.10638243550636273</v>
      </c>
      <c r="AN1594" s="29">
        <v>33938</v>
      </c>
      <c r="AO1594" s="44">
        <v>2.5511520000000001</v>
      </c>
      <c r="AP1594" s="33">
        <f>IF(ISBLANK(AO1595),"",Short2[[#This Row],[Adj Close]]/AO1595-1)</f>
        <v>3.7037217702646119E-2</v>
      </c>
    </row>
    <row r="1595" spans="1:42" x14ac:dyDescent="0.25">
      <c r="A1595" s="37">
        <v>33931</v>
      </c>
      <c r="B1595" s="39">
        <v>430.16000400000001</v>
      </c>
      <c r="C1595" s="36">
        <f>IF(ISBLANK(B1596), "", GSPC[[#This Row],[Adj Close]]/B1596-1)</f>
        <v>8.2269074167617973E-3</v>
      </c>
      <c r="D159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9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95" s="11" t="e">
        <f>IF(ISBLANK(GSPC[[#This Row],[Long Exp.]]), "", (GSPC[[#This Row],[Long Exp.]]/D1596-1)+(E1596/GSPC[[#This Row],[Short Exp.]]-1))</f>
        <v>#VALUE!</v>
      </c>
      <c r="G1595" s="37">
        <v>33931</v>
      </c>
      <c r="H1595">
        <v>7.2101879999999996</v>
      </c>
      <c r="I1595" s="36">
        <f>IF(ISBLANK(H1596), "", Long0[[#This Row],[Adj Close]]/H1596-1)</f>
        <v>-6.3240894120398461E-2</v>
      </c>
      <c r="M1595" s="37">
        <v>33931</v>
      </c>
      <c r="N1595">
        <v>13.532757999999999</v>
      </c>
      <c r="O1595" s="36">
        <f>IF(ISBLANK(N1596),"",Long2[[#This Row],[Adj Close]]/N1596-1)</f>
        <v>-3.1645431489352838E-2</v>
      </c>
      <c r="P1595" s="29">
        <v>33931</v>
      </c>
      <c r="Q1595">
        <v>2.7301859999999998</v>
      </c>
      <c r="R1595" s="33">
        <f>IF(ISBLANK(Q1596),"",Long3[[#This Row],[Adj Close]]/Q1596-1)</f>
        <v>1.8691149408303742E-2</v>
      </c>
      <c r="AK1595" s="37">
        <v>33931</v>
      </c>
      <c r="AL1595" s="39">
        <v>0.822523</v>
      </c>
      <c r="AM1595" s="36">
        <f>IF(ISBLANK(AL1596),"",Short1[[#This Row],[Adj Close]]/AL1596-1)</f>
        <v>8.0460177781630948E-2</v>
      </c>
      <c r="AN1595" s="29">
        <v>33931</v>
      </c>
      <c r="AO1595" s="44">
        <v>2.4600390000000001</v>
      </c>
      <c r="AP1595" s="33">
        <f>IF(ISBLANK(AO1596),"",Short2[[#This Row],[Adj Close]]/AO1596-1)</f>
        <v>-2.7026866684622952E-2</v>
      </c>
    </row>
    <row r="1596" spans="1:42" x14ac:dyDescent="0.25">
      <c r="A1596" s="37">
        <v>33924</v>
      </c>
      <c r="B1596" s="39">
        <v>426.64999399999999</v>
      </c>
      <c r="C1596" s="36">
        <f>IF(ISBLANK(B1597), "", GSPC[[#This Row],[Adj Close]]/B1597-1)</f>
        <v>9.9898233315074414E-3</v>
      </c>
      <c r="D159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9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96" s="11" t="e">
        <f>IF(ISBLANK(GSPC[[#This Row],[Long Exp.]]), "", (GSPC[[#This Row],[Long Exp.]]/D1597-1)+(E1597/GSPC[[#This Row],[Short Exp.]]-1))</f>
        <v>#VALUE!</v>
      </c>
      <c r="G1596" s="37">
        <v>33924</v>
      </c>
      <c r="H1596">
        <v>7.6969500000000002</v>
      </c>
      <c r="I1596" s="36">
        <f>IF(ISBLANK(H1597), "", Long0[[#This Row],[Adj Close]]/H1597-1)</f>
        <v>0.10964893374544049</v>
      </c>
      <c r="M1596" s="37">
        <v>33924</v>
      </c>
      <c r="N1596">
        <v>13.975002999999999</v>
      </c>
      <c r="O1596" s="36">
        <f>IF(ISBLANK(N1597),"",Long2[[#This Row],[Adj Close]]/N1597-1)</f>
        <v>-5.3892569473550811E-2</v>
      </c>
      <c r="P1596" s="29">
        <v>33924</v>
      </c>
      <c r="Q1596">
        <v>2.6800920000000001</v>
      </c>
      <c r="R1596" s="33">
        <f>IF(ISBLANK(Q1597),"",Long3[[#This Row],[Adj Close]]/Q1597-1)</f>
        <v>4.6949131193656513E-3</v>
      </c>
      <c r="AK1596" s="37">
        <v>33924</v>
      </c>
      <c r="AL1596" s="39">
        <v>0.76127100000000003</v>
      </c>
      <c r="AM1596" s="36">
        <f>IF(ISBLANK(AL1597),"",Short1[[#This Row],[Adj Close]]/AL1597-1)</f>
        <v>0</v>
      </c>
      <c r="AN1596" s="29">
        <v>33924</v>
      </c>
      <c r="AO1596" s="44">
        <v>2.5283730000000002</v>
      </c>
      <c r="AP1596" s="33">
        <f>IF(ISBLANK(AO1597),"",Short2[[#This Row],[Adj Close]]/AO1597-1)</f>
        <v>9.0908546672547885E-3</v>
      </c>
    </row>
    <row r="1597" spans="1:42" x14ac:dyDescent="0.25">
      <c r="A1597" s="37">
        <v>33917</v>
      </c>
      <c r="B1597" s="39">
        <v>422.42999300000002</v>
      </c>
      <c r="C1597" s="36">
        <f>IF(ISBLANK(B1598), "", GSPC[[#This Row],[Adj Close]]/B1598-1)</f>
        <v>1.1614555656375369E-2</v>
      </c>
      <c r="D159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9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97" s="11" t="e">
        <f>IF(ISBLANK(GSPC[[#This Row],[Long Exp.]]), "", (GSPC[[#This Row],[Long Exp.]]/D1598-1)+(E1598/GSPC[[#This Row],[Short Exp.]]-1))</f>
        <v>#VALUE!</v>
      </c>
      <c r="G1597" s="37">
        <v>33917</v>
      </c>
      <c r="H1597">
        <v>6.9363830000000002</v>
      </c>
      <c r="I1597" s="36">
        <f>IF(ISBLANK(H1598), "", Long0[[#This Row],[Adj Close]]/H1598-1)</f>
        <v>7.0422702572406681E-2</v>
      </c>
      <c r="M1597" s="37">
        <v>33917</v>
      </c>
      <c r="N1597">
        <v>14.771053</v>
      </c>
      <c r="O1597" s="36">
        <f>IF(ISBLANK(N1598),"",Long2[[#This Row],[Adj Close]]/N1598-1)</f>
        <v>-2.0527276834893415E-2</v>
      </c>
      <c r="P1597" s="29">
        <v>33917</v>
      </c>
      <c r="Q1597">
        <v>2.6675680000000002</v>
      </c>
      <c r="R1597" s="33">
        <f>IF(ISBLANK(Q1598),"",Long3[[#This Row],[Adj Close]]/Q1598-1)</f>
        <v>1.4285953286621078E-2</v>
      </c>
      <c r="AK1597" s="37">
        <v>33917</v>
      </c>
      <c r="AL1597" s="39">
        <v>0.76127100000000003</v>
      </c>
      <c r="AM1597" s="36">
        <f>IF(ISBLANK(AL1598),"",Short1[[#This Row],[Adj Close]]/AL1598-1)</f>
        <v>3.984138843851226E-2</v>
      </c>
      <c r="AN1597" s="29">
        <v>33917</v>
      </c>
      <c r="AO1597" s="44">
        <v>2.505595</v>
      </c>
      <c r="AP1597" s="33">
        <f>IF(ISBLANK(AO1598),"",Short2[[#This Row],[Adj Close]]/AO1598-1)</f>
        <v>-4.5248599117038157E-3</v>
      </c>
    </row>
    <row r="1598" spans="1:42" x14ac:dyDescent="0.25">
      <c r="A1598" s="37">
        <v>33910</v>
      </c>
      <c r="B1598" s="39">
        <v>417.57998700000002</v>
      </c>
      <c r="C1598" s="36">
        <f>IF(ISBLANK(B1599), "", GSPC[[#This Row],[Adj Close]]/B1599-1)</f>
        <v>-2.6273192375829701E-3</v>
      </c>
      <c r="D159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9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98" s="11" t="e">
        <f>IF(ISBLANK(GSPC[[#This Row],[Long Exp.]]), "", (GSPC[[#This Row],[Long Exp.]]/D1599-1)+(E1599/GSPC[[#This Row],[Short Exp.]]-1))</f>
        <v>#VALUE!</v>
      </c>
      <c r="G1598" s="37">
        <v>33910</v>
      </c>
      <c r="H1598">
        <v>6.4800409999999999</v>
      </c>
      <c r="I1598" s="36">
        <f>IF(ISBLANK(H1599), "", Long0[[#This Row],[Adj Close]]/H1599-1)</f>
        <v>-1.8433639035798866E-2</v>
      </c>
      <c r="M1598" s="37">
        <v>33910</v>
      </c>
      <c r="N1598">
        <v>15.080617</v>
      </c>
      <c r="O1598" s="36">
        <f>IF(ISBLANK(N1599),"",Long2[[#This Row],[Adj Close]]/N1599-1)</f>
        <v>-1.4451291084606299E-2</v>
      </c>
      <c r="P1598" s="29">
        <v>33910</v>
      </c>
      <c r="Q1598">
        <v>2.6299959999999998</v>
      </c>
      <c r="R1598" s="33">
        <f>IF(ISBLANK(Q1599),"",Long3[[#This Row],[Adj Close]]/Q1599-1)</f>
        <v>-3.2257874599563863E-2</v>
      </c>
      <c r="AK1598" s="37">
        <v>33910</v>
      </c>
      <c r="AL1598" s="39">
        <v>0.73210299999999995</v>
      </c>
      <c r="AM1598" s="36">
        <f>IF(ISBLANK(AL1599),"",Short1[[#This Row],[Adj Close]]/AL1599-1)</f>
        <v>7.2650098605458124E-2</v>
      </c>
      <c r="AN1598" s="29">
        <v>33910</v>
      </c>
      <c r="AO1598" s="44">
        <v>2.5169839999999999</v>
      </c>
      <c r="AP1598" s="33">
        <f>IF(ISBLANK(AO1599),"",Short2[[#This Row],[Adj Close]]/AO1599-1)</f>
        <v>6.3721417323766349E-2</v>
      </c>
    </row>
    <row r="1599" spans="1:42" x14ac:dyDescent="0.25">
      <c r="A1599" s="37">
        <v>33903</v>
      </c>
      <c r="B1599" s="39">
        <v>418.67999300000002</v>
      </c>
      <c r="C1599" s="36">
        <f>IF(ISBLANK(B1600), "", GSPC[[#This Row],[Adj Close]]/B1600-1)</f>
        <v>1.1060098849648536E-2</v>
      </c>
      <c r="D159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59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599" s="11" t="e">
        <f>IF(ISBLANK(GSPC[[#This Row],[Long Exp.]]), "", (GSPC[[#This Row],[Long Exp.]]/D1600-1)+(E1600/GSPC[[#This Row],[Short Exp.]]-1))</f>
        <v>#VALUE!</v>
      </c>
      <c r="G1599" s="37">
        <v>33903</v>
      </c>
      <c r="H1599">
        <v>6.6017349999999997</v>
      </c>
      <c r="I1599" s="36">
        <f>IF(ISBLANK(H1600), "", Long0[[#This Row],[Adj Close]]/H1600-1)</f>
        <v>4.6304334891065224E-3</v>
      </c>
      <c r="M1599" s="37">
        <v>33903</v>
      </c>
      <c r="N1599">
        <v>15.301747000000001</v>
      </c>
      <c r="O1599" s="36">
        <f>IF(ISBLANK(N1600),"",Long2[[#This Row],[Adj Close]]/N1600-1)</f>
        <v>-2.8089886213117254E-2</v>
      </c>
      <c r="P1599" s="29">
        <v>33903</v>
      </c>
      <c r="Q1599">
        <v>2.7176619999999998</v>
      </c>
      <c r="R1599" s="33">
        <f>IF(ISBLANK(Q1600),"",Long3[[#This Row],[Adj Close]]/Q1600-1)</f>
        <v>2.3584543231675026E-2</v>
      </c>
      <c r="AK1599" s="37">
        <v>33903</v>
      </c>
      <c r="AL1599" s="39">
        <v>0.68251799999999996</v>
      </c>
      <c r="AM1599" s="36">
        <f>IF(ISBLANK(AL1600),"",Short1[[#This Row],[Adj Close]]/AL1600-1)</f>
        <v>-4.2556916410747547E-3</v>
      </c>
      <c r="AN1599" s="29">
        <v>33903</v>
      </c>
      <c r="AO1599" s="44">
        <v>2.366206</v>
      </c>
      <c r="AP1599" s="33">
        <f>IF(ISBLANK(AO1600),"",Short2[[#This Row],[Adj Close]]/AO1600-1)</f>
        <v>1.4634158891769555E-2</v>
      </c>
    </row>
    <row r="1600" spans="1:42" x14ac:dyDescent="0.25">
      <c r="A1600" s="37">
        <v>33896</v>
      </c>
      <c r="B1600" s="39">
        <v>414.10000600000001</v>
      </c>
      <c r="C1600" s="36">
        <f>IF(ISBLANK(B1601), "", GSPC[[#This Row],[Adj Close]]/B1601-1)</f>
        <v>5.7561871534306253E-3</v>
      </c>
      <c r="D160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0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00" s="11" t="e">
        <f>IF(ISBLANK(GSPC[[#This Row],[Long Exp.]]), "", (GSPC[[#This Row],[Long Exp.]]/D1601-1)+(E1601/GSPC[[#This Row],[Short Exp.]]-1))</f>
        <v>#VALUE!</v>
      </c>
      <c r="G1600" s="37">
        <v>33896</v>
      </c>
      <c r="H1600">
        <v>6.571307</v>
      </c>
      <c r="I1600" s="36">
        <f>IF(ISBLANK(H1601), "", Long0[[#This Row],[Adj Close]]/H1601-1)</f>
        <v>9.0908924898139842E-2</v>
      </c>
      <c r="M1600" s="37">
        <v>33896</v>
      </c>
      <c r="N1600">
        <v>15.743994000000001</v>
      </c>
      <c r="O1600" s="36">
        <f>IF(ISBLANK(N1601),"",Long2[[#This Row],[Adj Close]]/N1601-1)</f>
        <v>5.0147777139667005E-2</v>
      </c>
      <c r="P1600" s="29">
        <v>33896</v>
      </c>
      <c r="Q1600">
        <v>2.6550440000000002</v>
      </c>
      <c r="R1600" s="33">
        <f>IF(ISBLANK(Q1601),"",Long3[[#This Row],[Adj Close]]/Q1601-1)</f>
        <v>-2.3041128734919814E-2</v>
      </c>
      <c r="AK1600" s="37">
        <v>33896</v>
      </c>
      <c r="AL1600" s="39">
        <v>0.68543500000000002</v>
      </c>
      <c r="AM1600" s="36">
        <f>IF(ISBLANK(AL1601),"",Short1[[#This Row],[Adj Close]]/AL1601-1)</f>
        <v>-3.292323320682311E-2</v>
      </c>
      <c r="AN1600" s="29">
        <v>33896</v>
      </c>
      <c r="AO1600" s="44">
        <v>2.3320780000000001</v>
      </c>
      <c r="AP1600" s="33">
        <f>IF(ISBLANK(AO1601),"",Short2[[#This Row],[Adj Close]]/AO1601-1)</f>
        <v>6.7708395331907978E-2</v>
      </c>
    </row>
    <row r="1601" spans="1:42" x14ac:dyDescent="0.25">
      <c r="A1601" s="37">
        <v>33889</v>
      </c>
      <c r="B1601" s="39">
        <v>411.73001099999999</v>
      </c>
      <c r="C1601" s="36">
        <f>IF(ISBLANK(B1602), "", GSPC[[#This Row],[Adj Close]]/B1602-1)</f>
        <v>2.2525224531612542E-2</v>
      </c>
      <c r="D160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0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01" s="11" t="e">
        <f>IF(ISBLANK(GSPC[[#This Row],[Long Exp.]]), "", (GSPC[[#This Row],[Long Exp.]]/D1602-1)+(E1602/GSPC[[#This Row],[Short Exp.]]-1))</f>
        <v>#VALUE!</v>
      </c>
      <c r="G1601" s="37">
        <v>33889</v>
      </c>
      <c r="H1601">
        <v>6.0236989999999997</v>
      </c>
      <c r="I1601" s="36">
        <f>IF(ISBLANK(H1602), "", Long0[[#This Row],[Adj Close]]/H1602-1)</f>
        <v>-1.0000253100231338E-2</v>
      </c>
      <c r="M1601" s="37">
        <v>33889</v>
      </c>
      <c r="N1601">
        <v>14.99217</v>
      </c>
      <c r="O1601" s="36">
        <f>IF(ISBLANK(N1602),"",Long2[[#This Row],[Adj Close]]/N1602-1)</f>
        <v>-5.8649457114388071E-3</v>
      </c>
      <c r="P1601" s="29">
        <v>33889</v>
      </c>
      <c r="Q1601">
        <v>2.7176619999999998</v>
      </c>
      <c r="R1601" s="33">
        <f>IF(ISBLANK(Q1602),"",Long3[[#This Row],[Adj Close]]/Q1602-1)</f>
        <v>2.8434957211330492E-2</v>
      </c>
      <c r="AK1601" s="37">
        <v>33889</v>
      </c>
      <c r="AL1601" s="39">
        <v>0.70877000000000001</v>
      </c>
      <c r="AM1601" s="36">
        <f>IF(ISBLANK(AL1602),"",Short1[[#This Row],[Adj Close]]/AL1602-1)</f>
        <v>0.1796122160272946</v>
      </c>
      <c r="AN1601" s="29">
        <v>33889</v>
      </c>
      <c r="AO1601" s="44">
        <v>2.1841900000000001</v>
      </c>
      <c r="AP1601" s="33">
        <f>IF(ISBLANK(AO1602),"",Short2[[#This Row],[Adj Close]]/AO1602-1)</f>
        <v>9.0909181719470933E-2</v>
      </c>
    </row>
    <row r="1602" spans="1:42" x14ac:dyDescent="0.25">
      <c r="A1602" s="37">
        <v>33882</v>
      </c>
      <c r="B1602" s="39">
        <v>402.66000400000001</v>
      </c>
      <c r="C1602" s="36">
        <f>IF(ISBLANK(B1603), "", GSPC[[#This Row],[Adj Close]]/B1603-1)</f>
        <v>-1.902696172917151E-2</v>
      </c>
      <c r="D160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0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02" s="11" t="e">
        <f>IF(ISBLANK(GSPC[[#This Row],[Long Exp.]]), "", (GSPC[[#This Row],[Long Exp.]]/D1603-1)+(E1603/GSPC[[#This Row],[Short Exp.]]-1))</f>
        <v>#VALUE!</v>
      </c>
      <c r="G1602" s="37">
        <v>33882</v>
      </c>
      <c r="H1602">
        <v>6.0845459999999996</v>
      </c>
      <c r="I1602" s="36">
        <f>IF(ISBLANK(H1603), "", Long0[[#This Row],[Adj Close]]/H1603-1)</f>
        <v>-1.9607697805884339E-2</v>
      </c>
      <c r="M1602" s="37">
        <v>33882</v>
      </c>
      <c r="N1602">
        <v>15.080617</v>
      </c>
      <c r="O1602" s="36">
        <f>IF(ISBLANK(N1603),"",Long2[[#This Row],[Adj Close]]/N1603-1)</f>
        <v>2.4023365790422302E-2</v>
      </c>
      <c r="P1602" s="29">
        <v>33882</v>
      </c>
      <c r="Q1602">
        <v>2.642522</v>
      </c>
      <c r="R1602" s="33">
        <f>IF(ISBLANK(Q1603),"",Long3[[#This Row],[Adj Close]]/Q1603-1)</f>
        <v>-3.6528834619773964E-2</v>
      </c>
      <c r="AK1602" s="37">
        <v>33882</v>
      </c>
      <c r="AL1602" s="39">
        <v>0.60085</v>
      </c>
      <c r="AM1602" s="36">
        <f>IF(ISBLANK(AL1603),"",Short1[[#This Row],[Adj Close]]/AL1603-1)</f>
        <v>0.15083758221636567</v>
      </c>
      <c r="AN1602" s="29">
        <v>33882</v>
      </c>
      <c r="AO1602" s="44">
        <v>2.0021740000000001</v>
      </c>
      <c r="AP1602" s="33">
        <f>IF(ISBLANK(AO1603),"",Short2[[#This Row],[Adj Close]]/AO1603-1)</f>
        <v>-7.8533679612557528E-2</v>
      </c>
    </row>
    <row r="1603" spans="1:42" x14ac:dyDescent="0.25">
      <c r="A1603" s="37">
        <v>33875</v>
      </c>
      <c r="B1603" s="39">
        <v>410.47000100000002</v>
      </c>
      <c r="C1603" s="36">
        <f>IF(ISBLANK(B1604), "", GSPC[[#This Row],[Adj Close]]/B1604-1)</f>
        <v>-9.3640761284313756E-3</v>
      </c>
      <c r="D160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0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03" s="11" t="e">
        <f>IF(ISBLANK(GSPC[[#This Row],[Long Exp.]]), "", (GSPC[[#This Row],[Long Exp.]]/D1604-1)+(E1604/GSPC[[#This Row],[Short Exp.]]-1))</f>
        <v>#VALUE!</v>
      </c>
      <c r="G1603" s="37">
        <v>33875</v>
      </c>
      <c r="H1603">
        <v>6.2062359999999996</v>
      </c>
      <c r="I1603" s="36">
        <f>IF(ISBLANK(H1604), "", Long0[[#This Row],[Adj Close]]/H1604-1)</f>
        <v>-1.3396692286219203E-2</v>
      </c>
      <c r="M1603" s="37">
        <v>33875</v>
      </c>
      <c r="N1603">
        <v>14.726829</v>
      </c>
      <c r="O1603" s="36">
        <f>IF(ISBLANK(N1604),"",Long2[[#This Row],[Adj Close]]/N1604-1)</f>
        <v>-1.1869313754157895E-2</v>
      </c>
      <c r="P1603" s="29">
        <v>33875</v>
      </c>
      <c r="Q1603">
        <v>2.7427100000000002</v>
      </c>
      <c r="R1603" s="33">
        <f>IF(ISBLANK(Q1604),"",Long3[[#This Row],[Adj Close]]/Q1604-1)</f>
        <v>9.2167458646441602E-3</v>
      </c>
      <c r="AK1603" s="37">
        <v>33875</v>
      </c>
      <c r="AL1603" s="39">
        <v>0.52209799999999995</v>
      </c>
      <c r="AM1603" s="36">
        <f>IF(ISBLANK(AL1604),"",Short1[[#This Row],[Adj Close]]/AL1604-1)</f>
        <v>-3.7633982470530847E-2</v>
      </c>
      <c r="AN1603" s="29">
        <v>33875</v>
      </c>
      <c r="AO1603" s="44">
        <v>2.1728130000000001</v>
      </c>
      <c r="AP1603" s="33">
        <f>IF(ISBLANK(AO1604),"",Short2[[#This Row],[Adj Close]]/AO1604-1)</f>
        <v>-5.2087959380823223E-3</v>
      </c>
    </row>
    <row r="1604" spans="1:42" x14ac:dyDescent="0.25">
      <c r="A1604" s="37">
        <v>33868</v>
      </c>
      <c r="B1604" s="39">
        <v>414.35000600000001</v>
      </c>
      <c r="C1604" s="36">
        <f>IF(ISBLANK(B1605), "", GSPC[[#This Row],[Adj Close]]/B1605-1)</f>
        <v>-2.0287014735320574E-2</v>
      </c>
      <c r="D160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0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04" s="11" t="e">
        <f>IF(ISBLANK(GSPC[[#This Row],[Long Exp.]]), "", (GSPC[[#This Row],[Long Exp.]]/D1605-1)+(E1605/GSPC[[#This Row],[Short Exp.]]-1))</f>
        <v>#VALUE!</v>
      </c>
      <c r="G1604" s="37">
        <v>33868</v>
      </c>
      <c r="H1604">
        <v>6.290508</v>
      </c>
      <c r="I1604" s="36">
        <f>IF(ISBLANK(H1605), "", Long0[[#This Row],[Adj Close]]/H1605-1)</f>
        <v>-4.6083054131703882E-2</v>
      </c>
      <c r="M1604" s="37">
        <v>33868</v>
      </c>
      <c r="N1604">
        <v>14.903726000000001</v>
      </c>
      <c r="O1604" s="36">
        <f>IF(ISBLANK(N1605),"",Long2[[#This Row],[Adj Close]]/N1605-1)</f>
        <v>-7.1624455969342082E-2</v>
      </c>
      <c r="P1604" s="29">
        <v>33868</v>
      </c>
      <c r="Q1604">
        <v>2.7176619999999998</v>
      </c>
      <c r="R1604" s="33">
        <f>IF(ISBLANK(Q1605),"",Long3[[#This Row],[Adj Close]]/Q1605-1)</f>
        <v>0</v>
      </c>
      <c r="AK1604" s="37">
        <v>33868</v>
      </c>
      <c r="AL1604" s="39">
        <v>0.54251499999999997</v>
      </c>
      <c r="AM1604" s="36">
        <f>IF(ISBLANK(AL1605),"",Short1[[#This Row],[Adj Close]]/AL1605-1)</f>
        <v>0.22368308273898929</v>
      </c>
      <c r="AN1604" s="29">
        <v>33868</v>
      </c>
      <c r="AO1604" s="44">
        <v>2.1841900000000001</v>
      </c>
      <c r="AP1604" s="33">
        <f>IF(ISBLANK(AO1605),"",Short2[[#This Row],[Adj Close]]/AO1605-1)</f>
        <v>-3.0303057209806528E-2</v>
      </c>
    </row>
    <row r="1605" spans="1:42" x14ac:dyDescent="0.25">
      <c r="A1605" s="37">
        <v>33861</v>
      </c>
      <c r="B1605" s="39">
        <v>422.92999300000002</v>
      </c>
      <c r="C1605" s="36">
        <f>IF(ISBLANK(B1606), "", GSPC[[#This Row],[Adj Close]]/B1606-1)</f>
        <v>7.9841891982326274E-3</v>
      </c>
      <c r="D160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0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05" s="11" t="e">
        <f>IF(ISBLANK(GSPC[[#This Row],[Long Exp.]]), "", (GSPC[[#This Row],[Long Exp.]]/D1606-1)+(E1606/GSPC[[#This Row],[Short Exp.]]-1))</f>
        <v>#VALUE!</v>
      </c>
      <c r="G1605" s="37">
        <v>33861</v>
      </c>
      <c r="H1605">
        <v>6.594398</v>
      </c>
      <c r="I1605" s="36">
        <f>IF(ISBLANK(H1606), "", Long0[[#This Row],[Adj Close]]/H1606-1)</f>
        <v>1.8779543634703799E-2</v>
      </c>
      <c r="M1605" s="37">
        <v>33861</v>
      </c>
      <c r="N1605">
        <v>16.053553000000001</v>
      </c>
      <c r="O1605" s="36">
        <f>IF(ISBLANK(N1606),"",Long2[[#This Row],[Adj Close]]/N1606-1)</f>
        <v>3.7474326577757511E-2</v>
      </c>
      <c r="P1605" s="29">
        <v>33861</v>
      </c>
      <c r="Q1605">
        <v>2.7176619999999998</v>
      </c>
      <c r="R1605" s="33">
        <f>IF(ISBLANK(Q1606),"",Long3[[#This Row],[Adj Close]]/Q1606-1)</f>
        <v>0</v>
      </c>
      <c r="AK1605" s="37">
        <v>33861</v>
      </c>
      <c r="AL1605" s="39">
        <v>0.44334600000000002</v>
      </c>
      <c r="AM1605" s="36">
        <f>IF(ISBLANK(AL1606),"",Short1[[#This Row],[Adj Close]]/AL1606-1)</f>
        <v>8.5714285714285632E-2</v>
      </c>
      <c r="AN1605" s="29">
        <v>33861</v>
      </c>
      <c r="AO1605" s="44">
        <v>2.2524459999999999</v>
      </c>
      <c r="AP1605" s="33">
        <f>IF(ISBLANK(AO1606),"",Short2[[#This Row],[Adj Close]]/AO1606-1)</f>
        <v>5.3191539103917052E-2</v>
      </c>
    </row>
    <row r="1606" spans="1:42" x14ac:dyDescent="0.25">
      <c r="A1606" s="37">
        <v>33854</v>
      </c>
      <c r="B1606" s="39">
        <v>419.57998700000002</v>
      </c>
      <c r="C1606" s="36">
        <f>IF(ISBLANK(B1607), "", GSPC[[#This Row],[Adj Close]]/B1607-1)</f>
        <v>5.9940540853617996E-3</v>
      </c>
      <c r="D160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0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06" s="11" t="e">
        <f>IF(ISBLANK(GSPC[[#This Row],[Long Exp.]]), "", (GSPC[[#This Row],[Long Exp.]]/D1607-1)+(E1607/GSPC[[#This Row],[Short Exp.]]-1))</f>
        <v>#VALUE!</v>
      </c>
      <c r="G1606" s="37">
        <v>33854</v>
      </c>
      <c r="H1606">
        <v>6.4728409999999998</v>
      </c>
      <c r="I1606" s="36">
        <f>IF(ISBLANK(H1607), "", Long0[[#This Row],[Adj Close]]/H1607-1)</f>
        <v>0.10362684936206135</v>
      </c>
      <c r="M1606" s="37">
        <v>33854</v>
      </c>
      <c r="N1606">
        <v>15.473687</v>
      </c>
      <c r="O1606" s="36">
        <f>IF(ISBLANK(N1607),"",Long2[[#This Row],[Adj Close]]/N1607-1)</f>
        <v>-8.4504491700105877E-3</v>
      </c>
      <c r="P1606" s="29">
        <v>33854</v>
      </c>
      <c r="Q1606">
        <v>2.7176619999999998</v>
      </c>
      <c r="R1606" s="33">
        <f>IF(ISBLANK(Q1607),"",Long3[[#This Row],[Adj Close]]/Q1607-1)</f>
        <v>3.3679000850475926E-2</v>
      </c>
      <c r="AK1606" s="37">
        <v>33854</v>
      </c>
      <c r="AL1606" s="39">
        <v>0.40834500000000001</v>
      </c>
      <c r="AM1606" s="36">
        <f>IF(ISBLANK(AL1607),"",Short1[[#This Row],[Adj Close]]/AL1607-1)</f>
        <v>3.7037695454857023E-2</v>
      </c>
      <c r="AN1606" s="29">
        <v>33854</v>
      </c>
      <c r="AO1606" s="44">
        <v>2.1386859999999999</v>
      </c>
      <c r="AP1606" s="33">
        <f>IF(ISBLANK(AO1607),"",Short2[[#This Row],[Adj Close]]/AO1607-1)</f>
        <v>-3.0927863079319828E-2</v>
      </c>
    </row>
    <row r="1607" spans="1:42" x14ac:dyDescent="0.25">
      <c r="A1607" s="37">
        <v>33847</v>
      </c>
      <c r="B1607" s="39">
        <v>417.07998700000002</v>
      </c>
      <c r="C1607" s="36">
        <f>IF(ISBLANK(B1608), "", GSPC[[#This Row],[Adj Close]]/B1608-1)</f>
        <v>5.3996505197151379E-3</v>
      </c>
      <c r="D160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0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07" s="11" t="e">
        <f>IF(ISBLANK(GSPC[[#This Row],[Long Exp.]]), "", (GSPC[[#This Row],[Long Exp.]]/D1608-1)+(E1608/GSPC[[#This Row],[Short Exp.]]-1))</f>
        <v>#VALUE!</v>
      </c>
      <c r="G1607" s="37">
        <v>33847</v>
      </c>
      <c r="H1607">
        <v>5.8650630000000001</v>
      </c>
      <c r="I1607" s="36">
        <f>IF(ISBLANK(H1608), "", Long0[[#This Row],[Adj Close]]/H1608-1)</f>
        <v>1.5789336041152069E-2</v>
      </c>
      <c r="M1607" s="37">
        <v>33847</v>
      </c>
      <c r="N1607">
        <v>15.605561</v>
      </c>
      <c r="O1607" s="36">
        <f>IF(ISBLANK(N1608),"",Long2[[#This Row],[Adj Close]]/N1608-1)</f>
        <v>5.0295253260122408E-2</v>
      </c>
      <c r="P1607" s="29">
        <v>33847</v>
      </c>
      <c r="Q1607">
        <v>2.6291159999999998</v>
      </c>
      <c r="R1607" s="33">
        <f>IF(ISBLANK(Q1608),"",Long3[[#This Row],[Adj Close]]/Q1608-1)</f>
        <v>-4.9107162232738366E-2</v>
      </c>
      <c r="AK1607" s="37">
        <v>33847</v>
      </c>
      <c r="AL1607" s="39">
        <v>0.39376100000000003</v>
      </c>
      <c r="AM1607" s="36">
        <f>IF(ISBLANK(AL1608),"",Short1[[#This Row],[Adj Close]]/AL1608-1)</f>
        <v>2.2729279758967325E-2</v>
      </c>
      <c r="AN1607" s="29">
        <v>33847</v>
      </c>
      <c r="AO1607" s="44">
        <v>2.2069420000000002</v>
      </c>
      <c r="AP1607" s="33">
        <f>IF(ISBLANK(AO1608),"",Short2[[#This Row],[Adj Close]]/AO1608-1)</f>
        <v>-0.16379259389488132</v>
      </c>
    </row>
    <row r="1608" spans="1:42" x14ac:dyDescent="0.25">
      <c r="A1608" s="37">
        <v>33840</v>
      </c>
      <c r="B1608" s="39">
        <v>414.83999599999999</v>
      </c>
      <c r="C1608" s="36">
        <f>IF(ISBLANK(B1609), "", GSPC[[#This Row],[Adj Close]]/B1609-1)</f>
        <v>-2.4129202977563047E-5</v>
      </c>
      <c r="D160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0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08" s="11" t="e">
        <f>IF(ISBLANK(GSPC[[#This Row],[Long Exp.]]), "", (GSPC[[#This Row],[Long Exp.]]/D1609-1)+(E1609/GSPC[[#This Row],[Short Exp.]]-1))</f>
        <v>#VALUE!</v>
      </c>
      <c r="G1608" s="37">
        <v>33840</v>
      </c>
      <c r="H1608">
        <v>5.7738969999999998</v>
      </c>
      <c r="I1608" s="36">
        <f>IF(ISBLANK(H1609), "", Long0[[#This Row],[Adj Close]]/H1609-1)</f>
        <v>-4.5226069993420381E-2</v>
      </c>
      <c r="M1608" s="37">
        <v>33840</v>
      </c>
      <c r="N1608">
        <v>14.858261000000001</v>
      </c>
      <c r="O1608" s="36">
        <f>IF(ISBLANK(N1609),"",Long2[[#This Row],[Adj Close]]/N1609-1)</f>
        <v>1.8072002285242972E-2</v>
      </c>
      <c r="P1608" s="29">
        <v>33840</v>
      </c>
      <c r="Q1608">
        <v>2.7648920000000001</v>
      </c>
      <c r="R1608" s="33">
        <f>IF(ISBLANK(Q1609),"",Long3[[#This Row],[Adj Close]]/Q1609-1)</f>
        <v>-4.4447068956328106E-3</v>
      </c>
      <c r="AK1608" s="37">
        <v>33840</v>
      </c>
      <c r="AL1608" s="39">
        <v>0.38501000000000002</v>
      </c>
      <c r="AM1608" s="36">
        <f>IF(ISBLANK(AL1609),"",Short1[[#This Row],[Adj Close]]/AL1609-1)</f>
        <v>-1.4926671510884115E-2</v>
      </c>
      <c r="AN1608" s="29">
        <v>33840</v>
      </c>
      <c r="AO1608" s="44">
        <v>2.6392280000000001</v>
      </c>
      <c r="AP1608" s="33">
        <f>IF(ISBLANK(AO1609),"",Short2[[#This Row],[Adj Close]]/AO1609-1)</f>
        <v>3.1110756888682145E-2</v>
      </c>
    </row>
    <row r="1609" spans="1:42" x14ac:dyDescent="0.25">
      <c r="A1609" s="37">
        <v>33833</v>
      </c>
      <c r="B1609" s="39">
        <v>414.85000600000001</v>
      </c>
      <c r="C1609" s="36">
        <f>IF(ISBLANK(B1610), "", GSPC[[#This Row],[Adj Close]]/B1610-1)</f>
        <v>-1.2050196355883891E-2</v>
      </c>
      <c r="D160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0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09" s="11" t="e">
        <f>IF(ISBLANK(GSPC[[#This Row],[Long Exp.]]), "", (GSPC[[#This Row],[Long Exp.]]/D1610-1)+(E1610/GSPC[[#This Row],[Short Exp.]]-1))</f>
        <v>#VALUE!</v>
      </c>
      <c r="G1609" s="37">
        <v>33833</v>
      </c>
      <c r="H1609">
        <v>6.0473970000000001</v>
      </c>
      <c r="I1609" s="36">
        <f>IF(ISBLANK(H1610), "", Long0[[#This Row],[Adj Close]]/H1610-1)</f>
        <v>5.8510781678235979E-2</v>
      </c>
      <c r="M1609" s="37">
        <v>33833</v>
      </c>
      <c r="N1609">
        <v>14.594509</v>
      </c>
      <c r="O1609" s="36">
        <f>IF(ISBLANK(N1610),"",Long2[[#This Row],[Adj Close]]/N1610-1)</f>
        <v>-2.9238885043184171E-2</v>
      </c>
      <c r="P1609" s="29">
        <v>33833</v>
      </c>
      <c r="Q1609">
        <v>2.7772359999999998</v>
      </c>
      <c r="R1609" s="33">
        <f>IF(ISBLANK(Q1610),"",Long3[[#This Row],[Adj Close]]/Q1610-1)</f>
        <v>8.9695107840119803E-3</v>
      </c>
      <c r="AK1609" s="37">
        <v>33833</v>
      </c>
      <c r="AL1609" s="39">
        <v>0.39084400000000002</v>
      </c>
      <c r="AM1609" s="36">
        <f>IF(ISBLANK(AL1610),"",Short1[[#This Row],[Adj Close]]/AL1610-1)</f>
        <v>-2.8985543252234014E-2</v>
      </c>
      <c r="AN1609" s="29">
        <v>33833</v>
      </c>
      <c r="AO1609" s="44">
        <v>2.5595970000000001</v>
      </c>
      <c r="AP1609" s="33">
        <f>IF(ISBLANK(AO1610),"",Short2[[#This Row],[Adj Close]]/AO1610-1)</f>
        <v>-3.8461220595195966E-2</v>
      </c>
    </row>
    <row r="1610" spans="1:42" x14ac:dyDescent="0.25">
      <c r="A1610" s="37">
        <v>33826</v>
      </c>
      <c r="B1610" s="39">
        <v>419.91000400000001</v>
      </c>
      <c r="C1610" s="36">
        <f>IF(ISBLANK(B1611), "", GSPC[[#This Row],[Adj Close]]/B1611-1)</f>
        <v>2.458935704032994E-3</v>
      </c>
      <c r="D161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1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10" s="11" t="e">
        <f>IF(ISBLANK(GSPC[[#This Row],[Long Exp.]]), "", (GSPC[[#This Row],[Long Exp.]]/D1611-1)+(E1611/GSPC[[#This Row],[Short Exp.]]-1))</f>
        <v>#VALUE!</v>
      </c>
      <c r="G1610" s="37">
        <v>33826</v>
      </c>
      <c r="H1610">
        <v>5.7131179999999997</v>
      </c>
      <c r="I1610" s="36">
        <f>IF(ISBLANK(H1611), "", Long0[[#This Row],[Adj Close]]/H1611-1)</f>
        <v>1.6216437357144731E-2</v>
      </c>
      <c r="M1610" s="37">
        <v>33826</v>
      </c>
      <c r="N1610">
        <v>15.034089</v>
      </c>
      <c r="O1610" s="36">
        <f>IF(ISBLANK(N1611),"",Long2[[#This Row],[Adj Close]]/N1611-1)</f>
        <v>1.4836067549043541E-2</v>
      </c>
      <c r="P1610" s="29">
        <v>33826</v>
      </c>
      <c r="Q1610">
        <v>2.7525469999999999</v>
      </c>
      <c r="R1610" s="33">
        <f>IF(ISBLANK(Q1611),"",Long3[[#This Row],[Adj Close]]/Q1611-1)</f>
        <v>-4.4649121918687307E-3</v>
      </c>
      <c r="AK1610" s="37">
        <v>33826</v>
      </c>
      <c r="AL1610" s="39">
        <v>0.40251100000000001</v>
      </c>
      <c r="AM1610" s="36">
        <f>IF(ISBLANK(AL1611),"",Short1[[#This Row],[Adj Close]]/AL1611-1)</f>
        <v>-3.4965655306344989E-2</v>
      </c>
      <c r="AN1610" s="29">
        <v>33826</v>
      </c>
      <c r="AO1610" s="44">
        <v>2.6619799999999998</v>
      </c>
      <c r="AP1610" s="33">
        <f>IF(ISBLANK(AO1611),"",Short2[[#This Row],[Adj Close]]/AO1611-1)</f>
        <v>-1.9957381447823219E-2</v>
      </c>
    </row>
    <row r="1611" spans="1:42" x14ac:dyDescent="0.25">
      <c r="A1611" s="37">
        <v>33819</v>
      </c>
      <c r="B1611" s="39">
        <v>418.88000499999998</v>
      </c>
      <c r="C1611" s="36">
        <f>IF(ISBLANK(B1612), "", GSPC[[#This Row],[Adj Close]]/B1612-1)</f>
        <v>-1.2564498981826211E-2</v>
      </c>
      <c r="D161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1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11" s="11" t="e">
        <f>IF(ISBLANK(GSPC[[#This Row],[Long Exp.]]), "", (GSPC[[#This Row],[Long Exp.]]/D1612-1)+(E1612/GSPC[[#This Row],[Short Exp.]]-1))</f>
        <v>#VALUE!</v>
      </c>
      <c r="G1611" s="37">
        <v>33819</v>
      </c>
      <c r="H1611">
        <v>5.62195</v>
      </c>
      <c r="I1611" s="36">
        <f>IF(ISBLANK(H1612), "", Long0[[#This Row],[Adj Close]]/H1612-1)</f>
        <v>6.3218167991855756E-2</v>
      </c>
      <c r="M1611" s="37">
        <v>33819</v>
      </c>
      <c r="N1611">
        <v>14.814303000000001</v>
      </c>
      <c r="O1611" s="36">
        <f>IF(ISBLANK(N1612),"",Long2[[#This Row],[Adj Close]]/N1612-1)</f>
        <v>-6.6482021166869743E-2</v>
      </c>
      <c r="P1611" s="29">
        <v>33819</v>
      </c>
      <c r="Q1611">
        <v>2.7648920000000001</v>
      </c>
      <c r="R1611" s="33">
        <f>IF(ISBLANK(Q1612),"",Long3[[#This Row],[Adj Close]]/Q1612-1)</f>
        <v>-4.4447068956328106E-3</v>
      </c>
      <c r="AK1611" s="37">
        <v>33819</v>
      </c>
      <c r="AL1611" s="39">
        <v>0.41709499999999999</v>
      </c>
      <c r="AM1611" s="36">
        <f>IF(ISBLANK(AL1612),"",Short1[[#This Row],[Adj Close]]/AL1612-1)</f>
        <v>-6.9450396655333924E-3</v>
      </c>
      <c r="AN1611" s="29">
        <v>33819</v>
      </c>
      <c r="AO1611" s="44">
        <v>2.7161879999999998</v>
      </c>
      <c r="AP1611" s="33">
        <f>IF(ISBLANK(AO1612),"",Short2[[#This Row],[Adj Close]]/AO1612-1)</f>
        <v>-2.0491090908435372E-2</v>
      </c>
    </row>
    <row r="1612" spans="1:42" x14ac:dyDescent="0.25">
      <c r="A1612" s="37">
        <v>33812</v>
      </c>
      <c r="B1612" s="39">
        <v>424.209991</v>
      </c>
      <c r="C1612" s="36">
        <f>IF(ISBLANK(B1613), "", GSPC[[#This Row],[Adj Close]]/B1613-1)</f>
        <v>3.0636503440672813E-2</v>
      </c>
      <c r="D161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1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12" s="11" t="e">
        <f>IF(ISBLANK(GSPC[[#This Row],[Long Exp.]]), "", (GSPC[[#This Row],[Long Exp.]]/D1613-1)+(E1613/GSPC[[#This Row],[Short Exp.]]-1))</f>
        <v>#VALUE!</v>
      </c>
      <c r="G1612" s="37">
        <v>33812</v>
      </c>
      <c r="H1612">
        <v>5.2876729999999998</v>
      </c>
      <c r="I1612" s="36">
        <f>IF(ISBLANK(H1613), "", Long0[[#This Row],[Adj Close]]/H1613-1)</f>
        <v>4.8193310852346016E-2</v>
      </c>
      <c r="M1612" s="37">
        <v>33812</v>
      </c>
      <c r="N1612">
        <v>15.869327999999999</v>
      </c>
      <c r="O1612" s="36">
        <f>IF(ISBLANK(N1613),"",Long2[[#This Row],[Adj Close]]/N1613-1)</f>
        <v>0.15705166086232802</v>
      </c>
      <c r="P1612" s="29">
        <v>33812</v>
      </c>
      <c r="Q1612">
        <v>2.7772359999999998</v>
      </c>
      <c r="R1612" s="33">
        <f>IF(ISBLANK(Q1613),"",Long3[[#This Row],[Adj Close]]/Q1613-1)</f>
        <v>2.2727138816874826E-2</v>
      </c>
      <c r="AK1612" s="37">
        <v>33812</v>
      </c>
      <c r="AL1612" s="39">
        <v>0.420012</v>
      </c>
      <c r="AM1612" s="36">
        <f>IF(ISBLANK(AL1613),"",Short1[[#This Row],[Adj Close]]/AL1613-1)</f>
        <v>3.5971861834900309E-2</v>
      </c>
      <c r="AN1612" s="29">
        <v>33812</v>
      </c>
      <c r="AO1612" s="44">
        <v>2.7730100000000002</v>
      </c>
      <c r="AP1612" s="33">
        <f>IF(ISBLANK(AO1613),"",Short2[[#This Row],[Adj Close]]/AO1613-1)</f>
        <v>3.3897395095026539E-2</v>
      </c>
    </row>
    <row r="1613" spans="1:42" x14ac:dyDescent="0.25">
      <c r="A1613" s="37">
        <v>33805</v>
      </c>
      <c r="B1613" s="39">
        <v>411.60000600000001</v>
      </c>
      <c r="C1613" s="36">
        <f>IF(ISBLANK(B1614), "", GSPC[[#This Row],[Adj Close]]/B1614-1)</f>
        <v>-9.6722704594613962E-3</v>
      </c>
      <c r="D161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1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13" s="11" t="e">
        <f>IF(ISBLANK(GSPC[[#This Row],[Long Exp.]]), "", (GSPC[[#This Row],[Long Exp.]]/D1614-1)+(E1614/GSPC[[#This Row],[Short Exp.]]-1))</f>
        <v>#VALUE!</v>
      </c>
      <c r="G1613" s="37">
        <v>33805</v>
      </c>
      <c r="H1613">
        <v>5.0445589999999996</v>
      </c>
      <c r="I1613" s="36">
        <f>IF(ISBLANK(H1614), "", Long0[[#This Row],[Adj Close]]/H1614-1)</f>
        <v>1.2194346264936984E-2</v>
      </c>
      <c r="M1613" s="37">
        <v>33805</v>
      </c>
      <c r="N1613">
        <v>13.715315</v>
      </c>
      <c r="O1613" s="36">
        <f>IF(ISBLANK(N1614),"",Long2[[#This Row],[Adj Close]]/N1614-1)</f>
        <v>-9.5236644024048189E-3</v>
      </c>
      <c r="P1613" s="29">
        <v>33805</v>
      </c>
      <c r="Q1613">
        <v>2.7155200000000002</v>
      </c>
      <c r="R1613" s="33">
        <f>IF(ISBLANK(Q1614),"",Long3[[#This Row],[Adj Close]]/Q1614-1)</f>
        <v>1.8518483789528473E-2</v>
      </c>
      <c r="AK1613" s="37">
        <v>33805</v>
      </c>
      <c r="AL1613" s="39">
        <v>0.40542800000000001</v>
      </c>
      <c r="AM1613" s="36">
        <f>IF(ISBLANK(AL1614),"",Short1[[#This Row],[Adj Close]]/AL1614-1)</f>
        <v>-7.1434693702628893E-3</v>
      </c>
      <c r="AN1613" s="29">
        <v>33805</v>
      </c>
      <c r="AO1613" s="44">
        <v>2.6820940000000002</v>
      </c>
      <c r="AP1613" s="33">
        <f>IF(ISBLANK(AO1614),"",Short2[[#This Row],[Adj Close]]/AO1614-1)</f>
        <v>4.4248173505759381E-2</v>
      </c>
    </row>
    <row r="1614" spans="1:42" x14ac:dyDescent="0.25">
      <c r="A1614" s="37">
        <v>33798</v>
      </c>
      <c r="B1614" s="39">
        <v>415.61999500000002</v>
      </c>
      <c r="C1614" s="36">
        <f>IF(ISBLANK(B1615), "", GSPC[[#This Row],[Adj Close]]/B1615-1)</f>
        <v>2.4118470215117593E-3</v>
      </c>
      <c r="D161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1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14" s="11" t="e">
        <f>IF(ISBLANK(GSPC[[#This Row],[Long Exp.]]), "", (GSPC[[#This Row],[Long Exp.]]/D1615-1)+(E1615/GSPC[[#This Row],[Short Exp.]]-1))</f>
        <v>#VALUE!</v>
      </c>
      <c r="G1614" s="37">
        <v>33798</v>
      </c>
      <c r="H1614">
        <v>4.9837850000000001</v>
      </c>
      <c r="I1614" s="36">
        <f>IF(ISBLANK(H1615), "", Long0[[#This Row],[Adj Close]]/H1615-1)</f>
        <v>3.0586154456759829E-3</v>
      </c>
      <c r="M1614" s="37">
        <v>33798</v>
      </c>
      <c r="N1614">
        <v>13.847191</v>
      </c>
      <c r="O1614" s="36">
        <f>IF(ISBLANK(N1615),"",Long2[[#This Row],[Adj Close]]/N1615-1)</f>
        <v>-9.7421118646584426E-2</v>
      </c>
      <c r="P1614" s="29">
        <v>33798</v>
      </c>
      <c r="Q1614">
        <v>2.666147</v>
      </c>
      <c r="R1614" s="33">
        <f>IF(ISBLANK(Q1615),"",Long3[[#This Row],[Adj Close]]/Q1615-1)</f>
        <v>-1.3698331148249365E-2</v>
      </c>
      <c r="AK1614" s="37">
        <v>33798</v>
      </c>
      <c r="AL1614" s="39">
        <v>0.40834500000000001</v>
      </c>
      <c r="AM1614" s="36">
        <f>IF(ISBLANK(AL1615),"",Short1[[#This Row],[Adj Close]]/AL1615-1)</f>
        <v>-7.0903878558871147E-3</v>
      </c>
      <c r="AN1614" s="29">
        <v>33798</v>
      </c>
      <c r="AO1614" s="44">
        <v>2.5684450000000001</v>
      </c>
      <c r="AP1614" s="33">
        <f>IF(ISBLANK(AO1615),"",Short2[[#This Row],[Adj Close]]/AO1615-1)</f>
        <v>2.2624432587559973E-2</v>
      </c>
    </row>
    <row r="1615" spans="1:42" x14ac:dyDescent="0.25">
      <c r="A1615" s="37">
        <v>33791</v>
      </c>
      <c r="B1615" s="39">
        <v>414.61999500000002</v>
      </c>
      <c r="C1615" s="36">
        <f>IF(ISBLANK(B1616), "", GSPC[[#This Row],[Adj Close]]/B1616-1)</f>
        <v>6.9213543389146093E-3</v>
      </c>
      <c r="D161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1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15" s="11" t="e">
        <f>IF(ISBLANK(GSPC[[#This Row],[Long Exp.]]), "", (GSPC[[#This Row],[Long Exp.]]/D1616-1)+(E1616/GSPC[[#This Row],[Short Exp.]]-1))</f>
        <v>#VALUE!</v>
      </c>
      <c r="G1615" s="37">
        <v>33791</v>
      </c>
      <c r="H1615">
        <v>4.9685879999999996</v>
      </c>
      <c r="I1615" s="36">
        <f>IF(ISBLANK(H1616), "", Long0[[#This Row],[Adj Close]]/H1616-1)</f>
        <v>2.8301646640130018E-2</v>
      </c>
      <c r="M1615" s="37">
        <v>33791</v>
      </c>
      <c r="N1615">
        <v>15.341806999999999</v>
      </c>
      <c r="O1615" s="36">
        <f>IF(ISBLANK(N1616),"",Long2[[#This Row],[Adj Close]]/N1616-1)</f>
        <v>2.3460570388649016E-2</v>
      </c>
      <c r="P1615" s="29">
        <v>33791</v>
      </c>
      <c r="Q1615">
        <v>2.703176</v>
      </c>
      <c r="R1615" s="33">
        <f>IF(ISBLANK(Q1616),"",Long3[[#This Row],[Adj Close]]/Q1616-1)</f>
        <v>1.8604621367901197E-2</v>
      </c>
      <c r="AK1615" s="37">
        <v>33791</v>
      </c>
      <c r="AL1615" s="39">
        <v>0.41126099999999999</v>
      </c>
      <c r="AM1615" s="36">
        <f>IF(ISBLANK(AL1616),"",Short1[[#This Row],[Adj Close]]/AL1616-1)</f>
        <v>7.141020460639913E-3</v>
      </c>
      <c r="AN1615" s="29">
        <v>33791</v>
      </c>
      <c r="AO1615" s="44">
        <v>2.5116209999999999</v>
      </c>
      <c r="AP1615" s="33">
        <f>IF(ISBLANK(AO1616),"",Short2[[#This Row],[Adj Close]]/AO1616-1)</f>
        <v>7.8048403608058203E-2</v>
      </c>
    </row>
    <row r="1616" spans="1:42" x14ac:dyDescent="0.25">
      <c r="A1616" s="37">
        <v>33784</v>
      </c>
      <c r="B1616" s="39">
        <v>411.76998900000001</v>
      </c>
      <c r="C1616" s="36">
        <f>IF(ISBLANK(B1617), "", GSPC[[#This Row],[Adj Close]]/B1617-1)</f>
        <v>2.0622076471768613E-2</v>
      </c>
      <c r="D161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1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16" s="11" t="e">
        <f>IF(ISBLANK(GSPC[[#This Row],[Long Exp.]]), "", (GSPC[[#This Row],[Long Exp.]]/D1617-1)+(E1617/GSPC[[#This Row],[Short Exp.]]-1))</f>
        <v>#VALUE!</v>
      </c>
      <c r="G1616" s="37">
        <v>33784</v>
      </c>
      <c r="H1616">
        <v>4.8318390000000004</v>
      </c>
      <c r="I1616" s="36">
        <f>IF(ISBLANK(H1617), "", Long0[[#This Row],[Adj Close]]/H1617-1)</f>
        <v>4.7453705209131503E-2</v>
      </c>
      <c r="M1616" s="37">
        <v>33784</v>
      </c>
      <c r="N1616">
        <v>14.990130000000001</v>
      </c>
      <c r="O1616" s="36">
        <f>IF(ISBLANK(N1617),"",Long2[[#This Row],[Adj Close]]/N1617-1)</f>
        <v>-2.9239550198219E-3</v>
      </c>
      <c r="P1616" s="29">
        <v>33784</v>
      </c>
      <c r="Q1616">
        <v>2.6538029999999999</v>
      </c>
      <c r="R1616" s="33">
        <f>IF(ISBLANK(Q1617),"",Long3[[#This Row],[Adj Close]]/Q1617-1)</f>
        <v>3.8647278710416177E-2</v>
      </c>
      <c r="AK1616" s="37">
        <v>33784</v>
      </c>
      <c r="AL1616" s="39">
        <v>0.40834500000000001</v>
      </c>
      <c r="AM1616" s="36">
        <f>IF(ISBLANK(AL1617),"",Short1[[#This Row],[Adj Close]]/AL1617-1)</f>
        <v>7.1948656728197946E-3</v>
      </c>
      <c r="AN1616" s="29">
        <v>33784</v>
      </c>
      <c r="AO1616" s="44">
        <v>2.3297850000000002</v>
      </c>
      <c r="AP1616" s="33">
        <f>IF(ISBLANK(AO1617),"",Short2[[#This Row],[Adj Close]]/AO1617-1)</f>
        <v>0.18497124526539976</v>
      </c>
    </row>
    <row r="1617" spans="1:42" x14ac:dyDescent="0.25">
      <c r="A1617" s="37">
        <v>33777</v>
      </c>
      <c r="B1617" s="39">
        <v>403.45001200000002</v>
      </c>
      <c r="C1617" s="36">
        <f>IF(ISBLANK(B1618), "", GSPC[[#This Row],[Adj Close]]/B1618-1)</f>
        <v>-5.4500208812879869E-4</v>
      </c>
      <c r="D161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1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17" s="11" t="e">
        <f>IF(ISBLANK(GSPC[[#This Row],[Long Exp.]]), "", (GSPC[[#This Row],[Long Exp.]]/D1618-1)+(E1618/GSPC[[#This Row],[Short Exp.]]-1))</f>
        <v>#VALUE!</v>
      </c>
      <c r="G1617" s="37">
        <v>33777</v>
      </c>
      <c r="H1617">
        <v>4.6129379999999998</v>
      </c>
      <c r="I1617" s="36">
        <f>IF(ISBLANK(H1618), "", Long0[[#This Row],[Adj Close]]/H1618-1)</f>
        <v>3.0508418538141679E-2</v>
      </c>
      <c r="M1617" s="37">
        <v>33777</v>
      </c>
      <c r="N1617">
        <v>15.034089</v>
      </c>
      <c r="O1617" s="36">
        <f>IF(ISBLANK(N1618),"",Long2[[#This Row],[Adj Close]]/N1618-1)</f>
        <v>-3.6619766505029849E-2</v>
      </c>
      <c r="P1617" s="29">
        <v>33777</v>
      </c>
      <c r="Q1617">
        <v>2.5550570000000001</v>
      </c>
      <c r="R1617" s="33">
        <f>IF(ISBLANK(Q1618),"",Long3[[#This Row],[Adj Close]]/Q1618-1)</f>
        <v>9.7562807020317166E-3</v>
      </c>
      <c r="AK1617" s="37">
        <v>33777</v>
      </c>
      <c r="AL1617" s="39">
        <v>0.40542800000000001</v>
      </c>
      <c r="AM1617" s="36">
        <f>IF(ISBLANK(AL1618),"",Short1[[#This Row],[Adj Close]]/AL1618-1)</f>
        <v>0.18803258512571053</v>
      </c>
      <c r="AN1617" s="29">
        <v>33777</v>
      </c>
      <c r="AO1617" s="44">
        <v>1.9661109999999999</v>
      </c>
      <c r="AP1617" s="33">
        <f>IF(ISBLANK(AO1618),"",Short2[[#This Row],[Adj Close]]/AO1618-1)</f>
        <v>3.5928241518882187E-2</v>
      </c>
    </row>
    <row r="1618" spans="1:42" x14ac:dyDescent="0.25">
      <c r="A1618" s="37">
        <v>33770</v>
      </c>
      <c r="B1618" s="39">
        <v>403.67001299999998</v>
      </c>
      <c r="C1618" s="36">
        <f>IF(ISBLANK(B1619), "", GSPC[[#This Row],[Adj Close]]/B1619-1)</f>
        <v>-1.4862350769661581E-2</v>
      </c>
      <c r="D161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1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18" s="11" t="e">
        <f>IF(ISBLANK(GSPC[[#This Row],[Long Exp.]]), "", (GSPC[[#This Row],[Long Exp.]]/D1619-1)+(E1619/GSPC[[#This Row],[Short Exp.]]-1))</f>
        <v>#VALUE!</v>
      </c>
      <c r="G1618" s="37">
        <v>33770</v>
      </c>
      <c r="H1618">
        <v>4.4763710000000003</v>
      </c>
      <c r="I1618" s="36">
        <f>IF(ISBLANK(H1619), "", Long0[[#This Row],[Adj Close]]/H1619-1)</f>
        <v>-1.6666732568259679E-2</v>
      </c>
      <c r="M1618" s="37">
        <v>33770</v>
      </c>
      <c r="N1618">
        <v>15.605561</v>
      </c>
      <c r="O1618" s="36">
        <f>IF(ISBLANK(N1619),"",Long2[[#This Row],[Adj Close]]/N1619-1)</f>
        <v>-9.6059447435009493E-2</v>
      </c>
      <c r="P1618" s="29">
        <v>33770</v>
      </c>
      <c r="Q1618">
        <v>2.53037</v>
      </c>
      <c r="R1618" s="33">
        <f>IF(ISBLANK(Q1619),"",Long3[[#This Row],[Adj Close]]/Q1619-1)</f>
        <v>1.9900056348292061E-2</v>
      </c>
      <c r="AK1618" s="37">
        <v>33770</v>
      </c>
      <c r="AL1618" s="39">
        <v>0.34126000000000001</v>
      </c>
      <c r="AM1618" s="36">
        <f>IF(ISBLANK(AL1619),"",Short1[[#This Row],[Adj Close]]/AL1619-1)</f>
        <v>-0.13333214818125716</v>
      </c>
      <c r="AN1618" s="29">
        <v>33770</v>
      </c>
      <c r="AO1618" s="44">
        <v>1.8979220000000001</v>
      </c>
      <c r="AP1618" s="33">
        <f>IF(ISBLANK(AO1619),"",Short2[[#This Row],[Adj Close]]/AO1619-1)</f>
        <v>-3.4682172064547601E-2</v>
      </c>
    </row>
    <row r="1619" spans="1:42" x14ac:dyDescent="0.25">
      <c r="A1619" s="37">
        <v>33763</v>
      </c>
      <c r="B1619" s="39">
        <v>409.76001000000002</v>
      </c>
      <c r="C1619" s="36">
        <f>IF(ISBLANK(B1620), "", GSPC[[#This Row],[Adj Close]]/B1620-1)</f>
        <v>-8.9968097635557687E-3</v>
      </c>
      <c r="D161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1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19" s="11" t="e">
        <f>IF(ISBLANK(GSPC[[#This Row],[Long Exp.]]), "", (GSPC[[#This Row],[Long Exp.]]/D1620-1)+(E1620/GSPC[[#This Row],[Short Exp.]]-1))</f>
        <v>#VALUE!</v>
      </c>
      <c r="G1619" s="37">
        <v>33763</v>
      </c>
      <c r="H1619">
        <v>4.5522419999999997</v>
      </c>
      <c r="I1619" s="36">
        <f>IF(ISBLANK(H1620), "", Long0[[#This Row],[Adj Close]]/H1620-1)</f>
        <v>6.7120149512669425E-3</v>
      </c>
      <c r="M1619" s="37">
        <v>33763</v>
      </c>
      <c r="N1619">
        <v>17.263923999999999</v>
      </c>
      <c r="O1619" s="36">
        <f>IF(ISBLANK(N1620),"",Long2[[#This Row],[Adj Close]]/N1620-1)</f>
        <v>6.7567473974836423E-2</v>
      </c>
      <c r="P1619" s="29">
        <v>33763</v>
      </c>
      <c r="Q1619">
        <v>2.480998</v>
      </c>
      <c r="R1619" s="33">
        <f>IF(ISBLANK(Q1620),"",Long3[[#This Row],[Adj Close]]/Q1620-1)</f>
        <v>2.0936834780518998E-2</v>
      </c>
      <c r="AK1619" s="37">
        <v>33763</v>
      </c>
      <c r="AL1619" s="39">
        <v>0.39376100000000003</v>
      </c>
      <c r="AM1619" s="36">
        <f>IF(ISBLANK(AL1620),"",Short1[[#This Row],[Adj Close]]/AL1620-1)</f>
        <v>-8.1632700659106772E-2</v>
      </c>
      <c r="AN1619" s="29">
        <v>33763</v>
      </c>
      <c r="AO1619" s="44">
        <v>1.9661109999999999</v>
      </c>
      <c r="AP1619" s="33">
        <f>IF(ISBLANK(AO1620),"",Short2[[#This Row],[Adj Close]]/AO1620-1)</f>
        <v>-5.9782231843846678E-2</v>
      </c>
    </row>
    <row r="1620" spans="1:42" x14ac:dyDescent="0.25">
      <c r="A1620" s="37">
        <v>33756</v>
      </c>
      <c r="B1620" s="39">
        <v>413.48001099999999</v>
      </c>
      <c r="C1620" s="36">
        <f>IF(ISBLANK(B1621), "", GSPC[[#This Row],[Adj Close]]/B1621-1)</f>
        <v>-4.5022149343607598E-3</v>
      </c>
      <c r="D162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2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20" s="11" t="e">
        <f>IF(ISBLANK(GSPC[[#This Row],[Long Exp.]]), "", (GSPC[[#This Row],[Long Exp.]]/D1621-1)+(E1621/GSPC[[#This Row],[Short Exp.]]-1))</f>
        <v>#VALUE!</v>
      </c>
      <c r="G1620" s="37">
        <v>33756</v>
      </c>
      <c r="H1620">
        <v>4.5218910000000001</v>
      </c>
      <c r="I1620" s="36">
        <f>IF(ISBLANK(H1621), "", Long0[[#This Row],[Adj Close]]/H1621-1)</f>
        <v>6.4285124197442256E-2</v>
      </c>
      <c r="M1620" s="37">
        <v>33756</v>
      </c>
      <c r="N1620">
        <v>16.171271999999998</v>
      </c>
      <c r="O1620" s="36">
        <f>IF(ISBLANK(N1621),"",Long2[[#This Row],[Adj Close]]/N1621-1)</f>
        <v>5.4346400136981998E-3</v>
      </c>
      <c r="P1620" s="29">
        <v>33756</v>
      </c>
      <c r="Q1620">
        <v>2.4301189999999999</v>
      </c>
      <c r="R1620" s="33">
        <f>IF(ISBLANK(Q1621),"",Long3[[#This Row],[Adj Close]]/Q1621-1)</f>
        <v>-3.8461629771252226E-2</v>
      </c>
      <c r="AK1620" s="37">
        <v>33756</v>
      </c>
      <c r="AL1620" s="39">
        <v>0.42876199999999998</v>
      </c>
      <c r="AM1620" s="36">
        <f>IF(ISBLANK(AL1621),"",Short1[[#This Row],[Adj Close]]/AL1621-1)</f>
        <v>0.16666757367146467</v>
      </c>
      <c r="AN1620" s="29">
        <v>33756</v>
      </c>
      <c r="AO1620" s="44">
        <v>2.0911230000000001</v>
      </c>
      <c r="AP1620" s="33">
        <f>IF(ISBLANK(AO1621),"",Short2[[#This Row],[Adj Close]]/AO1621-1)</f>
        <v>5.1428999531887731E-2</v>
      </c>
    </row>
    <row r="1621" spans="1:42" x14ac:dyDescent="0.25">
      <c r="A1621" s="37">
        <v>33749</v>
      </c>
      <c r="B1621" s="39">
        <v>415.35000600000001</v>
      </c>
      <c r="C1621" s="36">
        <f>IF(ISBLANK(B1622), "", GSPC[[#This Row],[Adj Close]]/B1622-1)</f>
        <v>3.2124463439855422E-3</v>
      </c>
      <c r="D162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2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21" s="11" t="e">
        <f>IF(ISBLANK(GSPC[[#This Row],[Long Exp.]]), "", (GSPC[[#This Row],[Long Exp.]]/D1622-1)+(E1622/GSPC[[#This Row],[Short Exp.]]-1))</f>
        <v>#VALUE!</v>
      </c>
      <c r="G1621" s="37">
        <v>33749</v>
      </c>
      <c r="H1621">
        <v>4.2487589999999997</v>
      </c>
      <c r="I1621" s="36">
        <f>IF(ISBLANK(H1622), "", Long0[[#This Row],[Adj Close]]/H1622-1)</f>
        <v>3.5841963725777859E-3</v>
      </c>
      <c r="M1621" s="37">
        <v>33749</v>
      </c>
      <c r="N1621">
        <v>16.083862</v>
      </c>
      <c r="O1621" s="36">
        <f>IF(ISBLANK(N1622),"",Long2[[#This Row],[Adj Close]]/N1622-1)</f>
        <v>-5.3984626941836034E-2</v>
      </c>
      <c r="P1621" s="29">
        <v>33749</v>
      </c>
      <c r="Q1621">
        <v>2.5273240000000001</v>
      </c>
      <c r="R1621" s="33">
        <f>IF(ISBLANK(Q1622),"",Long3[[#This Row],[Adj Close]]/Q1622-1)</f>
        <v>9.7090636838190747E-3</v>
      </c>
      <c r="AK1621" s="37">
        <v>33749</v>
      </c>
      <c r="AL1621" s="39">
        <v>0.36751</v>
      </c>
      <c r="AM1621" s="36">
        <f>IF(ISBLANK(AL1622),"",Short1[[#This Row],[Adj Close]]/AL1622-1)</f>
        <v>-1.562633924745005E-2</v>
      </c>
      <c r="AN1621" s="29">
        <v>33749</v>
      </c>
      <c r="AO1621" s="44">
        <v>1.988839</v>
      </c>
      <c r="AP1621" s="33">
        <f>IF(ISBLANK(AO1622),"",Short2[[#This Row],[Adj Close]]/AO1622-1)</f>
        <v>2.3391192977599395E-2</v>
      </c>
    </row>
    <row r="1622" spans="1:42" x14ac:dyDescent="0.25">
      <c r="A1622" s="37">
        <v>33742</v>
      </c>
      <c r="B1622" s="39">
        <v>414.01998900000001</v>
      </c>
      <c r="C1622" s="36">
        <f>IF(ISBLANK(B1623), "", GSPC[[#This Row],[Adj Close]]/B1623-1)</f>
        <v>9.5832452347850428E-3</v>
      </c>
      <c r="D162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2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22" s="11" t="e">
        <f>IF(ISBLANK(GSPC[[#This Row],[Long Exp.]]), "", (GSPC[[#This Row],[Long Exp.]]/D1623-1)+(E1623/GSPC[[#This Row],[Short Exp.]]-1))</f>
        <v>#VALUE!</v>
      </c>
      <c r="G1622" s="37">
        <v>33742</v>
      </c>
      <c r="H1622">
        <v>4.2335849999999997</v>
      </c>
      <c r="I1622" s="36">
        <f>IF(ISBLANK(H1623), "", Long0[[#This Row],[Adj Close]]/H1623-1)</f>
        <v>1.4545804858842271E-2</v>
      </c>
      <c r="M1622" s="37">
        <v>33742</v>
      </c>
      <c r="N1622">
        <v>17.001691999999998</v>
      </c>
      <c r="O1622" s="36">
        <f>IF(ISBLANK(N1623),"",Long2[[#This Row],[Adj Close]]/N1623-1)</f>
        <v>-2.0151009671357412E-2</v>
      </c>
      <c r="P1622" s="29">
        <v>33742</v>
      </c>
      <c r="Q1622">
        <v>2.5030220000000001</v>
      </c>
      <c r="R1622" s="33">
        <f>IF(ISBLANK(Q1623),"",Long3[[#This Row],[Adj Close]]/Q1623-1)</f>
        <v>4.877809859358484E-3</v>
      </c>
      <c r="AK1622" s="37">
        <v>33742</v>
      </c>
      <c r="AL1622" s="39">
        <v>0.37334400000000001</v>
      </c>
      <c r="AM1622" s="36">
        <f>IF(ISBLANK(AL1623),"",Short1[[#This Row],[Adj Close]]/AL1623-1)</f>
        <v>-7.2462615928508778E-2</v>
      </c>
      <c r="AN1622" s="29">
        <v>33742</v>
      </c>
      <c r="AO1622" s="44">
        <v>1.943381</v>
      </c>
      <c r="AP1622" s="33">
        <f>IF(ISBLANK(AO1623),"",Short2[[#This Row],[Adj Close]]/AO1623-1)</f>
        <v>9.6153835306831859E-2</v>
      </c>
    </row>
    <row r="1623" spans="1:42" x14ac:dyDescent="0.25">
      <c r="A1623" s="37">
        <v>33735</v>
      </c>
      <c r="B1623" s="39">
        <v>410.08999599999999</v>
      </c>
      <c r="C1623" s="36">
        <f>IF(ISBLANK(B1624), "", GSPC[[#This Row],[Adj Close]]/B1624-1)</f>
        <v>-1.4325182482639587E-2</v>
      </c>
      <c r="D162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2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23" s="11" t="e">
        <f>IF(ISBLANK(GSPC[[#This Row],[Long Exp.]]), "", (GSPC[[#This Row],[Long Exp.]]/D1624-1)+(E1624/GSPC[[#This Row],[Short Exp.]]-1))</f>
        <v>#VALUE!</v>
      </c>
      <c r="G1623" s="37">
        <v>33735</v>
      </c>
      <c r="H1623">
        <v>4.1728870000000002</v>
      </c>
      <c r="I1623" s="36">
        <f>IF(ISBLANK(H1624), "", Long0[[#This Row],[Adj Close]]/H1624-1)</f>
        <v>-1.4337257903171752E-2</v>
      </c>
      <c r="M1623" s="37">
        <v>33735</v>
      </c>
      <c r="N1623">
        <v>17.351338999999999</v>
      </c>
      <c r="O1623" s="36">
        <f>IF(ISBLANK(N1624),"",Long2[[#This Row],[Adj Close]]/N1624-1)</f>
        <v>-5.0121726076045592E-3</v>
      </c>
      <c r="P1623" s="29">
        <v>33735</v>
      </c>
      <c r="Q1623">
        <v>2.490872</v>
      </c>
      <c r="R1623" s="33">
        <f>IF(ISBLANK(Q1624),"",Long3[[#This Row],[Adj Close]]/Q1624-1)</f>
        <v>7.3710510926350281E-3</v>
      </c>
      <c r="AK1623" s="37">
        <v>33735</v>
      </c>
      <c r="AL1623" s="39">
        <v>0.40251100000000001</v>
      </c>
      <c r="AM1623" s="36">
        <f>IF(ISBLANK(AL1624),"",Short1[[#This Row],[Adj Close]]/AL1624-1)</f>
        <v>-7.3825055511453241E-2</v>
      </c>
      <c r="AN1623" s="29">
        <v>33735</v>
      </c>
      <c r="AO1623" s="44">
        <v>1.7729090000000001</v>
      </c>
      <c r="AP1623" s="33">
        <f>IF(ISBLANK(AO1624),"",Short2[[#This Row],[Adj Close]]/AO1624-1)</f>
        <v>-9.8266069413171397E-2</v>
      </c>
    </row>
    <row r="1624" spans="1:42" x14ac:dyDescent="0.25">
      <c r="A1624" s="37">
        <v>33728</v>
      </c>
      <c r="B1624" s="39">
        <v>416.04998799999998</v>
      </c>
      <c r="C1624" s="36">
        <f>IF(ISBLANK(B1625), "", GSPC[[#This Row],[Adj Close]]/B1625-1)</f>
        <v>8.532686128360778E-3</v>
      </c>
      <c r="D162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2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24" s="11" t="e">
        <f>IF(ISBLANK(GSPC[[#This Row],[Long Exp.]]), "", (GSPC[[#This Row],[Long Exp.]]/D1625-1)+(E1625/GSPC[[#This Row],[Short Exp.]]-1))</f>
        <v>#VALUE!</v>
      </c>
      <c r="G1624" s="37">
        <v>33728</v>
      </c>
      <c r="H1624">
        <v>4.2335849999999997</v>
      </c>
      <c r="I1624" s="36">
        <f>IF(ISBLANK(H1625), "", Long0[[#This Row],[Adj Close]]/H1625-1)</f>
        <v>3.5970890460887972E-3</v>
      </c>
      <c r="M1624" s="37">
        <v>33728</v>
      </c>
      <c r="N1624">
        <v>17.438745000000001</v>
      </c>
      <c r="O1624" s="36">
        <f>IF(ISBLANK(N1625),"",Long2[[#This Row],[Adj Close]]/N1625-1)</f>
        <v>2.511921494908087E-3</v>
      </c>
      <c r="P1624" s="29">
        <v>33728</v>
      </c>
      <c r="Q1624">
        <v>2.4726460000000001</v>
      </c>
      <c r="R1624" s="33">
        <f>IF(ISBLANK(Q1625),"",Long3[[#This Row],[Adj Close]]/Q1625-1)</f>
        <v>7.4261974015030763E-3</v>
      </c>
      <c r="AK1624" s="37">
        <v>33728</v>
      </c>
      <c r="AL1624" s="39">
        <v>0.43459500000000001</v>
      </c>
      <c r="AM1624" s="36">
        <f>IF(ISBLANK(AL1625),"",Short1[[#This Row],[Adj Close]]/AL1625-1)</f>
        <v>2.0547382263499614E-2</v>
      </c>
      <c r="AN1624" s="29">
        <v>33728</v>
      </c>
      <c r="AO1624" s="44">
        <v>1.9661109999999999</v>
      </c>
      <c r="AP1624" s="33">
        <f>IF(ISBLANK(AO1625),"",Short2[[#This Row],[Adj Close]]/AO1625-1)</f>
        <v>-4.3969143110623721E-3</v>
      </c>
    </row>
    <row r="1625" spans="1:42" x14ac:dyDescent="0.25">
      <c r="A1625" s="37">
        <v>33721</v>
      </c>
      <c r="B1625" s="39">
        <v>412.52999899999998</v>
      </c>
      <c r="C1625" s="36">
        <f>IF(ISBLANK(B1626), "", GSPC[[#This Row],[Adj Close]]/B1626-1)</f>
        <v>8.5815121372954106E-3</v>
      </c>
      <c r="D162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2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25" s="11" t="e">
        <f>IF(ISBLANK(GSPC[[#This Row],[Long Exp.]]), "", (GSPC[[#This Row],[Long Exp.]]/D1626-1)+(E1626/GSPC[[#This Row],[Short Exp.]]-1))</f>
        <v>#VALUE!</v>
      </c>
      <c r="G1625" s="37">
        <v>33721</v>
      </c>
      <c r="H1625">
        <v>4.2184109999999997</v>
      </c>
      <c r="I1625" s="36">
        <f>IF(ISBLANK(H1626), "", Long0[[#This Row],[Adj Close]]/H1626-1)</f>
        <v>2.5830262789285907E-2</v>
      </c>
      <c r="M1625" s="37">
        <v>33721</v>
      </c>
      <c r="N1625">
        <v>17.395050000000001</v>
      </c>
      <c r="O1625" s="36">
        <f>IF(ISBLANK(N1626),"",Long2[[#This Row],[Adj Close]]/N1626-1)</f>
        <v>3.3766355093532541E-2</v>
      </c>
      <c r="P1625" s="29">
        <v>33721</v>
      </c>
      <c r="Q1625">
        <v>2.4544190000000001</v>
      </c>
      <c r="R1625" s="33">
        <f>IF(ISBLANK(Q1626),"",Long3[[#This Row],[Adj Close]]/Q1626-1)</f>
        <v>2.0201444997086204E-2</v>
      </c>
      <c r="AK1625" s="37">
        <v>33721</v>
      </c>
      <c r="AL1625" s="39">
        <v>0.42584499999999997</v>
      </c>
      <c r="AM1625" s="36">
        <f>IF(ISBLANK(AL1626),"",Short1[[#This Row],[Adj Close]]/AL1626-1)</f>
        <v>-8.1759609454849724E-2</v>
      </c>
      <c r="AN1625" s="29">
        <v>33721</v>
      </c>
      <c r="AO1625" s="44">
        <v>1.9747939999999999</v>
      </c>
      <c r="AP1625" s="33">
        <f>IF(ISBLANK(AO1626),"",Short2[[#This Row],[Adj Close]]/AO1626-1)</f>
        <v>-5.9459773541915451E-2</v>
      </c>
    </row>
    <row r="1626" spans="1:42" x14ac:dyDescent="0.25">
      <c r="A1626" s="37">
        <v>33714</v>
      </c>
      <c r="B1626" s="39">
        <v>409.01998900000001</v>
      </c>
      <c r="C1626" s="36">
        <f>IF(ISBLANK(B1627), "", GSPC[[#This Row],[Adj Close]]/B1627-1)</f>
        <v>-1.6873425267135755E-2</v>
      </c>
      <c r="D162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2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26" s="11" t="e">
        <f>IF(ISBLANK(GSPC[[#This Row],[Long Exp.]]), "", (GSPC[[#This Row],[Long Exp.]]/D1627-1)+(E1627/GSPC[[#This Row],[Short Exp.]]-1))</f>
        <v>#VALUE!</v>
      </c>
      <c r="G1626" s="37">
        <v>33714</v>
      </c>
      <c r="H1626">
        <v>4.1121920000000003</v>
      </c>
      <c r="I1626" s="36">
        <f>IF(ISBLANK(H1627), "", Long0[[#This Row],[Adj Close]]/H1627-1)</f>
        <v>-5.9027264510371324E-2</v>
      </c>
      <c r="M1626" s="37">
        <v>33714</v>
      </c>
      <c r="N1626">
        <v>16.826868000000001</v>
      </c>
      <c r="O1626" s="36">
        <f>IF(ISBLANK(N1627),"",Long2[[#This Row],[Adj Close]]/N1627-1)</f>
        <v>-5.4054196874076199E-2</v>
      </c>
      <c r="P1626" s="29">
        <v>33714</v>
      </c>
      <c r="Q1626">
        <v>2.405818</v>
      </c>
      <c r="R1626" s="33">
        <f>IF(ISBLANK(Q1627),"",Long3[[#This Row],[Adj Close]]/Q1627-1)</f>
        <v>-9.9999218145283564E-3</v>
      </c>
      <c r="AK1626" s="37">
        <v>33714</v>
      </c>
      <c r="AL1626" s="39">
        <v>0.46376200000000001</v>
      </c>
      <c r="AM1626" s="36">
        <f>IF(ISBLANK(AL1627),"",Short1[[#This Row],[Adj Close]]/AL1627-1)</f>
        <v>-0.16753964293535428</v>
      </c>
      <c r="AN1626" s="29">
        <v>33714</v>
      </c>
      <c r="AO1626" s="44">
        <v>2.0996380000000001</v>
      </c>
      <c r="AP1626" s="33">
        <f>IF(ISBLANK(AO1627),"",Short2[[#This Row],[Adj Close]]/AO1627-1)</f>
        <v>-8.4158132965653887E-2</v>
      </c>
    </row>
    <row r="1627" spans="1:42" x14ac:dyDescent="0.25">
      <c r="A1627" s="37">
        <v>33707</v>
      </c>
      <c r="B1627" s="39">
        <v>416.040009</v>
      </c>
      <c r="C1627" s="36">
        <f>IF(ISBLANK(B1628), "", GSPC[[#This Row],[Adj Close]]/B1628-1)</f>
        <v>2.9063295501818853E-2</v>
      </c>
      <c r="D162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2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27" s="11" t="e">
        <f>IF(ISBLANK(GSPC[[#This Row],[Long Exp.]]), "", (GSPC[[#This Row],[Long Exp.]]/D1628-1)+(E1628/GSPC[[#This Row],[Short Exp.]]-1))</f>
        <v>#VALUE!</v>
      </c>
      <c r="G1627" s="37">
        <v>33707</v>
      </c>
      <c r="H1627">
        <v>4.3701499999999998</v>
      </c>
      <c r="I1627" s="36">
        <f>IF(ISBLANK(H1628), "", Long0[[#This Row],[Adj Close]]/H1628-1)</f>
        <v>-2.0408209011262723E-2</v>
      </c>
      <c r="M1627" s="37">
        <v>33707</v>
      </c>
      <c r="N1627">
        <v>17.788405999999998</v>
      </c>
      <c r="O1627" s="36">
        <f>IF(ISBLANK(N1628),"",Long2[[#This Row],[Adj Close]]/N1628-1)</f>
        <v>-2.4499646536185749E-3</v>
      </c>
      <c r="P1627" s="29">
        <v>33707</v>
      </c>
      <c r="Q1627">
        <v>2.4301189999999999</v>
      </c>
      <c r="R1627" s="33">
        <f>IF(ISBLANK(Q1628),"",Long3[[#This Row],[Adj Close]]/Q1628-1)</f>
        <v>3.6269799033203487E-2</v>
      </c>
      <c r="AK1627" s="37">
        <v>33707</v>
      </c>
      <c r="AL1627" s="39">
        <v>0.55709799999999998</v>
      </c>
      <c r="AM1627" s="36">
        <f>IF(ISBLANK(AL1628),"",Short1[[#This Row],[Adj Close]]/AL1628-1)</f>
        <v>-5.2087890502934275E-3</v>
      </c>
      <c r="AN1627" s="29">
        <v>33707</v>
      </c>
      <c r="AO1627" s="44">
        <v>2.2925770000000001</v>
      </c>
      <c r="AP1627" s="33">
        <f>IF(ISBLANK(AO1628),"",Short2[[#This Row],[Adj Close]]/AO1628-1)</f>
        <v>-2.4154607878691947E-2</v>
      </c>
    </row>
    <row r="1628" spans="1:42" x14ac:dyDescent="0.25">
      <c r="A1628" s="37">
        <v>33700</v>
      </c>
      <c r="B1628" s="39">
        <v>404.290009</v>
      </c>
      <c r="C1628" s="36">
        <f>IF(ISBLANK(B1629), "", GSPC[[#This Row],[Adj Close]]/B1629-1)</f>
        <v>6.8236112112647351E-3</v>
      </c>
      <c r="D162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2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28" s="11" t="e">
        <f>IF(ISBLANK(GSPC[[#This Row],[Long Exp.]]), "", (GSPC[[#This Row],[Long Exp.]]/D1629-1)+(E1629/GSPC[[#This Row],[Short Exp.]]-1))</f>
        <v>#VALUE!</v>
      </c>
      <c r="G1628" s="37">
        <v>33700</v>
      </c>
      <c r="H1628">
        <v>4.461195</v>
      </c>
      <c r="I1628" s="36">
        <f>IF(ISBLANK(H1629), "", Long0[[#This Row],[Adj Close]]/H1629-1)</f>
        <v>-6.756919224213398E-3</v>
      </c>
      <c r="M1628" s="37">
        <v>33700</v>
      </c>
      <c r="N1628">
        <v>17.832094000000001</v>
      </c>
      <c r="O1628" s="36">
        <f>IF(ISBLANK(N1629),"",Long2[[#This Row],[Adj Close]]/N1629-1)</f>
        <v>-4.6729570493848294E-2</v>
      </c>
      <c r="P1628" s="29">
        <v>33700</v>
      </c>
      <c r="Q1628">
        <v>2.3450639999999998</v>
      </c>
      <c r="R1628" s="33">
        <f>IF(ISBLANK(Q1629),"",Long3[[#This Row],[Adj Close]]/Q1629-1)</f>
        <v>0</v>
      </c>
      <c r="AK1628" s="37">
        <v>33700</v>
      </c>
      <c r="AL1628" s="39">
        <v>0.56001500000000004</v>
      </c>
      <c r="AM1628" s="36">
        <f>IF(ISBLANK(AL1629),"",Short1[[#This Row],[Adj Close]]/AL1629-1)</f>
        <v>-5.1817981567933158E-3</v>
      </c>
      <c r="AN1628" s="29">
        <v>33700</v>
      </c>
      <c r="AO1628" s="44">
        <v>2.3493240000000002</v>
      </c>
      <c r="AP1628" s="33">
        <f>IF(ISBLANK(AO1629),"",Short2[[#This Row],[Adj Close]]/AO1629-1)</f>
        <v>9.7557579086626767E-3</v>
      </c>
    </row>
    <row r="1629" spans="1:42" x14ac:dyDescent="0.25">
      <c r="A1629" s="37">
        <v>33693</v>
      </c>
      <c r="B1629" s="39">
        <v>401.54998799999998</v>
      </c>
      <c r="C1629" s="36">
        <f>IF(ISBLANK(B1630), "", GSPC[[#This Row],[Adj Close]]/B1630-1)</f>
        <v>-4.8327434944238634E-3</v>
      </c>
      <c r="D162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2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29" s="11" t="e">
        <f>IF(ISBLANK(GSPC[[#This Row],[Long Exp.]]), "", (GSPC[[#This Row],[Long Exp.]]/D1630-1)+(E1630/GSPC[[#This Row],[Short Exp.]]-1))</f>
        <v>#VALUE!</v>
      </c>
      <c r="G1629" s="37">
        <v>33693</v>
      </c>
      <c r="H1629">
        <v>4.4915440000000002</v>
      </c>
      <c r="I1629" s="36">
        <f>IF(ISBLANK(H1630), "", Long0[[#This Row],[Adj Close]]/H1630-1)</f>
        <v>1.5056313999730175E-2</v>
      </c>
      <c r="M1629" s="37">
        <v>33693</v>
      </c>
      <c r="N1629">
        <v>18.706227999999999</v>
      </c>
      <c r="O1629" s="36">
        <f>IF(ISBLANK(N1630),"",Long2[[#This Row],[Adj Close]]/N1630-1)</f>
        <v>1.1820128419428588E-2</v>
      </c>
      <c r="P1629" s="29">
        <v>33693</v>
      </c>
      <c r="Q1629">
        <v>2.3450639999999998</v>
      </c>
      <c r="R1629" s="33">
        <f>IF(ISBLANK(Q1630),"",Long3[[#This Row],[Adj Close]]/Q1630-1)</f>
        <v>-7.7117102478791999E-3</v>
      </c>
      <c r="AK1629" s="37">
        <v>33693</v>
      </c>
      <c r="AL1629" s="39">
        <v>0.56293199999999999</v>
      </c>
      <c r="AM1629" s="36">
        <f>IF(ISBLANK(AL1630),"",Short1[[#This Row],[Adj Close]]/AL1630-1)</f>
        <v>-7.6555118110236298E-2</v>
      </c>
      <c r="AN1629" s="29">
        <v>33693</v>
      </c>
      <c r="AO1629" s="44">
        <v>2.3266260000000001</v>
      </c>
      <c r="AP1629" s="33">
        <f>IF(ISBLANK(AO1630),"",Short2[[#This Row],[Adj Close]]/AO1630-1)</f>
        <v>-5.0925404696288146E-2</v>
      </c>
    </row>
    <row r="1630" spans="1:42" x14ac:dyDescent="0.25">
      <c r="A1630" s="37">
        <v>33686</v>
      </c>
      <c r="B1630" s="39">
        <v>403.5</v>
      </c>
      <c r="C1630" s="36">
        <f>IF(ISBLANK(B1631), "", GSPC[[#This Row],[Adj Close]]/B1631-1)</f>
        <v>-1.8964231041990631E-2</v>
      </c>
      <c r="D163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3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30" s="11" t="e">
        <f>IF(ISBLANK(GSPC[[#This Row],[Long Exp.]]), "", (GSPC[[#This Row],[Long Exp.]]/D1631-1)+(E1631/GSPC[[#This Row],[Short Exp.]]-1))</f>
        <v>#VALUE!</v>
      </c>
      <c r="G1630" s="37">
        <v>33686</v>
      </c>
      <c r="H1630">
        <v>4.4249210000000003</v>
      </c>
      <c r="I1630" s="36">
        <f>IF(ISBLANK(H1631), "", Long0[[#This Row],[Adj Close]]/H1631-1)</f>
        <v>-2.3411398548399243E-2</v>
      </c>
      <c r="M1630" s="37">
        <v>33686</v>
      </c>
      <c r="N1630">
        <v>18.487701000000001</v>
      </c>
      <c r="O1630" s="36">
        <f>IF(ISBLANK(N1631),"",Long2[[#This Row],[Adj Close]]/N1631-1)</f>
        <v>-7.4398107471988051E-2</v>
      </c>
      <c r="P1630" s="29">
        <v>33686</v>
      </c>
      <c r="Q1630">
        <v>2.363289</v>
      </c>
      <c r="R1630" s="33">
        <f>IF(ISBLANK(Q1631),"",Long3[[#This Row],[Adj Close]]/Q1631-1)</f>
        <v>-5.1156816776337655E-3</v>
      </c>
      <c r="AK1630" s="37">
        <v>33686</v>
      </c>
      <c r="AL1630" s="39">
        <v>0.60960000000000003</v>
      </c>
      <c r="AM1630" s="36">
        <f>IF(ISBLANK(AL1631),"",Short1[[#This Row],[Adj Close]]/AL1631-1)</f>
        <v>-6.2779620991522456E-2</v>
      </c>
      <c r="AN1630" s="29">
        <v>33686</v>
      </c>
      <c r="AO1630" s="44">
        <v>2.4514680000000002</v>
      </c>
      <c r="AP1630" s="33">
        <f>IF(ISBLANK(AO1631),"",Short2[[#This Row],[Adj Close]]/AO1631-1)</f>
        <v>-2.2624456037460772E-2</v>
      </c>
    </row>
    <row r="1631" spans="1:42" x14ac:dyDescent="0.25">
      <c r="A1631" s="37">
        <v>33679</v>
      </c>
      <c r="B1631" s="39">
        <v>411.29998799999998</v>
      </c>
      <c r="C1631" s="36">
        <f>IF(ISBLANK(B1632), "", GSPC[[#This Row],[Adj Close]]/B1632-1)</f>
        <v>1.3453558185034131E-2</v>
      </c>
      <c r="D163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3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31" s="11" t="e">
        <f>IF(ISBLANK(GSPC[[#This Row],[Long Exp.]]), "", (GSPC[[#This Row],[Long Exp.]]/D1632-1)+(E1632/GSPC[[#This Row],[Short Exp.]]-1))</f>
        <v>#VALUE!</v>
      </c>
      <c r="G1631" s="37">
        <v>33679</v>
      </c>
      <c r="H1631">
        <v>4.5309980000000003</v>
      </c>
      <c r="I1631" s="36">
        <f>IF(ISBLANK(H1632), "", Long0[[#This Row],[Adj Close]]/H1632-1)</f>
        <v>6.785715548275717E-2</v>
      </c>
      <c r="M1631" s="37">
        <v>33679</v>
      </c>
      <c r="N1631">
        <v>19.973707000000001</v>
      </c>
      <c r="O1631" s="36">
        <f>IF(ISBLANK(N1632),"",Long2[[#This Row],[Adj Close]]/N1632-1)</f>
        <v>6.0353100532493764E-2</v>
      </c>
      <c r="P1631" s="29">
        <v>33679</v>
      </c>
      <c r="Q1631">
        <v>2.3754409999999999</v>
      </c>
      <c r="R1631" s="33">
        <f>IF(ISBLANK(Q1632),"",Long3[[#This Row],[Adj Close]]/Q1632-1)</f>
        <v>5.1419864434691931E-3</v>
      </c>
      <c r="AK1631" s="37">
        <v>33679</v>
      </c>
      <c r="AL1631" s="39">
        <v>0.65043399999999996</v>
      </c>
      <c r="AM1631" s="36">
        <f>IF(ISBLANK(AL1632),"",Short1[[#This Row],[Adj Close]]/AL1632-1)</f>
        <v>5.1886472062747657E-2</v>
      </c>
      <c r="AN1631" s="29">
        <v>33679</v>
      </c>
      <c r="AO1631" s="44">
        <v>2.5082149999999999</v>
      </c>
      <c r="AP1631" s="33">
        <f>IF(ISBLANK(AO1632),"",Short2[[#This Row],[Adj Close]]/AO1632-1)</f>
        <v>0.1275511580234483</v>
      </c>
    </row>
    <row r="1632" spans="1:42" x14ac:dyDescent="0.25">
      <c r="A1632" s="37">
        <v>33672</v>
      </c>
      <c r="B1632" s="39">
        <v>405.83999599999999</v>
      </c>
      <c r="C1632" s="36">
        <f>IF(ISBLANK(B1633), "", GSPC[[#This Row],[Adj Close]]/B1633-1)</f>
        <v>3.4615616483950618E-3</v>
      </c>
      <c r="D163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3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32" s="11" t="e">
        <f>IF(ISBLANK(GSPC[[#This Row],[Long Exp.]]), "", (GSPC[[#This Row],[Long Exp.]]/D1633-1)+(E1633/GSPC[[#This Row],[Short Exp.]]-1))</f>
        <v>#VALUE!</v>
      </c>
      <c r="G1632" s="37">
        <v>33672</v>
      </c>
      <c r="H1632">
        <v>4.2430750000000002</v>
      </c>
      <c r="I1632" s="36">
        <f>IF(ISBLANK(H1633), "", Long0[[#This Row],[Adj Close]]/H1633-1)</f>
        <v>4.4776101027546034E-2</v>
      </c>
      <c r="M1632" s="37">
        <v>33672</v>
      </c>
      <c r="N1632">
        <v>18.836845</v>
      </c>
      <c r="O1632" s="36">
        <f>IF(ISBLANK(N1633),"",Long2[[#This Row],[Adj Close]]/N1633-1)</f>
        <v>-0.1127052171638524</v>
      </c>
      <c r="P1632" s="29">
        <v>33672</v>
      </c>
      <c r="Q1632">
        <v>2.363289</v>
      </c>
      <c r="R1632" s="33">
        <f>IF(ISBLANK(Q1633),"",Long3[[#This Row],[Adj Close]]/Q1633-1)</f>
        <v>2.1850572953284297E-2</v>
      </c>
      <c r="AK1632" s="37">
        <v>33672</v>
      </c>
      <c r="AL1632" s="39">
        <v>0.61834999999999996</v>
      </c>
      <c r="AM1632" s="36">
        <f>IF(ISBLANK(AL1633),"",Short1[[#This Row],[Adj Close]]/AL1633-1)</f>
        <v>7.0706266146738583E-2</v>
      </c>
      <c r="AN1632" s="29">
        <v>33672</v>
      </c>
      <c r="AO1632" s="44">
        <v>2.2244799999999998</v>
      </c>
      <c r="AP1632" s="33">
        <f>IF(ISBLANK(AO1633),"",Short2[[#This Row],[Adj Close]]/AO1633-1)</f>
        <v>-5.0764145753479095E-3</v>
      </c>
    </row>
    <row r="1633" spans="1:42" x14ac:dyDescent="0.25">
      <c r="A1633" s="37">
        <v>33665</v>
      </c>
      <c r="B1633" s="39">
        <v>404.44000199999999</v>
      </c>
      <c r="C1633" s="36">
        <f>IF(ISBLANK(B1634), "", GSPC[[#This Row],[Adj Close]]/B1634-1)</f>
        <v>-2.0014562054337937E-2</v>
      </c>
      <c r="D163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3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33" s="11" t="e">
        <f>IF(ISBLANK(GSPC[[#This Row],[Long Exp.]]), "", (GSPC[[#This Row],[Long Exp.]]/D1634-1)+(E1634/GSPC[[#This Row],[Short Exp.]]-1))</f>
        <v>#VALUE!</v>
      </c>
      <c r="G1633" s="37">
        <v>33665</v>
      </c>
      <c r="H1633">
        <v>4.061229</v>
      </c>
      <c r="I1633" s="36">
        <f>IF(ISBLANK(H1634), "", Long0[[#This Row],[Adj Close]]/H1634-1)</f>
        <v>-1.1069744994081643E-2</v>
      </c>
      <c r="M1633" s="37">
        <v>33665</v>
      </c>
      <c r="N1633">
        <v>21.229523</v>
      </c>
      <c r="O1633" s="36">
        <f>IF(ISBLANK(N1634),"",Long2[[#This Row],[Adj Close]]/N1634-1)</f>
        <v>-3.1745637193186904E-2</v>
      </c>
      <c r="P1633" s="29">
        <v>33665</v>
      </c>
      <c r="Q1633">
        <v>2.312754</v>
      </c>
      <c r="R1633" s="33">
        <f>IF(ISBLANK(Q1634),"",Long3[[#This Row],[Adj Close]]/Q1634-1)</f>
        <v>-2.7638520541586886E-2</v>
      </c>
      <c r="AK1633" s="37">
        <v>33665</v>
      </c>
      <c r="AL1633" s="39">
        <v>0.57751600000000003</v>
      </c>
      <c r="AM1633" s="36">
        <f>IF(ISBLANK(AL1634),"",Short1[[#This Row],[Adj Close]]/AL1634-1)</f>
        <v>0.13143036263542496</v>
      </c>
      <c r="AN1633" s="29">
        <v>33665</v>
      </c>
      <c r="AO1633" s="44">
        <v>2.23583</v>
      </c>
      <c r="AP1633" s="33">
        <f>IF(ISBLANK(AO1634),"",Short2[[#This Row],[Adj Close]]/AO1634-1)</f>
        <v>-5.0507747487963384E-3</v>
      </c>
    </row>
    <row r="1634" spans="1:42" x14ac:dyDescent="0.25">
      <c r="A1634" s="37">
        <v>33658</v>
      </c>
      <c r="B1634" s="39">
        <v>412.70001200000002</v>
      </c>
      <c r="C1634" s="36">
        <f>IF(ISBLANK(B1635), "", GSPC[[#This Row],[Adj Close]]/B1635-1)</f>
        <v>3.0868410704321114E-3</v>
      </c>
      <c r="D163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3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34" s="11" t="e">
        <f>IF(ISBLANK(GSPC[[#This Row],[Long Exp.]]), "", (GSPC[[#This Row],[Long Exp.]]/D1635-1)+(E1635/GSPC[[#This Row],[Short Exp.]]-1))</f>
        <v>#VALUE!</v>
      </c>
      <c r="G1634" s="37">
        <v>33658</v>
      </c>
      <c r="H1634">
        <v>4.1066890000000003</v>
      </c>
      <c r="I1634" s="36">
        <f>IF(ISBLANK(H1635), "", Long0[[#This Row],[Adj Close]]/H1635-1)</f>
        <v>4.6331511180696339E-2</v>
      </c>
      <c r="M1634" s="37">
        <v>33658</v>
      </c>
      <c r="N1634">
        <v>21.925564000000001</v>
      </c>
      <c r="O1634" s="36">
        <f>IF(ISBLANK(N1635),"",Long2[[#This Row],[Adj Close]]/N1635-1)</f>
        <v>5.9879173520858142E-3</v>
      </c>
      <c r="P1634" s="29">
        <v>33658</v>
      </c>
      <c r="Q1634">
        <v>2.3784920000000001</v>
      </c>
      <c r="R1634" s="33">
        <f>IF(ISBLANK(Q1635),"",Long3[[#This Row],[Adj Close]]/Q1635-1)</f>
        <v>2.0513308979946743E-2</v>
      </c>
      <c r="AK1634" s="37">
        <v>33658</v>
      </c>
      <c r="AL1634" s="39">
        <v>0.51043000000000005</v>
      </c>
      <c r="AM1634" s="36">
        <f>IF(ISBLANK(AL1635),"",Short1[[#This Row],[Adj Close]]/AL1635-1)</f>
        <v>-3.3150165457228264E-2</v>
      </c>
      <c r="AN1634" s="29">
        <v>33658</v>
      </c>
      <c r="AO1634" s="44">
        <v>2.2471800000000002</v>
      </c>
      <c r="AP1634" s="33">
        <f>IF(ISBLANK(AO1635),"",Short2[[#This Row],[Adj Close]]/AO1635-1)</f>
        <v>-4.5783439490445832E-2</v>
      </c>
    </row>
    <row r="1635" spans="1:42" x14ac:dyDescent="0.25">
      <c r="A1635" s="37">
        <v>33651</v>
      </c>
      <c r="B1635" s="39">
        <v>411.42999300000002</v>
      </c>
      <c r="C1635" s="36">
        <f>IF(ISBLANK(B1636), "", GSPC[[#This Row],[Adj Close]]/B1636-1)</f>
        <v>-2.5456215380094127E-3</v>
      </c>
      <c r="D163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3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35" s="11" t="e">
        <f>IF(ISBLANK(GSPC[[#This Row],[Long Exp.]]), "", (GSPC[[#This Row],[Long Exp.]]/D1636-1)+(E1636/GSPC[[#This Row],[Short Exp.]]-1))</f>
        <v>#VALUE!</v>
      </c>
      <c r="G1635" s="37">
        <v>33651</v>
      </c>
      <c r="H1635">
        <v>3.9248449999999999</v>
      </c>
      <c r="I1635" s="36">
        <f>IF(ISBLANK(H1636), "", Long0[[#This Row],[Adj Close]]/H1636-1)</f>
        <v>-4.7793900011742441E-2</v>
      </c>
      <c r="M1635" s="37">
        <v>33651</v>
      </c>
      <c r="N1635">
        <v>21.795057</v>
      </c>
      <c r="O1635" s="36">
        <f>IF(ISBLANK(N1636),"",Long2[[#This Row],[Adj Close]]/N1636-1)</f>
        <v>6.023617006172044E-3</v>
      </c>
      <c r="P1635" s="29">
        <v>33651</v>
      </c>
      <c r="Q1635">
        <v>2.3306819999999999</v>
      </c>
      <c r="R1635" s="33">
        <f>IF(ISBLANK(Q1636),"",Long3[[#This Row],[Adj Close]]/Q1636-1)</f>
        <v>-1.7632757798050736E-2</v>
      </c>
      <c r="AK1635" s="37">
        <v>33651</v>
      </c>
      <c r="AL1635" s="39">
        <v>0.52793100000000004</v>
      </c>
      <c r="AM1635" s="36">
        <f>IF(ISBLANK(AL1636),"",Short1[[#This Row],[Adj Close]]/AL1636-1)</f>
        <v>-5.2355240909139789E-2</v>
      </c>
      <c r="AN1635" s="29">
        <v>33651</v>
      </c>
      <c r="AO1635" s="44">
        <v>2.355</v>
      </c>
      <c r="AP1635" s="33">
        <f>IF(ISBLANK(AO1636),"",Short2[[#This Row],[Adj Close]]/AO1636-1)</f>
        <v>8.072982993304989E-2</v>
      </c>
    </row>
    <row r="1636" spans="1:42" x14ac:dyDescent="0.25">
      <c r="A1636" s="37">
        <v>33644</v>
      </c>
      <c r="B1636" s="39">
        <v>412.48001099999999</v>
      </c>
      <c r="C1636" s="36">
        <f>IF(ISBLANK(B1637), "", GSPC[[#This Row],[Adj Close]]/B1637-1)</f>
        <v>3.381291234340722E-3</v>
      </c>
      <c r="D163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3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36" s="11" t="e">
        <f>IF(ISBLANK(GSPC[[#This Row],[Long Exp.]]), "", (GSPC[[#This Row],[Long Exp.]]/D1637-1)+(E1637/GSPC[[#This Row],[Short Exp.]]-1))</f>
        <v>#VALUE!</v>
      </c>
      <c r="G1636" s="37">
        <v>33644</v>
      </c>
      <c r="H1636">
        <v>4.1218440000000003</v>
      </c>
      <c r="I1636" s="36">
        <f>IF(ISBLANK(H1637), "", Long0[[#This Row],[Adj Close]]/H1637-1)</f>
        <v>-3.8869208513114817E-2</v>
      </c>
      <c r="M1636" s="37">
        <v>33644</v>
      </c>
      <c r="N1636">
        <v>21.664558</v>
      </c>
      <c r="O1636" s="36">
        <f>IF(ISBLANK(N1637),"",Long2[[#This Row],[Adj Close]]/N1637-1)</f>
        <v>-3.9998966511003431E-3</v>
      </c>
      <c r="P1636" s="29">
        <v>33644</v>
      </c>
      <c r="Q1636">
        <v>2.3725160000000001</v>
      </c>
      <c r="R1636" s="33">
        <f>IF(ISBLANK(Q1637),"",Long3[[#This Row],[Adj Close]]/Q1637-1)</f>
        <v>1.0178786601436673E-2</v>
      </c>
      <c r="AK1636" s="37">
        <v>33644</v>
      </c>
      <c r="AL1636" s="39">
        <v>0.55709799999999998</v>
      </c>
      <c r="AM1636" s="36">
        <f>IF(ISBLANK(AL1637),"",Short1[[#This Row],[Adj Close]]/AL1637-1)</f>
        <v>1.5957019994601973E-2</v>
      </c>
      <c r="AN1636" s="29">
        <v>33644</v>
      </c>
      <c r="AO1636" s="44">
        <v>2.1790829999999999</v>
      </c>
      <c r="AP1636" s="33">
        <f>IF(ISBLANK(AO1637),"",Short2[[#This Row],[Adj Close]]/AO1637-1)</f>
        <v>0.10169261873837487</v>
      </c>
    </row>
    <row r="1637" spans="1:42" x14ac:dyDescent="0.25">
      <c r="A1637" s="37">
        <v>33637</v>
      </c>
      <c r="B1637" s="39">
        <v>411.08999599999999</v>
      </c>
      <c r="C1637" s="36">
        <f>IF(ISBLANK(B1638), "", GSPC[[#This Row],[Adj Close]]/B1638-1)</f>
        <v>5.6509540722418095E-3</v>
      </c>
      <c r="D163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3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37" s="11" t="e">
        <f>IF(ISBLANK(GSPC[[#This Row],[Long Exp.]]), "", (GSPC[[#This Row],[Long Exp.]]/D1638-1)+(E1638/GSPC[[#This Row],[Short Exp.]]-1))</f>
        <v>#VALUE!</v>
      </c>
      <c r="G1637" s="37">
        <v>33637</v>
      </c>
      <c r="H1637">
        <v>4.2885359999999997</v>
      </c>
      <c r="I1637" s="36">
        <f>IF(ISBLANK(H1638), "", Long0[[#This Row],[Adj Close]]/H1638-1)</f>
        <v>4.4280684512510993E-2</v>
      </c>
      <c r="M1637" s="37">
        <v>33637</v>
      </c>
      <c r="N1637">
        <v>21.751562</v>
      </c>
      <c r="O1637" s="36">
        <f>IF(ISBLANK(N1638),"",Long2[[#This Row],[Adj Close]]/N1638-1)</f>
        <v>-5.9639252511132224E-3</v>
      </c>
      <c r="P1637" s="29">
        <v>33637</v>
      </c>
      <c r="Q1637">
        <v>2.3486099999999999</v>
      </c>
      <c r="R1637" s="33">
        <f>IF(ISBLANK(Q1638),"",Long3[[#This Row],[Adj Close]]/Q1638-1)</f>
        <v>-7.5760424822917116E-3</v>
      </c>
      <c r="AK1637" s="37">
        <v>33637</v>
      </c>
      <c r="AL1637" s="39">
        <v>0.54834799999999995</v>
      </c>
      <c r="AM1637" s="36">
        <f>IF(ISBLANK(AL1638),"",Short1[[#This Row],[Adj Close]]/AL1638-1)</f>
        <v>0.10588145133478677</v>
      </c>
      <c r="AN1637" s="29">
        <v>33637</v>
      </c>
      <c r="AO1637" s="44">
        <v>1.9779409999999999</v>
      </c>
      <c r="AP1637" s="33">
        <f>IF(ISBLANK(AO1638),"",Short2[[#This Row],[Adj Close]]/AO1638-1)</f>
        <v>-7.1808413289396911E-2</v>
      </c>
    </row>
    <row r="1638" spans="1:42" x14ac:dyDescent="0.25">
      <c r="A1638" s="37">
        <v>33630</v>
      </c>
      <c r="B1638" s="39">
        <v>408.77999899999998</v>
      </c>
      <c r="C1638" s="36">
        <f>IF(ISBLANK(B1639), "", GSPC[[#This Row],[Adj Close]]/B1639-1)</f>
        <v>-1.6125955094383637E-2</v>
      </c>
      <c r="D163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3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38" s="11" t="e">
        <f>IF(ISBLANK(GSPC[[#This Row],[Long Exp.]]), "", (GSPC[[#This Row],[Long Exp.]]/D1639-1)+(E1639/GSPC[[#This Row],[Short Exp.]]-1))</f>
        <v>#VALUE!</v>
      </c>
      <c r="G1638" s="37">
        <v>33630</v>
      </c>
      <c r="H1638">
        <v>4.1066890000000003</v>
      </c>
      <c r="I1638" s="36">
        <f>IF(ISBLANK(H1639), "", Long0[[#This Row],[Adj Close]]/H1639-1)</f>
        <v>-6.5517486977806572E-2</v>
      </c>
      <c r="M1638" s="37">
        <v>33630</v>
      </c>
      <c r="N1638">
        <v>21.882065000000001</v>
      </c>
      <c r="O1638" s="36">
        <f>IF(ISBLANK(N1639),"",Long2[[#This Row],[Adj Close]]/N1639-1)</f>
        <v>-3.6398929305966665E-2</v>
      </c>
      <c r="P1638" s="29">
        <v>33630</v>
      </c>
      <c r="Q1638">
        <v>2.3665389999999999</v>
      </c>
      <c r="R1638" s="33">
        <f>IF(ISBLANK(Q1639),"",Long3[[#This Row],[Adj Close]]/Q1639-1)</f>
        <v>5.0764762892501203E-3</v>
      </c>
      <c r="AK1638" s="37">
        <v>33630</v>
      </c>
      <c r="AL1638" s="39">
        <v>0.49584699999999998</v>
      </c>
      <c r="AM1638" s="36">
        <f>IF(ISBLANK(AL1639),"",Short1[[#This Row],[Adj Close]]/AL1639-1)</f>
        <v>-2.2988528395275876E-2</v>
      </c>
      <c r="AN1638" s="29">
        <v>33630</v>
      </c>
      <c r="AO1638" s="44">
        <v>2.1309619999999998</v>
      </c>
      <c r="AP1638" s="33">
        <f>IF(ISBLANK(AO1639),"",Short2[[#This Row],[Adj Close]]/AO1639-1)</f>
        <v>8.6705444027296963E-2</v>
      </c>
    </row>
    <row r="1639" spans="1:42" x14ac:dyDescent="0.25">
      <c r="A1639" s="37">
        <v>33623</v>
      </c>
      <c r="B1639" s="39">
        <v>415.48001099999999</v>
      </c>
      <c r="C1639" s="36">
        <f>IF(ISBLANK(B1640), "", GSPC[[#This Row],[Adj Close]]/B1640-1)</f>
        <v>-8.0694602517354941E-3</v>
      </c>
      <c r="D163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3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39" s="11" t="e">
        <f>IF(ISBLANK(GSPC[[#This Row],[Long Exp.]]), "", (GSPC[[#This Row],[Long Exp.]]/D1640-1)+(E1640/GSPC[[#This Row],[Short Exp.]]-1))</f>
        <v>#VALUE!</v>
      </c>
      <c r="G1639" s="37">
        <v>33623</v>
      </c>
      <c r="H1639">
        <v>4.3946129999999997</v>
      </c>
      <c r="I1639" s="36">
        <f>IF(ISBLANK(H1640), "", Long0[[#This Row],[Adj Close]]/H1640-1)</f>
        <v>-7.9365089340874273E-2</v>
      </c>
      <c r="M1639" s="37">
        <v>33623</v>
      </c>
      <c r="N1639">
        <v>22.708635000000001</v>
      </c>
      <c r="O1639" s="36">
        <f>IF(ISBLANK(N1640),"",Long2[[#This Row],[Adj Close]]/N1640-1)</f>
        <v>1.9531967638083403E-2</v>
      </c>
      <c r="P1639" s="29">
        <v>33623</v>
      </c>
      <c r="Q1639">
        <v>2.3545859999999998</v>
      </c>
      <c r="R1639" s="33">
        <f>IF(ISBLANK(Q1640),"",Long3[[#This Row],[Adj Close]]/Q1640-1)</f>
        <v>2.5444837584784885E-3</v>
      </c>
      <c r="AK1639" s="37">
        <v>33623</v>
      </c>
      <c r="AL1639" s="39">
        <v>0.50751400000000002</v>
      </c>
      <c r="AM1639" s="36">
        <f>IF(ISBLANK(AL1640),"",Short1[[#This Row],[Adj Close]]/AL1640-1)</f>
        <v>-5.4348757737356479E-2</v>
      </c>
      <c r="AN1639" s="29">
        <v>33623</v>
      </c>
      <c r="AO1639" s="44">
        <v>1.9609380000000001</v>
      </c>
      <c r="AP1639" s="33">
        <f>IF(ISBLANK(AO1640),"",Short2[[#This Row],[Adj Close]]/AO1640-1)</f>
        <v>-3.081234431220603E-2</v>
      </c>
    </row>
    <row r="1640" spans="1:42" x14ac:dyDescent="0.25">
      <c r="A1640" s="37">
        <v>33616</v>
      </c>
      <c r="B1640" s="39">
        <v>418.85998499999999</v>
      </c>
      <c r="C1640" s="36">
        <f>IF(ISBLANK(B1641), "", GSPC[[#This Row],[Adj Close]]/B1641-1)</f>
        <v>9.0580075780581915E-3</v>
      </c>
      <c r="D164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4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40" s="11" t="e">
        <f>IF(ISBLANK(GSPC[[#This Row],[Long Exp.]]), "", (GSPC[[#This Row],[Long Exp.]]/D1641-1)+(E1641/GSPC[[#This Row],[Short Exp.]]-1))</f>
        <v>#VALUE!</v>
      </c>
      <c r="G1640" s="37">
        <v>33616</v>
      </c>
      <c r="H1640">
        <v>4.7734589999999999</v>
      </c>
      <c r="I1640" s="36">
        <f>IF(ISBLANK(H1641), "", Long0[[#This Row],[Adj Close]]/H1641-1)</f>
        <v>-8.4302096387839587E-2</v>
      </c>
      <c r="M1640" s="37">
        <v>33616</v>
      </c>
      <c r="N1640">
        <v>22.273588</v>
      </c>
      <c r="O1640" s="36">
        <f>IF(ISBLANK(N1641),"",Long2[[#This Row],[Adj Close]]/N1641-1)</f>
        <v>0.11304262831234269</v>
      </c>
      <c r="P1640" s="29">
        <v>33616</v>
      </c>
      <c r="Q1640">
        <v>2.3486099999999999</v>
      </c>
      <c r="R1640" s="33">
        <f>IF(ISBLANK(Q1641),"",Long3[[#This Row],[Adj Close]]/Q1641-1)</f>
        <v>-2.9629516390994093E-2</v>
      </c>
      <c r="AK1640" s="37">
        <v>33616</v>
      </c>
      <c r="AL1640" s="39">
        <v>0.53668199999999999</v>
      </c>
      <c r="AM1640" s="36">
        <f>IF(ISBLANK(AL1641),"",Short1[[#This Row],[Adj Close]]/AL1641-1)</f>
        <v>1.6576029822078953E-2</v>
      </c>
      <c r="AN1640" s="29">
        <v>33616</v>
      </c>
      <c r="AO1640" s="44">
        <v>2.0232800000000002</v>
      </c>
      <c r="AP1640" s="33">
        <f>IF(ISBLANK(AO1641),"",Short2[[#This Row],[Adj Close]]/AO1641-1)</f>
        <v>9.1743396487047768E-2</v>
      </c>
    </row>
    <row r="1641" spans="1:42" x14ac:dyDescent="0.25">
      <c r="A1641" s="37">
        <v>33609</v>
      </c>
      <c r="B1641" s="39">
        <v>415.10000600000001</v>
      </c>
      <c r="C1641" s="36">
        <f>IF(ISBLANK(B1642), "", GSPC[[#This Row],[Adj Close]]/B1642-1)</f>
        <v>-1.0111103258559573E-2</v>
      </c>
      <c r="D164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4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41" s="11" t="e">
        <f>IF(ISBLANK(GSPC[[#This Row],[Long Exp.]]), "", (GSPC[[#This Row],[Long Exp.]]/D1642-1)+(E1642/GSPC[[#This Row],[Short Exp.]]-1))</f>
        <v>#VALUE!</v>
      </c>
      <c r="G1641" s="37">
        <v>33609</v>
      </c>
      <c r="H1641">
        <v>5.2129190000000003</v>
      </c>
      <c r="I1641" s="36">
        <f>IF(ISBLANK(H1642), "", Long0[[#This Row],[Adj Close]]/H1642-1)</f>
        <v>4.8780203196525873E-2</v>
      </c>
      <c r="M1641" s="37">
        <v>33609</v>
      </c>
      <c r="N1641">
        <v>20.011441999999999</v>
      </c>
      <c r="O1641" s="36">
        <f>IF(ISBLANK(N1642),"",Long2[[#This Row],[Adj Close]]/N1642-1)</f>
        <v>3.6036242191976653E-2</v>
      </c>
      <c r="P1641" s="29">
        <v>33609</v>
      </c>
      <c r="Q1641">
        <v>2.4203229999999998</v>
      </c>
      <c r="R1641" s="33">
        <f>IF(ISBLANK(Q1642),"",Long3[[#This Row],[Adj Close]]/Q1642-1)</f>
        <v>-2.1739543407343853E-2</v>
      </c>
      <c r="AK1641" s="37">
        <v>33609</v>
      </c>
      <c r="AL1641" s="39">
        <v>0.52793100000000004</v>
      </c>
      <c r="AM1641" s="36">
        <f>IF(ISBLANK(AL1642),"",Short1[[#This Row],[Adj Close]]/AL1642-1)</f>
        <v>0.41406049112882504</v>
      </c>
      <c r="AN1641" s="29">
        <v>33609</v>
      </c>
      <c r="AO1641" s="44">
        <v>1.853256</v>
      </c>
      <c r="AP1641" s="33">
        <f>IF(ISBLANK(AO1642),"",Short2[[#This Row],[Adj Close]]/AO1642-1)</f>
        <v>0.13937283515251231</v>
      </c>
    </row>
    <row r="1642" spans="1:42" x14ac:dyDescent="0.25">
      <c r="A1642" s="37">
        <v>33602</v>
      </c>
      <c r="B1642" s="39">
        <v>419.33999599999999</v>
      </c>
      <c r="C1642" s="36">
        <f>IF(ISBLANK(B1643), "", GSPC[[#This Row],[Adj Close]]/B1643-1)</f>
        <v>3.1688248007661901E-2</v>
      </c>
      <c r="D164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4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42" s="11" t="e">
        <f>IF(ISBLANK(GSPC[[#This Row],[Long Exp.]]), "", (GSPC[[#This Row],[Long Exp.]]/D1643-1)+(E1643/GSPC[[#This Row],[Short Exp.]]-1))</f>
        <v>#VALUE!</v>
      </c>
      <c r="G1642" s="37">
        <v>33602</v>
      </c>
      <c r="H1642">
        <v>4.970459</v>
      </c>
      <c r="I1642" s="36">
        <f>IF(ISBLANK(H1643), "", Long0[[#This Row],[Adj Close]]/H1643-1)</f>
        <v>5.2699363271004662E-2</v>
      </c>
      <c r="M1642" s="37">
        <v>33602</v>
      </c>
      <c r="N1642">
        <v>19.315387999999999</v>
      </c>
      <c r="O1642" s="36">
        <f>IF(ISBLANK(N1643),"",Long2[[#This Row],[Adj Close]]/N1643-1)</f>
        <v>-2.4175361385088467E-2</v>
      </c>
      <c r="P1642" s="29">
        <v>33602</v>
      </c>
      <c r="Q1642">
        <v>2.4741089999999999</v>
      </c>
      <c r="R1642" s="33">
        <f>IF(ISBLANK(Q1643),"",Long3[[#This Row],[Adj Close]]/Q1643-1)</f>
        <v>-9.5692056046144947E-3</v>
      </c>
      <c r="AK1642" s="37">
        <v>33602</v>
      </c>
      <c r="AL1642" s="39">
        <v>0.37334400000000001</v>
      </c>
      <c r="AM1642" s="36">
        <f>IF(ISBLANK(AL1643),"",Short1[[#This Row],[Adj Close]]/AL1643-1)</f>
        <v>4.9181802086875281E-2</v>
      </c>
      <c r="AN1642" s="29">
        <v>33602</v>
      </c>
      <c r="AO1642" s="44">
        <v>1.6265579999999999</v>
      </c>
      <c r="AP1642" s="33">
        <f>IF(ISBLANK(AO1643),"",Short2[[#This Row],[Adj Close]]/AO1643-1)</f>
        <v>3.4968443262652915E-3</v>
      </c>
    </row>
    <row r="1643" spans="1:42" x14ac:dyDescent="0.25">
      <c r="A1643" s="37">
        <v>33595</v>
      </c>
      <c r="B1643" s="39">
        <v>406.459991</v>
      </c>
      <c r="C1643" s="36">
        <f>IF(ISBLANK(B1644), "", GSPC[[#This Row],[Adj Close]]/B1644-1)</f>
        <v>5.0175644761314642E-2</v>
      </c>
      <c r="D164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4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43" s="11" t="e">
        <f>IF(ISBLANK(GSPC[[#This Row],[Long Exp.]]), "", (GSPC[[#This Row],[Long Exp.]]/D1644-1)+(E1644/GSPC[[#This Row],[Short Exp.]]-1))</f>
        <v>#VALUE!</v>
      </c>
      <c r="G1643" s="37">
        <v>33595</v>
      </c>
      <c r="H1643">
        <v>4.7216319999999996</v>
      </c>
      <c r="I1643" s="36">
        <f>IF(ISBLANK(H1644), "", Long0[[#This Row],[Adj Close]]/H1644-1)</f>
        <v>7.2164910997926768E-2</v>
      </c>
      <c r="M1643" s="37">
        <v>33595</v>
      </c>
      <c r="N1643">
        <v>19.793913</v>
      </c>
      <c r="O1643" s="36">
        <f>IF(ISBLANK(N1644),"",Long2[[#This Row],[Adj Close]]/N1644-1)</f>
        <v>8.8516333178529694E-2</v>
      </c>
      <c r="P1643" s="29">
        <v>33595</v>
      </c>
      <c r="Q1643">
        <v>2.4980129999999998</v>
      </c>
      <c r="R1643" s="33">
        <f>IF(ISBLANK(Q1644),"",Long3[[#This Row],[Adj Close]]/Q1644-1)</f>
        <v>2.3980382313746329E-3</v>
      </c>
      <c r="AK1643" s="37">
        <v>33595</v>
      </c>
      <c r="AL1643" s="39">
        <v>0.35584300000000002</v>
      </c>
      <c r="AM1643" s="36">
        <f>IF(ISBLANK(AL1644),"",Short1[[#This Row],[Adj Close]]/AL1644-1)</f>
        <v>8.9284183717199816E-2</v>
      </c>
      <c r="AN1643" s="29">
        <v>33595</v>
      </c>
      <c r="AO1643" s="44">
        <v>1.6208899999999999</v>
      </c>
      <c r="AP1643" s="33">
        <f>IF(ISBLANK(AO1644),"",Short2[[#This Row],[Adj Close]]/AO1644-1)</f>
        <v>0.20168024239854154</v>
      </c>
    </row>
    <row r="1644" spans="1:42" x14ac:dyDescent="0.25">
      <c r="A1644" s="37">
        <v>33588</v>
      </c>
      <c r="B1644" s="39">
        <v>387.040009</v>
      </c>
      <c r="C1644" s="36">
        <f>IF(ISBLANK(B1645), "", GSPC[[#This Row],[Adj Close]]/B1645-1)</f>
        <v>6.6845475415908684E-3</v>
      </c>
      <c r="D164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4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44" s="11" t="e">
        <f>IF(ISBLANK(GSPC[[#This Row],[Long Exp.]]), "", (GSPC[[#This Row],[Long Exp.]]/D1645-1)+(E1645/GSPC[[#This Row],[Short Exp.]]-1))</f>
        <v>#VALUE!</v>
      </c>
      <c r="G1644" s="37">
        <v>33588</v>
      </c>
      <c r="H1644">
        <v>4.4038300000000001</v>
      </c>
      <c r="I1644" s="36">
        <f>IF(ISBLANK(H1645), "", Long0[[#This Row],[Adj Close]]/H1645-1)</f>
        <v>-4.2762601612585605E-2</v>
      </c>
      <c r="M1644" s="37">
        <v>33588</v>
      </c>
      <c r="N1644">
        <v>18.184304999999998</v>
      </c>
      <c r="O1644" s="36">
        <f>IF(ISBLANK(N1645),"",Long2[[#This Row],[Adj Close]]/N1645-1)</f>
        <v>7.6047281269382427E-3</v>
      </c>
      <c r="P1644" s="29">
        <v>33588</v>
      </c>
      <c r="Q1644">
        <v>2.4920369999999998</v>
      </c>
      <c r="R1644" s="33">
        <f>IF(ISBLANK(Q1645),"",Long3[[#This Row],[Adj Close]]/Q1645-1)</f>
        <v>4.7738230778156865E-2</v>
      </c>
      <c r="AK1644" s="37">
        <v>33588</v>
      </c>
      <c r="AL1644" s="39">
        <v>0.32667600000000002</v>
      </c>
      <c r="AM1644" s="36">
        <f>IF(ISBLANK(AL1645),"",Short1[[#This Row],[Adj Close]]/AL1645-1)</f>
        <v>-0.36723071916693772</v>
      </c>
      <c r="AN1644" s="29">
        <v>33588</v>
      </c>
      <c r="AO1644" s="44">
        <v>1.3488530000000001</v>
      </c>
      <c r="AP1644" s="33">
        <f>IF(ISBLANK(AO1645),"",Short2[[#This Row],[Adj Close]]/AO1645-1)</f>
        <v>3.0302914570254247E-2</v>
      </c>
    </row>
    <row r="1645" spans="1:42" x14ac:dyDescent="0.25">
      <c r="A1645" s="37">
        <v>33581</v>
      </c>
      <c r="B1645" s="39">
        <v>384.47000100000002</v>
      </c>
      <c r="C1645" s="36">
        <f>IF(ISBLANK(B1646), "", GSPC[[#This Row],[Adj Close]]/B1646-1)</f>
        <v>1.4165114521259126E-2</v>
      </c>
      <c r="D164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4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45" s="11" t="e">
        <f>IF(ISBLANK(GSPC[[#This Row],[Long Exp.]]), "", (GSPC[[#This Row],[Long Exp.]]/D1646-1)+(E1646/GSPC[[#This Row],[Short Exp.]]-1))</f>
        <v>#VALUE!</v>
      </c>
      <c r="G1645" s="37">
        <v>33581</v>
      </c>
      <c r="H1645">
        <v>4.600562</v>
      </c>
      <c r="I1645" s="36">
        <f>IF(ISBLANK(H1646), "", Long0[[#This Row],[Adj Close]]/H1646-1)</f>
        <v>1.3332951544373195E-2</v>
      </c>
      <c r="M1645" s="37">
        <v>33581</v>
      </c>
      <c r="N1645">
        <v>18.047062</v>
      </c>
      <c r="O1645" s="36">
        <f>IF(ISBLANK(N1646),"",Long2[[#This Row],[Adj Close]]/N1646-1)</f>
        <v>-2.392491949986808E-3</v>
      </c>
      <c r="P1645" s="29">
        <v>33581</v>
      </c>
      <c r="Q1645">
        <v>2.3784920000000001</v>
      </c>
      <c r="R1645" s="33">
        <f>IF(ISBLANK(Q1646),"",Long3[[#This Row],[Adj Close]]/Q1646-1)</f>
        <v>3.3888263187933587E-2</v>
      </c>
      <c r="AK1645" s="37">
        <v>33581</v>
      </c>
      <c r="AL1645" s="39">
        <v>0.51626399999999995</v>
      </c>
      <c r="AM1645" s="36">
        <f>IF(ISBLANK(AL1646),"",Short1[[#This Row],[Adj Close]]/AL1646-1)</f>
        <v>-0.17674374103013879</v>
      </c>
      <c r="AN1645" s="29">
        <v>33581</v>
      </c>
      <c r="AO1645" s="44">
        <v>1.3091809999999999</v>
      </c>
      <c r="AP1645" s="33">
        <f>IF(ISBLANK(AO1646),"",Short2[[#This Row],[Adj Close]]/AO1646-1)</f>
        <v>0</v>
      </c>
    </row>
    <row r="1646" spans="1:42" x14ac:dyDescent="0.25">
      <c r="A1646" s="37">
        <v>33574</v>
      </c>
      <c r="B1646" s="39">
        <v>379.10000600000001</v>
      </c>
      <c r="C1646" s="36">
        <f>IF(ISBLANK(B1647), "", GSPC[[#This Row],[Adj Close]]/B1647-1)</f>
        <v>1.0340613479183913E-2</v>
      </c>
      <c r="D164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4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46" s="11" t="e">
        <f>IF(ISBLANK(GSPC[[#This Row],[Long Exp.]]), "", (GSPC[[#This Row],[Long Exp.]]/D1647-1)+(E1647/GSPC[[#This Row],[Short Exp.]]-1))</f>
        <v>#VALUE!</v>
      </c>
      <c r="G1646" s="37">
        <v>33574</v>
      </c>
      <c r="H1646">
        <v>4.5400299999999998</v>
      </c>
      <c r="I1646" s="36">
        <f>IF(ISBLANK(H1647), "", Long0[[#This Row],[Adj Close]]/H1647-1)</f>
        <v>2.7397384272596081E-2</v>
      </c>
      <c r="M1646" s="37">
        <v>33574</v>
      </c>
      <c r="N1646">
        <v>18.090343000000001</v>
      </c>
      <c r="O1646" s="36">
        <f>IF(ISBLANK(N1647),"",Long2[[#This Row],[Adj Close]]/N1647-1)</f>
        <v>6.0914328950981922E-2</v>
      </c>
      <c r="P1646" s="29">
        <v>33574</v>
      </c>
      <c r="Q1646">
        <v>2.3005309999999999</v>
      </c>
      <c r="R1646" s="33">
        <f>IF(ISBLANK(Q1647),"",Long3[[#This Row],[Adj Close]]/Q1647-1)</f>
        <v>-1.5113237975488913E-2</v>
      </c>
      <c r="AK1646" s="37">
        <v>33574</v>
      </c>
      <c r="AL1646" s="39">
        <v>0.62709999999999999</v>
      </c>
      <c r="AM1646" s="36">
        <f>IF(ISBLANK(AL1647),"",Short1[[#This Row],[Adj Close]]/AL1647-1)</f>
        <v>-0.15686300872581582</v>
      </c>
      <c r="AN1646" s="29">
        <v>33574</v>
      </c>
      <c r="AO1646" s="44">
        <v>1.3091809999999999</v>
      </c>
      <c r="AP1646" s="33">
        <f>IF(ISBLANK(AO1647),"",Short2[[#This Row],[Adj Close]]/AO1647-1)</f>
        <v>-4.3100038939862806E-3</v>
      </c>
    </row>
    <row r="1647" spans="1:42" x14ac:dyDescent="0.25">
      <c r="A1647" s="37">
        <v>33567</v>
      </c>
      <c r="B1647" s="39">
        <v>375.22000100000002</v>
      </c>
      <c r="C1647" s="36">
        <f>IF(ISBLANK(B1648), "", GSPC[[#This Row],[Adj Close]]/B1648-1)</f>
        <v>-2.4459349266522379E-3</v>
      </c>
      <c r="D164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4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47" s="11" t="e">
        <f>IF(ISBLANK(GSPC[[#This Row],[Long Exp.]]), "", (GSPC[[#This Row],[Long Exp.]]/D1648-1)+(E1648/GSPC[[#This Row],[Short Exp.]]-1))</f>
        <v>#VALUE!</v>
      </c>
      <c r="G1647" s="37">
        <v>33567</v>
      </c>
      <c r="H1647">
        <v>4.4189619999999996</v>
      </c>
      <c r="I1647" s="36">
        <f>IF(ISBLANK(H1648), "", Long0[[#This Row],[Adj Close]]/H1648-1)</f>
        <v>-1.0169204506535356E-2</v>
      </c>
      <c r="M1647" s="37">
        <v>33567</v>
      </c>
      <c r="N1647">
        <v>17.051653000000002</v>
      </c>
      <c r="O1647" s="36">
        <f>IF(ISBLANK(N1648),"",Long2[[#This Row],[Adj Close]]/N1648-1)</f>
        <v>-5.0505274471487338E-3</v>
      </c>
      <c r="P1647" s="29">
        <v>33567</v>
      </c>
      <c r="Q1647">
        <v>2.335833</v>
      </c>
      <c r="R1647" s="33">
        <f>IF(ISBLANK(Q1648),"",Long3[[#This Row],[Adj Close]]/Q1648-1)</f>
        <v>1.0178186375631393E-2</v>
      </c>
      <c r="AK1647" s="37">
        <v>33567</v>
      </c>
      <c r="AL1647" s="39">
        <v>0.74377000000000004</v>
      </c>
      <c r="AM1647" s="36">
        <f>IF(ISBLANK(AL1648),"",Short1[[#This Row],[Adj Close]]/AL1648-1)</f>
        <v>-3.7736532555004421E-2</v>
      </c>
      <c r="AN1647" s="29">
        <v>33567</v>
      </c>
      <c r="AO1647" s="44">
        <v>1.314848</v>
      </c>
      <c r="AP1647" s="33">
        <f>IF(ISBLANK(AO1648),"",Short2[[#This Row],[Adj Close]]/AO1648-1)</f>
        <v>-1.6949304607489335E-2</v>
      </c>
    </row>
    <row r="1648" spans="1:42" x14ac:dyDescent="0.25">
      <c r="A1648" s="37">
        <v>33560</v>
      </c>
      <c r="B1648" s="39">
        <v>376.14001500000001</v>
      </c>
      <c r="C1648" s="36">
        <f>IF(ISBLANK(B1649), "", GSPC[[#This Row],[Adj Close]]/B1649-1)</f>
        <v>-1.6935811208716345E-2</v>
      </c>
      <c r="D164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4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48" s="11" t="e">
        <f>IF(ISBLANK(GSPC[[#This Row],[Long Exp.]]), "", (GSPC[[#This Row],[Long Exp.]]/D1649-1)+(E1649/GSPC[[#This Row],[Short Exp.]]-1))</f>
        <v>#VALUE!</v>
      </c>
      <c r="G1648" s="37">
        <v>33560</v>
      </c>
      <c r="H1648">
        <v>4.4643610000000002</v>
      </c>
      <c r="I1648" s="36">
        <f>IF(ISBLANK(H1649), "", Long0[[#This Row],[Adj Close]]/H1649-1)</f>
        <v>6.8255175350284691E-3</v>
      </c>
      <c r="M1648" s="37">
        <v>33560</v>
      </c>
      <c r="N1648">
        <v>17.138210000000001</v>
      </c>
      <c r="O1648" s="36">
        <f>IF(ISBLANK(N1649),"",Long2[[#This Row],[Adj Close]]/N1649-1)</f>
        <v>-3.6496750057568805E-2</v>
      </c>
      <c r="P1648" s="29">
        <v>33560</v>
      </c>
      <c r="Q1648">
        <v>2.3122980000000002</v>
      </c>
      <c r="R1648" s="33">
        <f>IF(ISBLANK(Q1649),"",Long3[[#This Row],[Adj Close]]/Q1649-1)</f>
        <v>-2.481385496819033E-2</v>
      </c>
      <c r="AK1648" s="37">
        <v>33560</v>
      </c>
      <c r="AL1648" s="39">
        <v>0.77293800000000001</v>
      </c>
      <c r="AM1648" s="36">
        <f>IF(ISBLANK(AL1649),"",Short1[[#This Row],[Adj Close]]/AL1649-1)</f>
        <v>-2.5735011438763222E-2</v>
      </c>
      <c r="AN1648" s="29">
        <v>33560</v>
      </c>
      <c r="AO1648" s="44">
        <v>1.337518</v>
      </c>
      <c r="AP1648" s="33">
        <f>IF(ISBLANK(AO1649),"",Short2[[#This Row],[Adj Close]]/AO1649-1)</f>
        <v>-4.2198176574205215E-3</v>
      </c>
    </row>
    <row r="1649" spans="1:42" x14ac:dyDescent="0.25">
      <c r="A1649" s="37">
        <v>33553</v>
      </c>
      <c r="B1649" s="39">
        <v>382.61999500000002</v>
      </c>
      <c r="C1649" s="36">
        <f>IF(ISBLANK(B1650), "", GSPC[[#This Row],[Adj Close]]/B1650-1)</f>
        <v>-2.6139681864910669E-2</v>
      </c>
      <c r="D164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4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49" s="11" t="e">
        <f>IF(ISBLANK(GSPC[[#This Row],[Long Exp.]]), "", (GSPC[[#This Row],[Long Exp.]]/D1650-1)+(E1650/GSPC[[#This Row],[Short Exp.]]-1))</f>
        <v>#VALUE!</v>
      </c>
      <c r="G1649" s="37">
        <v>33553</v>
      </c>
      <c r="H1649">
        <v>4.4340960000000003</v>
      </c>
      <c r="I1649" s="36">
        <f>IF(ISBLANK(H1650), "", Long0[[#This Row],[Adj Close]]/H1650-1)</f>
        <v>-3.6183840148225288E-2</v>
      </c>
      <c r="M1649" s="37">
        <v>33553</v>
      </c>
      <c r="N1649">
        <v>17.787392000000001</v>
      </c>
      <c r="O1649" s="36">
        <f>IF(ISBLANK(N1650),"",Long2[[#This Row],[Adj Close]]/N1650-1)</f>
        <v>5.1151235505400683E-2</v>
      </c>
      <c r="P1649" s="29">
        <v>33553</v>
      </c>
      <c r="Q1649">
        <v>2.3711350000000002</v>
      </c>
      <c r="R1649" s="33">
        <f>IF(ISBLANK(Q1650),"",Long3[[#This Row],[Adj Close]]/Q1650-1)</f>
        <v>2.0253306168287022E-2</v>
      </c>
      <c r="AK1649" s="37">
        <v>33553</v>
      </c>
      <c r="AL1649" s="39">
        <v>0.79335500000000003</v>
      </c>
      <c r="AM1649" s="36">
        <f>IF(ISBLANK(AL1650),"",Short1[[#This Row],[Adj Close]]/AL1650-1)</f>
        <v>7.406777207493942E-3</v>
      </c>
      <c r="AN1649" s="29">
        <v>33553</v>
      </c>
      <c r="AO1649" s="44">
        <v>1.343186</v>
      </c>
      <c r="AP1649" s="33">
        <f>IF(ISBLANK(AO1650),"",Short2[[#This Row],[Adj Close]]/AO1650-1)</f>
        <v>-4.2013473669851864E-3</v>
      </c>
    </row>
    <row r="1650" spans="1:42" x14ac:dyDescent="0.25">
      <c r="A1650" s="37">
        <v>33546</v>
      </c>
      <c r="B1650" s="39">
        <v>392.89001500000001</v>
      </c>
      <c r="C1650" s="36">
        <f>IF(ISBLANK(B1651), "", GSPC[[#This Row],[Adj Close]]/B1651-1)</f>
        <v>4.0120821116105265E-3</v>
      </c>
      <c r="D165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5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50" s="11" t="e">
        <f>IF(ISBLANK(GSPC[[#This Row],[Long Exp.]]), "", (GSPC[[#This Row],[Long Exp.]]/D1651-1)+(E1651/GSPC[[#This Row],[Short Exp.]]-1))</f>
        <v>#VALUE!</v>
      </c>
      <c r="G1650" s="37">
        <v>33546</v>
      </c>
      <c r="H1650">
        <v>4.600562</v>
      </c>
      <c r="I1650" s="36">
        <f>IF(ISBLANK(H1651), "", Long0[[#This Row],[Adj Close]]/H1651-1)</f>
        <v>3.3002364664243E-3</v>
      </c>
      <c r="M1650" s="37">
        <v>33546</v>
      </c>
      <c r="N1650">
        <v>16.92182</v>
      </c>
      <c r="O1650" s="36">
        <f>IF(ISBLANK(N1651),"",Long2[[#This Row],[Adj Close]]/N1651-1)</f>
        <v>3.7134937275100866E-2</v>
      </c>
      <c r="P1650" s="29">
        <v>33546</v>
      </c>
      <c r="Q1650">
        <v>2.324065</v>
      </c>
      <c r="R1650" s="33">
        <f>IF(ISBLANK(Q1651),"",Long3[[#This Row],[Adj Close]]/Q1651-1)</f>
        <v>-2.5253771649078605E-3</v>
      </c>
      <c r="AK1650" s="37">
        <v>33546</v>
      </c>
      <c r="AL1650" s="39">
        <v>0.78752200000000006</v>
      </c>
      <c r="AM1650" s="36">
        <f>IF(ISBLANK(AL1651),"",Short1[[#This Row],[Adj Close]]/AL1651-1)</f>
        <v>6.2992168497436829E-2</v>
      </c>
      <c r="AN1650" s="29">
        <v>33546</v>
      </c>
      <c r="AO1650" s="44">
        <v>1.3488530000000001</v>
      </c>
      <c r="AP1650" s="33">
        <f>IF(ISBLANK(AO1651),"",Short2[[#This Row],[Adj Close]]/AO1651-1)</f>
        <v>4.6061177594634684E-2</v>
      </c>
    </row>
    <row r="1651" spans="1:42" x14ac:dyDescent="0.25">
      <c r="A1651" s="37">
        <v>33539</v>
      </c>
      <c r="B1651" s="39">
        <v>391.32000699999998</v>
      </c>
      <c r="C1651" s="36">
        <f>IF(ISBLANK(B1652), "", GSPC[[#This Row],[Adj Close]]/B1652-1)</f>
        <v>1.8532000982862895E-2</v>
      </c>
      <c r="D165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5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51" s="11" t="e">
        <f>IF(ISBLANK(GSPC[[#This Row],[Long Exp.]]), "", (GSPC[[#This Row],[Long Exp.]]/D1652-1)+(E1652/GSPC[[#This Row],[Short Exp.]]-1))</f>
        <v>#VALUE!</v>
      </c>
      <c r="G1651" s="37">
        <v>33539</v>
      </c>
      <c r="H1651">
        <v>4.5854290000000004</v>
      </c>
      <c r="I1651" s="36">
        <f>IF(ISBLANK(H1652), "", Long0[[#This Row],[Adj Close]]/H1652-1)</f>
        <v>5.2083710954367701E-2</v>
      </c>
      <c r="M1651" s="37">
        <v>33539</v>
      </c>
      <c r="N1651">
        <v>16.315929000000001</v>
      </c>
      <c r="O1651" s="36">
        <f>IF(ISBLANK(N1652),"",Long2[[#This Row],[Adj Close]]/N1652-1)</f>
        <v>-4.7979398081830049E-2</v>
      </c>
      <c r="P1651" s="29">
        <v>33539</v>
      </c>
      <c r="Q1651">
        <v>2.329949</v>
      </c>
      <c r="R1651" s="33">
        <f>IF(ISBLANK(Q1652),"",Long3[[#This Row],[Adj Close]]/Q1652-1)</f>
        <v>3.6648783712956989E-2</v>
      </c>
      <c r="AK1651" s="37">
        <v>33539</v>
      </c>
      <c r="AL1651" s="39">
        <v>0.74085400000000001</v>
      </c>
      <c r="AM1651" s="36">
        <f>IF(ISBLANK(AL1652),"",Short1[[#This Row],[Adj Close]]/AL1652-1)</f>
        <v>1.1953236088364738E-2</v>
      </c>
      <c r="AN1651" s="29">
        <v>33539</v>
      </c>
      <c r="AO1651" s="44">
        <v>1.2894589999999999</v>
      </c>
      <c r="AP1651" s="33">
        <f>IF(ISBLANK(AO1652),"",Short2[[#This Row],[Adj Close]]/AO1652-1)</f>
        <v>8.8503122097849385E-3</v>
      </c>
    </row>
    <row r="1652" spans="1:42" x14ac:dyDescent="0.25">
      <c r="A1652" s="37">
        <v>33532</v>
      </c>
      <c r="B1652" s="39">
        <v>384.20001200000002</v>
      </c>
      <c r="C1652" s="36">
        <f>IF(ISBLANK(B1653), "", GSPC[[#This Row],[Adj Close]]/B1653-1)</f>
        <v>-2.1146466242038198E-2</v>
      </c>
      <c r="D165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5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52" s="11" t="e">
        <f>IF(ISBLANK(GSPC[[#This Row],[Long Exp.]]), "", (GSPC[[#This Row],[Long Exp.]]/D1653-1)+(E1653/GSPC[[#This Row],[Short Exp.]]-1))</f>
        <v>#VALUE!</v>
      </c>
      <c r="G1652" s="37">
        <v>33532</v>
      </c>
      <c r="H1652">
        <v>4.3584259999999997</v>
      </c>
      <c r="I1652" s="36">
        <f>IF(ISBLANK(H1653), "", Long0[[#This Row],[Adj Close]]/H1653-1)</f>
        <v>-3.4612503669776418E-3</v>
      </c>
      <c r="M1652" s="37">
        <v>33532</v>
      </c>
      <c r="N1652">
        <v>17.138210000000001</v>
      </c>
      <c r="O1652" s="36">
        <f>IF(ISBLANK(N1653),"",Long2[[#This Row],[Adj Close]]/N1653-1)</f>
        <v>-7.4766312253635503E-2</v>
      </c>
      <c r="P1652" s="29">
        <v>33532</v>
      </c>
      <c r="Q1652">
        <v>2.2475779999999999</v>
      </c>
      <c r="R1652" s="33">
        <f>IF(ISBLANK(Q1653),"",Long3[[#This Row],[Adj Close]]/Q1653-1)</f>
        <v>-2.6097656979781059E-3</v>
      </c>
      <c r="AK1652" s="37">
        <v>33532</v>
      </c>
      <c r="AL1652" s="39">
        <v>0.73210299999999995</v>
      </c>
      <c r="AM1652" s="36">
        <f>IF(ISBLANK(AL1653),"",Short1[[#This Row],[Adj Close]]/AL1653-1)</f>
        <v>-5.2830886824040357E-2</v>
      </c>
      <c r="AN1652" s="29">
        <v>33532</v>
      </c>
      <c r="AO1652" s="44">
        <v>1.2781469999999999</v>
      </c>
      <c r="AP1652" s="33">
        <f>IF(ISBLANK(AO1653),"",Short2[[#This Row],[Adj Close]]/AO1653-1)</f>
        <v>-1.3100777228877258E-2</v>
      </c>
    </row>
    <row r="1653" spans="1:42" x14ac:dyDescent="0.25">
      <c r="A1653" s="37">
        <v>33525</v>
      </c>
      <c r="B1653" s="39">
        <v>392.5</v>
      </c>
      <c r="C1653" s="36">
        <f>IF(ISBLANK(B1654), "", GSPC[[#This Row],[Adj Close]]/B1654-1)</f>
        <v>2.896837764419824E-2</v>
      </c>
      <c r="D165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5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53" s="11" t="e">
        <f>IF(ISBLANK(GSPC[[#This Row],[Long Exp.]]), "", (GSPC[[#This Row],[Long Exp.]]/D1654-1)+(E1654/GSPC[[#This Row],[Short Exp.]]-1))</f>
        <v>#VALUE!</v>
      </c>
      <c r="G1653" s="37">
        <v>33525</v>
      </c>
      <c r="H1653">
        <v>4.373564</v>
      </c>
      <c r="I1653" s="36">
        <f>IF(ISBLANK(H1654), "", Long0[[#This Row],[Adj Close]]/H1654-1)</f>
        <v>6.2500652893270781E-2</v>
      </c>
      <c r="M1653" s="37">
        <v>33525</v>
      </c>
      <c r="N1653">
        <v>18.523115000000001</v>
      </c>
      <c r="O1653" s="36">
        <f>IF(ISBLANK(N1654),"",Long2[[#This Row],[Adj Close]]/N1654-1)</f>
        <v>6.4676435901795504E-2</v>
      </c>
      <c r="P1653" s="29">
        <v>33525</v>
      </c>
      <c r="Q1653">
        <v>2.2534589999999999</v>
      </c>
      <c r="R1653" s="33">
        <f>IF(ISBLANK(Q1654),"",Long3[[#This Row],[Adj Close]]/Q1654-1)</f>
        <v>7.894234257040722E-3</v>
      </c>
      <c r="AK1653" s="37">
        <v>33525</v>
      </c>
      <c r="AL1653" s="39">
        <v>0.77293800000000001</v>
      </c>
      <c r="AM1653" s="36">
        <f>IF(ISBLANK(AL1654),"",Short1[[#This Row],[Adj Close]]/AL1654-1)</f>
        <v>8.6066045980952133E-2</v>
      </c>
      <c r="AN1653" s="29">
        <v>33525</v>
      </c>
      <c r="AO1653" s="44">
        <v>1.2951140000000001</v>
      </c>
      <c r="AP1653" s="33">
        <f>IF(ISBLANK(AO1654),"",Short2[[#This Row],[Adj Close]]/AO1654-1)</f>
        <v>7.5116197794006023E-2</v>
      </c>
    </row>
    <row r="1654" spans="1:42" x14ac:dyDescent="0.25">
      <c r="A1654" s="37">
        <v>33518</v>
      </c>
      <c r="B1654" s="39">
        <v>381.45001200000002</v>
      </c>
      <c r="C1654" s="36">
        <f>IF(ISBLANK(B1655), "", GSPC[[#This Row],[Adj Close]]/B1655-1)</f>
        <v>5.2462163934419159E-4</v>
      </c>
      <c r="D165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5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54" s="11" t="e">
        <f>IF(ISBLANK(GSPC[[#This Row],[Long Exp.]]), "", (GSPC[[#This Row],[Long Exp.]]/D1655-1)+(E1655/GSPC[[#This Row],[Short Exp.]]-1))</f>
        <v>#VALUE!</v>
      </c>
      <c r="G1654" s="37">
        <v>33518</v>
      </c>
      <c r="H1654">
        <v>4.1162929999999998</v>
      </c>
      <c r="I1654" s="36">
        <f>IF(ISBLANK(H1655), "", Long0[[#This Row],[Adj Close]]/H1655-1)</f>
        <v>-3.6628999284994412E-3</v>
      </c>
      <c r="M1654" s="37">
        <v>33518</v>
      </c>
      <c r="N1654">
        <v>17.397881999999999</v>
      </c>
      <c r="O1654" s="36">
        <f>IF(ISBLANK(N1655),"",Long2[[#This Row],[Adj Close]]/N1655-1)</f>
        <v>-6.5116842917177675E-2</v>
      </c>
      <c r="P1654" s="29">
        <v>33518</v>
      </c>
      <c r="Q1654">
        <v>2.2358090000000002</v>
      </c>
      <c r="R1654" s="33">
        <f>IF(ISBLANK(Q1655),"",Long3[[#This Row],[Adj Close]]/Q1655-1)</f>
        <v>-1.8088305820475714E-2</v>
      </c>
      <c r="AK1654" s="37">
        <v>33518</v>
      </c>
      <c r="AL1654" s="39">
        <v>0.71168600000000004</v>
      </c>
      <c r="AM1654" s="36">
        <f>IF(ISBLANK(AL1655),"",Short1[[#This Row],[Adj Close]]/AL1655-1)</f>
        <v>-5.4263009621006608E-2</v>
      </c>
      <c r="AN1654" s="29">
        <v>33518</v>
      </c>
      <c r="AO1654" s="44">
        <v>1.2046269999999999</v>
      </c>
      <c r="AP1654" s="33">
        <f>IF(ISBLANK(AO1655),"",Short2[[#This Row],[Adj Close]]/AO1655-1)</f>
        <v>-9.3014687438577326E-3</v>
      </c>
    </row>
    <row r="1655" spans="1:42" x14ac:dyDescent="0.25">
      <c r="A1655" s="37">
        <v>33511</v>
      </c>
      <c r="B1655" s="39">
        <v>381.25</v>
      </c>
      <c r="C1655" s="36">
        <f>IF(ISBLANK(B1656), "", GSPC[[#This Row],[Adj Close]]/B1656-1)</f>
        <v>-1.204973846151447E-2</v>
      </c>
      <c r="D165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5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55" s="11" t="e">
        <f>IF(ISBLANK(GSPC[[#This Row],[Long Exp.]]), "", (GSPC[[#This Row],[Long Exp.]]/D1656-1)+(E1656/GSPC[[#This Row],[Short Exp.]]-1))</f>
        <v>#VALUE!</v>
      </c>
      <c r="G1655" s="37">
        <v>33511</v>
      </c>
      <c r="H1655">
        <v>4.1314260000000003</v>
      </c>
      <c r="I1655" s="36">
        <f>IF(ISBLANK(H1656), "", Long0[[#This Row],[Adj Close]]/H1656-1)</f>
        <v>-2.3474611185132721E-2</v>
      </c>
      <c r="M1655" s="37">
        <v>33511</v>
      </c>
      <c r="N1655">
        <v>18.609686</v>
      </c>
      <c r="O1655" s="36">
        <f>IF(ISBLANK(N1656),"",Long2[[#This Row],[Adj Close]]/N1656-1)</f>
        <v>-3.1530989553680833E-2</v>
      </c>
      <c r="P1655" s="29">
        <v>33511</v>
      </c>
      <c r="Q1655">
        <v>2.276996</v>
      </c>
      <c r="R1655" s="33">
        <f>IF(ISBLANK(Q1656),"",Long3[[#This Row],[Adj Close]]/Q1656-1)</f>
        <v>1.0444831700954005E-2</v>
      </c>
      <c r="AK1655" s="37">
        <v>33511</v>
      </c>
      <c r="AL1655" s="39">
        <v>0.75251999999999997</v>
      </c>
      <c r="AM1655" s="36">
        <f>IF(ISBLANK(AL1656),"",Short1[[#This Row],[Adj Close]]/AL1656-1)</f>
        <v>7.4999392873622117E-2</v>
      </c>
      <c r="AN1655" s="29">
        <v>33511</v>
      </c>
      <c r="AO1655" s="44">
        <v>1.215937</v>
      </c>
      <c r="AP1655" s="33">
        <f>IF(ISBLANK(AO1656),"",Short2[[#This Row],[Adj Close]]/AO1656-1)</f>
        <v>9.3887983583300638E-3</v>
      </c>
    </row>
    <row r="1656" spans="1:42" x14ac:dyDescent="0.25">
      <c r="A1656" s="37">
        <v>33504</v>
      </c>
      <c r="B1656" s="39">
        <v>385.89999399999999</v>
      </c>
      <c r="C1656" s="36">
        <f>IF(ISBLANK(B1657), "", GSPC[[#This Row],[Adj Close]]/B1657-1)</f>
        <v>-5.2073080333702171E-3</v>
      </c>
      <c r="D165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5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56" s="11" t="e">
        <f>IF(ISBLANK(GSPC[[#This Row],[Long Exp.]]), "", (GSPC[[#This Row],[Long Exp.]]/D1657-1)+(E1657/GSPC[[#This Row],[Short Exp.]]-1))</f>
        <v>#VALUE!</v>
      </c>
      <c r="G1656" s="37">
        <v>33504</v>
      </c>
      <c r="H1656">
        <v>4.2307410000000001</v>
      </c>
      <c r="I1656" s="36">
        <f>IF(ISBLANK(H1657), "", Long0[[#This Row],[Adj Close]]/H1657-1)</f>
        <v>9.3750298918979791E-2</v>
      </c>
      <c r="M1656" s="37">
        <v>33504</v>
      </c>
      <c r="N1656">
        <v>19.215572000000002</v>
      </c>
      <c r="O1656" s="36">
        <f>IF(ISBLANK(N1657),"",Long2[[#This Row],[Adj Close]]/N1657-1)</f>
        <v>-2.6315948155844593E-2</v>
      </c>
      <c r="P1656" s="29">
        <v>33504</v>
      </c>
      <c r="Q1656">
        <v>2.2534589999999999</v>
      </c>
      <c r="R1656" s="33">
        <f>IF(ISBLANK(Q1657),"",Long3[[#This Row],[Adj Close]]/Q1657-1)</f>
        <v>1.3226362979492645E-2</v>
      </c>
      <c r="AK1656" s="37">
        <v>33504</v>
      </c>
      <c r="AL1656" s="39">
        <v>0.70001899999999995</v>
      </c>
      <c r="AM1656" s="36">
        <f>IF(ISBLANK(AL1657),"",Short1[[#This Row],[Adj Close]]/AL1657-1)</f>
        <v>0.21827396149314571</v>
      </c>
      <c r="AN1656" s="29">
        <v>33504</v>
      </c>
      <c r="AO1656" s="44">
        <v>1.2046269999999999</v>
      </c>
      <c r="AP1656" s="33">
        <f>IF(ISBLANK(AO1657),"",Short2[[#This Row],[Adj Close]]/AO1657-1)</f>
        <v>0.10937597848709757</v>
      </c>
    </row>
    <row r="1657" spans="1:42" x14ac:dyDescent="0.25">
      <c r="A1657" s="37">
        <v>33497</v>
      </c>
      <c r="B1657" s="39">
        <v>387.92001299999998</v>
      </c>
      <c r="C1657" s="36">
        <f>IF(ISBLANK(B1658), "", GSPC[[#This Row],[Adj Close]]/B1658-1)</f>
        <v>1.128813849462329E-2</v>
      </c>
      <c r="D165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5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57" s="11" t="e">
        <f>IF(ISBLANK(GSPC[[#This Row],[Long Exp.]]), "", (GSPC[[#This Row],[Long Exp.]]/D1658-1)+(E1658/GSPC[[#This Row],[Short Exp.]]-1))</f>
        <v>#VALUE!</v>
      </c>
      <c r="G1657" s="37">
        <v>33497</v>
      </c>
      <c r="H1657">
        <v>3.8681049999999999</v>
      </c>
      <c r="I1657" s="36">
        <f>IF(ISBLANK(H1658), "", Long0[[#This Row],[Adj Close]]/H1658-1)</f>
        <v>4.4897779463399567E-2</v>
      </c>
      <c r="M1657" s="37">
        <v>33497</v>
      </c>
      <c r="N1657">
        <v>19.734915000000001</v>
      </c>
      <c r="O1657" s="36">
        <f>IF(ISBLANK(N1658),"",Long2[[#This Row],[Adj Close]]/N1658-1)</f>
        <v>9.464402530817928E-3</v>
      </c>
      <c r="P1657" s="29">
        <v>33497</v>
      </c>
      <c r="Q1657">
        <v>2.224043</v>
      </c>
      <c r="R1657" s="33">
        <f>IF(ISBLANK(Q1658),"",Long3[[#This Row],[Adj Close]]/Q1658-1)</f>
        <v>1.0696176243100597E-2</v>
      </c>
      <c r="AK1657" s="37">
        <v>33497</v>
      </c>
      <c r="AL1657" s="39">
        <v>0.57459899999999997</v>
      </c>
      <c r="AM1657" s="36">
        <f>IF(ISBLANK(AL1658),"",Short1[[#This Row],[Adj Close]]/AL1658-1)</f>
        <v>3.6841687387897837E-2</v>
      </c>
      <c r="AN1657" s="29">
        <v>33497</v>
      </c>
      <c r="AO1657" s="44">
        <v>1.08586</v>
      </c>
      <c r="AP1657" s="33">
        <f>IF(ISBLANK(AO1658),"",Short2[[#This Row],[Adj Close]]/AO1658-1)</f>
        <v>-1.0308338725995014E-2</v>
      </c>
    </row>
    <row r="1658" spans="1:42" x14ac:dyDescent="0.25">
      <c r="A1658" s="37">
        <v>33490</v>
      </c>
      <c r="B1658" s="39">
        <v>383.58999599999999</v>
      </c>
      <c r="C1658" s="36">
        <f>IF(ISBLANK(B1659), "", GSPC[[#This Row],[Adj Close]]/B1659-1)</f>
        <v>-1.4160909573463276E-2</v>
      </c>
      <c r="D165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5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58" s="11" t="e">
        <f>IF(ISBLANK(GSPC[[#This Row],[Long Exp.]]), "", (GSPC[[#This Row],[Long Exp.]]/D1659-1)+(E1659/GSPC[[#This Row],[Short Exp.]]-1))</f>
        <v>#VALUE!</v>
      </c>
      <c r="G1658" s="37">
        <v>33490</v>
      </c>
      <c r="H1658">
        <v>3.7018979999999999</v>
      </c>
      <c r="I1658" s="36">
        <f>IF(ISBLANK(H1659), "", Long0[[#This Row],[Adj Close]]/H1659-1)</f>
        <v>6.5217447603065137E-2</v>
      </c>
      <c r="M1658" s="37">
        <v>33490</v>
      </c>
      <c r="N1658">
        <v>19.549886999999998</v>
      </c>
      <c r="O1658" s="36">
        <f>IF(ISBLANK(N1659),"",Long2[[#This Row],[Adj Close]]/N1659-1)</f>
        <v>6.5728344220360668E-2</v>
      </c>
      <c r="P1658" s="29">
        <v>33490</v>
      </c>
      <c r="Q1658">
        <v>2.2005059999999999</v>
      </c>
      <c r="R1658" s="33">
        <f>IF(ISBLANK(Q1659),"",Long3[[#This Row],[Adj Close]]/Q1659-1)</f>
        <v>2.4895985334316251E-2</v>
      </c>
      <c r="AK1658" s="37">
        <v>33490</v>
      </c>
      <c r="AL1658" s="39">
        <v>0.55418199999999995</v>
      </c>
      <c r="AM1658" s="36">
        <f>IF(ISBLANK(AL1659),"",Short1[[#This Row],[Adj Close]]/AL1659-1)</f>
        <v>-1.0415792434131377E-2</v>
      </c>
      <c r="AN1658" s="29">
        <v>33490</v>
      </c>
      <c r="AO1658" s="44">
        <v>1.09717</v>
      </c>
      <c r="AP1658" s="33">
        <f>IF(ISBLANK(AO1659),"",Short2[[#This Row],[Adj Close]]/AO1659-1)</f>
        <v>0</v>
      </c>
    </row>
    <row r="1659" spans="1:42" x14ac:dyDescent="0.25">
      <c r="A1659" s="37">
        <v>33483</v>
      </c>
      <c r="B1659" s="39">
        <v>389.10000600000001</v>
      </c>
      <c r="C1659" s="36">
        <f>IF(ISBLANK(B1660), "", GSPC[[#This Row],[Adj Close]]/B1660-1)</f>
        <v>-1.6007857552676863E-2</v>
      </c>
      <c r="D165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5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59" s="11" t="e">
        <f>IF(ISBLANK(GSPC[[#This Row],[Long Exp.]]), "", (GSPC[[#This Row],[Long Exp.]]/D1660-1)+(E1660/GSPC[[#This Row],[Short Exp.]]-1))</f>
        <v>#VALUE!</v>
      </c>
      <c r="G1659" s="37">
        <v>33483</v>
      </c>
      <c r="H1659">
        <v>3.4752510000000001</v>
      </c>
      <c r="I1659" s="36">
        <f>IF(ISBLANK(H1660), "", Long0[[#This Row],[Adj Close]]/H1660-1)</f>
        <v>2.2222241831784117E-2</v>
      </c>
      <c r="M1659" s="37">
        <v>33483</v>
      </c>
      <c r="N1659">
        <v>18.344156000000002</v>
      </c>
      <c r="O1659" s="36">
        <f>IF(ISBLANK(N1660),"",Long2[[#This Row],[Adj Close]]/N1660-1)</f>
        <v>-2.9613105951710184E-2</v>
      </c>
      <c r="P1659" s="29">
        <v>33483</v>
      </c>
      <c r="Q1659">
        <v>2.1470530000000001</v>
      </c>
      <c r="R1659" s="33">
        <f>IF(ISBLANK(Q1660),"",Long3[[#This Row],[Adj Close]]/Q1660-1)</f>
        <v>-2.1108340616709187E-2</v>
      </c>
      <c r="AK1659" s="37">
        <v>33483</v>
      </c>
      <c r="AL1659" s="39">
        <v>0.56001500000000004</v>
      </c>
      <c r="AM1659" s="36">
        <f>IF(ISBLANK(AL1660),"",Short1[[#This Row],[Adj Close]]/AL1660-1)</f>
        <v>-1.0310171088046438E-2</v>
      </c>
      <c r="AN1659" s="29">
        <v>33483</v>
      </c>
      <c r="AO1659" s="44">
        <v>1.09717</v>
      </c>
      <c r="AP1659" s="33">
        <f>IF(ISBLANK(AO1660),"",Short2[[#This Row],[Adj Close]]/AO1660-1)</f>
        <v>1.0415707365590388E-2</v>
      </c>
    </row>
    <row r="1660" spans="1:42" x14ac:dyDescent="0.25">
      <c r="A1660" s="37">
        <v>33476</v>
      </c>
      <c r="B1660" s="39">
        <v>395.42999300000002</v>
      </c>
      <c r="C1660" s="36">
        <f>IF(ISBLANK(B1661), "", GSPC[[#This Row],[Adj Close]]/B1661-1)</f>
        <v>3.1965394587234464E-3</v>
      </c>
      <c r="D166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6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60" s="11" t="e">
        <f>IF(ISBLANK(GSPC[[#This Row],[Long Exp.]]), "", (GSPC[[#This Row],[Long Exp.]]/D1661-1)+(E1661/GSPC[[#This Row],[Short Exp.]]-1))</f>
        <v>#VALUE!</v>
      </c>
      <c r="G1660" s="37">
        <v>33476</v>
      </c>
      <c r="H1660">
        <v>3.399702</v>
      </c>
      <c r="I1660" s="36">
        <f>IF(ISBLANK(H1661), "", Long0[[#This Row],[Adj Close]]/H1661-1)</f>
        <v>3.6866266685860571E-2</v>
      </c>
      <c r="M1660" s="37">
        <v>33476</v>
      </c>
      <c r="N1660">
        <v>18.903960999999999</v>
      </c>
      <c r="O1660" s="36">
        <f>IF(ISBLANK(N1661),"",Long2[[#This Row],[Adj Close]]/N1661-1)</f>
        <v>-4.1485110943358272E-2</v>
      </c>
      <c r="P1660" s="29">
        <v>33476</v>
      </c>
      <c r="Q1660">
        <v>2.1933509999999998</v>
      </c>
      <c r="R1660" s="33">
        <f>IF(ISBLANK(Q1661),"",Long3[[#This Row],[Adj Close]]/Q1661-1)</f>
        <v>1.3369438563971547E-2</v>
      </c>
      <c r="AK1660" s="37">
        <v>33476</v>
      </c>
      <c r="AL1660" s="39">
        <v>0.56584900000000005</v>
      </c>
      <c r="AM1660" s="36">
        <f>IF(ISBLANK(AL1661),"",Short1[[#This Row],[Adj Close]]/AL1661-1)</f>
        <v>-4.4335416314811527E-2</v>
      </c>
      <c r="AN1660" s="29">
        <v>33476</v>
      </c>
      <c r="AO1660" s="44">
        <v>1.08586</v>
      </c>
      <c r="AP1660" s="33">
        <f>IF(ISBLANK(AO1661),"",Short2[[#This Row],[Adj Close]]/AO1661-1)</f>
        <v>-2.0408089621662739E-2</v>
      </c>
    </row>
    <row r="1661" spans="1:42" x14ac:dyDescent="0.25">
      <c r="A1661" s="37">
        <v>33469</v>
      </c>
      <c r="B1661" s="39">
        <v>394.17001299999998</v>
      </c>
      <c r="C1661" s="36">
        <f>IF(ISBLANK(B1662), "", GSPC[[#This Row],[Adj Close]]/B1662-1)</f>
        <v>2.2278194640843685E-2</v>
      </c>
      <c r="D166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6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61" s="11" t="e">
        <f>IF(ISBLANK(GSPC[[#This Row],[Long Exp.]]), "", (GSPC[[#This Row],[Long Exp.]]/D1662-1)+(E1662/GSPC[[#This Row],[Short Exp.]]-1))</f>
        <v>#VALUE!</v>
      </c>
      <c r="G1661" s="37">
        <v>33469</v>
      </c>
      <c r="H1661">
        <v>3.2788240000000002</v>
      </c>
      <c r="I1661" s="36">
        <f>IF(ISBLANK(H1662), "", Long0[[#This Row],[Adj Close]]/H1662-1)</f>
        <v>2.8436429242661321E-2</v>
      </c>
      <c r="M1661" s="37">
        <v>33469</v>
      </c>
      <c r="N1661">
        <v>19.722135999999999</v>
      </c>
      <c r="O1661" s="36">
        <f>IF(ISBLANK(N1662),"",Long2[[#This Row],[Adj Close]]/N1662-1)</f>
        <v>7.2600091520078402E-2</v>
      </c>
      <c r="P1661" s="29">
        <v>33469</v>
      </c>
      <c r="Q1661">
        <v>2.1644139999999998</v>
      </c>
      <c r="R1661" s="33">
        <f>IF(ISBLANK(Q1662),"",Long3[[#This Row],[Adj Close]]/Q1662-1)</f>
        <v>-5.318963156046852E-3</v>
      </c>
      <c r="AK1661" s="37">
        <v>33469</v>
      </c>
      <c r="AL1661" s="39">
        <v>0.59209999999999996</v>
      </c>
      <c r="AM1661" s="36">
        <f>IF(ISBLANK(AL1662),"",Short1[[#This Row],[Adj Close]]/AL1662-1)</f>
        <v>7.9788747291865691E-2</v>
      </c>
      <c r="AN1661" s="29">
        <v>33469</v>
      </c>
      <c r="AO1661" s="44">
        <v>1.108482</v>
      </c>
      <c r="AP1661" s="33">
        <f>IF(ISBLANK(AO1662),"",Short2[[#This Row],[Adj Close]]/AO1662-1)</f>
        <v>-1.9999062861649208E-2</v>
      </c>
    </row>
    <row r="1662" spans="1:42" x14ac:dyDescent="0.25">
      <c r="A1662" s="37">
        <v>33462</v>
      </c>
      <c r="B1662" s="39">
        <v>385.57998700000002</v>
      </c>
      <c r="C1662" s="36">
        <f>IF(ISBLANK(B1663), "", GSPC[[#This Row],[Adj Close]]/B1663-1)</f>
        <v>-3.9781153644621314E-3</v>
      </c>
      <c r="D166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6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62" s="11" t="e">
        <f>IF(ISBLANK(GSPC[[#This Row],[Long Exp.]]), "", (GSPC[[#This Row],[Long Exp.]]/D1663-1)+(E1663/GSPC[[#This Row],[Short Exp.]]-1))</f>
        <v>#VALUE!</v>
      </c>
      <c r="G1662" s="37">
        <v>33462</v>
      </c>
      <c r="H1662">
        <v>3.188164</v>
      </c>
      <c r="I1662" s="36">
        <f>IF(ISBLANK(H1663), "", Long0[[#This Row],[Adj Close]]/H1663-1)</f>
        <v>1.4422965252709696E-2</v>
      </c>
      <c r="M1662" s="37">
        <v>33462</v>
      </c>
      <c r="N1662">
        <v>18.387222000000001</v>
      </c>
      <c r="O1662" s="36">
        <f>IF(ISBLANK(N1663),"",Long2[[#This Row],[Adj Close]]/N1663-1)</f>
        <v>7.0750729336028773E-3</v>
      </c>
      <c r="P1662" s="29">
        <v>33462</v>
      </c>
      <c r="Q1662">
        <v>2.1759879999999998</v>
      </c>
      <c r="R1662" s="33">
        <f>IF(ISBLANK(Q1663),"",Long3[[#This Row],[Adj Close]]/Q1663-1)</f>
        <v>1.0752778075833636E-2</v>
      </c>
      <c r="AK1662" s="37">
        <v>33462</v>
      </c>
      <c r="AL1662" s="39">
        <v>0.54834799999999995</v>
      </c>
      <c r="AM1662" s="36">
        <f>IF(ISBLANK(AL1663),"",Short1[[#This Row],[Adj Close]]/AL1663-1)</f>
        <v>5.6178866329853916E-2</v>
      </c>
      <c r="AN1662" s="29">
        <v>33462</v>
      </c>
      <c r="AO1662" s="44">
        <v>1.131103</v>
      </c>
      <c r="AP1662" s="33">
        <f>IF(ISBLANK(AO1663),"",Short2[[#This Row],[Adj Close]]/AO1663-1)</f>
        <v>1.522792977883336E-2</v>
      </c>
    </row>
    <row r="1663" spans="1:42" x14ac:dyDescent="0.25">
      <c r="A1663" s="37">
        <v>33455</v>
      </c>
      <c r="B1663" s="39">
        <v>387.11999500000002</v>
      </c>
      <c r="C1663" s="36">
        <f>IF(ISBLANK(B1664), "", GSPC[[#This Row],[Adj Close]]/B1664-1)</f>
        <v>-1.5496151940885827E-4</v>
      </c>
      <c r="D166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6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63" s="11" t="e">
        <f>IF(ISBLANK(GSPC[[#This Row],[Long Exp.]]), "", (GSPC[[#This Row],[Long Exp.]]/D1664-1)+(E1664/GSPC[[#This Row],[Short Exp.]]-1))</f>
        <v>#VALUE!</v>
      </c>
      <c r="G1663" s="37">
        <v>33455</v>
      </c>
      <c r="H1663">
        <v>3.1428349999999998</v>
      </c>
      <c r="I1663" s="36">
        <f>IF(ISBLANK(H1664), "", Long0[[#This Row],[Adj Close]]/H1664-1)</f>
        <v>4.830987379005558E-3</v>
      </c>
      <c r="M1663" s="37">
        <v>33455</v>
      </c>
      <c r="N1663">
        <v>18.258044999999999</v>
      </c>
      <c r="O1663" s="36">
        <f>IF(ISBLANK(N1664),"",Long2[[#This Row],[Adj Close]]/N1664-1)</f>
        <v>3.163007999435874E-2</v>
      </c>
      <c r="P1663" s="29">
        <v>33455</v>
      </c>
      <c r="Q1663">
        <v>2.1528390000000002</v>
      </c>
      <c r="R1663" s="33">
        <f>IF(ISBLANK(Q1664),"",Long3[[#This Row],[Adj Close]]/Q1664-1)</f>
        <v>2.7624301480643876E-2</v>
      </c>
      <c r="AK1663" s="37">
        <v>33455</v>
      </c>
      <c r="AL1663" s="39">
        <v>0.519181</v>
      </c>
      <c r="AM1663" s="36">
        <f>IF(ISBLANK(AL1664),"",Short1[[#This Row],[Adj Close]]/AL1664-1)</f>
        <v>5.9522789144800026E-2</v>
      </c>
      <c r="AN1663" s="29">
        <v>33455</v>
      </c>
      <c r="AO1663" s="44">
        <v>1.1141369999999999</v>
      </c>
      <c r="AP1663" s="33">
        <f>IF(ISBLANK(AO1664),"",Short2[[#This Row],[Adj Close]]/AO1664-1)</f>
        <v>2.4175626433937669E-3</v>
      </c>
    </row>
    <row r="1664" spans="1:42" x14ac:dyDescent="0.25">
      <c r="A1664" s="37">
        <v>33448</v>
      </c>
      <c r="B1664" s="39">
        <v>387.17999300000002</v>
      </c>
      <c r="C1664" s="36">
        <f>IF(ISBLANK(B1665), "", GSPC[[#This Row],[Adj Close]]/B1665-1)</f>
        <v>1.6407214225318212E-2</v>
      </c>
      <c r="D166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6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64" s="11" t="e">
        <f>IF(ISBLANK(GSPC[[#This Row],[Long Exp.]]), "", (GSPC[[#This Row],[Long Exp.]]/D1665-1)+(E1665/GSPC[[#This Row],[Short Exp.]]-1))</f>
        <v>#VALUE!</v>
      </c>
      <c r="G1664" s="37">
        <v>33448</v>
      </c>
      <c r="H1664">
        <v>3.1277249999999999</v>
      </c>
      <c r="I1664" s="36">
        <f>IF(ISBLANK(H1665), "", Long0[[#This Row],[Adj Close]]/H1665-1)</f>
        <v>6.1538320558456316E-2</v>
      </c>
      <c r="M1664" s="37">
        <v>33448</v>
      </c>
      <c r="N1664">
        <v>17.698248</v>
      </c>
      <c r="O1664" s="36">
        <f>IF(ISBLANK(N1665),"",Long2[[#This Row],[Adj Close]]/N1665-1)</f>
        <v>5.6555492295246479E-2</v>
      </c>
      <c r="P1664" s="29">
        <v>33448</v>
      </c>
      <c r="Q1664">
        <v>2.094967</v>
      </c>
      <c r="R1664" s="33">
        <f>IF(ISBLANK(Q1665),"",Long3[[#This Row],[Adj Close]]/Q1665-1)</f>
        <v>2.549584361700763E-2</v>
      </c>
      <c r="AK1664" s="37">
        <v>33448</v>
      </c>
      <c r="AL1664" s="39">
        <v>0.49001400000000001</v>
      </c>
      <c r="AM1664" s="36">
        <f>IF(ISBLANK(AL1665),"",Short1[[#This Row],[Adj Close]]/AL1665-1)</f>
        <v>0.10526315789473673</v>
      </c>
      <c r="AN1664" s="29">
        <v>33448</v>
      </c>
      <c r="AO1664" s="44">
        <v>1.11145</v>
      </c>
      <c r="AP1664" s="33">
        <f>IF(ISBLANK(AO1665),"",Short2[[#This Row],[Adj Close]]/AO1665-1)</f>
        <v>5.1021515489126923E-3</v>
      </c>
    </row>
    <row r="1665" spans="1:42" x14ac:dyDescent="0.25">
      <c r="A1665" s="37">
        <v>33441</v>
      </c>
      <c r="B1665" s="39">
        <v>380.92999300000002</v>
      </c>
      <c r="C1665" s="36">
        <f>IF(ISBLANK(B1666), "", GSPC[[#This Row],[Adj Close]]/B1666-1)</f>
        <v>-8.5628233601509063E-3</v>
      </c>
      <c r="D166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6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65" s="11" t="e">
        <f>IF(ISBLANK(GSPC[[#This Row],[Long Exp.]]), "", (GSPC[[#This Row],[Long Exp.]]/D1666-1)+(E1666/GSPC[[#This Row],[Short Exp.]]-1))</f>
        <v>#VALUE!</v>
      </c>
      <c r="G1665" s="37">
        <v>33441</v>
      </c>
      <c r="H1665">
        <v>2.9464079999999999</v>
      </c>
      <c r="I1665" s="36">
        <f>IF(ISBLANK(H1666), "", Long0[[#This Row],[Adj Close]]/H1666-1)</f>
        <v>-1.5151727858522368E-2</v>
      </c>
      <c r="M1665" s="37">
        <v>33441</v>
      </c>
      <c r="N1665">
        <v>16.750893000000001</v>
      </c>
      <c r="O1665" s="36">
        <f>IF(ISBLANK(N1666),"",Long2[[#This Row],[Adj Close]]/N1666-1)</f>
        <v>2.6385147803836828E-2</v>
      </c>
      <c r="P1665" s="29">
        <v>33441</v>
      </c>
      <c r="Q1665">
        <v>2.0428820000000001</v>
      </c>
      <c r="R1665" s="33">
        <f>IF(ISBLANK(Q1666),"",Long3[[#This Row],[Adj Close]]/Q1666-1)</f>
        <v>2.8403177857105888E-3</v>
      </c>
      <c r="AK1665" s="37">
        <v>33441</v>
      </c>
      <c r="AL1665" s="39">
        <v>0.44334600000000002</v>
      </c>
      <c r="AM1665" s="36">
        <f>IF(ISBLANK(AL1666),"",Short1[[#This Row],[Adj Close]]/AL1666-1)</f>
        <v>-4.9999999999999933E-2</v>
      </c>
      <c r="AN1665" s="29">
        <v>33441</v>
      </c>
      <c r="AO1665" s="44">
        <v>1.1058079999999999</v>
      </c>
      <c r="AP1665" s="33">
        <f>IF(ISBLANK(AO1666),"",Short2[[#This Row],[Adj Close]]/AO1666-1)</f>
        <v>-4.8543054448962675E-2</v>
      </c>
    </row>
    <row r="1666" spans="1:42" x14ac:dyDescent="0.25">
      <c r="A1666" s="37">
        <v>33434</v>
      </c>
      <c r="B1666" s="39">
        <v>384.22000100000002</v>
      </c>
      <c r="C1666" s="36">
        <f>IF(ISBLANK(B1667), "", GSPC[[#This Row],[Adj Close]]/B1667-1)</f>
        <v>1.0440502301117816E-2</v>
      </c>
      <c r="D166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6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66" s="11" t="e">
        <f>IF(ISBLANK(GSPC[[#This Row],[Long Exp.]]), "", (GSPC[[#This Row],[Long Exp.]]/D1667-1)+(E1667/GSPC[[#This Row],[Short Exp.]]-1))</f>
        <v>#VALUE!</v>
      </c>
      <c r="G1666" s="37">
        <v>33434</v>
      </c>
      <c r="H1666">
        <v>2.9917379999999998</v>
      </c>
      <c r="I1666" s="36">
        <f>IF(ISBLANK(H1667), "", Long0[[#This Row],[Adj Close]]/H1667-1)</f>
        <v>0</v>
      </c>
      <c r="M1666" s="37">
        <v>33434</v>
      </c>
      <c r="N1666">
        <v>16.32028</v>
      </c>
      <c r="O1666" s="36">
        <f>IF(ISBLANK(N1667),"",Long2[[#This Row],[Adj Close]]/N1667-1)</f>
        <v>2.9891000655092759E-2</v>
      </c>
      <c r="P1666" s="29">
        <v>33434</v>
      </c>
      <c r="Q1666">
        <v>2.037096</v>
      </c>
      <c r="R1666" s="33">
        <f>IF(ISBLANK(Q1667),"",Long3[[#This Row],[Adj Close]]/Q1667-1)</f>
        <v>5.7140825920429794E-3</v>
      </c>
      <c r="AK1666" s="37">
        <v>33434</v>
      </c>
      <c r="AL1666" s="39">
        <v>0.46667999999999998</v>
      </c>
      <c r="AM1666" s="36">
        <f>IF(ISBLANK(AL1667),"",Short1[[#This Row],[Adj Close]]/AL1667-1)</f>
        <v>6.292020476019955E-3</v>
      </c>
      <c r="AN1666" s="29">
        <v>33434</v>
      </c>
      <c r="AO1666" s="44">
        <v>1.162226</v>
      </c>
      <c r="AP1666" s="33">
        <f>IF(ISBLANK(AO1667),"",Short2[[#This Row],[Adj Close]]/AO1667-1)</f>
        <v>2.4875288465693091E-2</v>
      </c>
    </row>
    <row r="1667" spans="1:42" x14ac:dyDescent="0.25">
      <c r="A1667" s="37">
        <v>33427</v>
      </c>
      <c r="B1667" s="39">
        <v>380.25</v>
      </c>
      <c r="C1667" s="36">
        <f>IF(ISBLANK(B1668), "", GSPC[[#This Row],[Adj Close]]/B1668-1)</f>
        <v>1.6493833443166794E-2</v>
      </c>
      <c r="D166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6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67" s="11" t="e">
        <f>IF(ISBLANK(GSPC[[#This Row],[Long Exp.]]), "", (GSPC[[#This Row],[Long Exp.]]/D1668-1)+(E1668/GSPC[[#This Row],[Short Exp.]]-1))</f>
        <v>#VALUE!</v>
      </c>
      <c r="G1667" s="37">
        <v>33427</v>
      </c>
      <c r="H1667">
        <v>2.9917379999999998</v>
      </c>
      <c r="I1667" s="36">
        <f>IF(ISBLANK(H1668), "", Long0[[#This Row],[Adj Close]]/H1668-1)</f>
        <v>5.3191905060797851E-2</v>
      </c>
      <c r="M1667" s="37">
        <v>33427</v>
      </c>
      <c r="N1667">
        <v>15.846609000000001</v>
      </c>
      <c r="O1667" s="36">
        <f>IF(ISBLANK(N1668),"",Long2[[#This Row],[Adj Close]]/N1668-1)</f>
        <v>1.3774157378199092E-2</v>
      </c>
      <c r="P1667" s="29">
        <v>33427</v>
      </c>
      <c r="Q1667">
        <v>2.025522</v>
      </c>
      <c r="R1667" s="33">
        <f>IF(ISBLANK(Q1668),"",Long3[[#This Row],[Adj Close]]/Q1668-1)</f>
        <v>-2.8484109746036435E-3</v>
      </c>
      <c r="AK1667" s="37">
        <v>33427</v>
      </c>
      <c r="AL1667" s="39">
        <v>0.46376200000000001</v>
      </c>
      <c r="AM1667" s="36">
        <f>IF(ISBLANK(AL1668),"",Short1[[#This Row],[Adj Close]]/AL1668-1)</f>
        <v>-3.0488391248175928E-2</v>
      </c>
      <c r="AN1667" s="29">
        <v>33427</v>
      </c>
      <c r="AO1667" s="44">
        <v>1.1340170000000001</v>
      </c>
      <c r="AP1667" s="33">
        <f>IF(ISBLANK(AO1668),"",Short2[[#This Row],[Adj Close]]/AO1668-1)</f>
        <v>6.3491557372821417E-2</v>
      </c>
    </row>
    <row r="1668" spans="1:42" x14ac:dyDescent="0.25">
      <c r="A1668" s="37">
        <v>33420</v>
      </c>
      <c r="B1668" s="39">
        <v>374.07998700000002</v>
      </c>
      <c r="C1668" s="36">
        <f>IF(ISBLANK(B1669), "", GSPC[[#This Row],[Adj Close]]/B1669-1)</f>
        <v>7.8671811847486062E-3</v>
      </c>
      <c r="D166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6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68" s="11" t="e">
        <f>IF(ISBLANK(GSPC[[#This Row],[Long Exp.]]), "", (GSPC[[#This Row],[Long Exp.]]/D1669-1)+(E1669/GSPC[[#This Row],[Short Exp.]]-1))</f>
        <v>#VALUE!</v>
      </c>
      <c r="G1668" s="37">
        <v>33420</v>
      </c>
      <c r="H1668">
        <v>2.8406389999999999</v>
      </c>
      <c r="I1668" s="36">
        <f>IF(ISBLANK(H1669), "", Long0[[#This Row],[Adj Close]]/H1669-1)</f>
        <v>-2.9079035695877553E-2</v>
      </c>
      <c r="M1668" s="37">
        <v>33420</v>
      </c>
      <c r="N1668">
        <v>15.631301000000001</v>
      </c>
      <c r="O1668" s="36">
        <f>IF(ISBLANK(N1669),"",Long2[[#This Row],[Adj Close]]/N1669-1)</f>
        <v>-1.6259505631933235E-2</v>
      </c>
      <c r="P1668" s="29">
        <v>33420</v>
      </c>
      <c r="Q1668">
        <v>2.0313080000000001</v>
      </c>
      <c r="R1668" s="33">
        <f>IF(ISBLANK(Q1669),"",Long3[[#This Row],[Adj Close]]/Q1669-1)</f>
        <v>5.7304575751064846E-3</v>
      </c>
      <c r="AK1668" s="37">
        <v>33420</v>
      </c>
      <c r="AL1668" s="39">
        <v>0.47834599999999999</v>
      </c>
      <c r="AM1668" s="36">
        <f>IF(ISBLANK(AL1669),"",Short1[[#This Row],[Adj Close]]/AL1669-1)</f>
        <v>-7.8652724194452461E-2</v>
      </c>
      <c r="AN1668" s="29">
        <v>33420</v>
      </c>
      <c r="AO1668" s="44">
        <v>1.0663149999999999</v>
      </c>
      <c r="AP1668" s="33">
        <f>IF(ISBLANK(AO1669),"",Short2[[#This Row],[Adj Close]]/AO1669-1)</f>
        <v>-5.2632708214976898E-3</v>
      </c>
    </row>
    <row r="1669" spans="1:42" x14ac:dyDescent="0.25">
      <c r="A1669" s="37">
        <v>33413</v>
      </c>
      <c r="B1669" s="39">
        <v>371.16000400000001</v>
      </c>
      <c r="C1669" s="36">
        <f>IF(ISBLANK(B1670), "", GSPC[[#This Row],[Adj Close]]/B1670-1)</f>
        <v>-1.7445389808074085E-2</v>
      </c>
      <c r="D166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6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69" s="11" t="e">
        <f>IF(ISBLANK(GSPC[[#This Row],[Long Exp.]]), "", (GSPC[[#This Row],[Long Exp.]]/D1670-1)+(E1670/GSPC[[#This Row],[Short Exp.]]-1))</f>
        <v>#VALUE!</v>
      </c>
      <c r="G1669" s="37">
        <v>33413</v>
      </c>
      <c r="H1669">
        <v>2.925716</v>
      </c>
      <c r="I1669" s="36">
        <f>IF(ISBLANK(H1670), "", Long0[[#This Row],[Adj Close]]/H1670-1)</f>
        <v>-7.6190136377802253E-2</v>
      </c>
      <c r="M1669" s="37">
        <v>33413</v>
      </c>
      <c r="N1669">
        <v>15.889659</v>
      </c>
      <c r="O1669" s="36">
        <f>IF(ISBLANK(N1670),"",Long2[[#This Row],[Adj Close]]/N1670-1)</f>
        <v>8.5293910933365247E-2</v>
      </c>
      <c r="P1669" s="29">
        <v>33413</v>
      </c>
      <c r="Q1669">
        <v>2.0197340000000001</v>
      </c>
      <c r="R1669" s="33">
        <f>IF(ISBLANK(Q1670),"",Long3[[#This Row],[Adj Close]]/Q1670-1)</f>
        <v>8.6707165301953548E-3</v>
      </c>
      <c r="AK1669" s="37">
        <v>33413</v>
      </c>
      <c r="AL1669" s="39">
        <v>0.519181</v>
      </c>
      <c r="AM1669" s="36">
        <f>IF(ISBLANK(AL1670),"",Short1[[#This Row],[Adj Close]]/AL1670-1)</f>
        <v>9.2024062427696895E-2</v>
      </c>
      <c r="AN1669" s="29">
        <v>33413</v>
      </c>
      <c r="AO1669" s="44">
        <v>1.071957</v>
      </c>
      <c r="AP1669" s="33">
        <f>IF(ISBLANK(AO1670),"",Short2[[#This Row],[Adj Close]]/AO1670-1)</f>
        <v>4.3956011850155186E-2</v>
      </c>
    </row>
    <row r="1670" spans="1:42" x14ac:dyDescent="0.25">
      <c r="A1670" s="37">
        <v>33406</v>
      </c>
      <c r="B1670" s="39">
        <v>377.75</v>
      </c>
      <c r="C1670" s="36">
        <f>IF(ISBLANK(B1671), "", GSPC[[#This Row],[Adj Close]]/B1671-1)</f>
        <v>-1.1875824356163078E-2</v>
      </c>
      <c r="D167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7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70" s="11" t="e">
        <f>IF(ISBLANK(GSPC[[#This Row],[Long Exp.]]), "", (GSPC[[#This Row],[Long Exp.]]/D1671-1)+(E1671/GSPC[[#This Row],[Short Exp.]]-1))</f>
        <v>#VALUE!</v>
      </c>
      <c r="G1670" s="37">
        <v>33406</v>
      </c>
      <c r="H1670">
        <v>3.167011</v>
      </c>
      <c r="I1670" s="36">
        <f>IF(ISBLANK(H1671), "", Long0[[#This Row],[Adj Close]]/H1671-1)</f>
        <v>1.9417469477935878E-2</v>
      </c>
      <c r="M1670" s="37">
        <v>33406</v>
      </c>
      <c r="N1670">
        <v>14.640881</v>
      </c>
      <c r="O1670" s="36">
        <f>IF(ISBLANK(N1671),"",Long2[[#This Row],[Adj Close]]/N1671-1)</f>
        <v>-1.668651085219941E-2</v>
      </c>
      <c r="P1670" s="29">
        <v>33406</v>
      </c>
      <c r="Q1670">
        <v>2.0023719999999998</v>
      </c>
      <c r="R1670" s="33">
        <f>IF(ISBLANK(Q1671),"",Long3[[#This Row],[Adj Close]]/Q1671-1)</f>
        <v>0</v>
      </c>
      <c r="AK1670" s="37">
        <v>33406</v>
      </c>
      <c r="AL1670" s="39">
        <v>0.47543000000000002</v>
      </c>
      <c r="AM1670" s="36">
        <f>IF(ISBLANK(AL1671),"",Short1[[#This Row],[Adj Close]]/AL1671-1)</f>
        <v>1.2423444833431274E-2</v>
      </c>
      <c r="AN1670" s="29">
        <v>33406</v>
      </c>
      <c r="AO1670" s="44">
        <v>1.0268219999999999</v>
      </c>
      <c r="AP1670" s="33">
        <f>IF(ISBLANK(AO1671),"",Short2[[#This Row],[Adj Close]]/AO1671-1)</f>
        <v>-3.7036898102343119E-2</v>
      </c>
    </row>
    <row r="1671" spans="1:42" x14ac:dyDescent="0.25">
      <c r="A1671" s="37">
        <v>33399</v>
      </c>
      <c r="B1671" s="39">
        <v>382.290009</v>
      </c>
      <c r="C1671" s="36">
        <f>IF(ISBLANK(B1672), "", GSPC[[#This Row],[Adj Close]]/B1672-1)</f>
        <v>7.5376645303839584E-3</v>
      </c>
      <c r="D167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7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71" s="11" t="e">
        <f>IF(ISBLANK(GSPC[[#This Row],[Long Exp.]]), "", (GSPC[[#This Row],[Long Exp.]]/D1672-1)+(E1672/GSPC[[#This Row],[Short Exp.]]-1))</f>
        <v>#VALUE!</v>
      </c>
      <c r="G1671" s="37">
        <v>33399</v>
      </c>
      <c r="H1671">
        <v>3.106687</v>
      </c>
      <c r="I1671" s="36">
        <f>IF(ISBLANK(H1672), "", Long0[[#This Row],[Adj Close]]/H1672-1)</f>
        <v>1.9801973697816111E-2</v>
      </c>
      <c r="M1671" s="37">
        <v>33399</v>
      </c>
      <c r="N1671">
        <v>14.889332</v>
      </c>
      <c r="O1671" s="36">
        <f>IF(ISBLANK(N1672),"",Long2[[#This Row],[Adj Close]]/N1672-1)</f>
        <v>3.264117840394487E-2</v>
      </c>
      <c r="P1671" s="29">
        <v>33399</v>
      </c>
      <c r="Q1671">
        <v>2.0023719999999998</v>
      </c>
      <c r="R1671" s="33">
        <f>IF(ISBLANK(Q1672),"",Long3[[#This Row],[Adj Close]]/Q1672-1)</f>
        <v>1.7623675225924229E-2</v>
      </c>
      <c r="AK1671" s="37">
        <v>33399</v>
      </c>
      <c r="AL1671" s="39">
        <v>0.46959600000000001</v>
      </c>
      <c r="AM1671" s="36">
        <f>IF(ISBLANK(AL1672),"",Short1[[#This Row],[Adj Close]]/AL1672-1)</f>
        <v>4.545403948091975E-2</v>
      </c>
      <c r="AN1671" s="29">
        <v>33399</v>
      </c>
      <c r="AO1671" s="44">
        <v>1.0663149999999999</v>
      </c>
      <c r="AP1671" s="33">
        <f>IF(ISBLANK(AO1672),"",Short2[[#This Row],[Adj Close]]/AO1672-1)</f>
        <v>-5.0250593863367388E-2</v>
      </c>
    </row>
    <row r="1672" spans="1:42" x14ac:dyDescent="0.25">
      <c r="A1672" s="37">
        <v>33392</v>
      </c>
      <c r="B1672" s="39">
        <v>379.42999300000002</v>
      </c>
      <c r="C1672" s="36">
        <f>IF(ISBLANK(B1673), "", GSPC[[#This Row],[Adj Close]]/B1673-1)</f>
        <v>-2.6678281165681605E-2</v>
      </c>
      <c r="D167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7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72" s="11" t="e">
        <f>IF(ISBLANK(GSPC[[#This Row],[Long Exp.]]), "", (GSPC[[#This Row],[Long Exp.]]/D1673-1)+(E1673/GSPC[[#This Row],[Short Exp.]]-1))</f>
        <v>#VALUE!</v>
      </c>
      <c r="G1672" s="37">
        <v>33392</v>
      </c>
      <c r="H1672">
        <v>3.0463629999999999</v>
      </c>
      <c r="I1672" s="36">
        <f>IF(ISBLANK(H1673), "", Long0[[#This Row],[Adj Close]]/H1673-1)</f>
        <v>5.2083315345980541E-2</v>
      </c>
      <c r="M1672" s="37">
        <v>33392</v>
      </c>
      <c r="N1672">
        <v>14.418689000000001</v>
      </c>
      <c r="O1672" s="36">
        <f>IF(ISBLANK(N1673),"",Long2[[#This Row],[Adj Close]]/N1673-1)</f>
        <v>1.5060588505667383E-2</v>
      </c>
      <c r="P1672" s="29">
        <v>33392</v>
      </c>
      <c r="Q1672">
        <v>1.9676940000000001</v>
      </c>
      <c r="R1672" s="33">
        <f>IF(ISBLANK(Q1673),"",Long3[[#This Row],[Adj Close]]/Q1673-1)</f>
        <v>-3.3520159493973023E-2</v>
      </c>
      <c r="AK1672" s="37">
        <v>33392</v>
      </c>
      <c r="AL1672" s="39">
        <v>0.44917899999999999</v>
      </c>
      <c r="AM1672" s="36">
        <f>IF(ISBLANK(AL1673),"",Short1[[#This Row],[Adj Close]]/AL1673-1)</f>
        <v>0.21259789378204075</v>
      </c>
      <c r="AN1672" s="29">
        <v>33392</v>
      </c>
      <c r="AO1672" s="44">
        <v>1.122733</v>
      </c>
      <c r="AP1672" s="33">
        <f>IF(ISBLANK(AO1673),"",Short2[[#This Row],[Adj Close]]/AO1673-1)</f>
        <v>4.1883854754876326E-2</v>
      </c>
    </row>
    <row r="1673" spans="1:42" x14ac:dyDescent="0.25">
      <c r="A1673" s="37">
        <v>33385</v>
      </c>
      <c r="B1673" s="39">
        <v>389.82998700000002</v>
      </c>
      <c r="C1673" s="36">
        <f>IF(ISBLANK(B1674), "", GSPC[[#This Row],[Adj Close]]/B1674-1)</f>
        <v>3.2689600590468659E-2</v>
      </c>
      <c r="D167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7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73" s="11" t="e">
        <f>IF(ISBLANK(GSPC[[#This Row],[Long Exp.]]), "", (GSPC[[#This Row],[Long Exp.]]/D1674-1)+(E1674/GSPC[[#This Row],[Short Exp.]]-1))</f>
        <v>#VALUE!</v>
      </c>
      <c r="G1673" s="37">
        <v>33385</v>
      </c>
      <c r="H1673">
        <v>2.895553</v>
      </c>
      <c r="I1673" s="36">
        <f>IF(ISBLANK(H1674), "", Long0[[#This Row],[Adj Close]]/H1674-1)</f>
        <v>5.2352512937980933E-3</v>
      </c>
      <c r="M1673" s="37">
        <v>33385</v>
      </c>
      <c r="N1673">
        <v>14.204757000000001</v>
      </c>
      <c r="O1673" s="36">
        <f>IF(ISBLANK(N1674),"",Long2[[#This Row],[Adj Close]]/N1674-1)</f>
        <v>9.5709320198892556E-2</v>
      </c>
      <c r="P1673" s="29">
        <v>33385</v>
      </c>
      <c r="Q1673">
        <v>2.0359389999999999</v>
      </c>
      <c r="R1673" s="33">
        <f>IF(ISBLANK(Q1674),"",Long3[[#This Row],[Adj Close]]/Q1674-1)</f>
        <v>5.6184936608574265E-3</v>
      </c>
      <c r="AK1673" s="37">
        <v>33385</v>
      </c>
      <c r="AL1673" s="39">
        <v>0.37042700000000001</v>
      </c>
      <c r="AM1673" s="36">
        <f>IF(ISBLANK(AL1674),"",Short1[[#This Row],[Adj Close]]/AL1674-1)</f>
        <v>1.5998617640444079E-2</v>
      </c>
      <c r="AN1673" s="29">
        <v>33385</v>
      </c>
      <c r="AO1673" s="44">
        <v>1.077599</v>
      </c>
      <c r="AP1673" s="33">
        <f>IF(ISBLANK(AO1674),"",Short2[[#This Row],[Adj Close]]/AO1674-1)</f>
        <v>5.5248829785150555E-2</v>
      </c>
    </row>
    <row r="1674" spans="1:42" x14ac:dyDescent="0.25">
      <c r="A1674" s="37">
        <v>33378</v>
      </c>
      <c r="B1674" s="39">
        <v>377.48998999999998</v>
      </c>
      <c r="C1674" s="36">
        <f>IF(ISBLANK(B1675), "", GSPC[[#This Row],[Adj Close]]/B1675-1)</f>
        <v>1.3695251737616987E-2</v>
      </c>
      <c r="D167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7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74" s="11" t="e">
        <f>IF(ISBLANK(GSPC[[#This Row],[Long Exp.]]), "", (GSPC[[#This Row],[Long Exp.]]/D1675-1)+(E1675/GSPC[[#This Row],[Short Exp.]]-1))</f>
        <v>#VALUE!</v>
      </c>
      <c r="G1674" s="37">
        <v>33378</v>
      </c>
      <c r="H1674">
        <v>2.8804729999999998</v>
      </c>
      <c r="I1674" s="36">
        <f>IF(ISBLANK(H1675), "", Long0[[#This Row],[Adj Close]]/H1675-1)</f>
        <v>3.2432409183268618E-2</v>
      </c>
      <c r="M1674" s="37">
        <v>33378</v>
      </c>
      <c r="N1674">
        <v>12.963983000000001</v>
      </c>
      <c r="O1674" s="36">
        <f>IF(ISBLANK(N1675),"",Long2[[#This Row],[Adj Close]]/N1675-1)</f>
        <v>1.6777956312843401E-2</v>
      </c>
      <c r="P1674" s="29">
        <v>33378</v>
      </c>
      <c r="Q1674">
        <v>2.0245639999999998</v>
      </c>
      <c r="R1674" s="33">
        <f>IF(ISBLANK(Q1675),"",Long3[[#This Row],[Adj Close]]/Q1675-1)</f>
        <v>-5.587102560538515E-3</v>
      </c>
      <c r="AK1674" s="37">
        <v>33378</v>
      </c>
      <c r="AL1674" s="39">
        <v>0.36459399999999997</v>
      </c>
      <c r="AM1674" s="36">
        <f>IF(ISBLANK(AL1675),"",Short1[[#This Row],[Adj Close]]/AL1675-1)</f>
        <v>0.157408201035526</v>
      </c>
      <c r="AN1674" s="29">
        <v>33378</v>
      </c>
      <c r="AO1674" s="44">
        <v>1.02118</v>
      </c>
      <c r="AP1674" s="33">
        <f>IF(ISBLANK(AO1675),"",Short2[[#This Row],[Adj Close]]/AO1675-1)</f>
        <v>-3.2085313132979132E-2</v>
      </c>
    </row>
    <row r="1675" spans="1:42" x14ac:dyDescent="0.25">
      <c r="A1675" s="37">
        <v>33371</v>
      </c>
      <c r="B1675" s="39">
        <v>372.39001500000001</v>
      </c>
      <c r="C1675" s="36">
        <f>IF(ISBLANK(B1676), "", GSPC[[#This Row],[Adj Close]]/B1676-1)</f>
        <v>-8.9156733090879348E-3</v>
      </c>
      <c r="D167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7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75" s="11" t="e">
        <f>IF(ISBLANK(GSPC[[#This Row],[Long Exp.]]), "", (GSPC[[#This Row],[Long Exp.]]/D1676-1)+(E1676/GSPC[[#This Row],[Short Exp.]]-1))</f>
        <v>#VALUE!</v>
      </c>
      <c r="G1675" s="37">
        <v>33371</v>
      </c>
      <c r="H1675">
        <v>2.789987</v>
      </c>
      <c r="I1675" s="36">
        <f>IF(ISBLANK(H1676), "", Long0[[#This Row],[Adj Close]]/H1676-1)</f>
        <v>-2.116400631369697E-2</v>
      </c>
      <c r="M1675" s="37">
        <v>33371</v>
      </c>
      <c r="N1675">
        <v>12.750063000000001</v>
      </c>
      <c r="O1675" s="36">
        <f>IF(ISBLANK(N1676),"",Long2[[#This Row],[Adj Close]]/N1676-1)</f>
        <v>-2.6143450881438879E-2</v>
      </c>
      <c r="P1675" s="29">
        <v>33371</v>
      </c>
      <c r="Q1675">
        <v>2.0359389999999999</v>
      </c>
      <c r="R1675" s="33">
        <f>IF(ISBLANK(Q1676),"",Long3[[#This Row],[Adj Close]]/Q1676-1)</f>
        <v>5.6184936608574265E-3</v>
      </c>
      <c r="AK1675" s="37">
        <v>33371</v>
      </c>
      <c r="AL1675" s="39">
        <v>0.31500899999999998</v>
      </c>
      <c r="AM1675" s="36">
        <f>IF(ISBLANK(AL1676),"",Short1[[#This Row],[Adj Close]]/AL1676-1)</f>
        <v>-6.0868865263873473E-2</v>
      </c>
      <c r="AN1675" s="29">
        <v>33371</v>
      </c>
      <c r="AO1675" s="44">
        <v>1.0550310000000001</v>
      </c>
      <c r="AP1675" s="33">
        <f>IF(ISBLANK(AO1676),"",Short2[[#This Row],[Adj Close]]/AO1676-1)</f>
        <v>4.4692720834620836E-2</v>
      </c>
    </row>
    <row r="1676" spans="1:42" x14ac:dyDescent="0.25">
      <c r="A1676" s="37">
        <v>33364</v>
      </c>
      <c r="B1676" s="39">
        <v>375.73998999999998</v>
      </c>
      <c r="C1676" s="36">
        <f>IF(ISBLANK(B1677), "", GSPC[[#This Row],[Adj Close]]/B1677-1)</f>
        <v>-1.3287810292683111E-2</v>
      </c>
      <c r="D167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7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76" s="11" t="e">
        <f>IF(ISBLANK(GSPC[[#This Row],[Long Exp.]]), "", (GSPC[[#This Row],[Long Exp.]]/D1677-1)+(E1677/GSPC[[#This Row],[Short Exp.]]-1))</f>
        <v>#VALUE!</v>
      </c>
      <c r="G1676" s="37">
        <v>33364</v>
      </c>
      <c r="H1676">
        <v>2.850311</v>
      </c>
      <c r="I1676" s="36">
        <f>IF(ISBLANK(H1677), "", Long0[[#This Row],[Adj Close]]/H1677-1)</f>
        <v>-5.2631542211326598E-3</v>
      </c>
      <c r="M1676" s="37">
        <v>33364</v>
      </c>
      <c r="N1676">
        <v>13.092342</v>
      </c>
      <c r="O1676" s="36">
        <f>IF(ISBLANK(N1677),"",Long2[[#This Row],[Adj Close]]/N1677-1)</f>
        <v>-6.9908885846446056E-2</v>
      </c>
      <c r="P1676" s="29">
        <v>33364</v>
      </c>
      <c r="Q1676">
        <v>2.0245639999999998</v>
      </c>
      <c r="R1676" s="33">
        <f>IF(ISBLANK(Q1677),"",Long3[[#This Row],[Adj Close]]/Q1677-1)</f>
        <v>2.8169125707013798E-3</v>
      </c>
      <c r="AK1676" s="37">
        <v>33364</v>
      </c>
      <c r="AL1676" s="39">
        <v>0.335426</v>
      </c>
      <c r="AM1676" s="36">
        <f>IF(ISBLANK(AL1677),"",Short1[[#This Row],[Adj Close]]/AL1677-1)</f>
        <v>0.14999914288163185</v>
      </c>
      <c r="AN1676" s="29">
        <v>33364</v>
      </c>
      <c r="AO1676" s="44">
        <v>1.0098959999999999</v>
      </c>
      <c r="AP1676" s="33">
        <f>IF(ISBLANK(AO1677),"",Short2[[#This Row],[Adj Close]]/AO1677-1)</f>
        <v>2.5718737240674638E-2</v>
      </c>
    </row>
    <row r="1677" spans="1:42" x14ac:dyDescent="0.25">
      <c r="A1677" s="37">
        <v>33357</v>
      </c>
      <c r="B1677" s="39">
        <v>380.79998799999998</v>
      </c>
      <c r="C1677" s="36">
        <f>IF(ISBLANK(B1678), "", GSPC[[#This Row],[Adj Close]]/B1678-1)</f>
        <v>4.6963195917353318E-3</v>
      </c>
      <c r="D167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7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77" s="11" t="e">
        <f>IF(ISBLANK(GSPC[[#This Row],[Long Exp.]]), "", (GSPC[[#This Row],[Long Exp.]]/D1678-1)+(E1678/GSPC[[#This Row],[Short Exp.]]-1))</f>
        <v>#VALUE!</v>
      </c>
      <c r="G1677" s="37">
        <v>33357</v>
      </c>
      <c r="H1677">
        <v>2.8653919999999999</v>
      </c>
      <c r="I1677" s="36">
        <f>IF(ISBLANK(H1678), "", Long0[[#This Row],[Adj Close]]/H1678-1)</f>
        <v>-3.0612224185165959E-2</v>
      </c>
      <c r="M1677" s="37">
        <v>33357</v>
      </c>
      <c r="N1677">
        <v>14.076408000000001</v>
      </c>
      <c r="O1677" s="36">
        <f>IF(ISBLANK(N1678),"",Long2[[#This Row],[Adj Close]]/N1678-1)</f>
        <v>-3.8011390172664972E-2</v>
      </c>
      <c r="P1677" s="29">
        <v>33357</v>
      </c>
      <c r="Q1677">
        <v>2.0188769999999998</v>
      </c>
      <c r="R1677" s="33">
        <f>IF(ISBLANK(Q1678),"",Long3[[#This Row],[Adj Close]]/Q1678-1)</f>
        <v>5.6657449577908192E-3</v>
      </c>
      <c r="AK1677" s="37">
        <v>33357</v>
      </c>
      <c r="AL1677" s="39">
        <v>0.29167500000000002</v>
      </c>
      <c r="AM1677" s="36">
        <f>IF(ISBLANK(AL1678),"",Short1[[#This Row],[Adj Close]]/AL1678-1)</f>
        <v>0.13636806364518295</v>
      </c>
      <c r="AN1677" s="29">
        <v>33357</v>
      </c>
      <c r="AO1677" s="44">
        <v>0.98457399999999995</v>
      </c>
      <c r="AP1677" s="33">
        <f>IF(ISBLANK(AO1678),"",Short2[[#This Row],[Adj Close]]/AO1678-1)</f>
        <v>5.7480129159188653E-3</v>
      </c>
    </row>
    <row r="1678" spans="1:42" x14ac:dyDescent="0.25">
      <c r="A1678" s="37">
        <v>33350</v>
      </c>
      <c r="B1678" s="39">
        <v>379.01998900000001</v>
      </c>
      <c r="C1678" s="36">
        <f>IF(ISBLANK(B1679), "", GSPC[[#This Row],[Adj Close]]/B1679-1)</f>
        <v>-1.3482620609600593E-2</v>
      </c>
      <c r="D167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7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78" s="11" t="e">
        <f>IF(ISBLANK(GSPC[[#This Row],[Long Exp.]]), "", (GSPC[[#This Row],[Long Exp.]]/D1679-1)+(E1679/GSPC[[#This Row],[Short Exp.]]-1))</f>
        <v>#VALUE!</v>
      </c>
      <c r="G1678" s="37">
        <v>33350</v>
      </c>
      <c r="H1678">
        <v>2.9558779999999998</v>
      </c>
      <c r="I1678" s="36">
        <f>IF(ISBLANK(H1679), "", Long0[[#This Row],[Adj Close]]/H1679-1)</f>
        <v>-1.5075038652236472E-2</v>
      </c>
      <c r="M1678" s="37">
        <v>33350</v>
      </c>
      <c r="N1678">
        <v>14.632614</v>
      </c>
      <c r="O1678" s="36">
        <f>IF(ISBLANK(N1679),"",Long2[[#This Row],[Adj Close]]/N1679-1)</f>
        <v>5.8825021528432497E-3</v>
      </c>
      <c r="P1678" s="29">
        <v>33350</v>
      </c>
      <c r="Q1678">
        <v>2.0075029999999998</v>
      </c>
      <c r="R1678" s="33">
        <f>IF(ISBLANK(Q1679),"",Long3[[#This Row],[Adj Close]]/Q1679-1)</f>
        <v>-8.4269995910229989E-3</v>
      </c>
      <c r="AK1678" s="37">
        <v>33350</v>
      </c>
      <c r="AL1678" s="39">
        <v>0.25667299999999998</v>
      </c>
      <c r="AM1678" s="36">
        <f>IF(ISBLANK(AL1679),"",Short1[[#This Row],[Adj Close]]/AL1679-1)</f>
        <v>1.14913086141466E-2</v>
      </c>
      <c r="AN1678" s="29">
        <v>33350</v>
      </c>
      <c r="AO1678" s="44">
        <v>0.97894700000000001</v>
      </c>
      <c r="AP1678" s="33">
        <f>IF(ISBLANK(AO1679),"",Short2[[#This Row],[Adj Close]]/AO1679-1)</f>
        <v>1.1627630606751094E-2</v>
      </c>
    </row>
    <row r="1679" spans="1:42" x14ac:dyDescent="0.25">
      <c r="A1679" s="37">
        <v>33343</v>
      </c>
      <c r="B1679" s="39">
        <v>384.20001200000002</v>
      </c>
      <c r="C1679" s="36">
        <f>IF(ISBLANK(B1680), "", GSPC[[#This Row],[Adj Close]]/B1680-1)</f>
        <v>9.9895322290672883E-3</v>
      </c>
      <c r="D167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7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79" s="11" t="e">
        <f>IF(ISBLANK(GSPC[[#This Row],[Long Exp.]]), "", (GSPC[[#This Row],[Long Exp.]]/D1680-1)+(E1680/GSPC[[#This Row],[Short Exp.]]-1))</f>
        <v>#VALUE!</v>
      </c>
      <c r="G1679" s="37">
        <v>33343</v>
      </c>
      <c r="H1679">
        <v>3.0011199999999998</v>
      </c>
      <c r="I1679" s="36">
        <f>IF(ISBLANK(H1680), "", Long0[[#This Row],[Adj Close]]/H1680-1)</f>
        <v>-5.6872020042160965E-2</v>
      </c>
      <c r="M1679" s="37">
        <v>33343</v>
      </c>
      <c r="N1679">
        <v>14.547041</v>
      </c>
      <c r="O1679" s="36">
        <f>IF(ISBLANK(N1680),"",Long2[[#This Row],[Adj Close]]/N1680-1)</f>
        <v>3.9755025343376493E-2</v>
      </c>
      <c r="P1679" s="29">
        <v>33343</v>
      </c>
      <c r="Q1679">
        <v>2.0245639999999998</v>
      </c>
      <c r="R1679" s="33">
        <f>IF(ISBLANK(Q1680),"",Long3[[#This Row],[Adj Close]]/Q1680-1)</f>
        <v>-1.9283346218608055E-2</v>
      </c>
      <c r="AK1679" s="37">
        <v>33343</v>
      </c>
      <c r="AL1679" s="39">
        <v>0.25375700000000001</v>
      </c>
      <c r="AM1679" s="36">
        <f>IF(ISBLANK(AL1680),"",Short1[[#This Row],[Adj Close]]/AL1680-1)</f>
        <v>0.14473571431793686</v>
      </c>
      <c r="AN1679" s="29">
        <v>33343</v>
      </c>
      <c r="AO1679" s="44">
        <v>0.96769499999999997</v>
      </c>
      <c r="AP1679" s="33">
        <f>IF(ISBLANK(AO1680),"",Short2[[#This Row],[Adj Close]]/AO1680-1)</f>
        <v>2.3810027613495599E-2</v>
      </c>
    </row>
    <row r="1680" spans="1:42" x14ac:dyDescent="0.25">
      <c r="A1680" s="37">
        <v>33336</v>
      </c>
      <c r="B1680" s="39">
        <v>380.39999399999999</v>
      </c>
      <c r="C1680" s="36">
        <f>IF(ISBLANK(B1681), "", GSPC[[#This Row],[Adj Close]]/B1681-1)</f>
        <v>1.3427134487976833E-2</v>
      </c>
      <c r="D168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8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80" s="11" t="e">
        <f>IF(ISBLANK(GSPC[[#This Row],[Long Exp.]]), "", (GSPC[[#This Row],[Long Exp.]]/D1681-1)+(E1681/GSPC[[#This Row],[Short Exp.]]-1))</f>
        <v>#VALUE!</v>
      </c>
      <c r="G1680" s="37">
        <v>33336</v>
      </c>
      <c r="H1680">
        <v>3.1820919999999999</v>
      </c>
      <c r="I1680" s="36">
        <f>IF(ISBLANK(H1681), "", Long0[[#This Row],[Adj Close]]/H1681-1)</f>
        <v>3.431337814144908E-2</v>
      </c>
      <c r="M1680" s="37">
        <v>33336</v>
      </c>
      <c r="N1680">
        <v>13.990835000000001</v>
      </c>
      <c r="O1680" s="36">
        <f>IF(ISBLANK(N1681),"",Long2[[#This Row],[Adj Close]]/N1681-1)</f>
        <v>2.1875373411440302E-2</v>
      </c>
      <c r="P1680" s="29">
        <v>33336</v>
      </c>
      <c r="Q1680">
        <v>2.0643720000000001</v>
      </c>
      <c r="R1680" s="33">
        <f>IF(ISBLANK(Q1681),"",Long3[[#This Row],[Adj Close]]/Q1681-1)</f>
        <v>2.7619559272276106E-3</v>
      </c>
      <c r="AK1680" s="37">
        <v>33336</v>
      </c>
      <c r="AL1680" s="39">
        <v>0.22167300000000001</v>
      </c>
      <c r="AM1680" s="36">
        <f>IF(ISBLANK(AL1681),"",Short1[[#This Row],[Adj Close]]/AL1681-1)</f>
        <v>0</v>
      </c>
      <c r="AN1680" s="29">
        <v>33336</v>
      </c>
      <c r="AO1680" s="44">
        <v>0.94518999999999997</v>
      </c>
      <c r="AP1680" s="33">
        <f>IF(ISBLANK(AO1681),"",Short2[[#This Row],[Adj Close]]/AO1681-1)</f>
        <v>6.3289572857255338E-2</v>
      </c>
    </row>
    <row r="1681" spans="1:42" x14ac:dyDescent="0.25">
      <c r="A1681" s="37">
        <v>33329</v>
      </c>
      <c r="B1681" s="39">
        <v>375.35998499999999</v>
      </c>
      <c r="C1681" s="36">
        <f>IF(ISBLANK(B1682), "", GSPC[[#This Row],[Adj Close]]/B1682-1)</f>
        <v>3.7307179688417236E-4</v>
      </c>
      <c r="D168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8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81" s="11" t="e">
        <f>IF(ISBLANK(GSPC[[#This Row],[Long Exp.]]), "", (GSPC[[#This Row],[Long Exp.]]/D1682-1)+(E1682/GSPC[[#This Row],[Short Exp.]]-1))</f>
        <v>#VALUE!</v>
      </c>
      <c r="G1681" s="37">
        <v>33329</v>
      </c>
      <c r="H1681">
        <v>3.0765259999999999</v>
      </c>
      <c r="I1681" s="36">
        <f>IF(ISBLANK(H1682), "", Long0[[#This Row],[Adj Close]]/H1682-1)</f>
        <v>-5.1162466506456949E-2</v>
      </c>
      <c r="M1681" s="37">
        <v>33329</v>
      </c>
      <c r="N1681">
        <v>13.691331999999999</v>
      </c>
      <c r="O1681" s="36">
        <f>IF(ISBLANK(N1682),"",Long2[[#This Row],[Adj Close]]/N1682-1)</f>
        <v>-7.7809851844931721E-2</v>
      </c>
      <c r="P1681" s="29">
        <v>33329</v>
      </c>
      <c r="Q1681">
        <v>2.0586859999999998</v>
      </c>
      <c r="R1681" s="33">
        <f>IF(ISBLANK(Q1682),"",Long3[[#This Row],[Adj Close]]/Q1682-1)</f>
        <v>1.1172731599522256E-2</v>
      </c>
      <c r="AK1681" s="37">
        <v>33329</v>
      </c>
      <c r="AL1681" s="39">
        <v>0.22167300000000001</v>
      </c>
      <c r="AM1681" s="36">
        <f>IF(ISBLANK(AL1682),"",Short1[[#This Row],[Adj Close]]/AL1682-1)</f>
        <v>0.10145338004024751</v>
      </c>
      <c r="AN1681" s="29">
        <v>33329</v>
      </c>
      <c r="AO1681" s="44">
        <v>0.88893</v>
      </c>
      <c r="AP1681" s="33">
        <f>IF(ISBLANK(AO1682),"",Short2[[#This Row],[Adj Close]]/AO1682-1)</f>
        <v>3.2681302698194026E-2</v>
      </c>
    </row>
    <row r="1682" spans="1:42" x14ac:dyDescent="0.25">
      <c r="A1682" s="37">
        <v>33322</v>
      </c>
      <c r="B1682" s="39">
        <v>375.22000100000002</v>
      </c>
      <c r="C1682" s="36">
        <f>IF(ISBLANK(B1683), "", GSPC[[#This Row],[Adj Close]]/B1683-1)</f>
        <v>2.1062342898427788E-2</v>
      </c>
      <c r="D168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8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82" s="11" t="e">
        <f>IF(ISBLANK(GSPC[[#This Row],[Long Exp.]]), "", (GSPC[[#This Row],[Long Exp.]]/D1683-1)+(E1683/GSPC[[#This Row],[Short Exp.]]-1))</f>
        <v>#VALUE!</v>
      </c>
      <c r="G1682" s="37">
        <v>33322</v>
      </c>
      <c r="H1682">
        <v>3.242416</v>
      </c>
      <c r="I1682" s="36">
        <f>IF(ISBLANK(H1683), "", Long0[[#This Row],[Adj Close]]/H1683-1)</f>
        <v>6.6960605728489941E-3</v>
      </c>
      <c r="M1682" s="37">
        <v>33322</v>
      </c>
      <c r="N1682">
        <v>14.846539</v>
      </c>
      <c r="O1682" s="36">
        <f>IF(ISBLANK(N1683),"",Long2[[#This Row],[Adj Close]]/N1683-1)</f>
        <v>1.7594925013530105E-2</v>
      </c>
      <c r="P1682" s="29">
        <v>33322</v>
      </c>
      <c r="Q1682">
        <v>2.0359389999999999</v>
      </c>
      <c r="R1682" s="33">
        <f>IF(ISBLANK(Q1683),"",Long3[[#This Row],[Adj Close]]/Q1683-1)</f>
        <v>2.578857340074725E-2</v>
      </c>
      <c r="AK1682" s="37">
        <v>33322</v>
      </c>
      <c r="AL1682" s="39">
        <v>0.20125499999999999</v>
      </c>
      <c r="AM1682" s="36">
        <f>IF(ISBLANK(AL1683),"",Short1[[#This Row],[Adj Close]]/AL1683-1)</f>
        <v>0</v>
      </c>
      <c r="AN1682" s="29">
        <v>33322</v>
      </c>
      <c r="AO1682" s="44">
        <v>0.86079799999999995</v>
      </c>
      <c r="AP1682" s="33">
        <f>IF(ISBLANK(AO1683),"",Short2[[#This Row],[Adj Close]]/AO1683-1)</f>
        <v>1.9999526021423852E-2</v>
      </c>
    </row>
    <row r="1683" spans="1:42" x14ac:dyDescent="0.25">
      <c r="A1683" s="37">
        <v>33315</v>
      </c>
      <c r="B1683" s="39">
        <v>367.48001099999999</v>
      </c>
      <c r="C1683" s="36">
        <f>IF(ISBLANK(B1684), "", GSPC[[#This Row],[Adj Close]]/B1684-1)</f>
        <v>-1.6354787508817581E-2</v>
      </c>
      <c r="D168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8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83" s="11" t="e">
        <f>IF(ISBLANK(GSPC[[#This Row],[Long Exp.]]), "", (GSPC[[#This Row],[Long Exp.]]/D1684-1)+(E1684/GSPC[[#This Row],[Short Exp.]]-1))</f>
        <v>#VALUE!</v>
      </c>
      <c r="G1683" s="37">
        <v>33315</v>
      </c>
      <c r="H1683">
        <v>3.2208489999999999</v>
      </c>
      <c r="I1683" s="36">
        <f>IF(ISBLANK(H1684), "", Long0[[#This Row],[Adj Close]]/H1684-1)</f>
        <v>0.10880843463748091</v>
      </c>
      <c r="M1683" s="37">
        <v>33315</v>
      </c>
      <c r="N1683">
        <v>14.589831999999999</v>
      </c>
      <c r="O1683" s="36">
        <f>IF(ISBLANK(N1684),"",Long2[[#This Row],[Adj Close]]/N1684-1)</f>
        <v>9.6723433650753865E-3</v>
      </c>
      <c r="P1683" s="29">
        <v>33315</v>
      </c>
      <c r="Q1683">
        <v>1.984755</v>
      </c>
      <c r="R1683" s="33">
        <f>IF(ISBLANK(Q1684),"",Long3[[#This Row],[Adj Close]]/Q1684-1)</f>
        <v>2.8735748342147982E-3</v>
      </c>
      <c r="AK1683" s="37">
        <v>33315</v>
      </c>
      <c r="AL1683" s="39">
        <v>0.20125499999999999</v>
      </c>
      <c r="AM1683" s="36">
        <f>IF(ISBLANK(AL1684),"",Short1[[#This Row],[Adj Close]]/AL1684-1)</f>
        <v>0</v>
      </c>
      <c r="AN1683" s="29">
        <v>33315</v>
      </c>
      <c r="AO1683" s="44">
        <v>0.84392</v>
      </c>
      <c r="AP1683" s="33">
        <f>IF(ISBLANK(AO1684),"",Short2[[#This Row],[Adj Close]]/AO1684-1)</f>
        <v>-5.0633908181746623E-2</v>
      </c>
    </row>
    <row r="1684" spans="1:42" x14ac:dyDescent="0.25">
      <c r="A1684" s="37">
        <v>33308</v>
      </c>
      <c r="B1684" s="39">
        <v>373.58999599999999</v>
      </c>
      <c r="C1684" s="36">
        <f>IF(ISBLANK(B1685), "", GSPC[[#This Row],[Adj Close]]/B1685-1)</f>
        <v>-3.627192842975635E-3</v>
      </c>
      <c r="D168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8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84" s="11" t="e">
        <f>IF(ISBLANK(GSPC[[#This Row],[Long Exp.]]), "", (GSPC[[#This Row],[Long Exp.]]/D1685-1)+(E1685/GSPC[[#This Row],[Short Exp.]]-1))</f>
        <v>#VALUE!</v>
      </c>
      <c r="G1684" s="37">
        <v>33308</v>
      </c>
      <c r="H1684">
        <v>2.9047839999999998</v>
      </c>
      <c r="I1684" s="36">
        <f>IF(ISBLANK(H1685), "", Long0[[#This Row],[Adj Close]]/H1685-1)</f>
        <v>5.2087875277013751E-3</v>
      </c>
      <c r="M1684" s="37">
        <v>33308</v>
      </c>
      <c r="N1684">
        <v>14.450066</v>
      </c>
      <c r="O1684" s="36">
        <f>IF(ISBLANK(N1685),"",Long2[[#This Row],[Adj Close]]/N1685-1)</f>
        <v>4.9382784187899764E-2</v>
      </c>
      <c r="P1684" s="29">
        <v>33308</v>
      </c>
      <c r="Q1684">
        <v>1.979068</v>
      </c>
      <c r="R1684" s="33">
        <f>IF(ISBLANK(Q1685),"",Long3[[#This Row],[Adj Close]]/Q1685-1)</f>
        <v>2.9661451247283477E-2</v>
      </c>
      <c r="AK1684" s="37">
        <v>33308</v>
      </c>
      <c r="AL1684" s="39">
        <v>0.20125499999999999</v>
      </c>
      <c r="AM1684" s="36">
        <f>IF(ISBLANK(AL1685),"",Short1[[#This Row],[Adj Close]]/AL1685-1)</f>
        <v>-1.4286973728033225E-2</v>
      </c>
      <c r="AN1684" s="29">
        <v>33308</v>
      </c>
      <c r="AO1684" s="44">
        <v>0.88893</v>
      </c>
      <c r="AP1684" s="33">
        <f>IF(ISBLANK(AO1685),"",Short2[[#This Row],[Adj Close]]/AO1685-1)</f>
        <v>-2.4690762029944024E-2</v>
      </c>
    </row>
    <row r="1685" spans="1:42" x14ac:dyDescent="0.25">
      <c r="A1685" s="37">
        <v>33301</v>
      </c>
      <c r="B1685" s="39">
        <v>374.95001200000002</v>
      </c>
      <c r="C1685" s="36">
        <f>IF(ISBLANK(B1686), "", GSPC[[#This Row],[Adj Close]]/B1686-1)</f>
        <v>1.2092776710414421E-2</v>
      </c>
      <c r="D168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8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85" s="11" t="e">
        <f>IF(ISBLANK(GSPC[[#This Row],[Long Exp.]]), "", (GSPC[[#This Row],[Long Exp.]]/D1686-1)+(E1686/GSPC[[#This Row],[Short Exp.]]-1))</f>
        <v>#VALUE!</v>
      </c>
      <c r="G1685" s="37">
        <v>33301</v>
      </c>
      <c r="H1685">
        <v>2.889732</v>
      </c>
      <c r="I1685" s="36">
        <f>IF(ISBLANK(H1686), "", Long0[[#This Row],[Adj Close]]/H1686-1)</f>
        <v>6.0773261629667674E-2</v>
      </c>
      <c r="M1685" s="37">
        <v>33301</v>
      </c>
      <c r="N1685">
        <v>13.770061999999999</v>
      </c>
      <c r="O1685" s="36">
        <f>IF(ISBLANK(N1686),"",Long2[[#This Row],[Adj Close]]/N1686-1)</f>
        <v>3.1847604363384407E-2</v>
      </c>
      <c r="P1685" s="29">
        <v>33301</v>
      </c>
      <c r="Q1685">
        <v>1.9220569999999999</v>
      </c>
      <c r="R1685" s="33">
        <f>IF(ISBLANK(Q1686),"",Long3[[#This Row],[Adj Close]]/Q1686-1)</f>
        <v>-2.8248710394852106E-2</v>
      </c>
      <c r="AK1685" s="37">
        <v>33301</v>
      </c>
      <c r="AL1685" s="39">
        <v>0.20417199999999999</v>
      </c>
      <c r="AM1685" s="36">
        <f>IF(ISBLANK(AL1686),"",Short1[[#This Row],[Adj Close]]/AL1686-1)</f>
        <v>4.4774897401520741E-2</v>
      </c>
      <c r="AN1685" s="29">
        <v>33301</v>
      </c>
      <c r="AO1685" s="44">
        <v>0.91143399999999997</v>
      </c>
      <c r="AP1685" s="33">
        <f>IF(ISBLANK(AO1686),"",Short2[[#This Row],[Adj Close]]/AO1686-1)</f>
        <v>0</v>
      </c>
    </row>
    <row r="1686" spans="1:42" x14ac:dyDescent="0.25">
      <c r="A1686" s="37">
        <v>33294</v>
      </c>
      <c r="B1686" s="39">
        <v>370.47000100000002</v>
      </c>
      <c r="C1686" s="36">
        <f>IF(ISBLANK(B1687), "", GSPC[[#This Row],[Adj Close]]/B1687-1)</f>
        <v>1.3182024009550597E-2</v>
      </c>
      <c r="D168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8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86" s="11" t="e">
        <f>IF(ISBLANK(GSPC[[#This Row],[Long Exp.]]), "", (GSPC[[#This Row],[Long Exp.]]/D1687-1)+(E1687/GSPC[[#This Row],[Short Exp.]]-1))</f>
        <v>#VALUE!</v>
      </c>
      <c r="G1686" s="37">
        <v>33294</v>
      </c>
      <c r="H1686">
        <v>2.7241749999999998</v>
      </c>
      <c r="I1686" s="36">
        <f>IF(ISBLANK(H1687), "", Long0[[#This Row],[Adj Close]]/H1687-1)</f>
        <v>4.6241760031216161E-2</v>
      </c>
      <c r="M1686" s="37">
        <v>33294</v>
      </c>
      <c r="N1686">
        <v>13.345053999999999</v>
      </c>
      <c r="O1686" s="36">
        <f>IF(ISBLANK(N1687),"",Long2[[#This Row],[Adj Close]]/N1687-1)</f>
        <v>6.4102303052460119E-3</v>
      </c>
      <c r="P1686" s="29">
        <v>33294</v>
      </c>
      <c r="Q1686">
        <v>1.9779310000000001</v>
      </c>
      <c r="R1686" s="33">
        <f>IF(ISBLANK(Q1687),"",Long3[[#This Row],[Adj Close]]/Q1687-1)</f>
        <v>0</v>
      </c>
      <c r="AK1686" s="37">
        <v>33294</v>
      </c>
      <c r="AL1686" s="39">
        <v>0.19542200000000001</v>
      </c>
      <c r="AM1686" s="36">
        <f>IF(ISBLANK(AL1687),"",Short1[[#This Row],[Adj Close]]/AL1687-1)</f>
        <v>1.5152853172644809E-2</v>
      </c>
      <c r="AN1686" s="29">
        <v>33294</v>
      </c>
      <c r="AO1686" s="44">
        <v>0.91143399999999997</v>
      </c>
      <c r="AP1686" s="33">
        <f>IF(ISBLANK(AO1687),"",Short2[[#This Row],[Adj Close]]/AO1687-1)</f>
        <v>-2.994045116623123E-2</v>
      </c>
    </row>
    <row r="1687" spans="1:42" x14ac:dyDescent="0.25">
      <c r="A1687" s="37">
        <v>33287</v>
      </c>
      <c r="B1687" s="39">
        <v>365.64999399999999</v>
      </c>
      <c r="C1687" s="36">
        <f>IF(ISBLANK(B1688), "", GSPC[[#This Row],[Adj Close]]/B1688-1)</f>
        <v>-9.2397009117201057E-3</v>
      </c>
      <c r="D168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8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87" s="11" t="e">
        <f>IF(ISBLANK(GSPC[[#This Row],[Long Exp.]]), "", (GSPC[[#This Row],[Long Exp.]]/D1688-1)+(E1688/GSPC[[#This Row],[Short Exp.]]-1))</f>
        <v>#VALUE!</v>
      </c>
      <c r="G1687" s="37">
        <v>33287</v>
      </c>
      <c r="H1687">
        <v>2.6037720000000002</v>
      </c>
      <c r="I1687" s="36">
        <f>IF(ISBLANK(H1688), "", Long0[[#This Row],[Adj Close]]/H1688-1)</f>
        <v>-3.3518752640053662E-2</v>
      </c>
      <c r="M1687" s="37">
        <v>33287</v>
      </c>
      <c r="N1687">
        <v>13.260054</v>
      </c>
      <c r="O1687" s="36">
        <f>IF(ISBLANK(N1688),"",Long2[[#This Row],[Adj Close]]/N1688-1)</f>
        <v>-1.2658323986139752E-2</v>
      </c>
      <c r="P1687" s="29">
        <v>33287</v>
      </c>
      <c r="Q1687">
        <v>1.9779310000000001</v>
      </c>
      <c r="R1687" s="33">
        <f>IF(ISBLANK(Q1688),"",Long3[[#This Row],[Adj Close]]/Q1688-1)</f>
        <v>-1.3927636315051561E-2</v>
      </c>
      <c r="AK1687" s="37">
        <v>33287</v>
      </c>
      <c r="AL1687" s="39">
        <v>0.19250500000000001</v>
      </c>
      <c r="AM1687" s="36">
        <f>IF(ISBLANK(AL1688),"",Short1[[#This Row],[Adj Close]]/AL1688-1)</f>
        <v>-9.5893820770888927E-2</v>
      </c>
      <c r="AN1687" s="29">
        <v>33287</v>
      </c>
      <c r="AO1687" s="44">
        <v>0.93956499999999998</v>
      </c>
      <c r="AP1687" s="33">
        <f>IF(ISBLANK(AO1688),"",Short2[[#This Row],[Adj Close]]/AO1688-1)</f>
        <v>0</v>
      </c>
    </row>
    <row r="1688" spans="1:42" x14ac:dyDescent="0.25">
      <c r="A1688" s="37">
        <v>33280</v>
      </c>
      <c r="B1688" s="39">
        <v>369.05999800000001</v>
      </c>
      <c r="C1688" s="36">
        <f>IF(ISBLANK(B1689), "", GSPC[[#This Row],[Adj Close]]/B1689-1)</f>
        <v>2.7020987443645783E-2</v>
      </c>
      <c r="D168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8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88" s="11" t="e">
        <f>IF(ISBLANK(GSPC[[#This Row],[Long Exp.]]), "", (GSPC[[#This Row],[Long Exp.]]/D1689-1)+(E1689/GSPC[[#This Row],[Short Exp.]]-1))</f>
        <v>#VALUE!</v>
      </c>
      <c r="G1688" s="37">
        <v>33280</v>
      </c>
      <c r="H1688">
        <v>2.6940740000000001</v>
      </c>
      <c r="I1688" s="36">
        <f>IF(ISBLANK(H1689), "", Long0[[#This Row],[Adj Close]]/H1689-1)</f>
        <v>2.873545003648581E-2</v>
      </c>
      <c r="M1688" s="37">
        <v>33280</v>
      </c>
      <c r="N1688">
        <v>13.430056</v>
      </c>
      <c r="O1688" s="36">
        <f>IF(ISBLANK(N1689),"",Long2[[#This Row],[Adj Close]]/N1689-1)</f>
        <v>-3.067500249006494E-2</v>
      </c>
      <c r="P1688" s="29">
        <v>33280</v>
      </c>
      <c r="Q1688">
        <v>2.005868</v>
      </c>
      <c r="R1688" s="33">
        <f>IF(ISBLANK(Q1689),"",Long3[[#This Row],[Adj Close]]/Q1689-1)</f>
        <v>3.160912298711116E-2</v>
      </c>
      <c r="AK1688" s="37">
        <v>33280</v>
      </c>
      <c r="AL1688" s="39">
        <v>0.212923</v>
      </c>
      <c r="AM1688" s="36">
        <f>IF(ISBLANK(AL1689),"",Short1[[#This Row],[Adj Close]]/AL1689-1)</f>
        <v>4.2860921184099787E-2</v>
      </c>
      <c r="AN1688" s="29">
        <v>33280</v>
      </c>
      <c r="AO1688" s="44">
        <v>0.93956499999999998</v>
      </c>
      <c r="AP1688" s="33">
        <f>IF(ISBLANK(AO1689),"",Short2[[#This Row],[Adj Close]]/AO1689-1)</f>
        <v>0.12080606565238439</v>
      </c>
    </row>
    <row r="1689" spans="1:42" x14ac:dyDescent="0.25">
      <c r="A1689" s="37">
        <v>33273</v>
      </c>
      <c r="B1689" s="39">
        <v>359.35000600000001</v>
      </c>
      <c r="C1689" s="36">
        <f>IF(ISBLANK(B1690), "", GSPC[[#This Row],[Adj Close]]/B1690-1)</f>
        <v>4.7514993645765724E-2</v>
      </c>
      <c r="D168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8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89" s="11" t="e">
        <f>IF(ISBLANK(GSPC[[#This Row],[Long Exp.]]), "", (GSPC[[#This Row],[Long Exp.]]/D1690-1)+(E1690/GSPC[[#This Row],[Short Exp.]]-1))</f>
        <v>#VALUE!</v>
      </c>
      <c r="G1689" s="37">
        <v>33273</v>
      </c>
      <c r="H1689">
        <v>2.6188210000000001</v>
      </c>
      <c r="I1689" s="36">
        <f>IF(ISBLANK(H1690), "", Long0[[#This Row],[Adj Close]]/H1690-1)</f>
        <v>0.10828033833849848</v>
      </c>
      <c r="M1689" s="37">
        <v>33273</v>
      </c>
      <c r="N1689">
        <v>13.85506</v>
      </c>
      <c r="O1689" s="36">
        <f>IF(ISBLANK(N1690),"",Long2[[#This Row],[Adj Close]]/N1690-1)</f>
        <v>7.9470079486207101E-2</v>
      </c>
      <c r="P1689" s="29">
        <v>33273</v>
      </c>
      <c r="Q1689">
        <v>1.944407</v>
      </c>
      <c r="R1689" s="33">
        <f>IF(ISBLANK(Q1690),"",Long3[[#This Row],[Adj Close]]/Q1690-1)</f>
        <v>2.3529944354576671E-2</v>
      </c>
      <c r="AK1689" s="37">
        <v>33273</v>
      </c>
      <c r="AL1689" s="39">
        <v>0.20417199999999999</v>
      </c>
      <c r="AM1689" s="36">
        <f>IF(ISBLANK(AL1690),"",Short1[[#This Row],[Adj Close]]/AL1690-1)</f>
        <v>9.3747321505099679E-2</v>
      </c>
      <c r="AN1689" s="29">
        <v>33273</v>
      </c>
      <c r="AO1689" s="44">
        <v>0.83829399999999998</v>
      </c>
      <c r="AP1689" s="33">
        <f>IF(ISBLANK(AO1690),"",Short2[[#This Row],[Adj Close]]/AO1690-1)</f>
        <v>-1.6458568475294588E-2</v>
      </c>
    </row>
    <row r="1690" spans="1:42" x14ac:dyDescent="0.25">
      <c r="A1690" s="37">
        <v>33266</v>
      </c>
      <c r="B1690" s="39">
        <v>343.04998799999998</v>
      </c>
      <c r="C1690" s="36">
        <f>IF(ISBLANK(B1691), "", GSPC[[#This Row],[Adj Close]]/B1691-1)</f>
        <v>2.0769425579831635E-2</v>
      </c>
      <c r="D169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9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90" s="11" t="e">
        <f>IF(ISBLANK(GSPC[[#This Row],[Long Exp.]]), "", (GSPC[[#This Row],[Long Exp.]]/D1691-1)+(E1691/GSPC[[#This Row],[Short Exp.]]-1))</f>
        <v>#VALUE!</v>
      </c>
      <c r="G1690" s="37">
        <v>33266</v>
      </c>
      <c r="H1690">
        <v>2.362959</v>
      </c>
      <c r="I1690" s="36">
        <f>IF(ISBLANK(H1691), "", Long0[[#This Row],[Adj Close]]/H1691-1)</f>
        <v>3.9735023573749695E-2</v>
      </c>
      <c r="M1690" s="37">
        <v>33266</v>
      </c>
      <c r="N1690">
        <v>12.835057000000001</v>
      </c>
      <c r="O1690" s="36">
        <f>IF(ISBLANK(N1691),"",Long2[[#This Row],[Adj Close]]/N1691-1)</f>
        <v>0</v>
      </c>
      <c r="P1690" s="29">
        <v>33266</v>
      </c>
      <c r="Q1690">
        <v>1.899707</v>
      </c>
      <c r="R1690" s="33">
        <f>IF(ISBLANK(Q1691),"",Long3[[#This Row],[Adj Close]]/Q1691-1)</f>
        <v>-2.5788284476772727E-2</v>
      </c>
      <c r="AK1690" s="37">
        <v>33266</v>
      </c>
      <c r="AL1690" s="39">
        <v>0.186672</v>
      </c>
      <c r="AM1690" s="36">
        <f>IF(ISBLANK(AL1691),"",Short1[[#This Row],[Adj Close]]/AL1691-1)</f>
        <v>0.20755302839177947</v>
      </c>
      <c r="AN1690" s="29">
        <v>33266</v>
      </c>
      <c r="AO1690" s="44">
        <v>0.85232200000000002</v>
      </c>
      <c r="AP1690" s="33">
        <f>IF(ISBLANK(AO1691),"",Short2[[#This Row],[Adj Close]]/AO1691-1)</f>
        <v>7.0422782851573995E-2</v>
      </c>
    </row>
    <row r="1691" spans="1:42" x14ac:dyDescent="0.25">
      <c r="A1691" s="37">
        <v>33259</v>
      </c>
      <c r="B1691" s="39">
        <v>336.07000699999998</v>
      </c>
      <c r="C1691" s="36">
        <f>IF(ISBLANK(B1692), "", GSPC[[#This Row],[Adj Close]]/B1692-1)</f>
        <v>1.1558245410887791E-2</v>
      </c>
      <c r="D169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9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91" s="11" t="e">
        <f>IF(ISBLANK(GSPC[[#This Row],[Long Exp.]]), "", (GSPC[[#This Row],[Long Exp.]]/D1692-1)+(E1692/GSPC[[#This Row],[Short Exp.]]-1))</f>
        <v>#VALUE!</v>
      </c>
      <c r="G1691" s="37">
        <v>33259</v>
      </c>
      <c r="H1691">
        <v>2.2726549999999999</v>
      </c>
      <c r="I1691" s="36">
        <f>IF(ISBLANK(H1692), "", Long0[[#This Row],[Adj Close]]/H1692-1)</f>
        <v>-4.4303850698693581E-2</v>
      </c>
      <c r="M1691" s="37">
        <v>33259</v>
      </c>
      <c r="N1691">
        <v>12.835057000000001</v>
      </c>
      <c r="O1691" s="36">
        <f>IF(ISBLANK(N1692),"",Long2[[#This Row],[Adj Close]]/N1692-1)</f>
        <v>6.3380422884673493E-2</v>
      </c>
      <c r="P1691" s="29">
        <v>33259</v>
      </c>
      <c r="Q1691">
        <v>1.949994</v>
      </c>
      <c r="R1691" s="33">
        <f>IF(ISBLANK(Q1692),"",Long3[[#This Row],[Adj Close]]/Q1692-1)</f>
        <v>1.1594464538057903E-2</v>
      </c>
      <c r="AK1691" s="37">
        <v>33259</v>
      </c>
      <c r="AL1691" s="39">
        <v>0.154587</v>
      </c>
      <c r="AM1691" s="36">
        <f>IF(ISBLANK(AL1692),"",Short1[[#This Row],[Adj Close]]/AL1692-1)</f>
        <v>0.12765615995681578</v>
      </c>
      <c r="AN1691" s="29">
        <v>33259</v>
      </c>
      <c r="AO1691" s="44">
        <v>0.79624799999999996</v>
      </c>
      <c r="AP1691" s="33">
        <f>IF(ISBLANK(AO1692),"",Short2[[#This Row],[Adj Close]]/AO1692-1)</f>
        <v>7.5757862340476656E-2</v>
      </c>
    </row>
    <row r="1692" spans="1:42" x14ac:dyDescent="0.25">
      <c r="A1692" s="37">
        <v>33252</v>
      </c>
      <c r="B1692" s="39">
        <v>332.23001099999999</v>
      </c>
      <c r="C1692" s="36">
        <f>IF(ISBLANK(B1693), "", GSPC[[#This Row],[Adj Close]]/B1693-1)</f>
        <v>5.3928875445808933E-2</v>
      </c>
      <c r="D169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9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92" s="11" t="e">
        <f>IF(ISBLANK(GSPC[[#This Row],[Long Exp.]]), "", (GSPC[[#This Row],[Long Exp.]]/D1693-1)+(E1693/GSPC[[#This Row],[Short Exp.]]-1))</f>
        <v>#VALUE!</v>
      </c>
      <c r="G1692" s="37">
        <v>33252</v>
      </c>
      <c r="H1692">
        <v>2.3780100000000002</v>
      </c>
      <c r="I1692" s="36">
        <f>IF(ISBLANK(H1693), "", Long0[[#This Row],[Adj Close]]/H1693-1)</f>
        <v>0.11267598384614641</v>
      </c>
      <c r="M1692" s="37">
        <v>33252</v>
      </c>
      <c r="N1692">
        <v>12.070052</v>
      </c>
      <c r="O1692" s="36">
        <f>IF(ISBLANK(N1693),"",Long2[[#This Row],[Adj Close]]/N1693-1)</f>
        <v>4.0292859708795259E-2</v>
      </c>
      <c r="P1692" s="29">
        <v>33252</v>
      </c>
      <c r="Q1692">
        <v>1.9276439999999999</v>
      </c>
      <c r="R1692" s="33">
        <f>IF(ISBLANK(Q1693),"",Long3[[#This Row],[Adj Close]]/Q1693-1)</f>
        <v>1.4705952023127633E-2</v>
      </c>
      <c r="AK1692" s="37">
        <v>33252</v>
      </c>
      <c r="AL1692" s="39">
        <v>0.13708699999999999</v>
      </c>
      <c r="AM1692" s="36">
        <f>IF(ISBLANK(AL1693),"",Short1[[#This Row],[Adj Close]]/AL1693-1)</f>
        <v>-5.9998491466500381E-2</v>
      </c>
      <c r="AN1692" s="29">
        <v>33252</v>
      </c>
      <c r="AO1692" s="44">
        <v>0.740174</v>
      </c>
      <c r="AP1692" s="33">
        <f>IF(ISBLANK(AO1693),"",Short2[[#This Row],[Adj Close]]/AO1693-1)</f>
        <v>6.451608263880404E-2</v>
      </c>
    </row>
    <row r="1693" spans="1:42" x14ac:dyDescent="0.25">
      <c r="A1693" s="37">
        <v>33245</v>
      </c>
      <c r="B1693" s="39">
        <v>315.23001099999999</v>
      </c>
      <c r="C1693" s="36">
        <f>IF(ISBLANK(B1694), "", GSPC[[#This Row],[Adj Close]]/B1694-1)</f>
        <v>-1.7975043613707165E-2</v>
      </c>
      <c r="D169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9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93" s="11" t="e">
        <f>IF(ISBLANK(GSPC[[#This Row],[Long Exp.]]), "", (GSPC[[#This Row],[Long Exp.]]/D1694-1)+(E1694/GSPC[[#This Row],[Short Exp.]]-1))</f>
        <v>#VALUE!</v>
      </c>
      <c r="G1693" s="37">
        <v>33245</v>
      </c>
      <c r="H1693">
        <v>2.1371989999999998</v>
      </c>
      <c r="I1693" s="36">
        <f>IF(ISBLANK(H1694), "", Long0[[#This Row],[Adj Close]]/H1694-1)</f>
        <v>-6.9926853259079103E-3</v>
      </c>
      <c r="M1693" s="37">
        <v>33245</v>
      </c>
      <c r="N1693">
        <v>11.602551999999999</v>
      </c>
      <c r="O1693" s="36">
        <f>IF(ISBLANK(N1694),"",Long2[[#This Row],[Adj Close]]/N1694-1)</f>
        <v>-3.1915239792748684E-2</v>
      </c>
      <c r="P1693" s="29">
        <v>33245</v>
      </c>
      <c r="Q1693">
        <v>1.899707</v>
      </c>
      <c r="R1693" s="33">
        <f>IF(ISBLANK(Q1694),"",Long3[[#This Row],[Adj Close]]/Q1694-1)</f>
        <v>-1.162816711471093E-2</v>
      </c>
      <c r="AK1693" s="37">
        <v>33245</v>
      </c>
      <c r="AL1693" s="39">
        <v>0.14583699999999999</v>
      </c>
      <c r="AM1693" s="36">
        <f>IF(ISBLANK(AL1694),"",Short1[[#This Row],[Adj Close]]/AL1694-1)</f>
        <v>0.16278902886302027</v>
      </c>
      <c r="AN1693" s="29">
        <v>33245</v>
      </c>
      <c r="AO1693" s="44">
        <v>0.69531500000000002</v>
      </c>
      <c r="AP1693" s="33">
        <f>IF(ISBLANK(AO1694),"",Short2[[#This Row],[Adj Close]]/AO1694-1)</f>
        <v>-3.8759829239429777E-2</v>
      </c>
    </row>
    <row r="1694" spans="1:42" x14ac:dyDescent="0.25">
      <c r="A1694" s="37">
        <v>33238</v>
      </c>
      <c r="B1694" s="39">
        <v>321</v>
      </c>
      <c r="C1694" s="36">
        <f>IF(ISBLANK(B1695), "", GSPC[[#This Row],[Adj Close]]/B1695-1)</f>
        <v>-2.3485035825368095E-2</v>
      </c>
      <c r="D169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9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94" s="11" t="e">
        <f>IF(ISBLANK(GSPC[[#This Row],[Long Exp.]]), "", (GSPC[[#This Row],[Long Exp.]]/D1695-1)+(E1695/GSPC[[#This Row],[Short Exp.]]-1))</f>
        <v>#VALUE!</v>
      </c>
      <c r="G1694" s="37">
        <v>33238</v>
      </c>
      <c r="H1694">
        <v>2.1522489999999999</v>
      </c>
      <c r="I1694" s="36">
        <f>IF(ISBLANK(H1695), "", Long0[[#This Row],[Adj Close]]/H1695-1)</f>
        <v>-0.10956134420822616</v>
      </c>
      <c r="M1694" s="37">
        <v>33238</v>
      </c>
      <c r="N1694">
        <v>11.985058</v>
      </c>
      <c r="O1694" s="36">
        <f>IF(ISBLANK(N1695),"",Long2[[#This Row],[Adj Close]]/N1695-1)</f>
        <v>0</v>
      </c>
      <c r="P1694" s="29">
        <v>33238</v>
      </c>
      <c r="Q1694">
        <v>1.9220569999999999</v>
      </c>
      <c r="R1694" s="33">
        <f>IF(ISBLANK(Q1695),"",Long3[[#This Row],[Adj Close]]/Q1695-1)</f>
        <v>-2.5495565426500333E-2</v>
      </c>
      <c r="AK1694" s="37">
        <v>33238</v>
      </c>
      <c r="AL1694" s="39">
        <v>0.12542</v>
      </c>
      <c r="AM1694" s="36">
        <f>IF(ISBLANK(AL1695),"",Short1[[#This Row],[Adj Close]]/AL1695-1)</f>
        <v>0</v>
      </c>
      <c r="AN1694" s="29">
        <v>33238</v>
      </c>
      <c r="AO1694" s="44">
        <v>0.72335199999999999</v>
      </c>
      <c r="AP1694" s="33">
        <f>IF(ISBLANK(AO1695),"",Short2[[#This Row],[Adj Close]]/AO1695-1)</f>
        <v>-4.444535447300324E-2</v>
      </c>
    </row>
    <row r="1695" spans="1:42" x14ac:dyDescent="0.25">
      <c r="A1695" s="37">
        <v>33231</v>
      </c>
      <c r="B1695" s="39">
        <v>328.72000100000002</v>
      </c>
      <c r="C1695" s="36">
        <f>IF(ISBLANK(B1696), "", GSPC[[#This Row],[Adj Close]]/B1696-1)</f>
        <v>-9.1333805576487848E-3</v>
      </c>
      <c r="D169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9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95" s="11" t="e">
        <f>IF(ISBLANK(GSPC[[#This Row],[Long Exp.]]), "", (GSPC[[#This Row],[Long Exp.]]/D1696-1)+(E1696/GSPC[[#This Row],[Short Exp.]]-1))</f>
        <v>#VALUE!</v>
      </c>
      <c r="G1695" s="37">
        <v>33231</v>
      </c>
      <c r="H1695">
        <v>2.4170660000000002</v>
      </c>
      <c r="I1695" s="36">
        <f>IF(ISBLANK(H1696), "", Long0[[#This Row],[Adj Close]]/H1696-1)</f>
        <v>1.2578758629935072E-2</v>
      </c>
      <c r="M1695" s="37">
        <v>33231</v>
      </c>
      <c r="N1695">
        <v>11.985058</v>
      </c>
      <c r="O1695" s="36">
        <f>IF(ISBLANK(N1696),"",Long2[[#This Row],[Adj Close]]/N1696-1)</f>
        <v>-3.4246104005671518E-2</v>
      </c>
      <c r="P1695" s="29">
        <v>33231</v>
      </c>
      <c r="Q1695">
        <v>1.972343</v>
      </c>
      <c r="R1695" s="33">
        <f>IF(ISBLANK(Q1696),"",Long3[[#This Row],[Adj Close]]/Q1696-1)</f>
        <v>0</v>
      </c>
      <c r="AK1695" s="37">
        <v>33231</v>
      </c>
      <c r="AL1695" s="39">
        <v>0.12542</v>
      </c>
      <c r="AM1695" s="36">
        <f>IF(ISBLANK(AL1696),"",Short1[[#This Row],[Adj Close]]/AL1696-1)</f>
        <v>0.13158179652820379</v>
      </c>
      <c r="AN1695" s="29">
        <v>33231</v>
      </c>
      <c r="AO1695" s="44">
        <v>0.75699700000000003</v>
      </c>
      <c r="AP1695" s="33">
        <f>IF(ISBLANK(AO1696),"",Short2[[#This Row],[Adj Close]]/AO1696-1)</f>
        <v>8.0001769098416053E-2</v>
      </c>
    </row>
    <row r="1696" spans="1:42" x14ac:dyDescent="0.25">
      <c r="A1696" s="37">
        <v>33224</v>
      </c>
      <c r="B1696" s="39">
        <v>331.75</v>
      </c>
      <c r="C1696" s="36">
        <f>IF(ISBLANK(B1697), "", GSPC[[#This Row],[Adj Close]]/B1697-1)</f>
        <v>1.5084734393264965E-2</v>
      </c>
      <c r="D169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9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96" s="11" t="e">
        <f>IF(ISBLANK(GSPC[[#This Row],[Long Exp.]]), "", (GSPC[[#This Row],[Long Exp.]]/D1697-1)+(E1697/GSPC[[#This Row],[Short Exp.]]-1))</f>
        <v>#VALUE!</v>
      </c>
      <c r="G1696" s="37">
        <v>33224</v>
      </c>
      <c r="H1696">
        <v>2.3870399999999998</v>
      </c>
      <c r="I1696" s="36">
        <f>IF(ISBLANK(H1697), "", Long0[[#This Row],[Adj Close]]/H1697-1)</f>
        <v>6.328337469735823E-3</v>
      </c>
      <c r="M1696" s="37">
        <v>33224</v>
      </c>
      <c r="N1696">
        <v>12.410054000000001</v>
      </c>
      <c r="O1696" s="36">
        <f>IF(ISBLANK(N1697),"",Long2[[#This Row],[Adj Close]]/N1697-1)</f>
        <v>7.6100616368874885E-3</v>
      </c>
      <c r="P1696" s="29">
        <v>33224</v>
      </c>
      <c r="Q1696">
        <v>1.972343</v>
      </c>
      <c r="R1696" s="33">
        <f>IF(ISBLANK(Q1697),"",Long3[[#This Row],[Adj Close]]/Q1697-1)</f>
        <v>1.4367362388635785E-2</v>
      </c>
      <c r="AK1696" s="37">
        <v>33224</v>
      </c>
      <c r="AL1696" s="39">
        <v>0.110836</v>
      </c>
      <c r="AM1696" s="36">
        <f>IF(ISBLANK(AL1697),"",Short1[[#This Row],[Adj Close]]/AL1697-1)</f>
        <v>-7.3176850326540421E-2</v>
      </c>
      <c r="AN1696" s="29">
        <v>33224</v>
      </c>
      <c r="AO1696" s="44">
        <v>0.70092200000000005</v>
      </c>
      <c r="AP1696" s="33">
        <f>IF(ISBLANK(AO1697),"",Short2[[#This Row],[Adj Close]]/AO1697-1)</f>
        <v>0.14678896080523041</v>
      </c>
    </row>
    <row r="1697" spans="1:42" x14ac:dyDescent="0.25">
      <c r="A1697" s="37">
        <v>33217</v>
      </c>
      <c r="B1697" s="39">
        <v>326.82000699999998</v>
      </c>
      <c r="C1697" s="36">
        <f>IF(ISBLANK(B1698), "", GSPC[[#This Row],[Adj Close]]/B1698-1)</f>
        <v>-2.8375072463768802E-3</v>
      </c>
      <c r="D169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9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97" s="11" t="e">
        <f>IF(ISBLANK(GSPC[[#This Row],[Long Exp.]]), "", (GSPC[[#This Row],[Long Exp.]]/D1698-1)+(E1698/GSPC[[#This Row],[Short Exp.]]-1))</f>
        <v>#VALUE!</v>
      </c>
      <c r="G1697" s="37">
        <v>33217</v>
      </c>
      <c r="H1697">
        <v>2.3720289999999999</v>
      </c>
      <c r="I1697" s="36">
        <f>IF(ISBLANK(H1698), "", Long0[[#This Row],[Adj Close]]/H1698-1)</f>
        <v>-4.2423897448567227E-2</v>
      </c>
      <c r="M1697" s="37">
        <v>33217</v>
      </c>
      <c r="N1697">
        <v>12.316326</v>
      </c>
      <c r="O1697" s="36">
        <f>IF(ISBLANK(N1698),"",Long2[[#This Row],[Adj Close]]/N1698-1)</f>
        <v>2.0979089383043492E-2</v>
      </c>
      <c r="P1697" s="29">
        <v>33217</v>
      </c>
      <c r="Q1697">
        <v>1.944407</v>
      </c>
      <c r="R1697" s="33">
        <f>IF(ISBLANK(Q1698),"",Long3[[#This Row],[Adj Close]]/Q1698-1)</f>
        <v>2.3154011907988048E-2</v>
      </c>
      <c r="AK1697" s="37">
        <v>33217</v>
      </c>
      <c r="AL1697" s="39">
        <v>0.119587</v>
      </c>
      <c r="AM1697" s="36">
        <f>IF(ISBLANK(AL1698),"",Short1[[#This Row],[Adj Close]]/AL1698-1)</f>
        <v>-0.12765615995681567</v>
      </c>
      <c r="AN1697" s="29">
        <v>33217</v>
      </c>
      <c r="AO1697" s="44">
        <v>0.61120399999999997</v>
      </c>
      <c r="AP1697" s="33">
        <f>IF(ISBLANK(AO1698),"",Short2[[#This Row],[Adj Close]]/AO1698-1)</f>
        <v>-6.0345357718277759E-2</v>
      </c>
    </row>
    <row r="1698" spans="1:42" x14ac:dyDescent="0.25">
      <c r="A1698" s="37">
        <v>33210</v>
      </c>
      <c r="B1698" s="39">
        <v>327.75</v>
      </c>
      <c r="C1698" s="36">
        <f>IF(ISBLANK(B1699), "", GSPC[[#This Row],[Adj Close]]/B1699-1)</f>
        <v>1.7162184168697747E-2</v>
      </c>
      <c r="D169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9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98" s="11" t="e">
        <f>IF(ISBLANK(GSPC[[#This Row],[Long Exp.]]), "", (GSPC[[#This Row],[Long Exp.]]/D1699-1)+(E1699/GSPC[[#This Row],[Short Exp.]]-1))</f>
        <v>#VALUE!</v>
      </c>
      <c r="G1698" s="37">
        <v>33210</v>
      </c>
      <c r="H1698">
        <v>2.4771179999999999</v>
      </c>
      <c r="I1698" s="36">
        <f>IF(ISBLANK(H1699), "", Long0[[#This Row],[Adj Close]]/H1699-1)</f>
        <v>5.0955551831447732E-2</v>
      </c>
      <c r="M1698" s="37">
        <v>33210</v>
      </c>
      <c r="N1698">
        <v>12.06325</v>
      </c>
      <c r="O1698" s="36">
        <f>IF(ISBLANK(N1699),"",Long2[[#This Row],[Adj Close]]/N1699-1)</f>
        <v>2.8776665512518562E-2</v>
      </c>
      <c r="P1698" s="29">
        <v>33210</v>
      </c>
      <c r="Q1698">
        <v>1.9004049999999999</v>
      </c>
      <c r="R1698" s="33">
        <f>IF(ISBLANK(Q1699),"",Long3[[#This Row],[Adj Close]]/Q1699-1)</f>
        <v>-5.7476466091972434E-3</v>
      </c>
      <c r="AK1698" s="37">
        <v>33210</v>
      </c>
      <c r="AL1698" s="39">
        <v>0.13708699999999999</v>
      </c>
      <c r="AM1698" s="36">
        <f>IF(ISBLANK(AL1699),"",Short1[[#This Row],[Adj Close]]/AL1699-1)</f>
        <v>-4.0819753570154216E-2</v>
      </c>
      <c r="AN1698" s="29">
        <v>33210</v>
      </c>
      <c r="AO1698" s="44">
        <v>0.65045600000000003</v>
      </c>
      <c r="AP1698" s="33">
        <f>IF(ISBLANK(AO1699),"",Short2[[#This Row],[Adj Close]]/AO1699-1)</f>
        <v>9.4340003566729891E-2</v>
      </c>
    </row>
    <row r="1699" spans="1:42" x14ac:dyDescent="0.25">
      <c r="A1699" s="37">
        <v>33203</v>
      </c>
      <c r="B1699" s="39">
        <v>322.22000100000002</v>
      </c>
      <c r="C1699" s="36">
        <f>IF(ISBLANK(B1700), "", GSPC[[#This Row],[Adj Close]]/B1700-1)</f>
        <v>2.2595984971196748E-2</v>
      </c>
      <c r="D169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69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699" s="11" t="e">
        <f>IF(ISBLANK(GSPC[[#This Row],[Long Exp.]]), "", (GSPC[[#This Row],[Long Exp.]]/D1700-1)+(E1700/GSPC[[#This Row],[Short Exp.]]-1))</f>
        <v>#VALUE!</v>
      </c>
      <c r="G1699" s="37">
        <v>33203</v>
      </c>
      <c r="H1699">
        <v>2.3570150000000001</v>
      </c>
      <c r="I1699" s="36">
        <f>IF(ISBLANK(H1700), "", Long0[[#This Row],[Adj Close]]/H1700-1)</f>
        <v>6.0810567532292081E-2</v>
      </c>
      <c r="M1699" s="37">
        <v>33203</v>
      </c>
      <c r="N1699">
        <v>11.725820000000001</v>
      </c>
      <c r="O1699" s="36">
        <f>IF(ISBLANK(N1700),"",Long2[[#This Row],[Adj Close]]/N1700-1)</f>
        <v>-1.4184410877026932E-2</v>
      </c>
      <c r="P1699" s="29">
        <v>33203</v>
      </c>
      <c r="Q1699">
        <v>1.9113910000000001</v>
      </c>
      <c r="R1699" s="33">
        <f>IF(ISBLANK(Q1700),"",Long3[[#This Row],[Adj Close]]/Q1700-1)</f>
        <v>1.4577521009295547E-2</v>
      </c>
      <c r="AK1699" s="37">
        <v>33203</v>
      </c>
      <c r="AL1699" s="39">
        <v>0.14292099999999999</v>
      </c>
      <c r="AM1699" s="36">
        <f>IF(ISBLANK(AL1700),"",Short1[[#This Row],[Adj Close]]/AL1700-1)</f>
        <v>-1.9994925841864575E-2</v>
      </c>
      <c r="AN1699" s="29">
        <v>33203</v>
      </c>
      <c r="AO1699" s="44">
        <v>0.59438199999999997</v>
      </c>
      <c r="AP1699" s="33">
        <f>IF(ISBLANK(AO1700),"",Short2[[#This Row],[Adj Close]]/AO1700-1)</f>
        <v>4.9505160282160121E-2</v>
      </c>
    </row>
    <row r="1700" spans="1:42" x14ac:dyDescent="0.25">
      <c r="A1700" s="37">
        <v>33196</v>
      </c>
      <c r="B1700" s="39">
        <v>315.10000600000001</v>
      </c>
      <c r="C1700" s="36">
        <f>IF(ISBLANK(B1701), "", GSPC[[#This Row],[Adj Close]]/B1701-1)</f>
        <v>-6.3697938693522138E-3</v>
      </c>
      <c r="D170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0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00" s="11" t="e">
        <f>IF(ISBLANK(GSPC[[#This Row],[Long Exp.]]), "", (GSPC[[#This Row],[Long Exp.]]/D1701-1)+(E1701/GSPC[[#This Row],[Short Exp.]]-1))</f>
        <v>#VALUE!</v>
      </c>
      <c r="G1700" s="37">
        <v>33196</v>
      </c>
      <c r="H1700">
        <v>2.2219000000000002</v>
      </c>
      <c r="I1700" s="36">
        <f>IF(ISBLANK(H1701), "", Long0[[#This Row],[Adj Close]]/H1701-1)</f>
        <v>4.2253996815869277E-2</v>
      </c>
      <c r="M1700" s="37">
        <v>33196</v>
      </c>
      <c r="N1700">
        <v>11.894537</v>
      </c>
      <c r="O1700" s="36">
        <f>IF(ISBLANK(N1701),"",Long2[[#This Row],[Adj Close]]/N1701-1)</f>
        <v>-2.0833312753156807E-2</v>
      </c>
      <c r="P1700" s="29">
        <v>33196</v>
      </c>
      <c r="Q1700">
        <v>1.883928</v>
      </c>
      <c r="R1700" s="33">
        <f>IF(ISBLANK(Q1701),"",Long3[[#This Row],[Adj Close]]/Q1701-1)</f>
        <v>-2.9067121127118734E-3</v>
      </c>
      <c r="AK1700" s="37">
        <v>33196</v>
      </c>
      <c r="AL1700" s="39">
        <v>0.14583699999999999</v>
      </c>
      <c r="AM1700" s="36">
        <f>IF(ISBLANK(AL1701),"",Short1[[#This Row],[Adj Close]]/AL1701-1)</f>
        <v>8.6956845792651061E-2</v>
      </c>
      <c r="AN1700" s="29">
        <v>33196</v>
      </c>
      <c r="AO1700" s="44">
        <v>0.56634499999999999</v>
      </c>
      <c r="AP1700" s="33">
        <f>IF(ISBLANK(AO1701),"",Short2[[#This Row],[Adj Close]]/AO1701-1)</f>
        <v>0.12222191398633542</v>
      </c>
    </row>
    <row r="1701" spans="1:42" x14ac:dyDescent="0.25">
      <c r="A1701" s="37">
        <v>33189</v>
      </c>
      <c r="B1701" s="39">
        <v>317.11999500000002</v>
      </c>
      <c r="C1701" s="36">
        <f>IF(ISBLANK(B1702), "", GSPC[[#This Row],[Adj Close]]/B1702-1)</f>
        <v>1.0773268017252313E-2</v>
      </c>
      <c r="D170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0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01" s="11" t="e">
        <f>IF(ISBLANK(GSPC[[#This Row],[Long Exp.]]), "", (GSPC[[#This Row],[Long Exp.]]/D1702-1)+(E1702/GSPC[[#This Row],[Short Exp.]]-1))</f>
        <v>#VALUE!</v>
      </c>
      <c r="G1701" s="37">
        <v>33189</v>
      </c>
      <c r="H1701">
        <v>2.1318220000000001</v>
      </c>
      <c r="I1701" s="36">
        <f>IF(ISBLANK(H1702), "", Long0[[#This Row],[Adj Close]]/H1702-1)</f>
        <v>0.12698454654644498</v>
      </c>
      <c r="M1701" s="37">
        <v>33189</v>
      </c>
      <c r="N1701">
        <v>12.147612000000001</v>
      </c>
      <c r="O1701" s="36">
        <f>IF(ISBLANK(N1702),"",Long2[[#This Row],[Adj Close]]/N1702-1)</f>
        <v>3.5971215659118094E-2</v>
      </c>
      <c r="P1701" s="29">
        <v>33189</v>
      </c>
      <c r="Q1701">
        <v>1.8894200000000001</v>
      </c>
      <c r="R1701" s="33">
        <f>IF(ISBLANK(Q1702),"",Long3[[#This Row],[Adj Close]]/Q1702-1)</f>
        <v>5.8484886879177633E-3</v>
      </c>
      <c r="AK1701" s="37">
        <v>33189</v>
      </c>
      <c r="AL1701" s="39">
        <v>0.13417000000000001</v>
      </c>
      <c r="AM1701" s="36">
        <f>IF(ISBLANK(AL1702),"",Short1[[#This Row],[Adj Close]]/AL1702-1)</f>
        <v>9.5238483955494946E-2</v>
      </c>
      <c r="AN1701" s="29">
        <v>33189</v>
      </c>
      <c r="AO1701" s="44">
        <v>0.504664</v>
      </c>
      <c r="AP1701" s="33">
        <f>IF(ISBLANK(AO1702),"",Short2[[#This Row],[Adj Close]]/AO1702-1)</f>
        <v>5.8823776244316894E-2</v>
      </c>
    </row>
    <row r="1702" spans="1:42" x14ac:dyDescent="0.25">
      <c r="A1702" s="37">
        <v>33182</v>
      </c>
      <c r="B1702" s="39">
        <v>313.73998999999998</v>
      </c>
      <c r="C1702" s="36">
        <f>IF(ISBLANK(B1703), "", GSPC[[#This Row],[Adj Close]]/B1703-1)</f>
        <v>6.0605546372827224E-3</v>
      </c>
      <c r="D170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0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02" s="11" t="e">
        <f>IF(ISBLANK(GSPC[[#This Row],[Long Exp.]]), "", (GSPC[[#This Row],[Long Exp.]]/D1703-1)+(E1703/GSPC[[#This Row],[Short Exp.]]-1))</f>
        <v>#VALUE!</v>
      </c>
      <c r="G1702" s="37">
        <v>33182</v>
      </c>
      <c r="H1702">
        <v>1.891616</v>
      </c>
      <c r="I1702" s="36">
        <f>IF(ISBLANK(H1703), "", Long0[[#This Row],[Adj Close]]/H1703-1)</f>
        <v>-4.5455050073321179E-2</v>
      </c>
      <c r="M1702" s="37">
        <v>33182</v>
      </c>
      <c r="N1702">
        <v>11.725820000000001</v>
      </c>
      <c r="O1702" s="36">
        <f>IF(ISBLANK(N1703),"",Long2[[#This Row],[Adj Close]]/N1703-1)</f>
        <v>-3.4722215362163356E-2</v>
      </c>
      <c r="P1702" s="29">
        <v>33182</v>
      </c>
      <c r="Q1702">
        <v>1.8784339999999999</v>
      </c>
      <c r="R1702" s="33">
        <f>IF(ISBLANK(Q1703),"",Long3[[#This Row],[Adj Close]]/Q1703-1)</f>
        <v>-2.9162473300466951E-3</v>
      </c>
      <c r="AK1702" s="37">
        <v>33182</v>
      </c>
      <c r="AL1702" s="39">
        <v>0.122503</v>
      </c>
      <c r="AM1702" s="36">
        <f>IF(ISBLANK(AL1703),"",Short1[[#This Row],[Adj Close]]/AL1703-1)</f>
        <v>4.9995714408159753E-2</v>
      </c>
      <c r="AN1702" s="29">
        <v>33182</v>
      </c>
      <c r="AO1702" s="44">
        <v>0.47662700000000002</v>
      </c>
      <c r="AP1702" s="33">
        <f>IF(ISBLANK(AO1703),"",Short2[[#This Row],[Adj Close]]/AO1703-1)</f>
        <v>9.6160436047514564E-2</v>
      </c>
    </row>
    <row r="1703" spans="1:42" x14ac:dyDescent="0.25">
      <c r="A1703" s="37">
        <v>33175</v>
      </c>
      <c r="B1703" s="39">
        <v>311.85000600000001</v>
      </c>
      <c r="C1703" s="36">
        <f>IF(ISBLANK(B1704), "", GSPC[[#This Row],[Adj Close]]/B1704-1)</f>
        <v>2.3432165701452234E-2</v>
      </c>
      <c r="D170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0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03" s="11" t="e">
        <f>IF(ISBLANK(GSPC[[#This Row],[Long Exp.]]), "", (GSPC[[#This Row],[Long Exp.]]/D1704-1)+(E1704/GSPC[[#This Row],[Short Exp.]]-1))</f>
        <v>#VALUE!</v>
      </c>
      <c r="G1703" s="37">
        <v>33175</v>
      </c>
      <c r="H1703">
        <v>1.9816940000000001</v>
      </c>
      <c r="I1703" s="36">
        <f>IF(ISBLANK(H1704), "", Long0[[#This Row],[Adj Close]]/H1704-1)</f>
        <v>-7.5183827764327971E-3</v>
      </c>
      <c r="M1703" s="37">
        <v>33175</v>
      </c>
      <c r="N1703">
        <v>12.147612000000001</v>
      </c>
      <c r="O1703" s="36">
        <f>IF(ISBLANK(N1704),"",Long2[[#This Row],[Adj Close]]/N1704-1)</f>
        <v>-1.3698403241356183E-2</v>
      </c>
      <c r="P1703" s="29">
        <v>33175</v>
      </c>
      <c r="Q1703">
        <v>1.883928</v>
      </c>
      <c r="R1703" s="33">
        <f>IF(ISBLANK(Q1704),"",Long3[[#This Row],[Adj Close]]/Q1704-1)</f>
        <v>3.0030584985691666E-2</v>
      </c>
      <c r="AK1703" s="37">
        <v>33175</v>
      </c>
      <c r="AL1703" s="39">
        <v>0.11667</v>
      </c>
      <c r="AM1703" s="36">
        <f>IF(ISBLANK(AL1704),"",Short1[[#This Row],[Adj Close]]/AL1704-1)</f>
        <v>-0.11110603186212897</v>
      </c>
      <c r="AN1703" s="29">
        <v>33175</v>
      </c>
      <c r="AO1703" s="44">
        <v>0.43481500000000001</v>
      </c>
      <c r="AP1703" s="33">
        <f>IF(ISBLANK(AO1704),"",Short2[[#This Row],[Adj Close]]/AO1704-1)</f>
        <v>-4.8780060947730575E-2</v>
      </c>
    </row>
    <row r="1704" spans="1:42" x14ac:dyDescent="0.25">
      <c r="A1704" s="37">
        <v>33168</v>
      </c>
      <c r="B1704" s="39">
        <v>304.709991</v>
      </c>
      <c r="C1704" s="36">
        <f>IF(ISBLANK(B1705), "", GSPC[[#This Row],[Adj Close]]/B1705-1)</f>
        <v>-2.4865654526618597E-2</v>
      </c>
      <c r="D170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0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04" s="11" t="e">
        <f>IF(ISBLANK(GSPC[[#This Row],[Long Exp.]]), "", (GSPC[[#This Row],[Long Exp.]]/D1705-1)+(E1705/GSPC[[#This Row],[Short Exp.]]-1))</f>
        <v>#VALUE!</v>
      </c>
      <c r="G1704" s="37">
        <v>33168</v>
      </c>
      <c r="H1704">
        <v>1.9967060000000001</v>
      </c>
      <c r="I1704" s="36">
        <f>IF(ISBLANK(H1705), "", Long0[[#This Row],[Adj Close]]/H1705-1)</f>
        <v>-0.10738245732619667</v>
      </c>
      <c r="M1704" s="37">
        <v>33168</v>
      </c>
      <c r="N1704">
        <v>12.316326</v>
      </c>
      <c r="O1704" s="36">
        <f>IF(ISBLANK(N1705),"",Long2[[#This Row],[Adj Close]]/N1705-1)</f>
        <v>3.9145803585380001E-2</v>
      </c>
      <c r="P1704" s="29">
        <v>33168</v>
      </c>
      <c r="Q1704">
        <v>1.829002</v>
      </c>
      <c r="R1704" s="33">
        <f>IF(ISBLANK(Q1705),"",Long3[[#This Row],[Adj Close]]/Q1705-1)</f>
        <v>6.0417443611668897E-3</v>
      </c>
      <c r="AK1704" s="37">
        <v>33168</v>
      </c>
      <c r="AL1704" s="39">
        <v>0.13125300000000001</v>
      </c>
      <c r="AM1704" s="36">
        <f>IF(ISBLANK(AL1705),"",Short1[[#This Row],[Adj Close]]/AL1705-1)</f>
        <v>0</v>
      </c>
      <c r="AN1704" s="29">
        <v>33168</v>
      </c>
      <c r="AO1704" s="44">
        <v>0.45711299999999999</v>
      </c>
      <c r="AP1704" s="33">
        <f>IF(ISBLANK(AO1705),"",Short2[[#This Row],[Adj Close]]/AO1705-1)</f>
        <v>-6.8183161727083941E-2</v>
      </c>
    </row>
    <row r="1705" spans="1:42" x14ac:dyDescent="0.25">
      <c r="A1705" s="37">
        <v>33161</v>
      </c>
      <c r="B1705" s="39">
        <v>312.48001099999999</v>
      </c>
      <c r="C1705" s="36">
        <f>IF(ISBLANK(B1706), "", GSPC[[#This Row],[Adj Close]]/B1706-1)</f>
        <v>4.1495890549264836E-2</v>
      </c>
      <c r="D170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0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05" s="11" t="e">
        <f>IF(ISBLANK(GSPC[[#This Row],[Long Exp.]]), "", (GSPC[[#This Row],[Long Exp.]]/D1706-1)+(E1706/GSPC[[#This Row],[Short Exp.]]-1))</f>
        <v>#VALUE!</v>
      </c>
      <c r="G1705" s="37">
        <v>33161</v>
      </c>
      <c r="H1705">
        <v>2.2369110000000001</v>
      </c>
      <c r="I1705" s="36">
        <f>IF(ISBLANK(H1706), "", Long0[[#This Row],[Adj Close]]/H1706-1)</f>
        <v>5.6736787902551544E-2</v>
      </c>
      <c r="M1705" s="37">
        <v>33161</v>
      </c>
      <c r="N1705">
        <v>11.852356</v>
      </c>
      <c r="O1705" s="36">
        <f>IF(ISBLANK(N1706),"",Long2[[#This Row],[Adj Close]]/N1706-1)</f>
        <v>4.850740360050465E-2</v>
      </c>
      <c r="P1705" s="29">
        <v>33161</v>
      </c>
      <c r="Q1705">
        <v>1.8180179999999999</v>
      </c>
      <c r="R1705" s="33">
        <f>IF(ISBLANK(Q1706),"",Long3[[#This Row],[Adj Close]]/Q1706-1)</f>
        <v>6.0795824313015778E-3</v>
      </c>
      <c r="AK1705" s="37">
        <v>33161</v>
      </c>
      <c r="AL1705" s="39">
        <v>0.13125300000000001</v>
      </c>
      <c r="AM1705" s="36">
        <f>IF(ISBLANK(AL1706),"",Short1[[#This Row],[Adj Close]]/AL1706-1)</f>
        <v>-2.1741074755906697E-2</v>
      </c>
      <c r="AN1705" s="29">
        <v>33161</v>
      </c>
      <c r="AO1705" s="44">
        <v>0.49056100000000002</v>
      </c>
      <c r="AP1705" s="33">
        <f>IF(ISBLANK(AO1706),"",Short2[[#This Row],[Adj Close]]/AO1706-1)</f>
        <v>-7.3684389415823337E-2</v>
      </c>
    </row>
    <row r="1706" spans="1:42" x14ac:dyDescent="0.25">
      <c r="A1706" s="37">
        <v>33154</v>
      </c>
      <c r="B1706" s="39">
        <v>300.02999899999998</v>
      </c>
      <c r="C1706" s="36">
        <f>IF(ISBLANK(B1707), "", GSPC[[#This Row],[Adj Close]]/B1707-1)</f>
        <v>-3.6821833065810661E-2</v>
      </c>
      <c r="D170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0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06" s="11" t="e">
        <f>IF(ISBLANK(GSPC[[#This Row],[Long Exp.]]), "", (GSPC[[#This Row],[Long Exp.]]/D1707-1)+(E1707/GSPC[[#This Row],[Short Exp.]]-1))</f>
        <v>#VALUE!</v>
      </c>
      <c r="G1706" s="37">
        <v>33154</v>
      </c>
      <c r="H1706">
        <v>2.1168100000000001</v>
      </c>
      <c r="I1706" s="36">
        <f>IF(ISBLANK(H1707), "", Long0[[#This Row],[Adj Close]]/H1707-1)</f>
        <v>-4.0816317283123182E-2</v>
      </c>
      <c r="M1706" s="37">
        <v>33154</v>
      </c>
      <c r="N1706">
        <v>11.304027</v>
      </c>
      <c r="O1706" s="36">
        <f>IF(ISBLANK(N1707),"",Long2[[#This Row],[Adj Close]]/N1707-1)</f>
        <v>-3.5971300941000317E-2</v>
      </c>
      <c r="P1706" s="29">
        <v>33154</v>
      </c>
      <c r="Q1706">
        <v>1.807032</v>
      </c>
      <c r="R1706" s="33">
        <f>IF(ISBLANK(Q1707),"",Long3[[#This Row],[Adj Close]]/Q1707-1)</f>
        <v>-1.497086938319836E-2</v>
      </c>
      <c r="AK1706" s="37">
        <v>33154</v>
      </c>
      <c r="AL1706" s="39">
        <v>0.13417000000000001</v>
      </c>
      <c r="AM1706" s="36">
        <f>IF(ISBLANK(AL1707),"",Short1[[#This Row],[Adj Close]]/AL1707-1)</f>
        <v>2.2224253921815151E-2</v>
      </c>
      <c r="AN1706" s="29">
        <v>33154</v>
      </c>
      <c r="AO1706" s="44">
        <v>0.52958300000000003</v>
      </c>
      <c r="AP1706" s="33">
        <f>IF(ISBLANK(AO1707),"",Short2[[#This Row],[Adj Close]]/AO1707-1)</f>
        <v>-9.5237200338955108E-2</v>
      </c>
    </row>
    <row r="1707" spans="1:42" x14ac:dyDescent="0.25">
      <c r="A1707" s="37">
        <v>33147</v>
      </c>
      <c r="B1707" s="39">
        <v>311.5</v>
      </c>
      <c r="C1707" s="36">
        <f>IF(ISBLANK(B1708), "", GSPC[[#This Row],[Adj Close]]/B1708-1)</f>
        <v>1.7807587693811744E-2</v>
      </c>
      <c r="D170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0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07" s="11" t="e">
        <f>IF(ISBLANK(GSPC[[#This Row],[Long Exp.]]), "", (GSPC[[#This Row],[Long Exp.]]/D1708-1)+(E1708/GSPC[[#This Row],[Short Exp.]]-1))</f>
        <v>#VALUE!</v>
      </c>
      <c r="G1707" s="37">
        <v>33147</v>
      </c>
      <c r="H1707">
        <v>2.206887</v>
      </c>
      <c r="I1707" s="36">
        <f>IF(ISBLANK(H1708), "", Long0[[#This Row],[Adj Close]]/H1708-1)</f>
        <v>6.0381920403379086E-2</v>
      </c>
      <c r="M1707" s="37">
        <v>33147</v>
      </c>
      <c r="N1707">
        <v>11.725820000000001</v>
      </c>
      <c r="O1707" s="36">
        <f>IF(ISBLANK(N1708),"",Long2[[#This Row],[Adj Close]]/N1708-1)</f>
        <v>3.7313516678613823E-2</v>
      </c>
      <c r="P1707" s="29">
        <v>33147</v>
      </c>
      <c r="Q1707">
        <v>1.8344959999999999</v>
      </c>
      <c r="R1707" s="33">
        <f>IF(ISBLANK(Q1708),"",Long3[[#This Row],[Adj Close]]/Q1708-1)</f>
        <v>4.3749975108116068E-2</v>
      </c>
      <c r="AK1707" s="37">
        <v>33147</v>
      </c>
      <c r="AL1707" s="39">
        <v>0.13125300000000001</v>
      </c>
      <c r="AM1707" s="36">
        <f>IF(ISBLANK(AL1708),"",Short1[[#This Row],[Adj Close]]/AL1708-1)</f>
        <v>-0.10000205709113585</v>
      </c>
      <c r="AN1707" s="29">
        <v>33147</v>
      </c>
      <c r="AO1707" s="44">
        <v>0.58532799999999996</v>
      </c>
      <c r="AP1707" s="33">
        <f>IF(ISBLANK(AO1708),"",Short2[[#This Row],[Adj Close]]/AO1708-1)</f>
        <v>0</v>
      </c>
    </row>
    <row r="1708" spans="1:42" x14ac:dyDescent="0.25">
      <c r="A1708" s="37">
        <v>33140</v>
      </c>
      <c r="B1708" s="39">
        <v>306.04998799999998</v>
      </c>
      <c r="C1708" s="36">
        <f>IF(ISBLANK(B1709), "", GSPC[[#This Row],[Adj Close]]/B1709-1)</f>
        <v>-1.6927980475087145E-2</v>
      </c>
      <c r="D170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0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08" s="11" t="e">
        <f>IF(ISBLANK(GSPC[[#This Row],[Long Exp.]]), "", (GSPC[[#This Row],[Long Exp.]]/D1709-1)+(E1709/GSPC[[#This Row],[Short Exp.]]-1))</f>
        <v>#VALUE!</v>
      </c>
      <c r="G1708" s="37">
        <v>33140</v>
      </c>
      <c r="H1708">
        <v>2.0812189999999999</v>
      </c>
      <c r="I1708" s="36">
        <f>IF(ISBLANK(H1709), "", Long0[[#This Row],[Adj Close]]/H1709-1)</f>
        <v>-7.3333834983510204E-2</v>
      </c>
      <c r="M1708" s="37">
        <v>33140</v>
      </c>
      <c r="N1708">
        <v>11.304027</v>
      </c>
      <c r="O1708" s="36">
        <f>IF(ISBLANK(N1709),"",Long2[[#This Row],[Adj Close]]/N1709-1)</f>
        <v>1.1320608533704091E-2</v>
      </c>
      <c r="P1708" s="29">
        <v>33140</v>
      </c>
      <c r="Q1708">
        <v>1.757601</v>
      </c>
      <c r="R1708" s="33">
        <f>IF(ISBLANK(Q1709),"",Long3[[#This Row],[Adj Close]]/Q1709-1)</f>
        <v>1.2658220554945254E-2</v>
      </c>
      <c r="AK1708" s="37">
        <v>33140</v>
      </c>
      <c r="AL1708" s="39">
        <v>0.14583699999999999</v>
      </c>
      <c r="AM1708" s="36">
        <f>IF(ISBLANK(AL1709),"",Short1[[#This Row],[Adj Close]]/AL1709-1)</f>
        <v>-7.4074309223892798E-2</v>
      </c>
      <c r="AN1708" s="29">
        <v>33140</v>
      </c>
      <c r="AO1708" s="44">
        <v>0.58532799999999996</v>
      </c>
      <c r="AP1708" s="33">
        <f>IF(ISBLANK(AO1709),"",Short2[[#This Row],[Adj Close]]/AO1709-1)</f>
        <v>-1.8691416433492147E-2</v>
      </c>
    </row>
    <row r="1709" spans="1:42" x14ac:dyDescent="0.25">
      <c r="A1709" s="37">
        <v>33133</v>
      </c>
      <c r="B1709" s="39">
        <v>311.32000699999998</v>
      </c>
      <c r="C1709" s="36">
        <f>IF(ISBLANK(B1710), "", GSPC[[#This Row],[Adj Close]]/B1710-1)</f>
        <v>-1.7390967478087993E-2</v>
      </c>
      <c r="D170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0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09" s="11" t="e">
        <f>IF(ISBLANK(GSPC[[#This Row],[Long Exp.]]), "", (GSPC[[#This Row],[Long Exp.]]/D1710-1)+(E1710/GSPC[[#This Row],[Short Exp.]]-1))</f>
        <v>#VALUE!</v>
      </c>
      <c r="G1709" s="37">
        <v>33133</v>
      </c>
      <c r="H1709">
        <v>2.2459210000000001</v>
      </c>
      <c r="I1709" s="36">
        <f>IF(ISBLANK(H1710), "", Long0[[#This Row],[Adj Close]]/H1710-1)</f>
        <v>-1.3157628788338149E-2</v>
      </c>
      <c r="M1709" s="37">
        <v>33133</v>
      </c>
      <c r="N1709">
        <v>11.177491</v>
      </c>
      <c r="O1709" s="36">
        <f>IF(ISBLANK(N1710),"",Long2[[#This Row],[Adj Close]]/N1710-1)</f>
        <v>8.3774559908629254E-3</v>
      </c>
      <c r="P1709" s="29">
        <v>33133</v>
      </c>
      <c r="Q1709">
        <v>1.7356309999999999</v>
      </c>
      <c r="R1709" s="33">
        <f>IF(ISBLANK(Q1710),"",Long3[[#This Row],[Adj Close]]/Q1710-1)</f>
        <v>-3.154286055608968E-3</v>
      </c>
      <c r="AK1709" s="37">
        <v>33133</v>
      </c>
      <c r="AL1709" s="39">
        <v>0.15750400000000001</v>
      </c>
      <c r="AM1709" s="36">
        <f>IF(ISBLANK(AL1710),"",Short1[[#This Row],[Adj Close]]/AL1710-1)</f>
        <v>-8.4747338570963615E-2</v>
      </c>
      <c r="AN1709" s="29">
        <v>33133</v>
      </c>
      <c r="AO1709" s="44">
        <v>0.59647700000000003</v>
      </c>
      <c r="AP1709" s="33">
        <f>IF(ISBLANK(AO1710),"",Short2[[#This Row],[Adj Close]]/AO1710-1)</f>
        <v>-6.1405192761604943E-2</v>
      </c>
    </row>
    <row r="1710" spans="1:42" x14ac:dyDescent="0.25">
      <c r="A1710" s="37">
        <v>33126</v>
      </c>
      <c r="B1710" s="39">
        <v>316.82998700000002</v>
      </c>
      <c r="C1710" s="36">
        <f>IF(ISBLANK(B1711), "", GSPC[[#This Row],[Adj Close]]/B1711-1)</f>
        <v>-2.0315420908758486E-2</v>
      </c>
      <c r="D171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1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10" s="11" t="e">
        <f>IF(ISBLANK(GSPC[[#This Row],[Long Exp.]]), "", (GSPC[[#This Row],[Long Exp.]]/D1711-1)+(E1711/GSPC[[#This Row],[Short Exp.]]-1))</f>
        <v>#VALUE!</v>
      </c>
      <c r="G1710" s="37">
        <v>33126</v>
      </c>
      <c r="H1710">
        <v>2.2758660000000002</v>
      </c>
      <c r="I1710" s="36">
        <f>IF(ISBLANK(H1711), "", Long0[[#This Row],[Adj Close]]/H1711-1)</f>
        <v>-1.2986753901338743E-2</v>
      </c>
      <c r="M1710" s="37">
        <v>33126</v>
      </c>
      <c r="N1710">
        <v>11.084630000000001</v>
      </c>
      <c r="O1710" s="36">
        <f>IF(ISBLANK(N1711),"",Long2[[#This Row],[Adj Close]]/N1711-1)</f>
        <v>1.9230585330975547E-2</v>
      </c>
      <c r="P1710" s="29">
        <v>33126</v>
      </c>
      <c r="Q1710">
        <v>1.741123</v>
      </c>
      <c r="R1710" s="33">
        <f>IF(ISBLANK(Q1711),"",Long3[[#This Row],[Adj Close]]/Q1711-1)</f>
        <v>2.5387290453853462E-2</v>
      </c>
      <c r="AK1710" s="37">
        <v>33126</v>
      </c>
      <c r="AL1710" s="39">
        <v>0.17208799999999999</v>
      </c>
      <c r="AM1710" s="36">
        <f>IF(ISBLANK(AL1711),"",Short1[[#This Row],[Adj Close]]/AL1711-1)</f>
        <v>-0.11940313782481005</v>
      </c>
      <c r="AN1710" s="29">
        <v>33126</v>
      </c>
      <c r="AO1710" s="44">
        <v>0.63549999999999995</v>
      </c>
      <c r="AP1710" s="33">
        <f>IF(ISBLANK(AO1711),"",Short2[[#This Row],[Adj Close]]/AO1711-1)</f>
        <v>8.8502599515816183E-3</v>
      </c>
    </row>
    <row r="1711" spans="1:42" x14ac:dyDescent="0.25">
      <c r="A1711" s="37">
        <v>33119</v>
      </c>
      <c r="B1711" s="39">
        <v>323.39999399999999</v>
      </c>
      <c r="C1711" s="36">
        <f>IF(ISBLANK(B1712), "", GSPC[[#This Row],[Adj Close]]/B1712-1)</f>
        <v>2.604154282019655E-3</v>
      </c>
      <c r="D171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1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11" s="11" t="e">
        <f>IF(ISBLANK(GSPC[[#This Row],[Long Exp.]]), "", (GSPC[[#This Row],[Long Exp.]]/D1712-1)+(E1712/GSPC[[#This Row],[Short Exp.]]-1))</f>
        <v>#VALUE!</v>
      </c>
      <c r="G1711" s="37">
        <v>33119</v>
      </c>
      <c r="H1711">
        <v>2.3058109999999998</v>
      </c>
      <c r="I1711" s="36">
        <f>IF(ISBLANK(H1712), "", Long0[[#This Row],[Adj Close]]/H1712-1)</f>
        <v>0.12408782253751682</v>
      </c>
      <c r="M1711" s="37">
        <v>33119</v>
      </c>
      <c r="N1711">
        <v>10.875488000000001</v>
      </c>
      <c r="O1711" s="36">
        <f>IF(ISBLANK(N1712),"",Long2[[#This Row],[Adj Close]]/N1712-1)</f>
        <v>7.7522554800035781E-3</v>
      </c>
      <c r="P1711" s="29">
        <v>33119</v>
      </c>
      <c r="Q1711">
        <v>1.6980150000000001</v>
      </c>
      <c r="R1711" s="33">
        <f>IF(ISBLANK(Q1712),"",Long3[[#This Row],[Adj Close]]/Q1712-1)</f>
        <v>-1.8690940655598731E-2</v>
      </c>
      <c r="AK1711" s="37">
        <v>33119</v>
      </c>
      <c r="AL1711" s="39">
        <v>0.19542200000000001</v>
      </c>
      <c r="AM1711" s="36">
        <f>IF(ISBLANK(AL1712),"",Short1[[#This Row],[Adj Close]]/AL1712-1)</f>
        <v>3.0766552911825062E-2</v>
      </c>
      <c r="AN1711" s="29">
        <v>33119</v>
      </c>
      <c r="AO1711" s="44">
        <v>0.62992499999999996</v>
      </c>
      <c r="AP1711" s="33">
        <f>IF(ISBLANK(AO1712),"",Short2[[#This Row],[Adj Close]]/AO1712-1)</f>
        <v>8.9292864579162412E-3</v>
      </c>
    </row>
    <row r="1712" spans="1:42" x14ac:dyDescent="0.25">
      <c r="A1712" s="37">
        <v>33112</v>
      </c>
      <c r="B1712" s="39">
        <v>322.55999800000001</v>
      </c>
      <c r="C1712" s="36">
        <f>IF(ISBLANK(B1713), "", GSPC[[#This Row],[Adj Close]]/B1713-1)</f>
        <v>3.5472336827956141E-2</v>
      </c>
      <c r="D171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1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12" s="11" t="e">
        <f>IF(ISBLANK(GSPC[[#This Row],[Long Exp.]]), "", (GSPC[[#This Row],[Long Exp.]]/D1713-1)+(E1713/GSPC[[#This Row],[Short Exp.]]-1))</f>
        <v>#VALUE!</v>
      </c>
      <c r="G1712" s="37">
        <v>33112</v>
      </c>
      <c r="H1712">
        <v>2.0512730000000001</v>
      </c>
      <c r="I1712" s="36">
        <f>IF(ISBLANK(H1713), "", Long0[[#This Row],[Adj Close]]/H1713-1)</f>
        <v>4.5801647364482001E-2</v>
      </c>
      <c r="M1712" s="37">
        <v>33112</v>
      </c>
      <c r="N1712">
        <v>10.791827</v>
      </c>
      <c r="O1712" s="36">
        <f>IF(ISBLANK(N1713),"",Long2[[#This Row],[Adj Close]]/N1713-1)</f>
        <v>4.8780544692402117E-2</v>
      </c>
      <c r="P1712" s="29">
        <v>33112</v>
      </c>
      <c r="Q1712">
        <v>1.7303569999999999</v>
      </c>
      <c r="R1712" s="33">
        <f>IF(ISBLANK(Q1713),"",Long3[[#This Row],[Adj Close]]/Q1713-1)</f>
        <v>1.9046945992820863E-2</v>
      </c>
      <c r="AK1712" s="37">
        <v>33112</v>
      </c>
      <c r="AL1712" s="39">
        <v>0.18958900000000001</v>
      </c>
      <c r="AM1712" s="36">
        <f>IF(ISBLANK(AL1713),"",Short1[[#This Row],[Adj Close]]/AL1713-1)</f>
        <v>0.10169796848124224</v>
      </c>
      <c r="AN1712" s="29">
        <v>33112</v>
      </c>
      <c r="AO1712" s="44">
        <v>0.62434999999999996</v>
      </c>
      <c r="AP1712" s="33">
        <f>IF(ISBLANK(AO1713),"",Short2[[#This Row],[Adj Close]]/AO1713-1)</f>
        <v>-1.7545239968528747E-2</v>
      </c>
    </row>
    <row r="1713" spans="1:42" x14ac:dyDescent="0.25">
      <c r="A1713" s="37">
        <v>33105</v>
      </c>
      <c r="B1713" s="39">
        <v>311.51001000000002</v>
      </c>
      <c r="C1713" s="36">
        <f>IF(ISBLANK(B1714), "", GSPC[[#This Row],[Adj Close]]/B1714-1)</f>
        <v>-4.9781830970819674E-2</v>
      </c>
      <c r="D171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1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13" s="11" t="e">
        <f>IF(ISBLANK(GSPC[[#This Row],[Long Exp.]]), "", (GSPC[[#This Row],[Long Exp.]]/D1714-1)+(E1714/GSPC[[#This Row],[Short Exp.]]-1))</f>
        <v>#VALUE!</v>
      </c>
      <c r="G1713" s="37">
        <v>33105</v>
      </c>
      <c r="H1713">
        <v>1.961436</v>
      </c>
      <c r="I1713" s="36">
        <f>IF(ISBLANK(H1714), "", Long0[[#This Row],[Adj Close]]/H1714-1)</f>
        <v>-1.5037797871026215E-2</v>
      </c>
      <c r="M1713" s="37">
        <v>33105</v>
      </c>
      <c r="N1713">
        <v>10.289880999999999</v>
      </c>
      <c r="O1713" s="36">
        <f>IF(ISBLANK(N1714),"",Long2[[#This Row],[Adj Close]]/N1714-1)</f>
        <v>-4.2801322233173233E-2</v>
      </c>
      <c r="P1713" s="29">
        <v>33105</v>
      </c>
      <c r="Q1713">
        <v>1.6980150000000001</v>
      </c>
      <c r="R1713" s="33">
        <f>IF(ISBLANK(Q1714),"",Long3[[#This Row],[Adj Close]]/Q1714-1)</f>
        <v>-3.9634249801480892E-2</v>
      </c>
      <c r="AK1713" s="37">
        <v>33105</v>
      </c>
      <c r="AL1713" s="39">
        <v>0.17208799999999999</v>
      </c>
      <c r="AM1713" s="36">
        <f>IF(ISBLANK(AL1714),"",Short1[[#This Row],[Adj Close]]/AL1714-1)</f>
        <v>-0.15714201751464452</v>
      </c>
      <c r="AN1713" s="29">
        <v>33105</v>
      </c>
      <c r="AO1713" s="44">
        <v>0.63549999999999995</v>
      </c>
      <c r="AP1713" s="33">
        <f>IF(ISBLANK(AO1714),"",Short2[[#This Row],[Adj Close]]/AO1714-1)</f>
        <v>-5.78499409210389E-2</v>
      </c>
    </row>
    <row r="1714" spans="1:42" x14ac:dyDescent="0.25">
      <c r="A1714" s="37">
        <v>33098</v>
      </c>
      <c r="B1714" s="39">
        <v>327.82998700000002</v>
      </c>
      <c r="C1714" s="36">
        <f>IF(ISBLANK(B1715), "", GSPC[[#This Row],[Adj Close]]/B1715-1)</f>
        <v>-2.2919653827241815E-2</v>
      </c>
      <c r="D171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1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14" s="11" t="e">
        <f>IF(ISBLANK(GSPC[[#This Row],[Long Exp.]]), "", (GSPC[[#This Row],[Long Exp.]]/D1715-1)+(E1715/GSPC[[#This Row],[Short Exp.]]-1))</f>
        <v>#VALUE!</v>
      </c>
      <c r="G1714" s="37">
        <v>33098</v>
      </c>
      <c r="H1714">
        <v>1.991382</v>
      </c>
      <c r="I1714" s="36">
        <f>IF(ISBLANK(H1715), "", Long0[[#This Row],[Adj Close]]/H1715-1)</f>
        <v>-9.5238441400780194E-2</v>
      </c>
      <c r="M1714" s="37">
        <v>33098</v>
      </c>
      <c r="N1714">
        <v>10.749995</v>
      </c>
      <c r="O1714" s="36">
        <f>IF(ISBLANK(N1715),"",Long2[[#This Row],[Adj Close]]/N1715-1)</f>
        <v>-3.7453722768098108E-2</v>
      </c>
      <c r="P1714" s="29">
        <v>33098</v>
      </c>
      <c r="Q1714">
        <v>1.768092</v>
      </c>
      <c r="R1714" s="33">
        <f>IF(ISBLANK(Q1715),"",Long3[[#This Row],[Adj Close]]/Q1715-1)</f>
        <v>-6.060578804670147E-3</v>
      </c>
      <c r="AK1714" s="37">
        <v>33098</v>
      </c>
      <c r="AL1714" s="39">
        <v>0.20417199999999999</v>
      </c>
      <c r="AM1714" s="36">
        <f>IF(ISBLANK(AL1715),"",Short1[[#This Row],[Adj Close]]/AL1715-1)</f>
        <v>-0.1025643279737678</v>
      </c>
      <c r="AN1714" s="29">
        <v>33098</v>
      </c>
      <c r="AO1714" s="44">
        <v>0.67452100000000004</v>
      </c>
      <c r="AP1714" s="33">
        <f>IF(ISBLANK(AO1715),"",Short2[[#This Row],[Adj Close]]/AO1715-1)</f>
        <v>-8.1973721356984885E-3</v>
      </c>
    </row>
    <row r="1715" spans="1:42" x14ac:dyDescent="0.25">
      <c r="A1715" s="37">
        <v>33091</v>
      </c>
      <c r="B1715" s="39">
        <v>335.51998900000001</v>
      </c>
      <c r="C1715" s="36">
        <f>IF(ISBLANK(B1716), "", GSPC[[#This Row],[Adj Close]]/B1716-1)</f>
        <v>-2.7083443734418733E-2</v>
      </c>
      <c r="D171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1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15" s="11" t="e">
        <f>IF(ISBLANK(GSPC[[#This Row],[Long Exp.]]), "", (GSPC[[#This Row],[Long Exp.]]/D1716-1)+(E1716/GSPC[[#This Row],[Short Exp.]]-1))</f>
        <v>#VALUE!</v>
      </c>
      <c r="G1715" s="37">
        <v>33091</v>
      </c>
      <c r="H1715">
        <v>2.2010019999999999</v>
      </c>
      <c r="I1715" s="36">
        <f>IF(ISBLANK(H1716), "", Long0[[#This Row],[Adj Close]]/H1716-1)</f>
        <v>-5.161273087025775E-2</v>
      </c>
      <c r="M1715" s="37">
        <v>33091</v>
      </c>
      <c r="N1715">
        <v>11.168289</v>
      </c>
      <c r="O1715" s="36">
        <f>IF(ISBLANK(N1716),"",Long2[[#This Row],[Adj Close]]/N1716-1)</f>
        <v>-4.3010705697932083E-2</v>
      </c>
      <c r="P1715" s="29">
        <v>33091</v>
      </c>
      <c r="Q1715">
        <v>1.7788729999999999</v>
      </c>
      <c r="R1715" s="33">
        <f>IF(ISBLANK(Q1716),"",Long3[[#This Row],[Adj Close]]/Q1716-1)</f>
        <v>-1.7857063983533705E-2</v>
      </c>
      <c r="AK1715" s="37">
        <v>33091</v>
      </c>
      <c r="AL1715" s="39">
        <v>0.22750600000000001</v>
      </c>
      <c r="AM1715" s="36">
        <f>IF(ISBLANK(AL1716),"",Short1[[#This Row],[Adj Close]]/AL1716-1)</f>
        <v>-1.2659326542923122E-2</v>
      </c>
      <c r="AN1715" s="29">
        <v>33091</v>
      </c>
      <c r="AO1715" s="44">
        <v>0.68009600000000003</v>
      </c>
      <c r="AP1715" s="33">
        <f>IF(ISBLANK(AO1716),"",Short2[[#This Row],[Adj Close]]/AO1716-1)</f>
        <v>-2.8042725783815614E-2</v>
      </c>
    </row>
    <row r="1716" spans="1:42" x14ac:dyDescent="0.25">
      <c r="A1716" s="37">
        <v>33084</v>
      </c>
      <c r="B1716" s="39">
        <v>344.85998499999999</v>
      </c>
      <c r="C1716" s="36">
        <f>IF(ISBLANK(B1717), "", GSPC[[#This Row],[Adj Close]]/B1717-1)</f>
        <v>-2.4275738318946694E-2</v>
      </c>
      <c r="D171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1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16" s="11" t="e">
        <f>IF(ISBLANK(GSPC[[#This Row],[Long Exp.]]), "", (GSPC[[#This Row],[Long Exp.]]/D1717-1)+(E1717/GSPC[[#This Row],[Short Exp.]]-1))</f>
        <v>#VALUE!</v>
      </c>
      <c r="G1716" s="37">
        <v>33084</v>
      </c>
      <c r="H1716">
        <v>2.3207840000000002</v>
      </c>
      <c r="I1716" s="36">
        <f>IF(ISBLANK(H1717), "", Long0[[#This Row],[Adj Close]]/H1717-1)</f>
        <v>1.9736662879097366E-2</v>
      </c>
      <c r="M1716" s="37">
        <v>33084</v>
      </c>
      <c r="N1716">
        <v>11.670234000000001</v>
      </c>
      <c r="O1716" s="36">
        <f>IF(ISBLANK(N1717),"",Long2[[#This Row],[Adj Close]]/N1717-1)</f>
        <v>-3.7930498920722977E-2</v>
      </c>
      <c r="P1716" s="29">
        <v>33084</v>
      </c>
      <c r="Q1716">
        <v>1.8112159999999999</v>
      </c>
      <c r="R1716" s="33">
        <f>IF(ISBLANK(Q1717),"",Long3[[#This Row],[Adj Close]]/Q1717-1)</f>
        <v>1.2048704413648803E-2</v>
      </c>
      <c r="AK1716" s="37">
        <v>33084</v>
      </c>
      <c r="AL1716" s="39">
        <v>0.23042299999999999</v>
      </c>
      <c r="AM1716" s="36">
        <f>IF(ISBLANK(AL1717),"",Short1[[#This Row],[Adj Close]]/AL1717-1)</f>
        <v>-0.177081287253533</v>
      </c>
      <c r="AN1716" s="29">
        <v>33084</v>
      </c>
      <c r="AO1716" s="44">
        <v>0.69971799999999995</v>
      </c>
      <c r="AP1716" s="33">
        <f>IF(ISBLANK(AO1717),"",Short2[[#This Row],[Adj Close]]/AO1717-1)</f>
        <v>1.6129570976937568E-2</v>
      </c>
    </row>
    <row r="1717" spans="1:42" x14ac:dyDescent="0.25">
      <c r="A1717" s="37">
        <v>33077</v>
      </c>
      <c r="B1717" s="39">
        <v>353.44000199999999</v>
      </c>
      <c r="C1717" s="36">
        <f>IF(ISBLANK(B1718), "", GSPC[[#This Row],[Adj Close]]/B1718-1)</f>
        <v>-2.2593355656371106E-2</v>
      </c>
      <c r="D171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1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17" s="11" t="e">
        <f>IF(ISBLANK(GSPC[[#This Row],[Long Exp.]]), "", (GSPC[[#This Row],[Long Exp.]]/D1718-1)+(E1718/GSPC[[#This Row],[Short Exp.]]-1))</f>
        <v>#VALUE!</v>
      </c>
      <c r="G1717" s="37">
        <v>33077</v>
      </c>
      <c r="H1717">
        <v>2.2758660000000002</v>
      </c>
      <c r="I1717" s="36">
        <f>IF(ISBLANK(H1718), "", Long0[[#This Row],[Adj Close]]/H1718-1)</f>
        <v>-0.18279561398248645</v>
      </c>
      <c r="M1717" s="37">
        <v>33077</v>
      </c>
      <c r="N1717">
        <v>12.130343999999999</v>
      </c>
      <c r="O1717" s="36">
        <f>IF(ISBLANK(N1718),"",Long2[[#This Row],[Adj Close]]/N1718-1)</f>
        <v>-5.2288073442232075E-2</v>
      </c>
      <c r="P1717" s="29">
        <v>33077</v>
      </c>
      <c r="Q1717">
        <v>1.7896529999999999</v>
      </c>
      <c r="R1717" s="33">
        <f>IF(ISBLANK(Q1718),"",Long3[[#This Row],[Adj Close]]/Q1718-1)</f>
        <v>-3.0027135840200447E-3</v>
      </c>
      <c r="AK1717" s="37">
        <v>33077</v>
      </c>
      <c r="AL1717" s="39">
        <v>0.28000700000000001</v>
      </c>
      <c r="AM1717" s="36">
        <f>IF(ISBLANK(AL1718),"",Short1[[#This Row],[Adj Close]]/AL1718-1)</f>
        <v>0</v>
      </c>
      <c r="AN1717" s="29">
        <v>33077</v>
      </c>
      <c r="AO1717" s="44">
        <v>0.68861099999999997</v>
      </c>
      <c r="AP1717" s="33">
        <f>IF(ISBLANK(AO1718),"",Short2[[#This Row],[Adj Close]]/AO1718-1)</f>
        <v>-0.10144997507692233</v>
      </c>
    </row>
    <row r="1718" spans="1:42" x14ac:dyDescent="0.25">
      <c r="A1718" s="37">
        <v>33070</v>
      </c>
      <c r="B1718" s="39">
        <v>361.60998499999999</v>
      </c>
      <c r="C1718" s="36">
        <f>IF(ISBLANK(B1719), "", GSPC[[#This Row],[Adj Close]]/B1719-1)</f>
        <v>-1.5518262587559617E-2</v>
      </c>
      <c r="D171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1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18" s="11" t="e">
        <f>IF(ISBLANK(GSPC[[#This Row],[Long Exp.]]), "", (GSPC[[#This Row],[Long Exp.]]/D1719-1)+(E1719/GSPC[[#This Row],[Short Exp.]]-1))</f>
        <v>#VALUE!</v>
      </c>
      <c r="G1718" s="37">
        <v>33070</v>
      </c>
      <c r="H1718">
        <v>2.7849409999999999</v>
      </c>
      <c r="I1718" s="36">
        <f>IF(ISBLANK(H1719), "", Long0[[#This Row],[Adj Close]]/H1719-1)</f>
        <v>1.086971119729796E-2</v>
      </c>
      <c r="M1718" s="37">
        <v>33070</v>
      </c>
      <c r="N1718">
        <v>12.799611000000001</v>
      </c>
      <c r="O1718" s="36">
        <f>IF(ISBLANK(N1719),"",Long2[[#This Row],[Adj Close]]/N1719-1)</f>
        <v>2.6845690887590701E-2</v>
      </c>
      <c r="P1718" s="29">
        <v>33070</v>
      </c>
      <c r="Q1718">
        <v>1.7950429999999999</v>
      </c>
      <c r="R1718" s="33">
        <f>IF(ISBLANK(Q1719),"",Long3[[#This Row],[Adj Close]]/Q1719-1)</f>
        <v>-1.18699376749829E-2</v>
      </c>
      <c r="AK1718" s="37">
        <v>33070</v>
      </c>
      <c r="AL1718" s="39">
        <v>0.28000700000000001</v>
      </c>
      <c r="AM1718" s="36">
        <f>IF(ISBLANK(AL1719),"",Short1[[#This Row],[Adj Close]]/AL1719-1)</f>
        <v>1.0523618594613371E-2</v>
      </c>
      <c r="AN1718" s="29">
        <v>33070</v>
      </c>
      <c r="AO1718" s="44">
        <v>0.76635799999999998</v>
      </c>
      <c r="AP1718" s="33">
        <f>IF(ISBLANK(AO1719),"",Short2[[#This Row],[Adj Close]]/AO1719-1)</f>
        <v>-2.816867472935225E-2</v>
      </c>
    </row>
    <row r="1719" spans="1:42" x14ac:dyDescent="0.25">
      <c r="A1719" s="37">
        <v>33063</v>
      </c>
      <c r="B1719" s="39">
        <v>367.30999800000001</v>
      </c>
      <c r="C1719" s="36">
        <f>IF(ISBLANK(B1720), "", GSPC[[#This Row],[Adj Close]]/B1720-1)</f>
        <v>2.4803260637123126E-2</v>
      </c>
      <c r="D171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1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19" s="11" t="e">
        <f>IF(ISBLANK(GSPC[[#This Row],[Long Exp.]]), "", (GSPC[[#This Row],[Long Exp.]]/D1720-1)+(E1720/GSPC[[#This Row],[Short Exp.]]-1))</f>
        <v>#VALUE!</v>
      </c>
      <c r="G1719" s="37">
        <v>33063</v>
      </c>
      <c r="H1719">
        <v>2.7549950000000001</v>
      </c>
      <c r="I1719" s="36">
        <f>IF(ISBLANK(H1720), "", Long0[[#This Row],[Adj Close]]/H1720-1)</f>
        <v>-5.4054776084055955E-3</v>
      </c>
      <c r="M1719" s="37">
        <v>33063</v>
      </c>
      <c r="N1719">
        <v>12.464980000000001</v>
      </c>
      <c r="O1719" s="36">
        <f>IF(ISBLANK(N1720),"",Long2[[#This Row],[Adj Close]]/N1720-1)</f>
        <v>8.3636343404343227E-2</v>
      </c>
      <c r="P1719" s="29">
        <v>33063</v>
      </c>
      <c r="Q1719">
        <v>1.8166059999999999</v>
      </c>
      <c r="R1719" s="33">
        <f>IF(ISBLANK(Q1720),"",Long3[[#This Row],[Adj Close]]/Q1720-1)</f>
        <v>-1.17306950557865E-2</v>
      </c>
      <c r="AK1719" s="37">
        <v>33063</v>
      </c>
      <c r="AL1719" s="39">
        <v>0.27709099999999998</v>
      </c>
      <c r="AM1719" s="36">
        <f>IF(ISBLANK(AL1720),"",Short1[[#This Row],[Adj Close]]/AL1720-1)</f>
        <v>-1.0414025363651769E-2</v>
      </c>
      <c r="AN1719" s="29">
        <v>33063</v>
      </c>
      <c r="AO1719" s="44">
        <v>0.78857100000000002</v>
      </c>
      <c r="AP1719" s="33">
        <f>IF(ISBLANK(AO1720),"",Short2[[#This Row],[Adj Close]]/AO1720-1)</f>
        <v>1.4286192029470124E-2</v>
      </c>
    </row>
    <row r="1720" spans="1:42" x14ac:dyDescent="0.25">
      <c r="A1720" s="37">
        <v>33056</v>
      </c>
      <c r="B1720" s="39">
        <v>358.42001299999998</v>
      </c>
      <c r="C1720" s="36">
        <f>IF(ISBLANK(B1721), "", GSPC[[#This Row],[Adj Close]]/B1721-1)</f>
        <v>1.1173230889072183E-3</v>
      </c>
      <c r="D172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2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20" s="11" t="e">
        <f>IF(ISBLANK(GSPC[[#This Row],[Long Exp.]]), "", (GSPC[[#This Row],[Long Exp.]]/D1721-1)+(E1721/GSPC[[#This Row],[Short Exp.]]-1))</f>
        <v>#VALUE!</v>
      </c>
      <c r="G1720" s="37">
        <v>33056</v>
      </c>
      <c r="H1720">
        <v>2.769968</v>
      </c>
      <c r="I1720" s="36">
        <f>IF(ISBLANK(H1721), "", Long0[[#This Row],[Adj Close]]/H1721-1)</f>
        <v>-1.3790009612988263E-2</v>
      </c>
      <c r="M1720" s="37">
        <v>33056</v>
      </c>
      <c r="N1720">
        <v>11.502917999999999</v>
      </c>
      <c r="O1720" s="36">
        <f>IF(ISBLANK(N1721),"",Long2[[#This Row],[Adj Close]]/N1721-1)</f>
        <v>-2.1352499975965444E-2</v>
      </c>
      <c r="P1720" s="29">
        <v>33056</v>
      </c>
      <c r="Q1720">
        <v>1.8381689999999999</v>
      </c>
      <c r="R1720" s="33">
        <f>IF(ISBLANK(Q1721),"",Long3[[#This Row],[Adj Close]]/Q1721-1)</f>
        <v>-2.9226110177227316E-3</v>
      </c>
      <c r="AK1720" s="37">
        <v>33056</v>
      </c>
      <c r="AL1720" s="39">
        <v>0.28000700000000001</v>
      </c>
      <c r="AM1720" s="36">
        <f>IF(ISBLANK(AL1721),"",Short1[[#This Row],[Adj Close]]/AL1721-1)</f>
        <v>1.0523618594613371E-2</v>
      </c>
      <c r="AN1720" s="29">
        <v>33056</v>
      </c>
      <c r="AO1720" s="44">
        <v>0.77746400000000004</v>
      </c>
      <c r="AP1720" s="33">
        <f>IF(ISBLANK(AO1721),"",Short2[[#This Row],[Adj Close]]/AO1721-1)</f>
        <v>-1.4084971422991699E-2</v>
      </c>
    </row>
    <row r="1721" spans="1:42" x14ac:dyDescent="0.25">
      <c r="A1721" s="37">
        <v>33049</v>
      </c>
      <c r="B1721" s="39">
        <v>358.01998900000001</v>
      </c>
      <c r="C1721" s="36">
        <f>IF(ISBLANK(B1722), "", GSPC[[#This Row],[Adj Close]]/B1722-1)</f>
        <v>7.2869370931225586E-3</v>
      </c>
      <c r="D172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2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21" s="11" t="e">
        <f>IF(ISBLANK(GSPC[[#This Row],[Long Exp.]]), "", (GSPC[[#This Row],[Long Exp.]]/D1722-1)+(E1722/GSPC[[#This Row],[Short Exp.]]-1))</f>
        <v>#VALUE!</v>
      </c>
      <c r="G1721" s="37">
        <v>33049</v>
      </c>
      <c r="H1721">
        <v>2.8087</v>
      </c>
      <c r="I1721" s="36">
        <f>IF(ISBLANK(H1722), "", Long0[[#This Row],[Adj Close]]/H1722-1)</f>
        <v>3.2966895556958864E-2</v>
      </c>
      <c r="M1721" s="37">
        <v>33049</v>
      </c>
      <c r="N1721">
        <v>11.753893</v>
      </c>
      <c r="O1721" s="36">
        <f>IF(ISBLANK(N1722),"",Long2[[#This Row],[Adj Close]]/N1722-1)</f>
        <v>2.181837686750443E-2</v>
      </c>
      <c r="P1721" s="29">
        <v>33049</v>
      </c>
      <c r="Q1721">
        <v>1.8435569999999999</v>
      </c>
      <c r="R1721" s="33">
        <f>IF(ISBLANK(Q1722),"",Long3[[#This Row],[Adj Close]]/Q1722-1)</f>
        <v>0</v>
      </c>
      <c r="AK1721" s="37">
        <v>33049</v>
      </c>
      <c r="AL1721" s="39">
        <v>0.27709099999999998</v>
      </c>
      <c r="AM1721" s="36">
        <f>IF(ISBLANK(AL1722),"",Short1[[#This Row],[Adj Close]]/AL1722-1)</f>
        <v>4.3956085357767183E-2</v>
      </c>
      <c r="AN1721" s="29">
        <v>33049</v>
      </c>
      <c r="AO1721" s="44">
        <v>0.78857100000000002</v>
      </c>
      <c r="AP1721" s="33">
        <f>IF(ISBLANK(AO1722),"",Short2[[#This Row],[Adj Close]]/AO1722-1)</f>
        <v>-2.0689715125224994E-2</v>
      </c>
    </row>
    <row r="1722" spans="1:42" x14ac:dyDescent="0.25">
      <c r="A1722" s="37">
        <v>33042</v>
      </c>
      <c r="B1722" s="39">
        <v>355.42999300000002</v>
      </c>
      <c r="C1722" s="36">
        <f>IF(ISBLANK(B1723), "", GSPC[[#This Row],[Adj Close]]/B1723-1)</f>
        <v>-2.0611200897068693E-2</v>
      </c>
      <c r="D172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2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22" s="11" t="e">
        <f>IF(ISBLANK(GSPC[[#This Row],[Long Exp.]]), "", (GSPC[[#This Row],[Long Exp.]]/D1723-1)+(E1723/GSPC[[#This Row],[Short Exp.]]-1))</f>
        <v>#VALUE!</v>
      </c>
      <c r="G1722" s="37">
        <v>33042</v>
      </c>
      <c r="H1722">
        <v>2.719061</v>
      </c>
      <c r="I1722" s="36">
        <f>IF(ISBLANK(H1723), "", Long0[[#This Row],[Adj Close]]/H1723-1)</f>
        <v>5.5249006978606019E-3</v>
      </c>
      <c r="M1722" s="37">
        <v>33042</v>
      </c>
      <c r="N1722">
        <v>11.502917999999999</v>
      </c>
      <c r="O1722" s="36">
        <f>IF(ISBLANK(N1723),"",Long2[[#This Row],[Adj Close]]/N1723-1)</f>
        <v>-2.0461623630282144E-2</v>
      </c>
      <c r="P1722" s="29">
        <v>33042</v>
      </c>
      <c r="Q1722">
        <v>1.8435569999999999</v>
      </c>
      <c r="R1722" s="33">
        <f>IF(ISBLANK(Q1723),"",Long3[[#This Row],[Adj Close]]/Q1723-1)</f>
        <v>8.8481482859688043E-3</v>
      </c>
      <c r="AK1722" s="37">
        <v>33042</v>
      </c>
      <c r="AL1722" s="39">
        <v>0.26542399999999999</v>
      </c>
      <c r="AM1722" s="36">
        <f>IF(ISBLANK(AL1723),"",Short1[[#This Row],[Adj Close]]/AL1723-1)</f>
        <v>-4.2105301146554641E-2</v>
      </c>
      <c r="AN1722" s="29">
        <v>33042</v>
      </c>
      <c r="AO1722" s="44">
        <v>0.80523100000000003</v>
      </c>
      <c r="AP1722" s="33">
        <f>IF(ISBLANK(AO1723),"",Short2[[#This Row],[Adj Close]]/AO1723-1)</f>
        <v>2.1126823076171863E-2</v>
      </c>
    </row>
    <row r="1723" spans="1:42" x14ac:dyDescent="0.25">
      <c r="A1723" s="37">
        <v>33035</v>
      </c>
      <c r="B1723" s="39">
        <v>362.91000400000001</v>
      </c>
      <c r="C1723" s="36">
        <f>IF(ISBLANK(B1724), "", GSPC[[#This Row],[Adj Close]]/B1724-1)</f>
        <v>1.170865909893215E-2</v>
      </c>
      <c r="D172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2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23" s="11" t="e">
        <f>IF(ISBLANK(GSPC[[#This Row],[Long Exp.]]), "", (GSPC[[#This Row],[Long Exp.]]/D1724-1)+(E1724/GSPC[[#This Row],[Short Exp.]]-1))</f>
        <v>#VALUE!</v>
      </c>
      <c r="G1723" s="37">
        <v>33035</v>
      </c>
      <c r="H1723">
        <v>2.7041210000000002</v>
      </c>
      <c r="I1723" s="36">
        <f>IF(ISBLANK(H1724), "", Long0[[#This Row],[Adj Close]]/H1724-1)</f>
        <v>3.4285963447429957E-2</v>
      </c>
      <c r="M1723" s="37">
        <v>33035</v>
      </c>
      <c r="N1723">
        <v>11.743202999999999</v>
      </c>
      <c r="O1723" s="36">
        <f>IF(ISBLANK(N1724),"",Long2[[#This Row],[Adj Close]]/N1724-1)</f>
        <v>4.4280999661012288E-2</v>
      </c>
      <c r="P1723" s="29">
        <v>33035</v>
      </c>
      <c r="Q1723">
        <v>1.827388</v>
      </c>
      <c r="R1723" s="33">
        <f>IF(ISBLANK(Q1724),"",Long3[[#This Row],[Adj Close]]/Q1724-1)</f>
        <v>2.6876883542495733E-2</v>
      </c>
      <c r="AK1723" s="37">
        <v>33035</v>
      </c>
      <c r="AL1723" s="39">
        <v>0.27709099999999998</v>
      </c>
      <c r="AM1723" s="36">
        <f>IF(ISBLANK(AL1724),"",Short1[[#This Row],[Adj Close]]/AL1724-1)</f>
        <v>6.7417851226934777E-2</v>
      </c>
      <c r="AN1723" s="29">
        <v>33035</v>
      </c>
      <c r="AO1723" s="44">
        <v>0.78857100000000002</v>
      </c>
      <c r="AP1723" s="33">
        <f>IF(ISBLANK(AO1724),"",Short2[[#This Row],[Adj Close]]/AO1724-1)</f>
        <v>2.8985147933472399E-2</v>
      </c>
    </row>
    <row r="1724" spans="1:42" x14ac:dyDescent="0.25">
      <c r="A1724" s="37">
        <v>33028</v>
      </c>
      <c r="B1724" s="39">
        <v>358.709991</v>
      </c>
      <c r="C1724" s="36">
        <f>IF(ISBLANK(B1725), "", GSPC[[#This Row],[Adj Close]]/B1725-1)</f>
        <v>-1.2253587815248546E-2</v>
      </c>
      <c r="D172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2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24" s="11" t="e">
        <f>IF(ISBLANK(GSPC[[#This Row],[Long Exp.]]), "", (GSPC[[#This Row],[Long Exp.]]/D1725-1)+(E1725/GSPC[[#This Row],[Short Exp.]]-1))</f>
        <v>#VALUE!</v>
      </c>
      <c r="G1724" s="37">
        <v>33028</v>
      </c>
      <c r="H1724">
        <v>2.6144810000000001</v>
      </c>
      <c r="I1724" s="36">
        <f>IF(ISBLANK(H1725), "", Long0[[#This Row],[Adj Close]]/H1725-1)</f>
        <v>-3.3149404187164722E-2</v>
      </c>
      <c r="M1724" s="37">
        <v>33028</v>
      </c>
      <c r="N1724">
        <v>11.245252000000001</v>
      </c>
      <c r="O1724" s="36">
        <f>IF(ISBLANK(N1725),"",Long2[[#This Row],[Adj Close]]/N1725-1)</f>
        <v>3.0417669457299734E-2</v>
      </c>
      <c r="P1724" s="29">
        <v>33028</v>
      </c>
      <c r="Q1724">
        <v>1.7795589999999999</v>
      </c>
      <c r="R1724" s="33">
        <f>IF(ISBLANK(Q1725),"",Long3[[#This Row],[Adj Close]]/Q1725-1)</f>
        <v>-1.4662465947598124E-2</v>
      </c>
      <c r="AK1724" s="37">
        <v>33028</v>
      </c>
      <c r="AL1724" s="39">
        <v>0.25958999999999999</v>
      </c>
      <c r="AM1724" s="36">
        <f>IF(ISBLANK(AL1725),"",Short1[[#This Row],[Adj Close]]/AL1725-1)</f>
        <v>5.9520748386780786E-2</v>
      </c>
      <c r="AN1724" s="29">
        <v>33028</v>
      </c>
      <c r="AO1724" s="44">
        <v>0.76635799999999998</v>
      </c>
      <c r="AP1724" s="33">
        <f>IF(ISBLANK(AO1725),"",Short2[[#This Row],[Adj Close]]/AO1725-1)</f>
        <v>1.4706369140855102E-2</v>
      </c>
    </row>
    <row r="1725" spans="1:42" x14ac:dyDescent="0.25">
      <c r="A1725" s="37">
        <v>33021</v>
      </c>
      <c r="B1725" s="39">
        <v>363.16000400000001</v>
      </c>
      <c r="C1725" s="36">
        <f>IF(ISBLANK(B1726), "", GSPC[[#This Row],[Adj Close]]/B1726-1)</f>
        <v>2.4197691112217257E-2</v>
      </c>
      <c r="D172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2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25" s="11" t="e">
        <f>IF(ISBLANK(GSPC[[#This Row],[Long Exp.]]), "", (GSPC[[#This Row],[Long Exp.]]/D1726-1)+(E1726/GSPC[[#This Row],[Short Exp.]]-1))</f>
        <v>#VALUE!</v>
      </c>
      <c r="G1725" s="37">
        <v>33021</v>
      </c>
      <c r="H1725">
        <v>2.7041210000000002</v>
      </c>
      <c r="I1725" s="36">
        <f>IF(ISBLANK(H1726), "", Long0[[#This Row],[Adj Close]]/H1726-1)</f>
        <v>-1.0929037699693556E-2</v>
      </c>
      <c r="M1725" s="37">
        <v>33021</v>
      </c>
      <c r="N1725">
        <v>10.913295</v>
      </c>
      <c r="O1725" s="36">
        <f>IF(ISBLANK(N1726),"",Long2[[#This Row],[Adj Close]]/N1726-1)</f>
        <v>3.8167552751153799E-3</v>
      </c>
      <c r="P1725" s="29">
        <v>33021</v>
      </c>
      <c r="Q1725">
        <v>1.8060400000000001</v>
      </c>
      <c r="R1725" s="33">
        <f>IF(ISBLANK(Q1726),"",Long3[[#This Row],[Adj Close]]/Q1726-1)</f>
        <v>-2.9238087246098443E-3</v>
      </c>
      <c r="AK1725" s="37">
        <v>33021</v>
      </c>
      <c r="AL1725" s="39">
        <v>0.245007</v>
      </c>
      <c r="AM1725" s="36">
        <f>IF(ISBLANK(AL1726),"",Short1[[#This Row],[Adj Close]]/AL1726-1)</f>
        <v>-2.3253867006856943E-2</v>
      </c>
      <c r="AN1725" s="29">
        <v>33021</v>
      </c>
      <c r="AO1725" s="44">
        <v>0.75525100000000001</v>
      </c>
      <c r="AP1725" s="33">
        <f>IF(ISBLANK(AO1726),"",Short2[[#This Row],[Adj Close]]/AO1726-1)</f>
        <v>1.4924510680042191E-2</v>
      </c>
    </row>
    <row r="1726" spans="1:42" x14ac:dyDescent="0.25">
      <c r="A1726" s="37">
        <v>33014</v>
      </c>
      <c r="B1726" s="39">
        <v>354.57998700000002</v>
      </c>
      <c r="C1726" s="36">
        <f>IF(ISBLANK(B1727), "", GSPC[[#This Row],[Adj Close]]/B1727-1)</f>
        <v>-1.6926459920207915E-4</v>
      </c>
      <c r="D172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2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26" s="11" t="e">
        <f>IF(ISBLANK(GSPC[[#This Row],[Long Exp.]]), "", (GSPC[[#This Row],[Long Exp.]]/D1727-1)+(E1727/GSPC[[#This Row],[Short Exp.]]-1))</f>
        <v>#VALUE!</v>
      </c>
      <c r="G1726" s="37">
        <v>33014</v>
      </c>
      <c r="H1726">
        <v>2.7340010000000001</v>
      </c>
      <c r="I1726" s="36">
        <f>IF(ISBLANK(H1727), "", Long0[[#This Row],[Adj Close]]/H1727-1)</f>
        <v>-5.4348201725681333E-3</v>
      </c>
      <c r="M1726" s="37">
        <v>33014</v>
      </c>
      <c r="N1726">
        <v>10.8718</v>
      </c>
      <c r="O1726" s="36">
        <f>IF(ISBLANK(N1727),"",Long2[[#This Row],[Adj Close]]/N1727-1)</f>
        <v>0</v>
      </c>
      <c r="P1726" s="29">
        <v>33014</v>
      </c>
      <c r="Q1726">
        <v>1.8113360000000001</v>
      </c>
      <c r="R1726" s="33">
        <f>IF(ISBLANK(Q1727),"",Long3[[#This Row],[Adj Close]]/Q1727-1)</f>
        <v>-2.916382716606658E-3</v>
      </c>
      <c r="AK1726" s="37">
        <v>33014</v>
      </c>
      <c r="AL1726" s="39">
        <v>0.25084000000000001</v>
      </c>
      <c r="AM1726" s="36">
        <f>IF(ISBLANK(AL1727),"",Short1[[#This Row],[Adj Close]]/AL1727-1)</f>
        <v>4.8780589782291495E-2</v>
      </c>
      <c r="AN1726" s="29">
        <v>33014</v>
      </c>
      <c r="AO1726" s="44">
        <v>0.74414499999999995</v>
      </c>
      <c r="AP1726" s="33">
        <f>IF(ISBLANK(AO1727),"",Short2[[#This Row],[Adj Close]]/AO1727-1)</f>
        <v>-6.2936015030398362E-2</v>
      </c>
    </row>
    <row r="1727" spans="1:42" x14ac:dyDescent="0.25">
      <c r="A1727" s="37">
        <v>33007</v>
      </c>
      <c r="B1727" s="39">
        <v>354.64001500000001</v>
      </c>
      <c r="C1727" s="36">
        <f>IF(ISBLANK(B1728), "", GSPC[[#This Row],[Adj Close]]/B1728-1)</f>
        <v>7.5000426136364595E-3</v>
      </c>
      <c r="D172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2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27" s="11" t="e">
        <f>IF(ISBLANK(GSPC[[#This Row],[Long Exp.]]), "", (GSPC[[#This Row],[Long Exp.]]/D1728-1)+(E1728/GSPC[[#This Row],[Short Exp.]]-1))</f>
        <v>#VALUE!</v>
      </c>
      <c r="G1727" s="37">
        <v>33007</v>
      </c>
      <c r="H1727">
        <v>2.7489409999999999</v>
      </c>
      <c r="I1727" s="36">
        <f>IF(ISBLANK(H1728), "", Long0[[#This Row],[Adj Close]]/H1728-1)</f>
        <v>-3.6649121085536529E-2</v>
      </c>
      <c r="M1727" s="37">
        <v>33007</v>
      </c>
      <c r="N1727">
        <v>10.8718</v>
      </c>
      <c r="O1727" s="36">
        <f>IF(ISBLANK(N1728),"",Long2[[#This Row],[Adj Close]]/N1728-1)</f>
        <v>3.968291765334131E-2</v>
      </c>
      <c r="P1727" s="29">
        <v>33007</v>
      </c>
      <c r="Q1727">
        <v>1.8166340000000001</v>
      </c>
      <c r="R1727" s="33">
        <f>IF(ISBLANK(Q1728),"",Long3[[#This Row],[Adj Close]]/Q1728-1)</f>
        <v>8.8241304705167778E-3</v>
      </c>
      <c r="AK1727" s="37">
        <v>33007</v>
      </c>
      <c r="AL1727" s="39">
        <v>0.239173</v>
      </c>
      <c r="AM1727" s="36">
        <f>IF(ISBLANK(AL1728),"",Short1[[#This Row],[Adj Close]]/AL1728-1)</f>
        <v>-1.2049237886736397E-2</v>
      </c>
      <c r="AN1727" s="29">
        <v>33007</v>
      </c>
      <c r="AO1727" s="44">
        <v>0.79412400000000005</v>
      </c>
      <c r="AP1727" s="33">
        <f>IF(ISBLANK(AO1728),"",Short2[[#This Row],[Adj Close]]/AO1728-1)</f>
        <v>4.3794401982111264E-2</v>
      </c>
    </row>
    <row r="1728" spans="1:42" x14ac:dyDescent="0.25">
      <c r="A1728" s="37">
        <v>33000</v>
      </c>
      <c r="B1728" s="39">
        <v>352</v>
      </c>
      <c r="C1728" s="36">
        <f>IF(ISBLANK(B1729), "", GSPC[[#This Row],[Adj Close]]/B1729-1)</f>
        <v>4.0219818542813757E-2</v>
      </c>
      <c r="D172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2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28" s="11" t="e">
        <f>IF(ISBLANK(GSPC[[#This Row],[Long Exp.]]), "", (GSPC[[#This Row],[Long Exp.]]/D1729-1)+(E1729/GSPC[[#This Row],[Short Exp.]]-1))</f>
        <v>#VALUE!</v>
      </c>
      <c r="G1728" s="37">
        <v>33000</v>
      </c>
      <c r="H1728">
        <v>2.8535200000000001</v>
      </c>
      <c r="I1728" s="36">
        <f>IF(ISBLANK(H1729), "", Long0[[#This Row],[Adj Close]]/H1729-1)</f>
        <v>8.5227095536585695E-2</v>
      </c>
      <c r="M1728" s="37">
        <v>33000</v>
      </c>
      <c r="N1728">
        <v>10.456842</v>
      </c>
      <c r="O1728" s="36">
        <f>IF(ISBLANK(N1729),"",Long2[[#This Row],[Adj Close]]/N1729-1)</f>
        <v>-4.1825406533956944E-2</v>
      </c>
      <c r="P1728" s="29">
        <v>33000</v>
      </c>
      <c r="Q1728">
        <v>1.8007439999999999</v>
      </c>
      <c r="R1728" s="33">
        <f>IF(ISBLANK(Q1729),"",Long3[[#This Row],[Adj Close]]/Q1729-1)</f>
        <v>3.975536580802963E-2</v>
      </c>
      <c r="AK1728" s="37">
        <v>33000</v>
      </c>
      <c r="AL1728" s="39">
        <v>0.24209</v>
      </c>
      <c r="AM1728" s="36">
        <f>IF(ISBLANK(AL1729),"",Short1[[#This Row],[Adj Close]]/AL1729-1)</f>
        <v>9.2104135370568274E-2</v>
      </c>
      <c r="AN1728" s="29">
        <v>33000</v>
      </c>
      <c r="AO1728" s="44">
        <v>0.76080499999999995</v>
      </c>
      <c r="AP1728" s="33">
        <f>IF(ISBLANK(AO1729),"",Short2[[#This Row],[Adj Close]]/AO1729-1)</f>
        <v>-1.0996224963081613E-2</v>
      </c>
    </row>
    <row r="1729" spans="1:42" x14ac:dyDescent="0.25">
      <c r="A1729" s="37">
        <v>32993</v>
      </c>
      <c r="B1729" s="39">
        <v>338.39001500000001</v>
      </c>
      <c r="C1729" s="36">
        <f>IF(ISBLANK(B1730), "", GSPC[[#This Row],[Adj Close]]/B1730-1)</f>
        <v>2.8197351715111285E-2</v>
      </c>
      <c r="D172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2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29" s="11" t="e">
        <f>IF(ISBLANK(GSPC[[#This Row],[Long Exp.]]), "", (GSPC[[#This Row],[Long Exp.]]/D1730-1)+(E1730/GSPC[[#This Row],[Short Exp.]]-1))</f>
        <v>#VALUE!</v>
      </c>
      <c r="G1729" s="37">
        <v>32993</v>
      </c>
      <c r="H1729">
        <v>2.6294219999999999</v>
      </c>
      <c r="I1729" s="36">
        <f>IF(ISBLANK(H1730), "", Long0[[#This Row],[Adj Close]]/H1730-1)</f>
        <v>7.3170831253522639E-2</v>
      </c>
      <c r="M1729" s="37">
        <v>32993</v>
      </c>
      <c r="N1729">
        <v>10.913295</v>
      </c>
      <c r="O1729" s="36">
        <f>IF(ISBLANK(N1730),"",Long2[[#This Row],[Adj Close]]/N1730-1)</f>
        <v>5.2000361293024211E-2</v>
      </c>
      <c r="P1729" s="29">
        <v>32993</v>
      </c>
      <c r="Q1729">
        <v>1.731892</v>
      </c>
      <c r="R1729" s="33">
        <f>IF(ISBLANK(Q1730),"",Long3[[#This Row],[Adj Close]]/Q1730-1)</f>
        <v>2.507870573967419E-2</v>
      </c>
      <c r="AK1729" s="37">
        <v>32993</v>
      </c>
      <c r="AL1729" s="39">
        <v>0.22167300000000001</v>
      </c>
      <c r="AM1729" s="36">
        <f>IF(ISBLANK(AL1730),"",Short1[[#This Row],[Adj Close]]/AL1730-1)</f>
        <v>0.15151814238591199</v>
      </c>
      <c r="AN1729" s="29">
        <v>32993</v>
      </c>
      <c r="AO1729" s="44">
        <v>0.76926399999999995</v>
      </c>
      <c r="AP1729" s="33">
        <f>IF(ISBLANK(AO1730),"",Short2[[#This Row],[Adj Close]]/AO1730-1)</f>
        <v>-7.1437882599230118E-3</v>
      </c>
    </row>
    <row r="1730" spans="1:42" x14ac:dyDescent="0.25">
      <c r="A1730" s="37">
        <v>32986</v>
      </c>
      <c r="B1730" s="39">
        <v>329.10998499999999</v>
      </c>
      <c r="C1730" s="36">
        <f>IF(ISBLANK(B1731), "", GSPC[[#This Row],[Adj Close]]/B1731-1)</f>
        <v>-1.7933904540670675E-2</v>
      </c>
      <c r="D173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3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30" s="11" t="e">
        <f>IF(ISBLANK(GSPC[[#This Row],[Long Exp.]]), "", (GSPC[[#This Row],[Long Exp.]]/D1731-1)+(E1731/GSPC[[#This Row],[Short Exp.]]-1))</f>
        <v>#VALUE!</v>
      </c>
      <c r="G1730" s="37">
        <v>32986</v>
      </c>
      <c r="H1730">
        <v>2.4501430000000002</v>
      </c>
      <c r="I1730" s="36">
        <f>IF(ISBLANK(H1731), "", Long0[[#This Row],[Adj Close]]/H1731-1)</f>
        <v>0</v>
      </c>
      <c r="M1730" s="37">
        <v>32986</v>
      </c>
      <c r="N1730">
        <v>10.373851</v>
      </c>
      <c r="O1730" s="36">
        <f>IF(ISBLANK(N1731),"",Long2[[#This Row],[Adj Close]]/N1731-1)</f>
        <v>-6.7163820759077231E-2</v>
      </c>
      <c r="P1730" s="29">
        <v>32986</v>
      </c>
      <c r="Q1730">
        <v>1.6895210000000001</v>
      </c>
      <c r="R1730" s="33">
        <f>IF(ISBLANK(Q1731),"",Long3[[#This Row],[Adj Close]]/Q1731-1)</f>
        <v>-3.0395670550966036E-2</v>
      </c>
      <c r="AK1730" s="37">
        <v>32986</v>
      </c>
      <c r="AL1730" s="39">
        <v>0.19250500000000001</v>
      </c>
      <c r="AM1730" s="36">
        <f>IF(ISBLANK(AL1731),"",Short1[[#This Row],[Adj Close]]/AL1731-1)</f>
        <v>-0.13158120294307385</v>
      </c>
      <c r="AN1730" s="29">
        <v>32986</v>
      </c>
      <c r="AO1730" s="44">
        <v>0.77479900000000002</v>
      </c>
      <c r="AP1730" s="33">
        <f>IF(ISBLANK(AO1731),"",Short2[[#This Row],[Adj Close]]/AO1731-1)</f>
        <v>-2.0979224212220871E-2</v>
      </c>
    </row>
    <row r="1731" spans="1:42" x14ac:dyDescent="0.25">
      <c r="A1731" s="37">
        <v>32979</v>
      </c>
      <c r="B1731" s="39">
        <v>335.11999500000002</v>
      </c>
      <c r="C1731" s="36">
        <f>IF(ISBLANK(B1732), "", GSPC[[#This Row],[Adj Close]]/B1732-1)</f>
        <v>-2.6775864282695627E-2</v>
      </c>
      <c r="D173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3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31" s="11" t="e">
        <f>IF(ISBLANK(GSPC[[#This Row],[Long Exp.]]), "", (GSPC[[#This Row],[Long Exp.]]/D1732-1)+(E1732/GSPC[[#This Row],[Short Exp.]]-1))</f>
        <v>#VALUE!</v>
      </c>
      <c r="G1731" s="37">
        <v>32979</v>
      </c>
      <c r="H1731">
        <v>2.4501430000000002</v>
      </c>
      <c r="I1731" s="36">
        <f>IF(ISBLANK(H1732), "", Long0[[#This Row],[Adj Close]]/H1732-1)</f>
        <v>-6.8181904616299582E-2</v>
      </c>
      <c r="M1731" s="37">
        <v>32979</v>
      </c>
      <c r="N1731">
        <v>11.120763999999999</v>
      </c>
      <c r="O1731" s="36">
        <f>IF(ISBLANK(N1732),"",Long2[[#This Row],[Adj Close]]/N1732-1)</f>
        <v>-3.942674991984263E-2</v>
      </c>
      <c r="P1731" s="29">
        <v>32979</v>
      </c>
      <c r="Q1731">
        <v>1.7424850000000001</v>
      </c>
      <c r="R1731" s="33">
        <f>IF(ISBLANK(Q1732),"",Long3[[#This Row],[Adj Close]]/Q1732-1)</f>
        <v>-1.2011324120342226E-2</v>
      </c>
      <c r="AK1731" s="37">
        <v>32979</v>
      </c>
      <c r="AL1731" s="39">
        <v>0.22167300000000001</v>
      </c>
      <c r="AM1731" s="36">
        <f>IF(ISBLANK(AL1732),"",Short1[[#This Row],[Adj Close]]/AL1732-1)</f>
        <v>-1.2983716922912558E-2</v>
      </c>
      <c r="AN1731" s="29">
        <v>32979</v>
      </c>
      <c r="AO1731" s="44">
        <v>0.79140200000000005</v>
      </c>
      <c r="AP1731" s="33">
        <f>IF(ISBLANK(AO1732),"",Short2[[#This Row],[Adj Close]]/AO1732-1)</f>
        <v>-2.7210742201664528E-2</v>
      </c>
    </row>
    <row r="1732" spans="1:42" x14ac:dyDescent="0.25">
      <c r="A1732" s="37">
        <v>32972</v>
      </c>
      <c r="B1732" s="39">
        <v>344.33999599999999</v>
      </c>
      <c r="C1732" s="36">
        <f>IF(ISBLANK(B1733), "", GSPC[[#This Row],[Adj Close]]/B1733-1)</f>
        <v>1.2526491304529319E-2</v>
      </c>
      <c r="D173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3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32" s="11" t="e">
        <f>IF(ISBLANK(GSPC[[#This Row],[Long Exp.]]), "", (GSPC[[#This Row],[Long Exp.]]/D1733-1)+(E1733/GSPC[[#This Row],[Short Exp.]]-1))</f>
        <v>#VALUE!</v>
      </c>
      <c r="G1732" s="37">
        <v>32972</v>
      </c>
      <c r="H1732">
        <v>2.6294219999999999</v>
      </c>
      <c r="I1732" s="36">
        <f>IF(ISBLANK(H1733), "", Long0[[#This Row],[Adj Close]]/H1733-1)</f>
        <v>5.7147097263281488E-3</v>
      </c>
      <c r="M1732" s="37">
        <v>32972</v>
      </c>
      <c r="N1732">
        <v>11.577216</v>
      </c>
      <c r="O1732" s="36">
        <f>IF(ISBLANK(N1733),"",Long2[[#This Row],[Adj Close]]/N1733-1)</f>
        <v>5.6817799046608775E-2</v>
      </c>
      <c r="P1732" s="29">
        <v>32972</v>
      </c>
      <c r="Q1732">
        <v>1.7636689999999999</v>
      </c>
      <c r="R1732" s="33">
        <f>IF(ISBLANK(Q1733),"",Long3[[#This Row],[Adj Close]]/Q1733-1)</f>
        <v>9.0903837494513695E-3</v>
      </c>
      <c r="AK1732" s="37">
        <v>32972</v>
      </c>
      <c r="AL1732" s="39">
        <v>0.22458900000000001</v>
      </c>
      <c r="AM1732" s="36">
        <f>IF(ISBLANK(AL1733),"",Short1[[#This Row],[Adj Close]]/AL1733-1)</f>
        <v>-2.5318653085846354E-2</v>
      </c>
      <c r="AN1732" s="29">
        <v>32972</v>
      </c>
      <c r="AO1732" s="44">
        <v>0.81353900000000001</v>
      </c>
      <c r="AP1732" s="33">
        <f>IF(ISBLANK(AO1733),"",Short2[[#This Row],[Adj Close]]/AO1733-1)</f>
        <v>-6.369449476453648E-2</v>
      </c>
    </row>
    <row r="1733" spans="1:42" x14ac:dyDescent="0.25">
      <c r="A1733" s="37">
        <v>32965</v>
      </c>
      <c r="B1733" s="39">
        <v>340.07998700000002</v>
      </c>
      <c r="C1733" s="36">
        <f>IF(ISBLANK(B1734), "", GSPC[[#This Row],[Adj Close]]/B1734-1)</f>
        <v>4.1179325521101262E-4</v>
      </c>
      <c r="D173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3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33" s="11" t="e">
        <f>IF(ISBLANK(GSPC[[#This Row],[Long Exp.]]), "", (GSPC[[#This Row],[Long Exp.]]/D1734-1)+(E1734/GSPC[[#This Row],[Short Exp.]]-1))</f>
        <v>#VALUE!</v>
      </c>
      <c r="G1733" s="37">
        <v>32965</v>
      </c>
      <c r="H1733">
        <v>2.6144810000000001</v>
      </c>
      <c r="I1733" s="36">
        <f>IF(ISBLANK(H1734), "", Long0[[#This Row],[Adj Close]]/H1734-1)</f>
        <v>0.10759486431493626</v>
      </c>
      <c r="M1733" s="37">
        <v>32965</v>
      </c>
      <c r="N1733">
        <v>10.954789</v>
      </c>
      <c r="O1733" s="36">
        <f>IF(ISBLANK(N1734),"",Long2[[#This Row],[Adj Close]]/N1734-1)</f>
        <v>-5.0359730316039908E-2</v>
      </c>
      <c r="P1733" s="29">
        <v>32965</v>
      </c>
      <c r="Q1733">
        <v>1.747781</v>
      </c>
      <c r="R1733" s="33">
        <f>IF(ISBLANK(Q1734),"",Long3[[#This Row],[Adj Close]]/Q1734-1)</f>
        <v>-1.4926189112781429E-2</v>
      </c>
      <c r="AK1733" s="37">
        <v>32965</v>
      </c>
      <c r="AL1733" s="39">
        <v>0.23042299999999999</v>
      </c>
      <c r="AM1733" s="36">
        <f>IF(ISBLANK(AL1734),"",Short1[[#This Row],[Adj Close]]/AL1734-1)</f>
        <v>-4.8192820851749363E-2</v>
      </c>
      <c r="AN1733" s="29">
        <v>32965</v>
      </c>
      <c r="AO1733" s="44">
        <v>0.86888200000000004</v>
      </c>
      <c r="AP1733" s="33">
        <f>IF(ISBLANK(AO1734),"",Short2[[#This Row],[Adj Close]]/AO1734-1)</f>
        <v>0</v>
      </c>
    </row>
    <row r="1734" spans="1:42" x14ac:dyDescent="0.25">
      <c r="A1734" s="37">
        <v>32958</v>
      </c>
      <c r="B1734" s="39">
        <v>339.94000199999999</v>
      </c>
      <c r="C1734" s="36">
        <f>IF(ISBLANK(B1735), "", GSPC[[#This Row],[Adj Close]]/B1735-1)</f>
        <v>8.0659539527134783E-3</v>
      </c>
      <c r="D173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3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34" s="11" t="e">
        <f>IF(ISBLANK(GSPC[[#This Row],[Long Exp.]]), "", (GSPC[[#This Row],[Long Exp.]]/D1735-1)+(E1735/GSPC[[#This Row],[Short Exp.]]-1))</f>
        <v>#VALUE!</v>
      </c>
      <c r="G1734" s="37">
        <v>32958</v>
      </c>
      <c r="H1734">
        <v>2.360503</v>
      </c>
      <c r="I1734" s="36">
        <f>IF(ISBLANK(H1735), "", Long0[[#This Row],[Adj Close]]/H1735-1)</f>
        <v>-2.4691531457531557E-2</v>
      </c>
      <c r="M1734" s="37">
        <v>32958</v>
      </c>
      <c r="N1734">
        <v>11.535724999999999</v>
      </c>
      <c r="O1734" s="36">
        <f>IF(ISBLANK(N1735),"",Long2[[#This Row],[Adj Close]]/N1735-1)</f>
        <v>-2.4560834744185578E-2</v>
      </c>
      <c r="P1734" s="29">
        <v>32958</v>
      </c>
      <c r="Q1734">
        <v>1.7742640000000001</v>
      </c>
      <c r="R1734" s="33">
        <f>IF(ISBLANK(Q1735),"",Long3[[#This Row],[Adj Close]]/Q1735-1)</f>
        <v>2.9944029481612233E-3</v>
      </c>
      <c r="AK1734" s="37">
        <v>32958</v>
      </c>
      <c r="AL1734" s="39">
        <v>0.24209</v>
      </c>
      <c r="AM1734" s="36">
        <f>IF(ISBLANK(AL1735),"",Short1[[#This Row],[Adj Close]]/AL1735-1)</f>
        <v>-4.597705679055164E-2</v>
      </c>
      <c r="AN1734" s="29">
        <v>32958</v>
      </c>
      <c r="AO1734" s="44">
        <v>0.86888200000000004</v>
      </c>
      <c r="AP1734" s="33">
        <f>IF(ISBLANK(AO1735),"",Short2[[#This Row],[Adj Close]]/AO1735-1)</f>
        <v>0</v>
      </c>
    </row>
    <row r="1735" spans="1:42" x14ac:dyDescent="0.25">
      <c r="A1735" s="37">
        <v>32951</v>
      </c>
      <c r="B1735" s="39">
        <v>337.22000100000002</v>
      </c>
      <c r="C1735" s="36">
        <f>IF(ISBLANK(B1736), "", GSPC[[#This Row],[Adj Close]]/B1736-1)</f>
        <v>-1.3717068658804066E-2</v>
      </c>
      <c r="D173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3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35" s="11" t="e">
        <f>IF(ISBLANK(GSPC[[#This Row],[Long Exp.]]), "", (GSPC[[#This Row],[Long Exp.]]/D1736-1)+(E1736/GSPC[[#This Row],[Short Exp.]]-1))</f>
        <v>#VALUE!</v>
      </c>
      <c r="G1735" s="37">
        <v>32951</v>
      </c>
      <c r="H1735">
        <v>2.4202629999999998</v>
      </c>
      <c r="I1735" s="36">
        <f>IF(ISBLANK(H1736), "", Long0[[#This Row],[Adj Close]]/H1736-1)</f>
        <v>-5.263192917588333E-2</v>
      </c>
      <c r="M1735" s="37">
        <v>32951</v>
      </c>
      <c r="N1735">
        <v>11.826186</v>
      </c>
      <c r="O1735" s="36">
        <f>IF(ISBLANK(N1736),"",Long2[[#This Row],[Adj Close]]/N1736-1)</f>
        <v>-3.6712048387475216E-2</v>
      </c>
      <c r="P1735" s="29">
        <v>32951</v>
      </c>
      <c r="Q1735">
        <v>1.768967</v>
      </c>
      <c r="R1735" s="33">
        <f>IF(ISBLANK(Q1736),"",Long3[[#This Row],[Adj Close]]/Q1736-1)</f>
        <v>-5.9520364314978869E-3</v>
      </c>
      <c r="AK1735" s="37">
        <v>32951</v>
      </c>
      <c r="AL1735" s="39">
        <v>0.25375700000000001</v>
      </c>
      <c r="AM1735" s="36">
        <f>IF(ISBLANK(AL1736),"",Short1[[#This Row],[Adj Close]]/AL1736-1)</f>
        <v>0.11538596784260635</v>
      </c>
      <c r="AN1735" s="29">
        <v>32951</v>
      </c>
      <c r="AO1735" s="44">
        <v>0.86888200000000004</v>
      </c>
      <c r="AP1735" s="33">
        <f>IF(ISBLANK(AO1736),"",Short2[[#This Row],[Adj Close]]/AO1736-1)</f>
        <v>0</v>
      </c>
    </row>
    <row r="1736" spans="1:42" x14ac:dyDescent="0.25">
      <c r="A1736" s="37">
        <v>32944</v>
      </c>
      <c r="B1736" s="39">
        <v>341.91000400000001</v>
      </c>
      <c r="C1736" s="36">
        <f>IF(ISBLANK(B1737), "", GSPC[[#This Row],[Adj Close]]/B1737-1)</f>
        <v>1.177761986933179E-2</v>
      </c>
      <c r="D173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3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36" s="11" t="e">
        <f>IF(ISBLANK(GSPC[[#This Row],[Long Exp.]]), "", (GSPC[[#This Row],[Long Exp.]]/D1737-1)+(E1737/GSPC[[#This Row],[Short Exp.]]-1))</f>
        <v>#VALUE!</v>
      </c>
      <c r="G1736" s="37">
        <v>32944</v>
      </c>
      <c r="H1736">
        <v>2.5547230000000001</v>
      </c>
      <c r="I1736" s="36">
        <f>IF(ISBLANK(H1737), "", Long0[[#This Row],[Adj Close]]/H1737-1)</f>
        <v>-2.2856543994773659E-2</v>
      </c>
      <c r="M1736" s="37">
        <v>32944</v>
      </c>
      <c r="N1736">
        <v>12.276896000000001</v>
      </c>
      <c r="O1736" s="36">
        <f>IF(ISBLANK(N1737),"",Long2[[#This Row],[Adj Close]]/N1737-1)</f>
        <v>-9.9663851830299466E-3</v>
      </c>
      <c r="P1736" s="29">
        <v>32944</v>
      </c>
      <c r="Q1736">
        <v>1.7795589999999999</v>
      </c>
      <c r="R1736" s="33">
        <f>IF(ISBLANK(Q1737),"",Long3[[#This Row],[Adj Close]]/Q1737-1)</f>
        <v>3.9831926193371281E-2</v>
      </c>
      <c r="AK1736" s="37">
        <v>32944</v>
      </c>
      <c r="AL1736" s="39">
        <v>0.22750600000000001</v>
      </c>
      <c r="AM1736" s="36">
        <f>IF(ISBLANK(AL1737),"",Short1[[#This Row],[Adj Close]]/AL1737-1)</f>
        <v>2.631353389903146E-2</v>
      </c>
      <c r="AN1736" s="29">
        <v>32944</v>
      </c>
      <c r="AO1736" s="44">
        <v>0.86888200000000004</v>
      </c>
      <c r="AP1736" s="33">
        <f>IF(ISBLANK(AO1737),"",Short2[[#This Row],[Adj Close]]/AO1737-1)</f>
        <v>1.948070995530804E-2</v>
      </c>
    </row>
    <row r="1737" spans="1:42" x14ac:dyDescent="0.25">
      <c r="A1737" s="37">
        <v>32937</v>
      </c>
      <c r="B1737" s="39">
        <v>337.92999300000002</v>
      </c>
      <c r="C1737" s="36">
        <f>IF(ISBLANK(B1738), "", GSPC[[#This Row],[Adj Close]]/B1738-1)</f>
        <v>7.1227988791049412E-3</v>
      </c>
      <c r="D173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3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37" s="11" t="e">
        <f>IF(ISBLANK(GSPC[[#This Row],[Long Exp.]]), "", (GSPC[[#This Row],[Long Exp.]]/D1738-1)+(E1738/GSPC[[#This Row],[Short Exp.]]-1))</f>
        <v>#VALUE!</v>
      </c>
      <c r="G1737" s="37">
        <v>32937</v>
      </c>
      <c r="H1737">
        <v>2.6144810000000001</v>
      </c>
      <c r="I1737" s="36">
        <f>IF(ISBLANK(H1738), "", Long0[[#This Row],[Adj Close]]/H1738-1)</f>
        <v>-5.6822373890534905E-3</v>
      </c>
      <c r="M1737" s="37">
        <v>32937</v>
      </c>
      <c r="N1737">
        <v>12.400484000000001</v>
      </c>
      <c r="O1737" s="36">
        <f>IF(ISBLANK(N1738),"",Long2[[#This Row],[Adj Close]]/N1738-1)</f>
        <v>1.3467476319295235E-2</v>
      </c>
      <c r="P1737" s="29">
        <v>32937</v>
      </c>
      <c r="Q1737">
        <v>1.7113910000000001</v>
      </c>
      <c r="R1737" s="33">
        <f>IF(ISBLANK(Q1738),"",Long3[[#This Row],[Adj Close]]/Q1738-1)</f>
        <v>-1.4970070219868736E-2</v>
      </c>
      <c r="AK1737" s="37">
        <v>32937</v>
      </c>
      <c r="AL1737" s="39">
        <v>0.22167300000000001</v>
      </c>
      <c r="AM1737" s="36">
        <f>IF(ISBLANK(AL1738),"",Short1[[#This Row],[Adj Close]]/AL1738-1)</f>
        <v>0.11764705882352944</v>
      </c>
      <c r="AN1737" s="29">
        <v>32937</v>
      </c>
      <c r="AO1737" s="44">
        <v>0.85227900000000001</v>
      </c>
      <c r="AP1737" s="33">
        <f>IF(ISBLANK(AO1738),"",Short2[[#This Row],[Adj Close]]/AO1738-1)</f>
        <v>6.5368045123437302E-3</v>
      </c>
    </row>
    <row r="1738" spans="1:42" x14ac:dyDescent="0.25">
      <c r="A1738" s="37">
        <v>32930</v>
      </c>
      <c r="B1738" s="39">
        <v>335.540009</v>
      </c>
      <c r="C1738" s="36">
        <f>IF(ISBLANK(B1739), "", GSPC[[#This Row],[Adj Close]]/B1739-1)</f>
        <v>3.5138100295630359E-2</v>
      </c>
      <c r="D173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3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38" s="11" t="e">
        <f>IF(ISBLANK(GSPC[[#This Row],[Long Exp.]]), "", (GSPC[[#This Row],[Long Exp.]]/D1739-1)+(E1739/GSPC[[#This Row],[Short Exp.]]-1))</f>
        <v>#VALUE!</v>
      </c>
      <c r="G1738" s="37">
        <v>32930</v>
      </c>
      <c r="H1738">
        <v>2.6294219999999999</v>
      </c>
      <c r="I1738" s="36">
        <f>IF(ISBLANK(H1739), "", Long0[[#This Row],[Adj Close]]/H1739-1)</f>
        <v>4.7618971729186388E-2</v>
      </c>
      <c r="M1738" s="37">
        <v>32930</v>
      </c>
      <c r="N1738">
        <v>12.2357</v>
      </c>
      <c r="O1738" s="36">
        <f>IF(ISBLANK(N1739),"",Long2[[#This Row],[Adj Close]]/N1739-1)</f>
        <v>1.0204504552554061E-2</v>
      </c>
      <c r="P1738" s="29">
        <v>32930</v>
      </c>
      <c r="Q1738">
        <v>1.7374000000000001</v>
      </c>
      <c r="R1738" s="33">
        <f>IF(ISBLANK(Q1739),"",Long3[[#This Row],[Adj Close]]/Q1739-1)</f>
        <v>2.4540257167034785E-2</v>
      </c>
      <c r="AK1738" s="37">
        <v>32930</v>
      </c>
      <c r="AL1738" s="39">
        <v>0.19833899999999999</v>
      </c>
      <c r="AM1738" s="36">
        <f>IF(ISBLANK(AL1739),"",Short1[[#This Row],[Adj Close]]/AL1739-1)</f>
        <v>0.1333333333333333</v>
      </c>
      <c r="AN1738" s="29">
        <v>32930</v>
      </c>
      <c r="AO1738" s="44">
        <v>0.84674400000000005</v>
      </c>
      <c r="AP1738" s="33">
        <f>IF(ISBLANK(AO1739),"",Short2[[#This Row],[Adj Close]]/AO1739-1)</f>
        <v>2.684551550011105E-2</v>
      </c>
    </row>
    <row r="1739" spans="1:42" x14ac:dyDescent="0.25">
      <c r="A1739" s="37">
        <v>32923</v>
      </c>
      <c r="B1739" s="39">
        <v>324.14999399999999</v>
      </c>
      <c r="C1739" s="36">
        <f>IF(ISBLANK(B1740), "", GSPC[[#This Row],[Adj Close]]/B1740-1)</f>
        <v>-2.575741456552838E-2</v>
      </c>
      <c r="D173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3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39" s="11" t="e">
        <f>IF(ISBLANK(GSPC[[#This Row],[Long Exp.]]), "", (GSPC[[#This Row],[Long Exp.]]/D1740-1)+(E1740/GSPC[[#This Row],[Short Exp.]]-1))</f>
        <v>#VALUE!</v>
      </c>
      <c r="G1739" s="37">
        <v>32923</v>
      </c>
      <c r="H1739">
        <v>2.509903</v>
      </c>
      <c r="I1739" s="36">
        <f>IF(ISBLANK(H1740), "", Long0[[#This Row],[Adj Close]]/H1740-1)</f>
        <v>-1.1764784629238023E-2</v>
      </c>
      <c r="M1739" s="37">
        <v>32923</v>
      </c>
      <c r="N1739">
        <v>12.112102</v>
      </c>
      <c r="O1739" s="36">
        <f>IF(ISBLANK(N1740),"",Long2[[#This Row],[Adj Close]]/N1740-1)</f>
        <v>-1.3423099780270231E-2</v>
      </c>
      <c r="P1739" s="29">
        <v>32923</v>
      </c>
      <c r="Q1739">
        <v>1.6957850000000001</v>
      </c>
      <c r="R1739" s="33">
        <f>IF(ISBLANK(Q1740),"",Long3[[#This Row],[Adj Close]]/Q1740-1)</f>
        <v>-2.102126893114975E-2</v>
      </c>
      <c r="AK1739" s="37">
        <v>32923</v>
      </c>
      <c r="AL1739" s="39">
        <v>0.17500499999999999</v>
      </c>
      <c r="AM1739" s="36">
        <f>IF(ISBLANK(AL1740),"",Short1[[#This Row],[Adj Close]]/AL1740-1)</f>
        <v>1.6950629910278403E-2</v>
      </c>
      <c r="AN1739" s="29">
        <v>32923</v>
      </c>
      <c r="AO1739" s="44">
        <v>0.82460699999999998</v>
      </c>
      <c r="AP1739" s="33">
        <f>IF(ISBLANK(AO1740),"",Short2[[#This Row],[Adj Close]]/AO1740-1)</f>
        <v>6.7564185365649454E-3</v>
      </c>
    </row>
    <row r="1740" spans="1:42" x14ac:dyDescent="0.25">
      <c r="A1740" s="37">
        <v>32916</v>
      </c>
      <c r="B1740" s="39">
        <v>332.72000100000002</v>
      </c>
      <c r="C1740" s="36">
        <f>IF(ISBLANK(B1741), "", GSPC[[#This Row],[Adj Close]]/B1741-1)</f>
        <v>-2.6976620511010019E-3</v>
      </c>
      <c r="D174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4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40" s="11" t="e">
        <f>IF(ISBLANK(GSPC[[#This Row],[Long Exp.]]), "", (GSPC[[#This Row],[Long Exp.]]/D1741-1)+(E1741/GSPC[[#This Row],[Short Exp.]]-1))</f>
        <v>#VALUE!</v>
      </c>
      <c r="G1740" s="37">
        <v>32916</v>
      </c>
      <c r="H1740">
        <v>2.5397829999999999</v>
      </c>
      <c r="I1740" s="36">
        <f>IF(ISBLANK(H1741), "", Long0[[#This Row],[Adj Close]]/H1741-1)</f>
        <v>-2.2987904403123482E-2</v>
      </c>
      <c r="M1740" s="37">
        <v>32916</v>
      </c>
      <c r="N1740">
        <v>12.276896000000001</v>
      </c>
      <c r="O1740" s="36">
        <f>IF(ISBLANK(N1741),"",Long2[[#This Row],[Adj Close]]/N1741-1)</f>
        <v>-9.9663851830299466E-3</v>
      </c>
      <c r="P1740" s="29">
        <v>32916</v>
      </c>
      <c r="Q1740">
        <v>1.7321979999999999</v>
      </c>
      <c r="R1740" s="33">
        <f>IF(ISBLANK(Q1741),"",Long3[[#This Row],[Adj Close]]/Q1741-1)</f>
        <v>0</v>
      </c>
      <c r="AK1740" s="37">
        <v>32916</v>
      </c>
      <c r="AL1740" s="39">
        <v>0.17208799999999999</v>
      </c>
      <c r="AM1740" s="36">
        <f>IF(ISBLANK(AL1741),"",Short1[[#This Row],[Adj Close]]/AL1741-1)</f>
        <v>-4.8385848107145635E-2</v>
      </c>
      <c r="AN1740" s="29">
        <v>32916</v>
      </c>
      <c r="AO1740" s="44">
        <v>0.81907300000000005</v>
      </c>
      <c r="AP1740" s="33">
        <f>IF(ISBLANK(AO1741),"",Short2[[#This Row],[Adj Close]]/AO1741-1)</f>
        <v>0</v>
      </c>
    </row>
    <row r="1741" spans="1:42" x14ac:dyDescent="0.25">
      <c r="A1741" s="37">
        <v>32909</v>
      </c>
      <c r="B1741" s="39">
        <v>333.61999500000002</v>
      </c>
      <c r="C1741" s="36">
        <f>IF(ISBLANK(B1742), "", GSPC[[#This Row],[Adj Close]]/B1742-1)</f>
        <v>8.1590169646224009E-3</v>
      </c>
      <c r="D174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4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41" s="11" t="e">
        <f>IF(ISBLANK(GSPC[[#This Row],[Long Exp.]]), "", (GSPC[[#This Row],[Long Exp.]]/D1742-1)+(E1742/GSPC[[#This Row],[Short Exp.]]-1))</f>
        <v>#VALUE!</v>
      </c>
      <c r="G1741" s="37">
        <v>32909</v>
      </c>
      <c r="H1741">
        <v>2.5995409999999999</v>
      </c>
      <c r="I1741" s="36">
        <f>IF(ISBLANK(H1742), "", Long0[[#This Row],[Adj Close]]/H1742-1)</f>
        <v>8.7498875704122847E-2</v>
      </c>
      <c r="M1741" s="37">
        <v>32909</v>
      </c>
      <c r="N1741">
        <v>12.400484000000001</v>
      </c>
      <c r="O1741" s="36">
        <f>IF(ISBLANK(N1742),"",Long2[[#This Row],[Adj Close]]/N1742-1)</f>
        <v>9.4546019450382879E-2</v>
      </c>
      <c r="P1741" s="29">
        <v>32909</v>
      </c>
      <c r="Q1741">
        <v>1.7321979999999999</v>
      </c>
      <c r="R1741" s="33">
        <f>IF(ISBLANK(Q1742),"",Long3[[#This Row],[Adj Close]]/Q1742-1)</f>
        <v>0</v>
      </c>
      <c r="AK1741" s="37">
        <v>32909</v>
      </c>
      <c r="AL1741" s="39">
        <v>0.180838</v>
      </c>
      <c r="AM1741" s="36">
        <f>IF(ISBLANK(AL1742),"",Short1[[#This Row],[Adj Close]]/AL1742-1)</f>
        <v>8.7714655198339875E-2</v>
      </c>
      <c r="AN1741" s="29">
        <v>32909</v>
      </c>
      <c r="AO1741" s="44">
        <v>0.81907300000000005</v>
      </c>
      <c r="AP1741" s="33">
        <f>IF(ISBLANK(AO1742),"",Short2[[#This Row],[Adj Close]]/AO1742-1)</f>
        <v>1.6952666872770639E-2</v>
      </c>
    </row>
    <row r="1742" spans="1:42" x14ac:dyDescent="0.25">
      <c r="A1742" s="37">
        <v>32902</v>
      </c>
      <c r="B1742" s="39">
        <v>330.92001299999998</v>
      </c>
      <c r="C1742" s="36">
        <f>IF(ISBLANK(B1743), "", GSPC[[#This Row],[Adj Close]]/B1743-1)</f>
        <v>1.571523998951152E-2</v>
      </c>
      <c r="D174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4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42" s="11" t="e">
        <f>IF(ISBLANK(GSPC[[#This Row],[Long Exp.]]), "", (GSPC[[#This Row],[Long Exp.]]/D1743-1)+(E1743/GSPC[[#This Row],[Short Exp.]]-1))</f>
        <v>#VALUE!</v>
      </c>
      <c r="G1742" s="37">
        <v>32902</v>
      </c>
      <c r="H1742">
        <v>2.3903850000000002</v>
      </c>
      <c r="I1742" s="36">
        <f>IF(ISBLANK(H1743), "", Long0[[#This Row],[Adj Close]]/H1743-1)</f>
        <v>-6.4327130573451519E-2</v>
      </c>
      <c r="M1742" s="37">
        <v>32902</v>
      </c>
      <c r="N1742">
        <v>11.32934</v>
      </c>
      <c r="O1742" s="36">
        <f>IF(ISBLANK(N1743),"",Long2[[#This Row],[Adj Close]]/N1743-1)</f>
        <v>3.6494038657370886E-3</v>
      </c>
      <c r="P1742" s="29">
        <v>32902</v>
      </c>
      <c r="Q1742">
        <v>1.7321979999999999</v>
      </c>
      <c r="R1742" s="33">
        <f>IF(ISBLANK(Q1743),"",Long3[[#This Row],[Adj Close]]/Q1743-1)</f>
        <v>2.7777069069760296E-2</v>
      </c>
      <c r="AK1742" s="37">
        <v>32902</v>
      </c>
      <c r="AL1742" s="39">
        <v>0.16625499999999999</v>
      </c>
      <c r="AM1742" s="36">
        <f>IF(ISBLANK(AL1743),"",Short1[[#This Row],[Adj Close]]/AL1743-1)</f>
        <v>3.636680983163032E-2</v>
      </c>
      <c r="AN1742" s="29">
        <v>32902</v>
      </c>
      <c r="AO1742" s="44">
        <v>0.805419</v>
      </c>
      <c r="AP1742" s="33">
        <f>IF(ISBLANK(AO1743),"",Short2[[#This Row],[Adj Close]]/AO1743-1)</f>
        <v>-3.94732134551673E-2</v>
      </c>
    </row>
    <row r="1743" spans="1:42" x14ac:dyDescent="0.25">
      <c r="A1743" s="37">
        <v>32895</v>
      </c>
      <c r="B1743" s="39">
        <v>325.79998799999998</v>
      </c>
      <c r="C1743" s="36">
        <f>IF(ISBLANK(B1744), "", GSPC[[#This Row],[Adj Close]]/B1744-1)</f>
        <v>-3.936313205419073E-2</v>
      </c>
      <c r="D174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4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43" s="11" t="e">
        <f>IF(ISBLANK(GSPC[[#This Row],[Long Exp.]]), "", (GSPC[[#This Row],[Long Exp.]]/D1744-1)+(E1744/GSPC[[#This Row],[Short Exp.]]-1))</f>
        <v>#VALUE!</v>
      </c>
      <c r="G1743" s="37">
        <v>32895</v>
      </c>
      <c r="H1743">
        <v>2.5547230000000001</v>
      </c>
      <c r="I1743" s="36">
        <f>IF(ISBLANK(H1744), "", Long0[[#This Row],[Adj Close]]/H1744-1)</f>
        <v>4.2683222979230218E-2</v>
      </c>
      <c r="M1743" s="37">
        <v>32895</v>
      </c>
      <c r="N1743">
        <v>11.288145</v>
      </c>
      <c r="O1743" s="36">
        <f>IF(ISBLANK(N1744),"",Long2[[#This Row],[Adj Close]]/N1744-1)</f>
        <v>-7.2467069297652564E-3</v>
      </c>
      <c r="P1743" s="29">
        <v>32895</v>
      </c>
      <c r="Q1743">
        <v>1.6853830000000001</v>
      </c>
      <c r="R1743" s="33">
        <f>IF(ISBLANK(Q1744),"",Long3[[#This Row],[Adj Close]]/Q1744-1)</f>
        <v>-3.0764516877008763E-3</v>
      </c>
      <c r="AK1743" s="37">
        <v>32895</v>
      </c>
      <c r="AL1743" s="39">
        <v>0.16042100000000001</v>
      </c>
      <c r="AM1743" s="36">
        <f>IF(ISBLANK(AL1744),"",Short1[[#This Row],[Adj Close]]/AL1744-1)</f>
        <v>5.7690659387753751E-2</v>
      </c>
      <c r="AN1743" s="29">
        <v>32895</v>
      </c>
      <c r="AO1743" s="44">
        <v>0.83851799999999999</v>
      </c>
      <c r="AP1743" s="33">
        <f>IF(ISBLANK(AO1744),"",Short2[[#This Row],[Adj Close]]/AO1744-1)</f>
        <v>-1.2986860117873977E-2</v>
      </c>
    </row>
    <row r="1744" spans="1:42" x14ac:dyDescent="0.25">
      <c r="A1744" s="37">
        <v>32888</v>
      </c>
      <c r="B1744" s="39">
        <v>339.14999399999999</v>
      </c>
      <c r="C1744" s="36">
        <f>IF(ISBLANK(B1745), "", GSPC[[#This Row],[Adj Close]]/B1745-1)</f>
        <v>-2.2945871681291363E-3</v>
      </c>
      <c r="D174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4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44" s="11" t="e">
        <f>IF(ISBLANK(GSPC[[#This Row],[Long Exp.]]), "", (GSPC[[#This Row],[Long Exp.]]/D1745-1)+(E1745/GSPC[[#This Row],[Short Exp.]]-1))</f>
        <v>#VALUE!</v>
      </c>
      <c r="G1744" s="37">
        <v>32888</v>
      </c>
      <c r="H1744">
        <v>2.4501430000000002</v>
      </c>
      <c r="I1744" s="36">
        <f>IF(ISBLANK(H1745), "", Long0[[#This Row],[Adj Close]]/H1745-1)</f>
        <v>-5.2023096786274925E-2</v>
      </c>
      <c r="M1744" s="37">
        <v>32888</v>
      </c>
      <c r="N1744">
        <v>11.370544000000001</v>
      </c>
      <c r="O1744" s="36">
        <f>IF(ISBLANK(N1745),"",Long2[[#This Row],[Adj Close]]/N1745-1)</f>
        <v>3.7594247056982333E-2</v>
      </c>
      <c r="P1744" s="29">
        <v>32888</v>
      </c>
      <c r="Q1744">
        <v>1.6905840000000001</v>
      </c>
      <c r="R1744" s="33">
        <f>IF(ISBLANK(Q1745),"",Long3[[#This Row],[Adj Close]]/Q1745-1)</f>
        <v>-2.6946011281224758E-2</v>
      </c>
      <c r="AK1744" s="37">
        <v>32888</v>
      </c>
      <c r="AL1744" s="39">
        <v>0.151671</v>
      </c>
      <c r="AM1744" s="36">
        <f>IF(ISBLANK(AL1745),"",Short1[[#This Row],[Adj Close]]/AL1745-1)</f>
        <v>8.3333333333333481E-2</v>
      </c>
      <c r="AN1744" s="29">
        <v>32888</v>
      </c>
      <c r="AO1744" s="44">
        <v>0.84955099999999995</v>
      </c>
      <c r="AP1744" s="33">
        <f>IF(ISBLANK(AO1745),"",Short2[[#This Row],[Adj Close]]/AO1745-1)</f>
        <v>-2.5317283488867859E-2</v>
      </c>
    </row>
    <row r="1745" spans="1:42" x14ac:dyDescent="0.25">
      <c r="A1745" s="37">
        <v>32881</v>
      </c>
      <c r="B1745" s="39">
        <v>339.92999300000002</v>
      </c>
      <c r="C1745" s="36">
        <f>IF(ISBLANK(B1746), "", GSPC[[#This Row],[Adj Close]]/B1746-1)</f>
        <v>-3.4838212895915488E-2</v>
      </c>
      <c r="D174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4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45" s="11" t="e">
        <f>IF(ISBLANK(GSPC[[#This Row],[Long Exp.]]), "", (GSPC[[#This Row],[Long Exp.]]/D1746-1)+(E1746/GSPC[[#This Row],[Short Exp.]]-1))</f>
        <v>#VALUE!</v>
      </c>
      <c r="G1745" s="37">
        <v>32881</v>
      </c>
      <c r="H1745">
        <v>2.5846019999999998</v>
      </c>
      <c r="I1745" s="36">
        <f>IF(ISBLANK(H1746), "", Long0[[#This Row],[Adj Close]]/H1746-1)</f>
        <v>-4.4198835776949497E-2</v>
      </c>
      <c r="M1745" s="37">
        <v>32881</v>
      </c>
      <c r="N1745">
        <v>10.958565</v>
      </c>
      <c r="O1745" s="36">
        <f>IF(ISBLANK(N1746),"",Long2[[#This Row],[Adj Close]]/N1746-1)</f>
        <v>-5.3381012551945606E-2</v>
      </c>
      <c r="P1745" s="29">
        <v>32881</v>
      </c>
      <c r="Q1745">
        <v>1.7374000000000001</v>
      </c>
      <c r="R1745" s="33">
        <f>IF(ISBLANK(Q1746),"",Long3[[#This Row],[Adj Close]]/Q1746-1)</f>
        <v>-1.4749272573747807E-2</v>
      </c>
      <c r="AK1745" s="37">
        <v>32881</v>
      </c>
      <c r="AL1745" s="39">
        <v>0.14000399999999999</v>
      </c>
      <c r="AM1745" s="36">
        <f>IF(ISBLANK(AL1746),"",Short1[[#This Row],[Adj Close]]/AL1746-1)</f>
        <v>-0.12727136721501564</v>
      </c>
      <c r="AN1745" s="29">
        <v>32881</v>
      </c>
      <c r="AO1745" s="44">
        <v>0.871618</v>
      </c>
      <c r="AP1745" s="33">
        <f>IF(ISBLANK(AO1746),"",Short2[[#This Row],[Adj Close]]/AO1746-1)</f>
        <v>6.3699268330137393E-3</v>
      </c>
    </row>
    <row r="1746" spans="1:42" x14ac:dyDescent="0.25">
      <c r="A1746" s="37">
        <v>32874</v>
      </c>
      <c r="B1746" s="39">
        <v>352.20001200000002</v>
      </c>
      <c r="C1746" s="36">
        <f>IF(ISBLANK(B1747), "", GSPC[[#This Row],[Adj Close]]/B1747-1)</f>
        <v>-3.3955348624028492E-3</v>
      </c>
      <c r="D174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4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46" s="11" t="e">
        <f>IF(ISBLANK(GSPC[[#This Row],[Long Exp.]]), "", (GSPC[[#This Row],[Long Exp.]]/D1747-1)+(E1747/GSPC[[#This Row],[Short Exp.]]-1))</f>
        <v>#VALUE!</v>
      </c>
      <c r="G1746" s="37">
        <v>32874</v>
      </c>
      <c r="H1746">
        <v>2.7041210000000002</v>
      </c>
      <c r="I1746" s="36">
        <f>IF(ISBLANK(H1747), "", Long0[[#This Row],[Adj Close]]/H1747-1)</f>
        <v>-6.7010426658018041E-2</v>
      </c>
      <c r="M1746" s="37">
        <v>32874</v>
      </c>
      <c r="N1746">
        <v>11.576532</v>
      </c>
      <c r="O1746" s="36">
        <f>IF(ISBLANK(N1747),"",Long2[[#This Row],[Adj Close]]/N1747-1)</f>
        <v>4.0740286907835488E-2</v>
      </c>
      <c r="P1746" s="29">
        <v>32874</v>
      </c>
      <c r="Q1746">
        <v>1.763409</v>
      </c>
      <c r="R1746" s="33">
        <f>IF(ISBLANK(Q1747),"",Long3[[#This Row],[Adj Close]]/Q1747-1)</f>
        <v>-1.1662258570566242E-2</v>
      </c>
      <c r="AK1746" s="37">
        <v>32874</v>
      </c>
      <c r="AL1746" s="39">
        <v>0.16042100000000001</v>
      </c>
      <c r="AM1746" s="36">
        <f>IF(ISBLANK(AL1747),"",Short1[[#This Row],[Adj Close]]/AL1747-1)</f>
        <v>0.14583154767006667</v>
      </c>
      <c r="AN1746" s="29">
        <v>32874</v>
      </c>
      <c r="AO1746" s="44">
        <v>0.86610100000000001</v>
      </c>
      <c r="AP1746" s="33">
        <f>IF(ISBLANK(AO1747),"",Short2[[#This Row],[Adj Close]]/AO1747-1)</f>
        <v>6.4107629237819541E-3</v>
      </c>
    </row>
    <row r="1747" spans="1:42" x14ac:dyDescent="0.25">
      <c r="A1747" s="37">
        <v>32867</v>
      </c>
      <c r="B1747" s="39">
        <v>353.39999399999999</v>
      </c>
      <c r="C1747" s="36">
        <f>IF(ISBLANK(B1748), "", GSPC[[#This Row],[Adj Close]]/B1748-1)</f>
        <v>1.7212540372566254E-2</v>
      </c>
      <c r="D174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4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47" s="11" t="e">
        <f>IF(ISBLANK(GSPC[[#This Row],[Long Exp.]]), "", (GSPC[[#This Row],[Long Exp.]]/D1748-1)+(E1748/GSPC[[#This Row],[Short Exp.]]-1))</f>
        <v>#VALUE!</v>
      </c>
      <c r="G1747" s="37">
        <v>32867</v>
      </c>
      <c r="H1747">
        <v>2.8983400000000001</v>
      </c>
      <c r="I1747" s="36">
        <f>IF(ISBLANK(H1748), "", Long0[[#This Row],[Adj Close]]/H1748-1)</f>
        <v>2.0983510881242839E-3</v>
      </c>
      <c r="M1747" s="37">
        <v>32867</v>
      </c>
      <c r="N1747">
        <v>11.123362999999999</v>
      </c>
      <c r="O1747" s="36">
        <f>IF(ISBLANK(N1748),"",Long2[[#This Row],[Adj Close]]/N1748-1)</f>
        <v>5.4687502963041368E-2</v>
      </c>
      <c r="P1747" s="29">
        <v>32867</v>
      </c>
      <c r="Q1747">
        <v>1.7842169999999999</v>
      </c>
      <c r="R1747" s="33">
        <f>IF(ISBLANK(Q1748),"",Long3[[#This Row],[Adj Close]]/Q1748-1)</f>
        <v>5.865330787405254E-3</v>
      </c>
      <c r="AK1747" s="37">
        <v>32867</v>
      </c>
      <c r="AL1747" s="39">
        <v>0.14000399999999999</v>
      </c>
      <c r="AM1747" s="36">
        <f>IF(ISBLANK(AL1748),"",Short1[[#This Row],[Adj Close]]/AL1748-1)</f>
        <v>-3.9996708654182478E-2</v>
      </c>
      <c r="AN1747" s="29">
        <v>32867</v>
      </c>
      <c r="AO1747" s="44">
        <v>0.86058400000000002</v>
      </c>
      <c r="AP1747" s="33">
        <f>IF(ISBLANK(AO1748),"",Short2[[#This Row],[Adj Close]]/AO1748-1)</f>
        <v>-6.3699268330137393E-3</v>
      </c>
    </row>
    <row r="1748" spans="1:42" x14ac:dyDescent="0.25">
      <c r="A1748" s="37">
        <v>32860</v>
      </c>
      <c r="B1748" s="39">
        <v>347.42001299999998</v>
      </c>
      <c r="C1748" s="36">
        <f>IF(ISBLANK(B1749), "", GSPC[[#This Row],[Adj Close]]/B1749-1)</f>
        <v>-7.7683266221372227E-3</v>
      </c>
      <c r="D174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4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48" s="11" t="e">
        <f>IF(ISBLANK(GSPC[[#This Row],[Long Exp.]]), "", (GSPC[[#This Row],[Long Exp.]]/D1749-1)+(E1749/GSPC[[#This Row],[Short Exp.]]-1))</f>
        <v>#VALUE!</v>
      </c>
      <c r="G1748" s="37">
        <v>32860</v>
      </c>
      <c r="H1748">
        <v>2.892271</v>
      </c>
      <c r="I1748" s="36">
        <f>IF(ISBLANK(H1749), "", Long0[[#This Row],[Adj Close]]/H1749-1)</f>
        <v>4.8648830913243346E-2</v>
      </c>
      <c r="M1748" s="37">
        <v>32860</v>
      </c>
      <c r="N1748">
        <v>10.546595999999999</v>
      </c>
      <c r="O1748" s="36">
        <f>IF(ISBLANK(N1749),"",Long2[[#This Row],[Adj Close]]/N1749-1)</f>
        <v>1.6417305449388797E-2</v>
      </c>
      <c r="P1748" s="29">
        <v>32860</v>
      </c>
      <c r="Q1748">
        <v>1.7738130000000001</v>
      </c>
      <c r="R1748" s="33">
        <f>IF(ISBLANK(Q1749),"",Long3[[#This Row],[Adj Close]]/Q1749-1)</f>
        <v>8.8755141598719778E-3</v>
      </c>
      <c r="AK1748" s="37">
        <v>32860</v>
      </c>
      <c r="AL1748" s="39">
        <v>0.14583699999999999</v>
      </c>
      <c r="AM1748" s="36">
        <f>IF(ISBLANK(AL1749),"",Short1[[#This Row],[Adj Close]]/AL1749-1)</f>
        <v>0</v>
      </c>
      <c r="AN1748" s="29">
        <v>32860</v>
      </c>
      <c r="AO1748" s="44">
        <v>0.86610100000000001</v>
      </c>
      <c r="AP1748" s="33">
        <f>IF(ISBLANK(AO1749),"",Short2[[#This Row],[Adj Close]]/AO1749-1)</f>
        <v>-6.5476961190525595E-2</v>
      </c>
    </row>
    <row r="1749" spans="1:42" x14ac:dyDescent="0.25">
      <c r="A1749" s="37">
        <v>32853</v>
      </c>
      <c r="B1749" s="39">
        <v>350.14001500000001</v>
      </c>
      <c r="C1749" s="36">
        <f>IF(ISBLANK(B1750), "", GSPC[[#This Row],[Adj Close]]/B1750-1)</f>
        <v>4.1584587790963745E-3</v>
      </c>
      <c r="D174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4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49" s="11" t="e">
        <f>IF(ISBLANK(GSPC[[#This Row],[Long Exp.]]), "", (GSPC[[#This Row],[Long Exp.]]/D1750-1)+(E1750/GSPC[[#This Row],[Short Exp.]]-1))</f>
        <v>#VALUE!</v>
      </c>
      <c r="G1749" s="37">
        <v>32853</v>
      </c>
      <c r="H1749">
        <v>2.7580930000000001</v>
      </c>
      <c r="I1749" s="36">
        <f>IF(ISBLANK(H1750), "", Long0[[#This Row],[Adj Close]]/H1750-1)</f>
        <v>-3.6458240537049824E-2</v>
      </c>
      <c r="M1749" s="37">
        <v>32853</v>
      </c>
      <c r="N1749">
        <v>10.376246</v>
      </c>
      <c r="O1749" s="36">
        <f>IF(ISBLANK(N1750),"",Long2[[#This Row],[Adj Close]]/N1750-1)</f>
        <v>-1.1673614282768474E-2</v>
      </c>
      <c r="P1749" s="29">
        <v>32853</v>
      </c>
      <c r="Q1749">
        <v>1.758208</v>
      </c>
      <c r="R1749" s="33">
        <f>IF(ISBLANK(Q1750),"",Long3[[#This Row],[Adj Close]]/Q1750-1)</f>
        <v>2.9292734743769699E-2</v>
      </c>
      <c r="AK1749" s="37">
        <v>32853</v>
      </c>
      <c r="AL1749" s="39">
        <v>0.14583699999999999</v>
      </c>
      <c r="AM1749" s="36">
        <f>IF(ISBLANK(AL1750),"",Short1[[#This Row],[Adj Close]]/AL1750-1)</f>
        <v>-7.4074309223892798E-2</v>
      </c>
      <c r="AN1749" s="29">
        <v>32853</v>
      </c>
      <c r="AO1749" s="44">
        <v>0.92678400000000005</v>
      </c>
      <c r="AP1749" s="33">
        <f>IF(ISBLANK(AO1750),"",Short2[[#This Row],[Adj Close]]/AO1750-1)</f>
        <v>-2.8900861933472077E-2</v>
      </c>
    </row>
    <row r="1750" spans="1:42" x14ac:dyDescent="0.25">
      <c r="A1750" s="37">
        <v>32846</v>
      </c>
      <c r="B1750" s="39">
        <v>348.69000199999999</v>
      </c>
      <c r="C1750" s="36">
        <f>IF(ISBLANK(B1751), "", GSPC[[#This Row],[Adj Close]]/B1751-1)</f>
        <v>-5.532906403717508E-3</v>
      </c>
      <c r="D175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5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50" s="11" t="e">
        <f>IF(ISBLANK(GSPC[[#This Row],[Long Exp.]]), "", (GSPC[[#This Row],[Long Exp.]]/D1751-1)+(E1751/GSPC[[#This Row],[Short Exp.]]-1))</f>
        <v>#VALUE!</v>
      </c>
      <c r="G1750" s="37">
        <v>32846</v>
      </c>
      <c r="H1750">
        <v>2.8624529999999999</v>
      </c>
      <c r="I1750" s="36">
        <f>IF(ISBLANK(H1751), "", Long0[[#This Row],[Adj Close]]/H1751-1)</f>
        <v>7.8651875924170112E-2</v>
      </c>
      <c r="M1750" s="37">
        <v>32846</v>
      </c>
      <c r="N1750">
        <v>10.498805000000001</v>
      </c>
      <c r="O1750" s="36">
        <f>IF(ISBLANK(N1751),"",Long2[[#This Row],[Adj Close]]/N1751-1)</f>
        <v>-3.8761219766332289E-3</v>
      </c>
      <c r="P1750" s="29">
        <v>32846</v>
      </c>
      <c r="Q1750">
        <v>1.7081710000000001</v>
      </c>
      <c r="R1750" s="33">
        <f>IF(ISBLANK(Q1751),"",Long3[[#This Row],[Adj Close]]/Q1751-1)</f>
        <v>-1.7647224584885324E-2</v>
      </c>
      <c r="AK1750" s="37">
        <v>32846</v>
      </c>
      <c r="AL1750" s="39">
        <v>0.15750400000000001</v>
      </c>
      <c r="AM1750" s="36">
        <f>IF(ISBLANK(AL1751),"",Short1[[#This Row],[Adj Close]]/AL1751-1)</f>
        <v>-3.5717346851314447E-2</v>
      </c>
      <c r="AN1750" s="29">
        <v>32846</v>
      </c>
      <c r="AO1750" s="44">
        <v>0.95436600000000005</v>
      </c>
      <c r="AP1750" s="33">
        <f>IF(ISBLANK(AO1751),"",Short2[[#This Row],[Adj Close]]/AO1751-1)</f>
        <v>5.8133530062707273E-3</v>
      </c>
    </row>
    <row r="1751" spans="1:42" x14ac:dyDescent="0.25">
      <c r="A1751" s="37">
        <v>32839</v>
      </c>
      <c r="B1751" s="39">
        <v>350.63000499999998</v>
      </c>
      <c r="C1751" s="36">
        <f>IF(ISBLANK(B1752), "", GSPC[[#This Row],[Adj Close]]/B1752-1)</f>
        <v>1.9362165248823393E-2</v>
      </c>
      <c r="D175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5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51" s="11" t="e">
        <f>IF(ISBLANK(GSPC[[#This Row],[Long Exp.]]), "", (GSPC[[#This Row],[Long Exp.]]/D1752-1)+(E1752/GSPC[[#This Row],[Short Exp.]]-1))</f>
        <v>#VALUE!</v>
      </c>
      <c r="G1751" s="37">
        <v>32839</v>
      </c>
      <c r="H1751">
        <v>2.6537320000000002</v>
      </c>
      <c r="I1751" s="36">
        <f>IF(ISBLANK(H1752), "", Long0[[#This Row],[Adj Close]]/H1752-1)</f>
        <v>-3.2608822448658037E-2</v>
      </c>
      <c r="M1751" s="37">
        <v>32839</v>
      </c>
      <c r="N1751">
        <v>10.539657999999999</v>
      </c>
      <c r="O1751" s="36">
        <f>IF(ISBLANK(N1752),"",Long2[[#This Row],[Adj Close]]/N1752-1)</f>
        <v>1.9763147969724892E-2</v>
      </c>
      <c r="P1751" s="29">
        <v>32839</v>
      </c>
      <c r="Q1751">
        <v>1.7388570000000001</v>
      </c>
      <c r="R1751" s="33">
        <f>IF(ISBLANK(Q1752),"",Long3[[#This Row],[Adj Close]]/Q1752-1)</f>
        <v>1.7964243626662713E-2</v>
      </c>
      <c r="AK1751" s="37">
        <v>32839</v>
      </c>
      <c r="AL1751" s="39">
        <v>0.16333800000000001</v>
      </c>
      <c r="AM1751" s="36">
        <f>IF(ISBLANK(AL1752),"",Short1[[#This Row],[Adj Close]]/AL1752-1)</f>
        <v>3.7040329134498284E-2</v>
      </c>
      <c r="AN1751" s="29">
        <v>32839</v>
      </c>
      <c r="AO1751" s="44">
        <v>0.94884999999999997</v>
      </c>
      <c r="AP1751" s="33">
        <f>IF(ISBLANK(AO1752),"",Short2[[#This Row],[Adj Close]]/AO1752-1)</f>
        <v>1.176455534501919E-2</v>
      </c>
    </row>
    <row r="1752" spans="1:42" x14ac:dyDescent="0.25">
      <c r="A1752" s="37">
        <v>32832</v>
      </c>
      <c r="B1752" s="39">
        <v>343.97000100000002</v>
      </c>
      <c r="C1752" s="36">
        <f>IF(ISBLANK(B1753), "", GSPC[[#This Row],[Adj Close]]/B1753-1)</f>
        <v>6.9085100073993377E-3</v>
      </c>
      <c r="D175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5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52" s="11" t="e">
        <f>IF(ISBLANK(GSPC[[#This Row],[Long Exp.]]), "", (GSPC[[#This Row],[Long Exp.]]/D1753-1)+(E1753/GSPC[[#This Row],[Short Exp.]]-1))</f>
        <v>#VALUE!</v>
      </c>
      <c r="G1752" s="37">
        <v>32832</v>
      </c>
      <c r="H1752">
        <v>2.7431839999999998</v>
      </c>
      <c r="I1752" s="36">
        <f>IF(ISBLANK(H1753), "", Long0[[#This Row],[Adj Close]]/H1753-1)</f>
        <v>1.0989675181923397E-2</v>
      </c>
      <c r="M1752" s="37">
        <v>32832</v>
      </c>
      <c r="N1752">
        <v>10.335398</v>
      </c>
      <c r="O1752" s="36">
        <f>IF(ISBLANK(N1753),"",Long2[[#This Row],[Adj Close]]/N1753-1)</f>
        <v>-1.1718549046419335E-2</v>
      </c>
      <c r="P1752" s="29">
        <v>32832</v>
      </c>
      <c r="Q1752">
        <v>1.7081710000000001</v>
      </c>
      <c r="R1752" s="33">
        <f>IF(ISBLANK(Q1753),"",Long3[[#This Row],[Adj Close]]/Q1753-1)</f>
        <v>6.0243518329836654E-3</v>
      </c>
      <c r="AK1752" s="37">
        <v>32832</v>
      </c>
      <c r="AL1752" s="39">
        <v>0.15750400000000001</v>
      </c>
      <c r="AM1752" s="36">
        <f>IF(ISBLANK(AL1753),"",Short1[[#This Row],[Adj Close]]/AL1753-1)</f>
        <v>0</v>
      </c>
      <c r="AN1752" s="29">
        <v>32832</v>
      </c>
      <c r="AO1752" s="44">
        <v>0.93781700000000001</v>
      </c>
      <c r="AP1752" s="33">
        <f>IF(ISBLANK(AO1753),"",Short2[[#This Row],[Adj Close]]/AO1753-1)</f>
        <v>-5.8473518895235665E-3</v>
      </c>
    </row>
    <row r="1753" spans="1:42" x14ac:dyDescent="0.25">
      <c r="A1753" s="37">
        <v>32825</v>
      </c>
      <c r="B1753" s="39">
        <v>341.60998499999999</v>
      </c>
      <c r="C1753" s="36">
        <f>IF(ISBLANK(B1754), "", GSPC[[#This Row],[Adj Close]]/B1754-1)</f>
        <v>7.4018842689138609E-3</v>
      </c>
      <c r="D175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5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53" s="11" t="e">
        <f>IF(ISBLANK(GSPC[[#This Row],[Long Exp.]]), "", (GSPC[[#This Row],[Long Exp.]]/D1754-1)+(E1754/GSPC[[#This Row],[Short Exp.]]-1))</f>
        <v>#VALUE!</v>
      </c>
      <c r="G1753" s="37">
        <v>32825</v>
      </c>
      <c r="H1753">
        <v>2.713365</v>
      </c>
      <c r="I1753" s="36">
        <f>IF(ISBLANK(H1754), "", Long0[[#This Row],[Adj Close]]/H1754-1)</f>
        <v>5.5242660808505484E-3</v>
      </c>
      <c r="M1753" s="37">
        <v>32825</v>
      </c>
      <c r="N1753">
        <v>10.45795</v>
      </c>
      <c r="O1753" s="36">
        <f>IF(ISBLANK(N1754),"",Long2[[#This Row],[Adj Close]]/N1754-1)</f>
        <v>-7.7524337127446996E-3</v>
      </c>
      <c r="P1753" s="29">
        <v>32825</v>
      </c>
      <c r="Q1753">
        <v>1.6979420000000001</v>
      </c>
      <c r="R1753" s="33">
        <f>IF(ISBLANK(Q1754),"",Long3[[#This Row],[Adj Close]]/Q1754-1)</f>
        <v>3.0203877650962774E-3</v>
      </c>
      <c r="AK1753" s="37">
        <v>32825</v>
      </c>
      <c r="AL1753" s="39">
        <v>0.15750400000000001</v>
      </c>
      <c r="AM1753" s="36">
        <f>IF(ISBLANK(AL1754),"",Short1[[#This Row],[Adj Close]]/AL1754-1)</f>
        <v>-1.8183404915815271E-2</v>
      </c>
      <c r="AN1753" s="29">
        <v>32825</v>
      </c>
      <c r="AO1753" s="44">
        <v>0.94333299999999998</v>
      </c>
      <c r="AP1753" s="33">
        <f>IF(ISBLANK(AO1754),"",Short2[[#This Row],[Adj Close]]/AO1754-1)</f>
        <v>1.7856372142807775E-2</v>
      </c>
    </row>
    <row r="1754" spans="1:42" x14ac:dyDescent="0.25">
      <c r="A1754" s="37">
        <v>32818</v>
      </c>
      <c r="B1754" s="39">
        <v>339.10000600000001</v>
      </c>
      <c r="C1754" s="36">
        <f>IF(ISBLANK(B1755), "", GSPC[[#This Row],[Adj Close]]/B1755-1)</f>
        <v>4.3836592083357218E-3</v>
      </c>
      <c r="D175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5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54" s="11" t="e">
        <f>IF(ISBLANK(GSPC[[#This Row],[Long Exp.]]), "", (GSPC[[#This Row],[Long Exp.]]/D1755-1)+(E1755/GSPC[[#This Row],[Short Exp.]]-1))</f>
        <v>#VALUE!</v>
      </c>
      <c r="G1754" s="37">
        <v>32818</v>
      </c>
      <c r="H1754">
        <v>2.698458</v>
      </c>
      <c r="I1754" s="36">
        <f>IF(ISBLANK(H1755), "", Long0[[#This Row],[Adj Close]]/H1755-1)</f>
        <v>9.0360954085735301E-2</v>
      </c>
      <c r="M1754" s="37">
        <v>32818</v>
      </c>
      <c r="N1754">
        <v>10.539657999999999</v>
      </c>
      <c r="O1754" s="36">
        <f>IF(ISBLANK(N1755),"",Long2[[#This Row],[Adj Close]]/N1755-1)</f>
        <v>-2.2727243224377802E-2</v>
      </c>
      <c r="P1754" s="29">
        <v>32818</v>
      </c>
      <c r="Q1754">
        <v>1.6928289999999999</v>
      </c>
      <c r="R1754" s="33">
        <f>IF(ISBLANK(Q1755),"",Long3[[#This Row],[Adj Close]]/Q1755-1)</f>
        <v>6.079879995174009E-3</v>
      </c>
      <c r="AK1754" s="37">
        <v>32818</v>
      </c>
      <c r="AL1754" s="39">
        <v>0.16042100000000001</v>
      </c>
      <c r="AM1754" s="36">
        <f>IF(ISBLANK(AL1755),"",Short1[[#This Row],[Adj Close]]/AL1755-1)</f>
        <v>-3.5090673964692676E-2</v>
      </c>
      <c r="AN1754" s="29">
        <v>32818</v>
      </c>
      <c r="AO1754" s="44">
        <v>0.92678400000000005</v>
      </c>
      <c r="AP1754" s="33">
        <f>IF(ISBLANK(AO1755),"",Short2[[#This Row],[Adj Close]]/AO1755-1)</f>
        <v>2.8653791216877167E-3</v>
      </c>
    </row>
    <row r="1755" spans="1:42" x14ac:dyDescent="0.25">
      <c r="A1755" s="37">
        <v>32811</v>
      </c>
      <c r="B1755" s="39">
        <v>337.61999500000002</v>
      </c>
      <c r="C1755" s="36">
        <f>IF(ISBLANK(B1756), "", GSPC[[#This Row],[Adj Close]]/B1756-1)</f>
        <v>7.6404137028616148E-3</v>
      </c>
      <c r="D175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5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55" s="11" t="e">
        <f>IF(ISBLANK(GSPC[[#This Row],[Long Exp.]]), "", (GSPC[[#This Row],[Long Exp.]]/D1756-1)+(E1756/GSPC[[#This Row],[Short Exp.]]-1))</f>
        <v>#VALUE!</v>
      </c>
      <c r="G1755" s="37">
        <v>32811</v>
      </c>
      <c r="H1755">
        <v>2.4748299999999999</v>
      </c>
      <c r="I1755" s="36">
        <f>IF(ISBLANK(H1756), "", Long0[[#This Row],[Adj Close]]/H1756-1)</f>
        <v>0.20289843097246063</v>
      </c>
      <c r="M1755" s="37">
        <v>32811</v>
      </c>
      <c r="N1755">
        <v>10.784765999999999</v>
      </c>
      <c r="O1755" s="36">
        <f>IF(ISBLANK(N1756),"",Long2[[#This Row],[Adj Close]]/N1756-1)</f>
        <v>3.8027124203385831E-3</v>
      </c>
      <c r="P1755" s="29">
        <v>32811</v>
      </c>
      <c r="Q1755">
        <v>1.682599</v>
      </c>
      <c r="R1755" s="33">
        <f>IF(ISBLANK(Q1756),"",Long3[[#This Row],[Adj Close]]/Q1756-1)</f>
        <v>1.8575422207209202E-2</v>
      </c>
      <c r="AK1755" s="37">
        <v>32811</v>
      </c>
      <c r="AL1755" s="39">
        <v>0.16625499999999999</v>
      </c>
      <c r="AM1755" s="36">
        <f>IF(ISBLANK(AL1756),"",Short1[[#This Row],[Adj Close]]/AL1756-1)</f>
        <v>5.5560493701747093E-2</v>
      </c>
      <c r="AN1755" s="29">
        <v>32811</v>
      </c>
      <c r="AO1755" s="44">
        <v>0.92413599999999996</v>
      </c>
      <c r="AP1755" s="33">
        <f>IF(ISBLANK(AO1756),"",Short2[[#This Row],[Adj Close]]/AO1756-1)</f>
        <v>0</v>
      </c>
    </row>
    <row r="1756" spans="1:42" x14ac:dyDescent="0.25">
      <c r="A1756" s="37">
        <v>32804</v>
      </c>
      <c r="B1756" s="39">
        <v>335.05999800000001</v>
      </c>
      <c r="C1756" s="36">
        <f>IF(ISBLANK(B1757), "", GSPC[[#This Row],[Adj Close]]/B1757-1)</f>
        <v>-3.4854262762365917E-2</v>
      </c>
      <c r="D175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5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56" s="11" t="e">
        <f>IF(ISBLANK(GSPC[[#This Row],[Long Exp.]]), "", (GSPC[[#This Row],[Long Exp.]]/D1757-1)+(E1757/GSPC[[#This Row],[Short Exp.]]-1))</f>
        <v>#VALUE!</v>
      </c>
      <c r="G1756" s="37">
        <v>32804</v>
      </c>
      <c r="H1756">
        <v>2.0573890000000001</v>
      </c>
      <c r="I1756" s="36">
        <f>IF(ISBLANK(H1757), "", Long0[[#This Row],[Adj Close]]/H1757-1)</f>
        <v>-0.1153845823100047</v>
      </c>
      <c r="M1756" s="37">
        <v>32804</v>
      </c>
      <c r="N1756">
        <v>10.74391</v>
      </c>
      <c r="O1756" s="36">
        <f>IF(ISBLANK(N1757),"",Long2[[#This Row],[Adj Close]]/N1757-1)</f>
        <v>-7.5472855396470084E-3</v>
      </c>
      <c r="P1756" s="29">
        <v>32804</v>
      </c>
      <c r="Q1756">
        <v>1.6519140000000001</v>
      </c>
      <c r="R1756" s="33">
        <f>IF(ISBLANK(Q1757),"",Long3[[#This Row],[Adj Close]]/Q1757-1)</f>
        <v>-6.1535055368313607E-3</v>
      </c>
      <c r="AK1756" s="37">
        <v>32804</v>
      </c>
      <c r="AL1756" s="39">
        <v>0.15750400000000001</v>
      </c>
      <c r="AM1756" s="36">
        <f>IF(ISBLANK(AL1757),"",Short1[[#This Row],[Adj Close]]/AL1757-1)</f>
        <v>-1.8183404915815271E-2</v>
      </c>
      <c r="AN1756" s="29">
        <v>32804</v>
      </c>
      <c r="AO1756" s="44">
        <v>0.92413599999999996</v>
      </c>
      <c r="AP1756" s="33">
        <f>IF(ISBLANK(AO1757),"",Short2[[#This Row],[Adj Close]]/AO1757-1)</f>
        <v>5.9893276321145716E-3</v>
      </c>
    </row>
    <row r="1757" spans="1:42" x14ac:dyDescent="0.25">
      <c r="A1757" s="37">
        <v>32797</v>
      </c>
      <c r="B1757" s="39">
        <v>347.16000400000001</v>
      </c>
      <c r="C1757" s="36">
        <f>IF(ISBLANK(B1758), "", GSPC[[#This Row],[Adj Close]]/B1758-1)</f>
        <v>4.0491563743292103E-2</v>
      </c>
      <c r="D175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5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57" s="11" t="e">
        <f>IF(ISBLANK(GSPC[[#This Row],[Long Exp.]]), "", (GSPC[[#This Row],[Long Exp.]]/D1758-1)+(E1758/GSPC[[#This Row],[Short Exp.]]-1))</f>
        <v>#VALUE!</v>
      </c>
      <c r="G1757" s="37">
        <v>32797</v>
      </c>
      <c r="H1757">
        <v>2.3257439999999998</v>
      </c>
      <c r="I1757" s="36">
        <f>IF(ISBLANK(H1758), "", Long0[[#This Row],[Adj Close]]/H1758-1)</f>
        <v>9.859174888510891E-2</v>
      </c>
      <c r="M1757" s="37">
        <v>32797</v>
      </c>
      <c r="N1757">
        <v>10.825614</v>
      </c>
      <c r="O1757" s="36">
        <f>IF(ISBLANK(N1758),"",Long2[[#This Row],[Adj Close]]/N1758-1)</f>
        <v>-2.5735415546401019E-2</v>
      </c>
      <c r="P1757" s="29">
        <v>32797</v>
      </c>
      <c r="Q1757">
        <v>1.662142</v>
      </c>
      <c r="R1757" s="33">
        <f>IF(ISBLANK(Q1758),"",Long3[[#This Row],[Adj Close]]/Q1758-1)</f>
        <v>0</v>
      </c>
      <c r="AK1757" s="37">
        <v>32797</v>
      </c>
      <c r="AL1757" s="39">
        <v>0.16042100000000001</v>
      </c>
      <c r="AM1757" s="36">
        <f>IF(ISBLANK(AL1758),"",Short1[[#This Row],[Adj Close]]/AL1758-1)</f>
        <v>-8.3334761863946616E-2</v>
      </c>
      <c r="AN1757" s="29">
        <v>32797</v>
      </c>
      <c r="AO1757" s="44">
        <v>0.91863399999999995</v>
      </c>
      <c r="AP1757" s="33">
        <f>IF(ISBLANK(AO1758),"",Short2[[#This Row],[Adj Close]]/AO1758-1)</f>
        <v>-4.5714861511196858E-2</v>
      </c>
    </row>
    <row r="1758" spans="1:42" x14ac:dyDescent="0.25">
      <c r="A1758" s="37">
        <v>32790</v>
      </c>
      <c r="B1758" s="39">
        <v>333.64999399999999</v>
      </c>
      <c r="C1758" s="36">
        <f>IF(ISBLANK(B1759), "", GSPC[[#This Row],[Adj Close]]/B1759-1)</f>
        <v>-7.004293737121059E-2</v>
      </c>
      <c r="D175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5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58" s="11" t="e">
        <f>IF(ISBLANK(GSPC[[#This Row],[Long Exp.]]), "", (GSPC[[#This Row],[Long Exp.]]/D1759-1)+(E1759/GSPC[[#This Row],[Short Exp.]]-1))</f>
        <v>#VALUE!</v>
      </c>
      <c r="G1758" s="37">
        <v>32790</v>
      </c>
      <c r="H1758">
        <v>2.1170230000000001</v>
      </c>
      <c r="I1758" s="36">
        <f>IF(ISBLANK(H1759), "", Long0[[#This Row],[Adj Close]]/H1759-1)</f>
        <v>-4.6979312878199231E-2</v>
      </c>
      <c r="M1758" s="37">
        <v>32790</v>
      </c>
      <c r="N1758">
        <v>11.111575</v>
      </c>
      <c r="O1758" s="36">
        <f>IF(ISBLANK(N1759),"",Long2[[#This Row],[Adj Close]]/N1759-1)</f>
        <v>-4.8950943009937187E-2</v>
      </c>
      <c r="P1758" s="29">
        <v>32790</v>
      </c>
      <c r="Q1758">
        <v>1.662142</v>
      </c>
      <c r="R1758" s="33">
        <f>IF(ISBLANK(Q1759),"",Long3[[#This Row],[Adj Close]]/Q1759-1)</f>
        <v>3.0856430394399226E-3</v>
      </c>
      <c r="AK1758" s="37">
        <v>32790</v>
      </c>
      <c r="AL1758" s="39">
        <v>0.17500499999999999</v>
      </c>
      <c r="AM1758" s="36">
        <f>IF(ISBLANK(AL1759),"",Short1[[#This Row],[Adj Close]]/AL1759-1)</f>
        <v>-7.6924294130988669E-2</v>
      </c>
      <c r="AN1758" s="29">
        <v>32790</v>
      </c>
      <c r="AO1758" s="44">
        <v>0.96264099999999997</v>
      </c>
      <c r="AP1758" s="33">
        <f>IF(ISBLANK(AO1759),"",Short2[[#This Row],[Adj Close]]/AO1759-1)</f>
        <v>1.7441411885568581E-2</v>
      </c>
    </row>
    <row r="1759" spans="1:42" x14ac:dyDescent="0.25">
      <c r="A1759" s="37">
        <v>32783</v>
      </c>
      <c r="B1759" s="39">
        <v>358.77999899999998</v>
      </c>
      <c r="C1759" s="36">
        <f>IF(ISBLANK(B1760), "", GSPC[[#This Row],[Adj Close]]/B1760-1)</f>
        <v>2.7581283590112138E-2</v>
      </c>
      <c r="D175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5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59" s="11" t="e">
        <f>IF(ISBLANK(GSPC[[#This Row],[Long Exp.]]), "", (GSPC[[#This Row],[Long Exp.]]/D1760-1)+(E1760/GSPC[[#This Row],[Short Exp.]]-1))</f>
        <v>#VALUE!</v>
      </c>
      <c r="G1759" s="37">
        <v>32783</v>
      </c>
      <c r="H1759">
        <v>2.2213820000000002</v>
      </c>
      <c r="I1759" s="36">
        <f>IF(ISBLANK(H1760), "", Long0[[#This Row],[Adj Close]]/H1760-1)</f>
        <v>7.9709282007437654E-2</v>
      </c>
      <c r="M1759" s="37">
        <v>32783</v>
      </c>
      <c r="N1759">
        <v>11.683493</v>
      </c>
      <c r="O1759" s="36">
        <f>IF(ISBLANK(N1760),"",Long2[[#This Row],[Adj Close]]/N1760-1)</f>
        <v>-3.4841187676033503E-3</v>
      </c>
      <c r="P1759" s="29">
        <v>32783</v>
      </c>
      <c r="Q1759">
        <v>1.6570290000000001</v>
      </c>
      <c r="R1759" s="33">
        <f>IF(ISBLANK(Q1760),"",Long3[[#This Row],[Adj Close]]/Q1760-1)</f>
        <v>-9.1738017461436838E-3</v>
      </c>
      <c r="AK1759" s="37">
        <v>32783</v>
      </c>
      <c r="AL1759" s="39">
        <v>0.18958900000000001</v>
      </c>
      <c r="AM1759" s="36">
        <f>IF(ISBLANK(AL1760),"",Short1[[#This Row],[Adj Close]]/AL1760-1)</f>
        <v>0.41305060743832445</v>
      </c>
      <c r="AN1759" s="29">
        <v>32783</v>
      </c>
      <c r="AO1759" s="44">
        <v>0.94613899999999995</v>
      </c>
      <c r="AP1759" s="33">
        <f>IF(ISBLANK(AO1760),"",Short2[[#This Row],[Adj Close]]/AO1760-1)</f>
        <v>2.3809266168615784E-2</v>
      </c>
    </row>
    <row r="1760" spans="1:42" x14ac:dyDescent="0.25">
      <c r="A1760" s="37">
        <v>32776</v>
      </c>
      <c r="B1760" s="39">
        <v>349.14999399999999</v>
      </c>
      <c r="C1760" s="36">
        <f>IF(ISBLANK(B1761), "", GSPC[[#This Row],[Adj Close]]/B1761-1)</f>
        <v>6.0510187944453619E-3</v>
      </c>
      <c r="D176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6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60" s="11" t="e">
        <f>IF(ISBLANK(GSPC[[#This Row],[Long Exp.]]), "", (GSPC[[#This Row],[Long Exp.]]/D1761-1)+(E1761/GSPC[[#This Row],[Short Exp.]]-1))</f>
        <v>#VALUE!</v>
      </c>
      <c r="G1760" s="37">
        <v>32776</v>
      </c>
      <c r="H1760">
        <v>2.0573890000000001</v>
      </c>
      <c r="I1760" s="36">
        <f>IF(ISBLANK(H1761), "", Long0[[#This Row],[Adj Close]]/H1761-1)</f>
        <v>0.15966405974776299</v>
      </c>
      <c r="M1760" s="37">
        <v>32776</v>
      </c>
      <c r="N1760">
        <v>11.724342</v>
      </c>
      <c r="O1760" s="36">
        <f>IF(ISBLANK(N1761),"",Long2[[#This Row],[Adj Close]]/N1761-1)</f>
        <v>-3.0405622490956241E-2</v>
      </c>
      <c r="P1760" s="29">
        <v>32776</v>
      </c>
      <c r="Q1760">
        <v>1.6723710000000001</v>
      </c>
      <c r="R1760" s="33">
        <f>IF(ISBLANK(Q1761),"",Long3[[#This Row],[Adj Close]]/Q1761-1)</f>
        <v>1.5528306733244346E-2</v>
      </c>
      <c r="AK1760" s="37">
        <v>32776</v>
      </c>
      <c r="AL1760" s="39">
        <v>0.13417000000000001</v>
      </c>
      <c r="AM1760" s="36">
        <f>IF(ISBLANK(AL1761),"",Short1[[#This Row],[Adj Close]]/AL1761-1)</f>
        <v>-2.1278458205372996E-2</v>
      </c>
      <c r="AN1760" s="29">
        <v>32776</v>
      </c>
      <c r="AO1760" s="44">
        <v>0.92413599999999996</v>
      </c>
      <c r="AP1760" s="33">
        <f>IF(ISBLANK(AO1761),"",Short2[[#This Row],[Adj Close]]/AO1761-1)</f>
        <v>-4.5454075951668282E-2</v>
      </c>
    </row>
    <row r="1761" spans="1:42" x14ac:dyDescent="0.25">
      <c r="A1761" s="37">
        <v>32769</v>
      </c>
      <c r="B1761" s="39">
        <v>347.04998799999998</v>
      </c>
      <c r="C1761" s="36">
        <f>IF(ISBLANK(B1762), "", GSPC[[#This Row],[Adj Close]]/B1762-1)</f>
        <v>5.7670840188204231E-3</v>
      </c>
      <c r="D176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6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61" s="11" t="e">
        <f>IF(ISBLANK(GSPC[[#This Row],[Long Exp.]]), "", (GSPC[[#This Row],[Long Exp.]]/D1762-1)+(E1762/GSPC[[#This Row],[Short Exp.]]-1))</f>
        <v>#VALUE!</v>
      </c>
      <c r="G1761" s="37">
        <v>32769</v>
      </c>
      <c r="H1761">
        <v>1.774125</v>
      </c>
      <c r="I1761" s="36">
        <f>IF(ISBLANK(H1762), "", Long0[[#This Row],[Adj Close]]/H1762-1)</f>
        <v>1.7093884795575054E-2</v>
      </c>
      <c r="M1761" s="37">
        <v>32769</v>
      </c>
      <c r="N1761">
        <v>12.092007000000001</v>
      </c>
      <c r="O1761" s="36">
        <f>IF(ISBLANK(N1762),"",Long2[[#This Row],[Adj Close]]/N1762-1)</f>
        <v>-6.3418395747552037E-3</v>
      </c>
      <c r="P1761" s="29">
        <v>32769</v>
      </c>
      <c r="Q1761">
        <v>1.6467989999999999</v>
      </c>
      <c r="R1761" s="33">
        <f>IF(ISBLANK(Q1762),"",Long3[[#This Row],[Adj Close]]/Q1762-1)</f>
        <v>0</v>
      </c>
      <c r="AK1761" s="37">
        <v>32769</v>
      </c>
      <c r="AL1761" s="39">
        <v>0.13708699999999999</v>
      </c>
      <c r="AM1761" s="36">
        <f>IF(ISBLANK(AL1762),"",Short1[[#This Row],[Adj Close]]/AL1762-1)</f>
        <v>0</v>
      </c>
      <c r="AN1761" s="29">
        <v>32769</v>
      </c>
      <c r="AO1761" s="44">
        <v>0.96814199999999995</v>
      </c>
      <c r="AP1761" s="33">
        <f>IF(ISBLANK(AO1762),"",Short2[[#This Row],[Adj Close]]/AO1762-1)</f>
        <v>0</v>
      </c>
    </row>
    <row r="1762" spans="1:42" x14ac:dyDescent="0.25">
      <c r="A1762" s="37">
        <v>32762</v>
      </c>
      <c r="B1762" s="39">
        <v>345.05999800000001</v>
      </c>
      <c r="C1762" s="36">
        <f>IF(ISBLANK(B1763), "", GSPC[[#This Row],[Adj Close]]/B1763-1)</f>
        <v>-1.0609048898696849E-2</v>
      </c>
      <c r="D176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6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62" s="11" t="e">
        <f>IF(ISBLANK(GSPC[[#This Row],[Long Exp.]]), "", (GSPC[[#This Row],[Long Exp.]]/D1763-1)+(E1763/GSPC[[#This Row],[Short Exp.]]-1))</f>
        <v>#VALUE!</v>
      </c>
      <c r="G1762" s="37">
        <v>32762</v>
      </c>
      <c r="H1762">
        <v>1.744308</v>
      </c>
      <c r="I1762" s="36">
        <f>IF(ISBLANK(H1763), "", Long0[[#This Row],[Adj Close]]/H1763-1)</f>
        <v>1.7391167407702968E-2</v>
      </c>
      <c r="M1762" s="37">
        <v>32762</v>
      </c>
      <c r="N1762">
        <v>12.169181999999999</v>
      </c>
      <c r="O1762" s="36">
        <f>IF(ISBLANK(N1763),"",Long2[[#This Row],[Adj Close]]/N1763-1)</f>
        <v>-2.2801571299366996E-2</v>
      </c>
      <c r="P1762" s="29">
        <v>32762</v>
      </c>
      <c r="Q1762">
        <v>1.6467989999999999</v>
      </c>
      <c r="R1762" s="33">
        <f>IF(ISBLANK(Q1763),"",Long3[[#This Row],[Adj Close]]/Q1763-1)</f>
        <v>0</v>
      </c>
      <c r="AK1762" s="37">
        <v>32762</v>
      </c>
      <c r="AL1762" s="39">
        <v>0.13708699999999999</v>
      </c>
      <c r="AM1762" s="36">
        <f>IF(ISBLANK(AL1763),"",Short1[[#This Row],[Adj Close]]/AL1763-1)</f>
        <v>0</v>
      </c>
      <c r="AN1762" s="29">
        <v>32762</v>
      </c>
      <c r="AO1762" s="44">
        <v>0.96814199999999995</v>
      </c>
      <c r="AP1762" s="33">
        <f>IF(ISBLANK(AO1763),"",Short2[[#This Row],[Adj Close]]/AO1763-1)</f>
        <v>-2.2222985297117859E-2</v>
      </c>
    </row>
    <row r="1763" spans="1:42" x14ac:dyDescent="0.25">
      <c r="A1763" s="37">
        <v>32755</v>
      </c>
      <c r="B1763" s="39">
        <v>348.76001000000002</v>
      </c>
      <c r="C1763" s="36">
        <f>IF(ISBLANK(B1764), "", GSPC[[#This Row],[Adj Close]]/B1764-1)</f>
        <v>-1.4050266715989745E-2</v>
      </c>
      <c r="D176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6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63" s="11" t="e">
        <f>IF(ISBLANK(GSPC[[#This Row],[Long Exp.]]), "", (GSPC[[#This Row],[Long Exp.]]/D1764-1)+(E1764/GSPC[[#This Row],[Short Exp.]]-1))</f>
        <v>#VALUE!</v>
      </c>
      <c r="G1763" s="37">
        <v>32755</v>
      </c>
      <c r="H1763">
        <v>1.714491</v>
      </c>
      <c r="I1763" s="36">
        <f>IF(ISBLANK(H1764), "", Long0[[#This Row],[Adj Close]]/H1764-1)</f>
        <v>-5.7376364186161655E-2</v>
      </c>
      <c r="M1763" s="37">
        <v>32755</v>
      </c>
      <c r="N1763">
        <v>12.453132999999999</v>
      </c>
      <c r="O1763" s="36">
        <f>IF(ISBLANK(N1764),"",Long2[[#This Row],[Adj Close]]/N1764-1)</f>
        <v>-1.2861829876048225E-2</v>
      </c>
      <c r="P1763" s="29">
        <v>32755</v>
      </c>
      <c r="Q1763">
        <v>1.6467989999999999</v>
      </c>
      <c r="R1763" s="33">
        <f>IF(ISBLANK(Q1764),"",Long3[[#This Row],[Adj Close]]/Q1764-1)</f>
        <v>1.1520580230374833E-2</v>
      </c>
      <c r="AK1763" s="37">
        <v>32755</v>
      </c>
      <c r="AL1763" s="39">
        <v>0.13708699999999999</v>
      </c>
      <c r="AM1763" s="36">
        <f>IF(ISBLANK(AL1764),"",Short1[[#This Row],[Adj Close]]/AL1764-1)</f>
        <v>-2.0835118996600066E-2</v>
      </c>
      <c r="AN1763" s="29">
        <v>32755</v>
      </c>
      <c r="AO1763" s="44">
        <v>0.99014599999999997</v>
      </c>
      <c r="AP1763" s="33">
        <f>IF(ISBLANK(AO1764),"",Short2[[#This Row],[Adj Close]]/AO1764-1)</f>
        <v>1.6949744413506718E-2</v>
      </c>
    </row>
    <row r="1764" spans="1:42" x14ac:dyDescent="0.25">
      <c r="A1764" s="37">
        <v>32748</v>
      </c>
      <c r="B1764" s="39">
        <v>353.73001099999999</v>
      </c>
      <c r="C1764" s="36">
        <f>IF(ISBLANK(B1765), "", GSPC[[#This Row],[Adj Close]]/B1765-1)</f>
        <v>9.1578857147571746E-3</v>
      </c>
      <c r="D176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6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64" s="11" t="e">
        <f>IF(ISBLANK(GSPC[[#This Row],[Long Exp.]]), "", (GSPC[[#This Row],[Long Exp.]]/D1765-1)+(E1765/GSPC[[#This Row],[Short Exp.]]-1))</f>
        <v>#VALUE!</v>
      </c>
      <c r="G1764" s="37">
        <v>32748</v>
      </c>
      <c r="H1764">
        <v>1.8188500000000001</v>
      </c>
      <c r="I1764" s="36">
        <f>IF(ISBLANK(H1765), "", Long0[[#This Row],[Adj Close]]/H1765-1)</f>
        <v>0.27083353712132108</v>
      </c>
      <c r="M1764" s="37">
        <v>32748</v>
      </c>
      <c r="N1764">
        <v>12.61539</v>
      </c>
      <c r="O1764" s="36">
        <f>IF(ISBLANK(N1765),"",Long2[[#This Row],[Adj Close]]/N1765-1)</f>
        <v>1.6339805830717813E-2</v>
      </c>
      <c r="P1764" s="29">
        <v>32748</v>
      </c>
      <c r="Q1764">
        <v>1.6280429999999999</v>
      </c>
      <c r="R1764" s="33">
        <f>IF(ISBLANK(Q1765),"",Long3[[#This Row],[Adj Close]]/Q1765-1)</f>
        <v>-6.1345760799761395E-3</v>
      </c>
      <c r="AK1764" s="37">
        <v>32748</v>
      </c>
      <c r="AL1764" s="39">
        <v>0.14000399999999999</v>
      </c>
      <c r="AM1764" s="36">
        <f>IF(ISBLANK(AL1765),"",Short1[[#This Row],[Adj Close]]/AL1765-1)</f>
        <v>-2.0409876785077108E-2</v>
      </c>
      <c r="AN1764" s="29">
        <v>32748</v>
      </c>
      <c r="AO1764" s="44">
        <v>0.97364300000000004</v>
      </c>
      <c r="AP1764" s="33">
        <f>IF(ISBLANK(AO1765),"",Short2[[#This Row],[Adj Close]]/AO1765-1)</f>
        <v>5.6820177205409994E-3</v>
      </c>
    </row>
    <row r="1765" spans="1:42" x14ac:dyDescent="0.25">
      <c r="A1765" s="37">
        <v>32741</v>
      </c>
      <c r="B1765" s="39">
        <v>350.51998900000001</v>
      </c>
      <c r="C1765" s="36">
        <f>IF(ISBLANK(B1766), "", GSPC[[#This Row],[Adj Close]]/B1766-1)</f>
        <v>1.297572468565078E-2</v>
      </c>
      <c r="D176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6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65" s="11" t="e">
        <f>IF(ISBLANK(GSPC[[#This Row],[Long Exp.]]), "", (GSPC[[#This Row],[Long Exp.]]/D1766-1)+(E1766/GSPC[[#This Row],[Short Exp.]]-1))</f>
        <v>#VALUE!</v>
      </c>
      <c r="G1765" s="37">
        <v>32741</v>
      </c>
      <c r="H1765">
        <v>1.4312260000000001</v>
      </c>
      <c r="I1765" s="36">
        <f>IF(ISBLANK(H1766), "", Long0[[#This Row],[Adj Close]]/H1766-1)</f>
        <v>0.19999932924676922</v>
      </c>
      <c r="M1765" s="37">
        <v>32741</v>
      </c>
      <c r="N1765">
        <v>12.412571</v>
      </c>
      <c r="O1765" s="36">
        <f>IF(ISBLANK(N1766),"",Long2[[#This Row],[Adj Close]]/N1766-1)</f>
        <v>-1.2903003652377176E-2</v>
      </c>
      <c r="P1765" s="29">
        <v>32741</v>
      </c>
      <c r="Q1765">
        <v>1.6380920000000001</v>
      </c>
      <c r="R1765" s="33">
        <f>IF(ISBLANK(Q1766),"",Long3[[#This Row],[Adj Close]]/Q1766-1)</f>
        <v>3.076418128332703E-3</v>
      </c>
      <c r="AK1765" s="37">
        <v>32741</v>
      </c>
      <c r="AL1765" s="39">
        <v>0.14292099999999999</v>
      </c>
      <c r="AM1765" s="36">
        <f>IF(ISBLANK(AL1766),"",Short1[[#This Row],[Adj Close]]/AL1766-1)</f>
        <v>4.2556916410746437E-2</v>
      </c>
      <c r="AN1765" s="29">
        <v>32741</v>
      </c>
      <c r="AO1765" s="44">
        <v>0.96814199999999995</v>
      </c>
      <c r="AP1765" s="33">
        <f>IF(ISBLANK(AO1766),"",Short2[[#This Row],[Adj Close]]/AO1766-1)</f>
        <v>-1.1235335390234136E-2</v>
      </c>
    </row>
    <row r="1766" spans="1:42" x14ac:dyDescent="0.25">
      <c r="A1766" s="37">
        <v>32734</v>
      </c>
      <c r="B1766" s="39">
        <v>346.02999899999998</v>
      </c>
      <c r="C1766" s="36">
        <f>IF(ISBLANK(B1767), "", GSPC[[#This Row],[Adj Close]]/B1767-1)</f>
        <v>3.741976670591729E-3</v>
      </c>
      <c r="D176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6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66" s="11" t="e">
        <f>IF(ISBLANK(GSPC[[#This Row],[Long Exp.]]), "", (GSPC[[#This Row],[Long Exp.]]/D1767-1)+(E1767/GSPC[[#This Row],[Short Exp.]]-1))</f>
        <v>#VALUE!</v>
      </c>
      <c r="G1766" s="37">
        <v>32734</v>
      </c>
      <c r="H1766">
        <v>1.1926890000000001</v>
      </c>
      <c r="I1766" s="36">
        <f>IF(ISBLANK(H1767), "", Long0[[#This Row],[Adj Close]]/H1767-1)</f>
        <v>1.2658561021583026E-2</v>
      </c>
      <c r="M1766" s="37">
        <v>32734</v>
      </c>
      <c r="N1766">
        <v>12.574824</v>
      </c>
      <c r="O1766" s="36">
        <f>IF(ISBLANK(N1767),"",Long2[[#This Row],[Adj Close]]/N1767-1)</f>
        <v>1.3071667424903399E-2</v>
      </c>
      <c r="P1766" s="29">
        <v>32734</v>
      </c>
      <c r="Q1766">
        <v>1.633068</v>
      </c>
      <c r="R1766" s="33">
        <f>IF(ISBLANK(Q1767),"",Long3[[#This Row],[Adj Close]]/Q1767-1)</f>
        <v>-9.1466577839423024E-3</v>
      </c>
      <c r="AK1766" s="37">
        <v>32734</v>
      </c>
      <c r="AL1766" s="39">
        <v>0.13708699999999999</v>
      </c>
      <c r="AM1766" s="36">
        <f>IF(ISBLANK(AL1767),"",Short1[[#This Row],[Adj Close]]/AL1767-1)</f>
        <v>-7.8431504362907911E-2</v>
      </c>
      <c r="AN1766" s="29">
        <v>32734</v>
      </c>
      <c r="AO1766" s="44">
        <v>0.97914299999999999</v>
      </c>
      <c r="AP1766" s="33">
        <f>IF(ISBLANK(AO1767),"",Short2[[#This Row],[Adj Close]]/AO1767-1)</f>
        <v>2.298827757694788E-2</v>
      </c>
    </row>
    <row r="1767" spans="1:42" x14ac:dyDescent="0.25">
      <c r="A1767" s="37">
        <v>32727</v>
      </c>
      <c r="B1767" s="39">
        <v>344.73998999999998</v>
      </c>
      <c r="C1767" s="36">
        <f>IF(ISBLANK(B1768), "", GSPC[[#This Row],[Adj Close]]/B1768-1)</f>
        <v>2.3842084467471381E-3</v>
      </c>
      <c r="D176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6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67" s="11" t="e">
        <f>IF(ISBLANK(GSPC[[#This Row],[Long Exp.]]), "", (GSPC[[#This Row],[Long Exp.]]/D1768-1)+(E1768/GSPC[[#This Row],[Short Exp.]]-1))</f>
        <v>#VALUE!</v>
      </c>
      <c r="G1767" s="37">
        <v>32727</v>
      </c>
      <c r="H1767">
        <v>1.17778</v>
      </c>
      <c r="I1767" s="36">
        <f>IF(ISBLANK(H1768), "", Long0[[#This Row],[Adj Close]]/H1768-1)</f>
        <v>-5.9524531990123863E-2</v>
      </c>
      <c r="M1767" s="37">
        <v>32727</v>
      </c>
      <c r="N1767">
        <v>12.412571</v>
      </c>
      <c r="O1767" s="36">
        <f>IF(ISBLANK(N1768),"",Long2[[#This Row],[Adj Close]]/N1768-1)</f>
        <v>0</v>
      </c>
      <c r="P1767" s="29">
        <v>32727</v>
      </c>
      <c r="Q1767">
        <v>1.6481429999999999</v>
      </c>
      <c r="R1767" s="33">
        <f>IF(ISBLANK(Q1768),"",Long3[[#This Row],[Adj Close]]/Q1768-1)</f>
        <v>1.2346111251361203E-2</v>
      </c>
      <c r="AK1767" s="37">
        <v>32727</v>
      </c>
      <c r="AL1767" s="39">
        <v>0.148754</v>
      </c>
      <c r="AM1767" s="36">
        <f>IF(ISBLANK(AL1768),"",Short1[[#This Row],[Adj Close]]/AL1768-1)</f>
        <v>0</v>
      </c>
      <c r="AN1767" s="29">
        <v>32727</v>
      </c>
      <c r="AO1767" s="44">
        <v>0.95713999999999999</v>
      </c>
      <c r="AP1767" s="33">
        <f>IF(ISBLANK(AO1768),"",Short2[[#This Row],[Adj Close]]/AO1768-1)</f>
        <v>-3.0777674490194751E-2</v>
      </c>
    </row>
    <row r="1768" spans="1:42" x14ac:dyDescent="0.25">
      <c r="A1768" s="37">
        <v>32720</v>
      </c>
      <c r="B1768" s="39">
        <v>343.92001299999998</v>
      </c>
      <c r="C1768" s="36">
        <f>IF(ISBLANK(B1769), "", GSPC[[#This Row],[Adj Close]]/B1769-1)</f>
        <v>5.1732252843470494E-3</v>
      </c>
      <c r="D176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6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68" s="11" t="e">
        <f>IF(ISBLANK(GSPC[[#This Row],[Long Exp.]]), "", (GSPC[[#This Row],[Long Exp.]]/D1769-1)+(E1769/GSPC[[#This Row],[Short Exp.]]-1))</f>
        <v>#VALUE!</v>
      </c>
      <c r="G1768" s="37">
        <v>32720</v>
      </c>
      <c r="H1768">
        <v>1.252324</v>
      </c>
      <c r="I1768" s="36">
        <f>IF(ISBLANK(H1769), "", Long0[[#This Row],[Adj Close]]/H1769-1)</f>
        <v>9.0909724442338247E-2</v>
      </c>
      <c r="M1768" s="37">
        <v>32720</v>
      </c>
      <c r="N1768">
        <v>12.412571</v>
      </c>
      <c r="O1768" s="36">
        <f>IF(ISBLANK(N1769),"",Long2[[#This Row],[Adj Close]]/N1769-1)</f>
        <v>9.6774595443805733E-2</v>
      </c>
      <c r="P1768" s="29">
        <v>32720</v>
      </c>
      <c r="Q1768">
        <v>1.6280429999999999</v>
      </c>
      <c r="R1768" s="33">
        <f>IF(ISBLANK(Q1769),"",Long3[[#This Row],[Adj Close]]/Q1769-1)</f>
        <v>6.2120208258136245E-3</v>
      </c>
      <c r="AK1768" s="37">
        <v>32720</v>
      </c>
      <c r="AL1768" s="39">
        <v>0.148754</v>
      </c>
      <c r="AM1768" s="36">
        <f>IF(ISBLANK(AL1769),"",Short1[[#This Row],[Adj Close]]/AL1769-1)</f>
        <v>-7.27273860654154E-2</v>
      </c>
      <c r="AN1768" s="29">
        <v>32720</v>
      </c>
      <c r="AO1768" s="44">
        <v>0.98753400000000002</v>
      </c>
      <c r="AP1768" s="33">
        <f>IF(ISBLANK(AO1769),"",Short2[[#This Row],[Adj Close]]/AO1769-1)</f>
        <v>-1.6392560896899555E-2</v>
      </c>
    </row>
    <row r="1769" spans="1:42" x14ac:dyDescent="0.25">
      <c r="A1769" s="37">
        <v>32713</v>
      </c>
      <c r="B1769" s="39">
        <v>342.14999399999999</v>
      </c>
      <c r="C1769" s="36">
        <f>IF(ISBLANK(B1770), "", GSPC[[#This Row],[Adj Close]]/B1770-1)</f>
        <v>1.860672852527645E-2</v>
      </c>
      <c r="D176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6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69" s="11" t="e">
        <f>IF(ISBLANK(GSPC[[#This Row],[Long Exp.]]), "", (GSPC[[#This Row],[Long Exp.]]/D1770-1)+(E1770/GSPC[[#This Row],[Short Exp.]]-1))</f>
        <v>#VALUE!</v>
      </c>
      <c r="G1769" s="37">
        <v>32713</v>
      </c>
      <c r="H1769">
        <v>1.1479630000000001</v>
      </c>
      <c r="I1769" s="36">
        <f>IF(ISBLANK(H1770), "", Long0[[#This Row],[Adj Close]]/H1770-1)</f>
        <v>-3.7500136246749971E-2</v>
      </c>
      <c r="M1769" s="37">
        <v>32713</v>
      </c>
      <c r="N1769">
        <v>11.31734</v>
      </c>
      <c r="O1769" s="36">
        <f>IF(ISBLANK(N1770),"",Long2[[#This Row],[Adj Close]]/N1770-1)</f>
        <v>7.2198683257778118E-3</v>
      </c>
      <c r="P1769" s="29">
        <v>32713</v>
      </c>
      <c r="Q1769">
        <v>1.6179920000000001</v>
      </c>
      <c r="R1769" s="33">
        <f>IF(ISBLANK(Q1770),"",Long3[[#This Row],[Adj Close]]/Q1770-1)</f>
        <v>0</v>
      </c>
      <c r="AK1769" s="37">
        <v>32713</v>
      </c>
      <c r="AL1769" s="39">
        <v>0.16042100000000001</v>
      </c>
      <c r="AM1769" s="36">
        <f>IF(ISBLANK(AL1770),"",Short1[[#This Row],[Adj Close]]/AL1770-1)</f>
        <v>-1.7858673425657279E-2</v>
      </c>
      <c r="AN1769" s="29">
        <v>32713</v>
      </c>
      <c r="AO1769" s="44">
        <v>1.003992</v>
      </c>
      <c r="AP1769" s="33">
        <f>IF(ISBLANK(AO1770),"",Short2[[#This Row],[Adj Close]]/AO1770-1)</f>
        <v>-1.6130107050601028E-2</v>
      </c>
    </row>
    <row r="1770" spans="1:42" x14ac:dyDescent="0.25">
      <c r="A1770" s="37">
        <v>32706</v>
      </c>
      <c r="B1770" s="39">
        <v>335.89999399999999</v>
      </c>
      <c r="C1770" s="36">
        <f>IF(ISBLANK(B1771), "", GSPC[[#This Row],[Adj Close]]/B1771-1)</f>
        <v>1.2234806078047278E-2</v>
      </c>
      <c r="D177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7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70" s="11" t="e">
        <f>IF(ISBLANK(GSPC[[#This Row],[Long Exp.]]), "", (GSPC[[#This Row],[Long Exp.]]/D1771-1)+(E1771/GSPC[[#This Row],[Short Exp.]]-1))</f>
        <v>#VALUE!</v>
      </c>
      <c r="G1770" s="37">
        <v>32706</v>
      </c>
      <c r="H1770">
        <v>1.1926890000000001</v>
      </c>
      <c r="I1770" s="36">
        <f>IF(ISBLANK(H1771), "", Long0[[#This Row],[Adj Close]]/H1771-1)</f>
        <v>-1.2345995935733489E-2</v>
      </c>
      <c r="M1770" s="37">
        <v>32706</v>
      </c>
      <c r="N1770">
        <v>11.236216000000001</v>
      </c>
      <c r="O1770" s="36">
        <f>IF(ISBLANK(N1771),"",Long2[[#This Row],[Adj Close]]/N1771-1)</f>
        <v>-1.0713861528840241E-2</v>
      </c>
      <c r="P1770" s="29">
        <v>32706</v>
      </c>
      <c r="Q1770">
        <v>1.6179920000000001</v>
      </c>
      <c r="R1770" s="33">
        <f>IF(ISBLANK(Q1771),"",Long3[[#This Row],[Adj Close]]/Q1771-1)</f>
        <v>-2.1277342216485029E-2</v>
      </c>
      <c r="AK1770" s="37">
        <v>32706</v>
      </c>
      <c r="AL1770" s="39">
        <v>0.16333800000000001</v>
      </c>
      <c r="AM1770" s="36">
        <f>IF(ISBLANK(AL1771),"",Short1[[#This Row],[Adj Close]]/AL1771-1)</f>
        <v>0</v>
      </c>
      <c r="AN1770" s="29">
        <v>32706</v>
      </c>
      <c r="AO1770" s="44">
        <v>1.0204519999999999</v>
      </c>
      <c r="AP1770" s="33">
        <f>IF(ISBLANK(AO1771),"",Short2[[#This Row],[Adj Close]]/AO1771-1)</f>
        <v>2.1978836381553846E-2</v>
      </c>
    </row>
    <row r="1771" spans="1:42" x14ac:dyDescent="0.25">
      <c r="A1771" s="37">
        <v>32699</v>
      </c>
      <c r="B1771" s="39">
        <v>331.83999599999999</v>
      </c>
      <c r="C1771" s="36">
        <f>IF(ISBLANK(B1772), "", GSPC[[#This Row],[Adj Close]]/B1772-1)</f>
        <v>2.1328958526004582E-2</v>
      </c>
      <c r="D177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7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71" s="11" t="e">
        <f>IF(ISBLANK(GSPC[[#This Row],[Long Exp.]]), "", (GSPC[[#This Row],[Long Exp.]]/D1772-1)+(E1772/GSPC[[#This Row],[Short Exp.]]-1))</f>
        <v>#VALUE!</v>
      </c>
      <c r="G1771" s="37">
        <v>32699</v>
      </c>
      <c r="H1771">
        <v>1.2075979999999999</v>
      </c>
      <c r="I1771" s="36">
        <f>IF(ISBLANK(H1772), "", Long0[[#This Row],[Adj Close]]/H1772-1)</f>
        <v>-2.409620054710826E-2</v>
      </c>
      <c r="M1771" s="37">
        <v>32699</v>
      </c>
      <c r="N1771">
        <v>11.357903</v>
      </c>
      <c r="O1771" s="36">
        <f>IF(ISBLANK(N1772),"",Long2[[#This Row],[Adj Close]]/N1772-1)</f>
        <v>1.8181115689688276E-2</v>
      </c>
      <c r="P1771" s="29">
        <v>32699</v>
      </c>
      <c r="Q1771">
        <v>1.6531670000000001</v>
      </c>
      <c r="R1771" s="33">
        <f>IF(ISBLANK(Q1772),"",Long3[[#This Row],[Adj Close]]/Q1772-1)</f>
        <v>3.4591155608569846E-2</v>
      </c>
      <c r="AK1771" s="37">
        <v>32699</v>
      </c>
      <c r="AL1771" s="39">
        <v>0.16333800000000001</v>
      </c>
      <c r="AM1771" s="36">
        <f>IF(ISBLANK(AL1772),"",Short1[[#This Row],[Adj Close]]/AL1772-1)</f>
        <v>-1.7545336982346282E-2</v>
      </c>
      <c r="AN1771" s="29">
        <v>32699</v>
      </c>
      <c r="AO1771" s="44">
        <v>0.998506</v>
      </c>
      <c r="AP1771" s="33">
        <f>IF(ISBLANK(AO1772),"",Short2[[#This Row],[Adj Close]]/AO1772-1)</f>
        <v>1.1110503537093308E-2</v>
      </c>
    </row>
    <row r="1772" spans="1:42" x14ac:dyDescent="0.25">
      <c r="A1772" s="37">
        <v>32692</v>
      </c>
      <c r="B1772" s="39">
        <v>324.91000400000001</v>
      </c>
      <c r="C1772" s="36">
        <f>IF(ISBLANK(B1773), "", GSPC[[#This Row],[Adj Close]]/B1773-1)</f>
        <v>2.1793800743028502E-2</v>
      </c>
      <c r="D177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7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72" s="11" t="e">
        <f>IF(ISBLANK(GSPC[[#This Row],[Long Exp.]]), "", (GSPC[[#This Row],[Long Exp.]]/D1773-1)+(E1773/GSPC[[#This Row],[Short Exp.]]-1))</f>
        <v>#VALUE!</v>
      </c>
      <c r="G1772" s="37">
        <v>32692</v>
      </c>
      <c r="H1772">
        <v>1.2374149999999999</v>
      </c>
      <c r="I1772" s="36">
        <f>IF(ISBLANK(H1773), "", Long0[[#This Row],[Adj Close]]/H1773-1)</f>
        <v>1.7038099425898956E-2</v>
      </c>
      <c r="M1772" s="37">
        <v>32692</v>
      </c>
      <c r="N1772">
        <v>11.155091000000001</v>
      </c>
      <c r="O1772" s="36">
        <f>IF(ISBLANK(N1773),"",Long2[[#This Row],[Adj Close]]/N1773-1)</f>
        <v>2.611999094482953E-2</v>
      </c>
      <c r="P1772" s="29">
        <v>32692</v>
      </c>
      <c r="Q1772">
        <v>1.5978939999999999</v>
      </c>
      <c r="R1772" s="33">
        <f>IF(ISBLANK(Q1773),"",Long3[[#This Row],[Adj Close]]/Q1773-1)</f>
        <v>2.9125938463460788E-2</v>
      </c>
      <c r="AK1772" s="37">
        <v>32692</v>
      </c>
      <c r="AL1772" s="39">
        <v>0.16625499999999999</v>
      </c>
      <c r="AM1772" s="36">
        <f>IF(ISBLANK(AL1773),"",Short1[[#This Row],[Adj Close]]/AL1773-1)</f>
        <v>1.7858673425657168E-2</v>
      </c>
      <c r="AN1772" s="29">
        <v>32692</v>
      </c>
      <c r="AO1772" s="44">
        <v>0.98753400000000002</v>
      </c>
      <c r="AP1772" s="33">
        <f>IF(ISBLANK(AO1773),"",Short2[[#This Row],[Adj Close]]/AO1773-1)</f>
        <v>2.8571964228800706E-2</v>
      </c>
    </row>
    <row r="1773" spans="1:42" x14ac:dyDescent="0.25">
      <c r="A1773" s="37">
        <v>32685</v>
      </c>
      <c r="B1773" s="39">
        <v>317.98001099999999</v>
      </c>
      <c r="C1773" s="36">
        <f>IF(ISBLANK(B1774), "", GSPC[[#This Row],[Adj Close]]/B1774-1)</f>
        <v>-3.0548746951219563E-2</v>
      </c>
      <c r="D177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7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73" s="11" t="e">
        <f>IF(ISBLANK(GSPC[[#This Row],[Long Exp.]]), "", (GSPC[[#This Row],[Long Exp.]]/D1774-1)+(E1774/GSPC[[#This Row],[Short Exp.]]-1))</f>
        <v>#VALUE!</v>
      </c>
      <c r="G1773" s="37">
        <v>32685</v>
      </c>
      <c r="H1773">
        <v>1.216685</v>
      </c>
      <c r="I1773" s="36">
        <f>IF(ISBLANK(H1774), "", Long0[[#This Row],[Adj Close]]/H1774-1)</f>
        <v>-2.38101160097276E-2</v>
      </c>
      <c r="M1773" s="37">
        <v>32685</v>
      </c>
      <c r="N1773">
        <v>10.871136999999999</v>
      </c>
      <c r="O1773" s="36">
        <f>IF(ISBLANK(N1774),"",Long2[[#This Row],[Adj Close]]/N1774-1)</f>
        <v>-7.5861615782598868E-2</v>
      </c>
      <c r="P1773" s="29">
        <v>32685</v>
      </c>
      <c r="Q1773">
        <v>1.5526709999999999</v>
      </c>
      <c r="R1773" s="33">
        <f>IF(ISBLANK(Q1774),"",Long3[[#This Row],[Adj Close]]/Q1774-1)</f>
        <v>3.2468665314935308E-3</v>
      </c>
      <c r="AK1773" s="37">
        <v>32685</v>
      </c>
      <c r="AL1773" s="39">
        <v>0.16333800000000001</v>
      </c>
      <c r="AM1773" s="36">
        <f>IF(ISBLANK(AL1774),"",Short1[[#This Row],[Adj Close]]/AL1774-1)</f>
        <v>-5.0846078750406698E-2</v>
      </c>
      <c r="AN1773" s="29">
        <v>32685</v>
      </c>
      <c r="AO1773" s="44">
        <v>0.96010200000000001</v>
      </c>
      <c r="AP1773" s="33">
        <f>IF(ISBLANK(AO1774),"",Short2[[#This Row],[Adj Close]]/AO1774-1)</f>
        <v>-5.6825419510785347E-3</v>
      </c>
    </row>
    <row r="1774" spans="1:42" x14ac:dyDescent="0.25">
      <c r="A1774" s="37">
        <v>32678</v>
      </c>
      <c r="B1774" s="39">
        <v>328</v>
      </c>
      <c r="C1774" s="36">
        <f>IF(ISBLANK(B1775), "", GSPC[[#This Row],[Adj Close]]/B1775-1)</f>
        <v>2.0693928351754876E-2</v>
      </c>
      <c r="D177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7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74" s="11" t="e">
        <f>IF(ISBLANK(GSPC[[#This Row],[Long Exp.]]), "", (GSPC[[#This Row],[Long Exp.]]/D1775-1)+(E1775/GSPC[[#This Row],[Short Exp.]]-1))</f>
        <v>#VALUE!</v>
      </c>
      <c r="G1774" s="37">
        <v>32678</v>
      </c>
      <c r="H1774">
        <v>1.2463610000000001</v>
      </c>
      <c r="I1774" s="36">
        <f>IF(ISBLANK(H1775), "", Long0[[#This Row],[Adj Close]]/H1775-1)</f>
        <v>0</v>
      </c>
      <c r="M1774" s="37">
        <v>32678</v>
      </c>
      <c r="N1774">
        <v>11.763538</v>
      </c>
      <c r="O1774" s="36">
        <f>IF(ISBLANK(N1775),"",Long2[[#This Row],[Adj Close]]/N1775-1)</f>
        <v>3.6139469638529764E-2</v>
      </c>
      <c r="P1774" s="29">
        <v>32678</v>
      </c>
      <c r="Q1774">
        <v>1.5476460000000001</v>
      </c>
      <c r="R1774" s="33">
        <f>IF(ISBLANK(Q1775),"",Long3[[#This Row],[Adj Close]]/Q1775-1)</f>
        <v>-6.4518365586095916E-3</v>
      </c>
      <c r="AK1774" s="37">
        <v>32678</v>
      </c>
      <c r="AL1774" s="39">
        <v>0.17208799999999999</v>
      </c>
      <c r="AM1774" s="36">
        <f>IF(ISBLANK(AL1775),"",Short1[[#This Row],[Adj Close]]/AL1775-1)</f>
        <v>5.3569898002914007E-2</v>
      </c>
      <c r="AN1774" s="29">
        <v>32678</v>
      </c>
      <c r="AO1774" s="44">
        <v>0.96558900000000003</v>
      </c>
      <c r="AP1774" s="33">
        <f>IF(ISBLANK(AO1775),"",Short2[[#This Row],[Adj Close]]/AO1775-1)</f>
        <v>-2.2222019697549666E-2</v>
      </c>
    </row>
    <row r="1775" spans="1:42" x14ac:dyDescent="0.25">
      <c r="A1775" s="37">
        <v>32671</v>
      </c>
      <c r="B1775" s="39">
        <v>321.35000600000001</v>
      </c>
      <c r="C1775" s="36">
        <f>IF(ISBLANK(B1776), "", GSPC[[#This Row],[Adj Close]]/B1776-1)</f>
        <v>-1.6345758876330718E-2</v>
      </c>
      <c r="D177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7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75" s="11" t="e">
        <f>IF(ISBLANK(GSPC[[#This Row],[Long Exp.]]), "", (GSPC[[#This Row],[Long Exp.]]/D1776-1)+(E1776/GSPC[[#This Row],[Short Exp.]]-1))</f>
        <v>#VALUE!</v>
      </c>
      <c r="G1775" s="37">
        <v>32671</v>
      </c>
      <c r="H1775">
        <v>1.2463610000000001</v>
      </c>
      <c r="I1775" s="36">
        <f>IF(ISBLANK(H1776), "", Long0[[#This Row],[Adj Close]]/H1776-1)</f>
        <v>1.2048496049200885E-2</v>
      </c>
      <c r="M1775" s="37">
        <v>32671</v>
      </c>
      <c r="N1775">
        <v>11.353237999999999</v>
      </c>
      <c r="O1775" s="36">
        <f>IF(ISBLANK(N1776),"",Long2[[#This Row],[Adj Close]]/N1776-1)</f>
        <v>-2.0833734015788696E-2</v>
      </c>
      <c r="P1775" s="29">
        <v>32671</v>
      </c>
      <c r="Q1775">
        <v>1.557696</v>
      </c>
      <c r="R1775" s="33">
        <f>IF(ISBLANK(Q1776),"",Long3[[#This Row],[Adj Close]]/Q1776-1)</f>
        <v>1.1847683956096144E-2</v>
      </c>
      <c r="AK1775" s="37">
        <v>32671</v>
      </c>
      <c r="AL1775" s="39">
        <v>0.16333800000000001</v>
      </c>
      <c r="AM1775" s="36">
        <f>IF(ISBLANK(AL1776),"",Short1[[#This Row],[Adj Close]]/AL1776-1)</f>
        <v>-1.7545336982346282E-2</v>
      </c>
      <c r="AN1775" s="29">
        <v>32671</v>
      </c>
      <c r="AO1775" s="44">
        <v>0.98753400000000002</v>
      </c>
      <c r="AP1775" s="33">
        <f>IF(ISBLANK(AO1776),"",Short2[[#This Row],[Adj Close]]/AO1776-1)</f>
        <v>0</v>
      </c>
    </row>
    <row r="1776" spans="1:42" x14ac:dyDescent="0.25">
      <c r="A1776" s="37">
        <v>32664</v>
      </c>
      <c r="B1776" s="39">
        <v>326.69000199999999</v>
      </c>
      <c r="C1776" s="36">
        <f>IF(ISBLANK(B1777), "", GSPC[[#This Row],[Adj Close]]/B1777-1)</f>
        <v>3.5942892588387565E-3</v>
      </c>
      <c r="D177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7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76" s="11" t="e">
        <f>IF(ISBLANK(GSPC[[#This Row],[Long Exp.]]), "", (GSPC[[#This Row],[Long Exp.]]/D1777-1)+(E1777/GSPC[[#This Row],[Short Exp.]]-1))</f>
        <v>#VALUE!</v>
      </c>
      <c r="G1776" s="37">
        <v>32664</v>
      </c>
      <c r="H1776">
        <v>1.2315229999999999</v>
      </c>
      <c r="I1776" s="36">
        <f>IF(ISBLANK(H1777), "", Long0[[#This Row],[Adj Close]]/H1777-1)</f>
        <v>3.7500105306610854E-2</v>
      </c>
      <c r="M1776" s="37">
        <v>32664</v>
      </c>
      <c r="N1776">
        <v>11.594801</v>
      </c>
      <c r="O1776" s="36">
        <f>IF(ISBLANK(N1777),"",Long2[[#This Row],[Adj Close]]/N1777-1)</f>
        <v>2.1277013659010802E-2</v>
      </c>
      <c r="P1776" s="29">
        <v>32664</v>
      </c>
      <c r="Q1776">
        <v>1.5394570000000001</v>
      </c>
      <c r="R1776" s="33">
        <f>IF(ISBLANK(Q1777),"",Long3[[#This Row],[Adj Close]]/Q1777-1)</f>
        <v>-1.5772376539756716E-2</v>
      </c>
      <c r="AK1776" s="37">
        <v>32664</v>
      </c>
      <c r="AL1776" s="39">
        <v>0.16625499999999999</v>
      </c>
      <c r="AM1776" s="36">
        <f>IF(ISBLANK(AL1777),"",Short1[[#This Row],[Adj Close]]/AL1777-1)</f>
        <v>0</v>
      </c>
      <c r="AN1776" s="29">
        <v>32664</v>
      </c>
      <c r="AO1776" s="44">
        <v>0.98753400000000002</v>
      </c>
      <c r="AP1776" s="33">
        <f>IF(ISBLANK(AO1777),"",Short2[[#This Row],[Adj Close]]/AO1777-1)</f>
        <v>2.2727060892367312E-2</v>
      </c>
    </row>
    <row r="1777" spans="1:42" x14ac:dyDescent="0.25">
      <c r="A1777" s="37">
        <v>32657</v>
      </c>
      <c r="B1777" s="39">
        <v>325.51998900000001</v>
      </c>
      <c r="C1777" s="36">
        <f>IF(ISBLANK(B1778), "", GSPC[[#This Row],[Adj Close]]/B1778-1)</f>
        <v>1.2220507630467559E-2</v>
      </c>
      <c r="D177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7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77" s="11" t="e">
        <f>IF(ISBLANK(GSPC[[#This Row],[Long Exp.]]), "", (GSPC[[#This Row],[Long Exp.]]/D1778-1)+(E1778/GSPC[[#This Row],[Short Exp.]]-1))</f>
        <v>#VALUE!</v>
      </c>
      <c r="G1777" s="37">
        <v>32657</v>
      </c>
      <c r="H1777">
        <v>1.1870099999999999</v>
      </c>
      <c r="I1777" s="36">
        <f>IF(ISBLANK(H1778), "", Long0[[#This Row],[Adj Close]]/H1778-1)</f>
        <v>0</v>
      </c>
      <c r="M1777" s="37">
        <v>32657</v>
      </c>
      <c r="N1777">
        <v>11.353237999999999</v>
      </c>
      <c r="O1777" s="36">
        <f>IF(ISBLANK(N1778),"",Long2[[#This Row],[Adj Close]]/N1778-1)</f>
        <v>-8.1433542062188335E-2</v>
      </c>
      <c r="P1777" s="29">
        <v>32657</v>
      </c>
      <c r="Q1777">
        <v>1.564127</v>
      </c>
      <c r="R1777" s="33">
        <f>IF(ISBLANK(Q1778),"",Long3[[#This Row],[Adj Close]]/Q1778-1)</f>
        <v>2.9221191549227088E-2</v>
      </c>
      <c r="AK1777" s="37">
        <v>32657</v>
      </c>
      <c r="AL1777" s="39">
        <v>0.16625499999999999</v>
      </c>
      <c r="AM1777" s="36">
        <f>IF(ISBLANK(AL1778),"",Short1[[#This Row],[Adj Close]]/AL1778-1)</f>
        <v>-1.7242806138131672E-2</v>
      </c>
      <c r="AN1777" s="29">
        <v>32657</v>
      </c>
      <c r="AO1777" s="44">
        <v>0.96558900000000003</v>
      </c>
      <c r="AP1777" s="33">
        <f>IF(ISBLANK(AO1778),"",Short2[[#This Row],[Adj Close]]/AO1778-1)</f>
        <v>2.325667651855623E-2</v>
      </c>
    </row>
    <row r="1778" spans="1:42" x14ac:dyDescent="0.25">
      <c r="A1778" s="37">
        <v>32650</v>
      </c>
      <c r="B1778" s="39">
        <v>321.58999599999999</v>
      </c>
      <c r="C1778" s="36">
        <f>IF(ISBLANK(B1779), "", GSPC[[#This Row],[Adj Close]]/B1779-1)</f>
        <v>1.0895467902360956E-3</v>
      </c>
      <c r="D177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7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78" s="11" t="e">
        <f>IF(ISBLANK(GSPC[[#This Row],[Long Exp.]]), "", (GSPC[[#This Row],[Long Exp.]]/D1779-1)+(E1779/GSPC[[#This Row],[Short Exp.]]-1))</f>
        <v>#VALUE!</v>
      </c>
      <c r="G1778" s="37">
        <v>32650</v>
      </c>
      <c r="H1778">
        <v>1.1870099999999999</v>
      </c>
      <c r="I1778" s="36">
        <f>IF(ISBLANK(H1779), "", Long0[[#This Row],[Adj Close]]/H1779-1)</f>
        <v>2.5641690298565223E-2</v>
      </c>
      <c r="M1778" s="37">
        <v>32650</v>
      </c>
      <c r="N1778">
        <v>12.359735000000001</v>
      </c>
      <c r="O1778" s="36">
        <f>IF(ISBLANK(N1779),"",Long2[[#This Row],[Adj Close]]/N1779-1)</f>
        <v>-8.3581936834753123E-2</v>
      </c>
      <c r="P1778" s="29">
        <v>32650</v>
      </c>
      <c r="Q1778">
        <v>1.519719</v>
      </c>
      <c r="R1778" s="33">
        <f>IF(ISBLANK(Q1779),"",Long3[[#This Row],[Adj Close]]/Q1779-1)</f>
        <v>3.3555974344029682E-2</v>
      </c>
      <c r="AK1778" s="37">
        <v>32650</v>
      </c>
      <c r="AL1778" s="39">
        <v>0.16917199999999999</v>
      </c>
      <c r="AM1778" s="36">
        <f>IF(ISBLANK(AL1779),"",Short1[[#This Row],[Adj Close]]/AL1779-1)</f>
        <v>-3.3330476272106502E-2</v>
      </c>
      <c r="AN1778" s="29">
        <v>32650</v>
      </c>
      <c r="AO1778" s="44">
        <v>0.94364300000000001</v>
      </c>
      <c r="AP1778" s="33">
        <f>IF(ISBLANK(AO1779),"",Short2[[#This Row],[Adj Close]]/AO1779-1)</f>
        <v>5.848707464430225E-3</v>
      </c>
    </row>
    <row r="1779" spans="1:42" x14ac:dyDescent="0.25">
      <c r="A1779" s="37">
        <v>32643</v>
      </c>
      <c r="B1779" s="39">
        <v>321.23998999999998</v>
      </c>
      <c r="C1779" s="36">
        <f>IF(ISBLANK(B1780), "", GSPC[[#This Row],[Adj Close]]/B1780-1)</f>
        <v>2.3578874886297063E-2</v>
      </c>
      <c r="D177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7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79" s="11" t="e">
        <f>IF(ISBLANK(GSPC[[#This Row],[Long Exp.]]), "", (GSPC[[#This Row],[Long Exp.]]/D1780-1)+(E1780/GSPC[[#This Row],[Short Exp.]]-1))</f>
        <v>#VALUE!</v>
      </c>
      <c r="G1779" s="37">
        <v>32643</v>
      </c>
      <c r="H1779">
        <v>1.1573340000000001</v>
      </c>
      <c r="I1779" s="36">
        <f>IF(ISBLANK(H1780), "", Long0[[#This Row],[Adj Close]]/H1780-1)</f>
        <v>8.3333645353212749E-2</v>
      </c>
      <c r="M1779" s="37">
        <v>32643</v>
      </c>
      <c r="N1779">
        <v>13.487005</v>
      </c>
      <c r="O1779" s="36">
        <f>IF(ISBLANK(N1780),"",Long2[[#This Row],[Adj Close]]/N1780-1)</f>
        <v>0</v>
      </c>
      <c r="P1779" s="29">
        <v>32643</v>
      </c>
      <c r="Q1779">
        <v>1.4703790000000001</v>
      </c>
      <c r="R1779" s="33">
        <f>IF(ISBLANK(Q1780),"",Long3[[#This Row],[Adj Close]]/Q1780-1)</f>
        <v>2.0547983236788081E-2</v>
      </c>
      <c r="AK1779" s="37">
        <v>32643</v>
      </c>
      <c r="AL1779" s="39">
        <v>0.17500499999999999</v>
      </c>
      <c r="AM1779" s="36">
        <f>IF(ISBLANK(AL1780),"",Short1[[#This Row],[Adj Close]]/AL1780-1)</f>
        <v>0</v>
      </c>
      <c r="AN1779" s="29">
        <v>32643</v>
      </c>
      <c r="AO1779" s="44">
        <v>0.93815599999999999</v>
      </c>
      <c r="AP1779" s="33">
        <f>IF(ISBLANK(AO1780),"",Short2[[#This Row],[Adj Close]]/AO1780-1)</f>
        <v>1.1832590044058122E-2</v>
      </c>
    </row>
    <row r="1780" spans="1:42" x14ac:dyDescent="0.25">
      <c r="A1780" s="37">
        <v>32636</v>
      </c>
      <c r="B1780" s="39">
        <v>313.83999599999999</v>
      </c>
      <c r="C1780" s="36">
        <f>IF(ISBLANK(B1781), "", GSPC[[#This Row],[Adj Close]]/B1781-1)</f>
        <v>2.0252954402634193E-2</v>
      </c>
      <c r="D178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8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80" s="11" t="e">
        <f>IF(ISBLANK(GSPC[[#This Row],[Long Exp.]]), "", (GSPC[[#This Row],[Long Exp.]]/D1781-1)+(E1781/GSPC[[#This Row],[Short Exp.]]-1))</f>
        <v>#VALUE!</v>
      </c>
      <c r="G1780" s="37">
        <v>32636</v>
      </c>
      <c r="H1780">
        <v>1.068308</v>
      </c>
      <c r="I1780" s="36">
        <f>IF(ISBLANK(H1781), "", Long0[[#This Row],[Adj Close]]/H1781-1)</f>
        <v>7.4625724635129842E-2</v>
      </c>
      <c r="M1780" s="37">
        <v>32636</v>
      </c>
      <c r="N1780">
        <v>13.487005</v>
      </c>
      <c r="O1780" s="36">
        <f>IF(ISBLANK(N1781),"",Long2[[#This Row],[Adj Close]]/N1781-1)</f>
        <v>3.3950706013969212E-2</v>
      </c>
      <c r="P1780" s="29">
        <v>32636</v>
      </c>
      <c r="Q1780">
        <v>1.440774</v>
      </c>
      <c r="R1780" s="33">
        <f>IF(ISBLANK(Q1781),"",Long3[[#This Row],[Adj Close]]/Q1781-1)</f>
        <v>2.4562057239406743E-2</v>
      </c>
      <c r="AK1780" s="37">
        <v>32636</v>
      </c>
      <c r="AL1780" s="39">
        <v>0.17500499999999999</v>
      </c>
      <c r="AM1780" s="36">
        <f>IF(ISBLANK(AL1781),"",Short1[[#This Row],[Adj Close]]/AL1781-1)</f>
        <v>-1.6389296373109374E-2</v>
      </c>
      <c r="AN1780" s="29">
        <v>32636</v>
      </c>
      <c r="AO1780" s="44">
        <v>0.92718500000000004</v>
      </c>
      <c r="AP1780" s="33">
        <f>IF(ISBLANK(AO1781),"",Short2[[#This Row],[Adj Close]]/AO1781-1)</f>
        <v>-1.4738777223435306E-2</v>
      </c>
    </row>
    <row r="1781" spans="1:42" x14ac:dyDescent="0.25">
      <c r="A1781" s="37">
        <v>32629</v>
      </c>
      <c r="B1781" s="39">
        <v>307.60998499999999</v>
      </c>
      <c r="C1781" s="36">
        <f>IF(ISBLANK(B1782), "", GSPC[[#This Row],[Adj Close]]/B1782-1)</f>
        <v>-6.5560970858369316E-3</v>
      </c>
      <c r="D178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8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81" s="11" t="e">
        <f>IF(ISBLANK(GSPC[[#This Row],[Long Exp.]]), "", (GSPC[[#This Row],[Long Exp.]]/D1782-1)+(E1782/GSPC[[#This Row],[Short Exp.]]-1))</f>
        <v>#VALUE!</v>
      </c>
      <c r="G1781" s="37">
        <v>32629</v>
      </c>
      <c r="H1781">
        <v>0.99412100000000003</v>
      </c>
      <c r="I1781" s="36">
        <f>IF(ISBLANK(H1782), "", Long0[[#This Row],[Adj Close]]/H1782-1)</f>
        <v>0</v>
      </c>
      <c r="M1781" s="37">
        <v>32629</v>
      </c>
      <c r="N1781">
        <v>13.044147000000001</v>
      </c>
      <c r="O1781" s="36">
        <f>IF(ISBLANK(N1782),"",Long2[[#This Row],[Adj Close]]/N1782-1)</f>
        <v>-2.9940254690614232E-2</v>
      </c>
      <c r="P1781" s="29">
        <v>32629</v>
      </c>
      <c r="Q1781">
        <v>1.406234</v>
      </c>
      <c r="R1781" s="33">
        <f>IF(ISBLANK(Q1782),"",Long3[[#This Row],[Adj Close]]/Q1782-1)</f>
        <v>0</v>
      </c>
      <c r="AK1781" s="37">
        <v>32629</v>
      </c>
      <c r="AL1781" s="39">
        <v>0.177921</v>
      </c>
      <c r="AM1781" s="36">
        <f>IF(ISBLANK(AL1782),"",Short1[[#This Row],[Adj Close]]/AL1782-1)</f>
        <v>-4.687901774235026E-2</v>
      </c>
      <c r="AN1781" s="29">
        <v>32629</v>
      </c>
      <c r="AO1781" s="44">
        <v>0.94105499999999997</v>
      </c>
      <c r="AP1781" s="33">
        <f>IF(ISBLANK(AO1782),"",Short2[[#This Row],[Adj Close]]/AO1782-1)</f>
        <v>-1.7143113771829754E-2</v>
      </c>
    </row>
    <row r="1782" spans="1:42" x14ac:dyDescent="0.25">
      <c r="A1782" s="37">
        <v>32622</v>
      </c>
      <c r="B1782" s="39">
        <v>309.64001500000001</v>
      </c>
      <c r="C1782" s="36">
        <f>IF(ISBLANK(B1783), "", GSPC[[#This Row],[Adj Close]]/B1783-1)</f>
        <v>9.6992995881617361E-5</v>
      </c>
      <c r="D178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8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82" s="11" t="e">
        <f>IF(ISBLANK(GSPC[[#This Row],[Long Exp.]]), "", (GSPC[[#This Row],[Long Exp.]]/D1783-1)+(E1783/GSPC[[#This Row],[Short Exp.]]-1))</f>
        <v>#VALUE!</v>
      </c>
      <c r="G1782" s="37">
        <v>32622</v>
      </c>
      <c r="H1782">
        <v>0.99412100000000003</v>
      </c>
      <c r="I1782" s="36">
        <f>IF(ISBLANK(H1783), "", Long0[[#This Row],[Adj Close]]/H1783-1)</f>
        <v>-5.6337573601931146E-2</v>
      </c>
      <c r="M1782" s="37">
        <v>32622</v>
      </c>
      <c r="N1782">
        <v>13.446745999999999</v>
      </c>
      <c r="O1782" s="36">
        <f>IF(ISBLANK(N1783),"",Long2[[#This Row],[Adj Close]]/N1783-1)</f>
        <v>-1.7647180008980023E-2</v>
      </c>
      <c r="P1782" s="29">
        <v>32622</v>
      </c>
      <c r="Q1782">
        <v>1.406234</v>
      </c>
      <c r="R1782" s="33">
        <f>IF(ISBLANK(Q1783),"",Long3[[#This Row],[Adj Close]]/Q1783-1)</f>
        <v>7.0676363271779952E-3</v>
      </c>
      <c r="AK1782" s="37">
        <v>32622</v>
      </c>
      <c r="AL1782" s="39">
        <v>0.186672</v>
      </c>
      <c r="AM1782" s="36">
        <f>IF(ISBLANK(AL1783),"",Short1[[#This Row],[Adj Close]]/AL1783-1)</f>
        <v>-1.5385913739721202E-2</v>
      </c>
      <c r="AN1782" s="29">
        <v>32622</v>
      </c>
      <c r="AO1782" s="44">
        <v>0.95746900000000001</v>
      </c>
      <c r="AP1782" s="33">
        <f>IF(ISBLANK(AO1783),"",Short2[[#This Row],[Adj Close]]/AO1783-1)</f>
        <v>-2.2346363010719239E-2</v>
      </c>
    </row>
    <row r="1783" spans="1:42" x14ac:dyDescent="0.25">
      <c r="A1783" s="37">
        <v>32615</v>
      </c>
      <c r="B1783" s="39">
        <v>309.60998499999999</v>
      </c>
      <c r="C1783" s="36">
        <f>IF(ISBLANK(B1784), "", GSPC[[#This Row],[Adj Close]]/B1784-1)</f>
        <v>2.7375897301030294E-2</v>
      </c>
      <c r="D178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8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83" s="11" t="e">
        <f>IF(ISBLANK(GSPC[[#This Row],[Long Exp.]]), "", (GSPC[[#This Row],[Long Exp.]]/D1784-1)+(E1784/GSPC[[#This Row],[Short Exp.]]-1))</f>
        <v>#VALUE!</v>
      </c>
      <c r="G1783" s="37">
        <v>32615</v>
      </c>
      <c r="H1783">
        <v>1.053471</v>
      </c>
      <c r="I1783" s="36">
        <f>IF(ISBLANK(H1784), "", Long0[[#This Row],[Adj Close]]/H1784-1)</f>
        <v>4.4117792811990242E-2</v>
      </c>
      <c r="M1783" s="37">
        <v>32615</v>
      </c>
      <c r="N1783">
        <v>13.688306000000001</v>
      </c>
      <c r="O1783" s="36">
        <f>IF(ISBLANK(N1784),"",Long2[[#This Row],[Adj Close]]/N1784-1)</f>
        <v>-5.5555524890468E-2</v>
      </c>
      <c r="P1783" s="29">
        <v>32615</v>
      </c>
      <c r="Q1783">
        <v>1.3963650000000001</v>
      </c>
      <c r="R1783" s="33">
        <f>IF(ISBLANK(Q1784),"",Long3[[#This Row],[Adj Close]]/Q1784-1)</f>
        <v>1.4335732912983179E-2</v>
      </c>
      <c r="AK1783" s="37">
        <v>32615</v>
      </c>
      <c r="AL1783" s="39">
        <v>0.18958900000000001</v>
      </c>
      <c r="AM1783" s="36">
        <f>IF(ISBLANK(AL1784),"",Short1[[#This Row],[Adj Close]]/AL1784-1)</f>
        <v>-2.9848225890636737E-2</v>
      </c>
      <c r="AN1783" s="29">
        <v>32615</v>
      </c>
      <c r="AO1783" s="44">
        <v>0.97935399999999995</v>
      </c>
      <c r="AP1783" s="33">
        <f>IF(ISBLANK(AO1784),"",Short2[[#This Row],[Adj Close]]/AO1784-1)</f>
        <v>6.5476462460698048E-2</v>
      </c>
    </row>
    <row r="1784" spans="1:42" x14ac:dyDescent="0.25">
      <c r="A1784" s="37">
        <v>32608</v>
      </c>
      <c r="B1784" s="39">
        <v>301.35998499999999</v>
      </c>
      <c r="C1784" s="36">
        <f>IF(ISBLANK(B1785), "", GSPC[[#This Row],[Adj Close]]/B1785-1)</f>
        <v>1.4133735844208628E-2</v>
      </c>
      <c r="D178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8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84" s="11" t="e">
        <f>IF(ISBLANK(GSPC[[#This Row],[Long Exp.]]), "", (GSPC[[#This Row],[Long Exp.]]/D1785-1)+(E1785/GSPC[[#This Row],[Short Exp.]]-1))</f>
        <v>#VALUE!</v>
      </c>
      <c r="G1784" s="37">
        <v>32608</v>
      </c>
      <c r="H1784">
        <v>1.008958</v>
      </c>
      <c r="I1784" s="36">
        <f>IF(ISBLANK(H1785), "", Long0[[#This Row],[Adj Close]]/H1785-1)</f>
        <v>-5.5555139529049669E-2</v>
      </c>
      <c r="M1784" s="37">
        <v>32608</v>
      </c>
      <c r="N1784">
        <v>14.493499999999999</v>
      </c>
      <c r="O1784" s="36">
        <f>IF(ISBLANK(N1785),"",Long2[[#This Row],[Adj Close]]/N1785-1)</f>
        <v>3.746424511743629E-2</v>
      </c>
      <c r="P1784" s="29">
        <v>32608</v>
      </c>
      <c r="Q1784">
        <v>1.37663</v>
      </c>
      <c r="R1784" s="33">
        <f>IF(ISBLANK(Q1785),"",Long3[[#This Row],[Adj Close]]/Q1785-1)</f>
        <v>-3.5713148287014329E-3</v>
      </c>
      <c r="AK1784" s="37">
        <v>32608</v>
      </c>
      <c r="AL1784" s="39">
        <v>0.19542200000000001</v>
      </c>
      <c r="AM1784" s="36">
        <f>IF(ISBLANK(AL1785),"",Short1[[#This Row],[Adj Close]]/AL1785-1)</f>
        <v>1.5152853172644809E-2</v>
      </c>
      <c r="AN1784" s="29">
        <v>32608</v>
      </c>
      <c r="AO1784" s="44">
        <v>0.91917000000000004</v>
      </c>
      <c r="AP1784" s="33">
        <f>IF(ISBLANK(AO1785),"",Short2[[#This Row],[Adj Close]]/AO1785-1)</f>
        <v>1.2048749927055624E-2</v>
      </c>
    </row>
    <row r="1785" spans="1:42" x14ac:dyDescent="0.25">
      <c r="A1785" s="37">
        <v>32601</v>
      </c>
      <c r="B1785" s="39">
        <v>297.16000400000001</v>
      </c>
      <c r="C1785" s="36">
        <f>IF(ISBLANK(B1786), "", GSPC[[#This Row],[Adj Close]]/B1786-1)</f>
        <v>7.7661648822560103E-3</v>
      </c>
      <c r="D178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8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85" s="11" t="e">
        <f>IF(ISBLANK(GSPC[[#This Row],[Long Exp.]]), "", (GSPC[[#This Row],[Long Exp.]]/D1786-1)+(E1786/GSPC[[#This Row],[Short Exp.]]-1))</f>
        <v>#VALUE!</v>
      </c>
      <c r="G1785" s="37">
        <v>32601</v>
      </c>
      <c r="H1785">
        <v>1.068308</v>
      </c>
      <c r="I1785" s="36">
        <f>IF(ISBLANK(H1786), "", Long0[[#This Row],[Adj Close]]/H1786-1)</f>
        <v>5.8823063001631315E-2</v>
      </c>
      <c r="M1785" s="37">
        <v>32601</v>
      </c>
      <c r="N1785">
        <v>13.97012</v>
      </c>
      <c r="O1785" s="36">
        <f>IF(ISBLANK(N1786),"",Long2[[#This Row],[Adj Close]]/N1786-1)</f>
        <v>-5.191259890105604E-2</v>
      </c>
      <c r="P1785" s="29">
        <v>32601</v>
      </c>
      <c r="Q1785">
        <v>1.381564</v>
      </c>
      <c r="R1785" s="33">
        <f>IF(ISBLANK(Q1786),"",Long3[[#This Row],[Adj Close]]/Q1786-1)</f>
        <v>0</v>
      </c>
      <c r="AK1785" s="37">
        <v>32601</v>
      </c>
      <c r="AL1785" s="39">
        <v>0.19250500000000001</v>
      </c>
      <c r="AM1785" s="36">
        <f>IF(ISBLANK(AL1786),"",Short1[[#This Row],[Adj Close]]/AL1786-1)</f>
        <v>-4.3477180691162909E-2</v>
      </c>
      <c r="AN1785" s="29">
        <v>32601</v>
      </c>
      <c r="AO1785" s="44">
        <v>0.90822700000000001</v>
      </c>
      <c r="AP1785" s="33">
        <f>IF(ISBLANK(AO1786),"",Short2[[#This Row],[Adj Close]]/AO1786-1)</f>
        <v>-1.1905305873777472E-2</v>
      </c>
    </row>
    <row r="1786" spans="1:42" x14ac:dyDescent="0.25">
      <c r="A1786" s="37">
        <v>32594</v>
      </c>
      <c r="B1786" s="39">
        <v>294.86999500000002</v>
      </c>
      <c r="C1786" s="36">
        <f>IF(ISBLANK(B1787), "", GSPC[[#This Row],[Adj Close]]/B1787-1)</f>
        <v>2.0381977215718328E-2</v>
      </c>
      <c r="D178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8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86" s="11" t="e">
        <f>IF(ISBLANK(GSPC[[#This Row],[Long Exp.]]), "", (GSPC[[#This Row],[Long Exp.]]/D1787-1)+(E1787/GSPC[[#This Row],[Short Exp.]]-1))</f>
        <v>#VALUE!</v>
      </c>
      <c r="G1786" s="37">
        <v>32594</v>
      </c>
      <c r="H1786">
        <v>1.008958</v>
      </c>
      <c r="I1786" s="36">
        <f>IF(ISBLANK(H1787), "", Long0[[#This Row],[Adj Close]]/H1787-1)</f>
        <v>3.0302782750236679E-2</v>
      </c>
      <c r="M1786" s="37">
        <v>32594</v>
      </c>
      <c r="N1786">
        <v>14.735054999999999</v>
      </c>
      <c r="O1786" s="36">
        <f>IF(ISBLANK(N1787),"",Long2[[#This Row],[Adj Close]]/N1787-1)</f>
        <v>4.8710219352919415E-2</v>
      </c>
      <c r="P1786" s="29">
        <v>32594</v>
      </c>
      <c r="Q1786">
        <v>1.381564</v>
      </c>
      <c r="R1786" s="33">
        <f>IF(ISBLANK(Q1787),"",Long3[[#This Row],[Adj Close]]/Q1787-1)</f>
        <v>1.4493030318829092E-2</v>
      </c>
      <c r="AK1786" s="37">
        <v>32594</v>
      </c>
      <c r="AL1786" s="39">
        <v>0.20125499999999999</v>
      </c>
      <c r="AM1786" s="36">
        <f>IF(ISBLANK(AL1787),"",Short1[[#This Row],[Adj Close]]/AL1787-1)</f>
        <v>-5.4799152745358737E-2</v>
      </c>
      <c r="AN1786" s="29">
        <v>32594</v>
      </c>
      <c r="AO1786" s="44">
        <v>0.91917000000000004</v>
      </c>
      <c r="AP1786" s="33">
        <f>IF(ISBLANK(AO1787),"",Short2[[#This Row],[Adj Close]]/AO1787-1)</f>
        <v>1.8182100146661995E-2</v>
      </c>
    </row>
    <row r="1787" spans="1:42" x14ac:dyDescent="0.25">
      <c r="A1787" s="37">
        <v>32587</v>
      </c>
      <c r="B1787" s="39">
        <v>288.98001099999999</v>
      </c>
      <c r="C1787" s="36">
        <f>IF(ISBLANK(B1788), "", GSPC[[#This Row],[Adj Close]]/B1788-1)</f>
        <v>-1.267549617222663E-2</v>
      </c>
      <c r="D178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8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87" s="11" t="e">
        <f>IF(ISBLANK(GSPC[[#This Row],[Long Exp.]]), "", (GSPC[[#This Row],[Long Exp.]]/D1788-1)+(E1788/GSPC[[#This Row],[Short Exp.]]-1))</f>
        <v>#VALUE!</v>
      </c>
      <c r="G1787" s="37">
        <v>32587</v>
      </c>
      <c r="H1787">
        <v>0.97928300000000001</v>
      </c>
      <c r="I1787" s="36">
        <f>IF(ISBLANK(H1788), "", Long0[[#This Row],[Adj Close]]/H1788-1)</f>
        <v>1.53850141791394E-2</v>
      </c>
      <c r="M1787" s="37">
        <v>32587</v>
      </c>
      <c r="N1787">
        <v>14.050644999999999</v>
      </c>
      <c r="O1787" s="36">
        <f>IF(ISBLANK(N1788),"",Long2[[#This Row],[Adj Close]]/N1788-1)</f>
        <v>-5.4213876112013448E-2</v>
      </c>
      <c r="P1787" s="29">
        <v>32587</v>
      </c>
      <c r="Q1787">
        <v>1.3618269999999999</v>
      </c>
      <c r="R1787" s="33">
        <f>IF(ISBLANK(Q1788),"",Long3[[#This Row],[Adj Close]]/Q1788-1)</f>
        <v>-1.4285983132160451E-2</v>
      </c>
      <c r="AK1787" s="37">
        <v>32587</v>
      </c>
      <c r="AL1787" s="39">
        <v>0.212923</v>
      </c>
      <c r="AM1787" s="36">
        <f>IF(ISBLANK(AL1788),"",Short1[[#This Row],[Adj Close]]/AL1788-1)</f>
        <v>0</v>
      </c>
      <c r="AN1787" s="29">
        <v>32587</v>
      </c>
      <c r="AO1787" s="44">
        <v>0.902756</v>
      </c>
      <c r="AP1787" s="33">
        <f>IF(ISBLANK(AO1788),"",Short2[[#This Row],[Adj Close]]/AO1788-1)</f>
        <v>-6.0238244403656438E-3</v>
      </c>
    </row>
    <row r="1788" spans="1:42" x14ac:dyDescent="0.25">
      <c r="A1788" s="37">
        <v>32580</v>
      </c>
      <c r="B1788" s="39">
        <v>292.69000199999999</v>
      </c>
      <c r="C1788" s="36">
        <f>IF(ISBLANK(B1789), "", GSPC[[#This Row],[Adj Close]]/B1789-1)</f>
        <v>-6.4874008725857024E-4</v>
      </c>
      <c r="D178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8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88" s="11" t="e">
        <f>IF(ISBLANK(GSPC[[#This Row],[Long Exp.]]), "", (GSPC[[#This Row],[Long Exp.]]/D1789-1)+(E1789/GSPC[[#This Row],[Short Exp.]]-1))</f>
        <v>#VALUE!</v>
      </c>
      <c r="G1788" s="37">
        <v>32580</v>
      </c>
      <c r="H1788">
        <v>0.964445</v>
      </c>
      <c r="I1788" s="36">
        <f>IF(ISBLANK(H1789), "", Long0[[#This Row],[Adj Close]]/H1789-1)</f>
        <v>3.174467329431474E-2</v>
      </c>
      <c r="M1788" s="37">
        <v>32580</v>
      </c>
      <c r="N1788">
        <v>14.856049000000001</v>
      </c>
      <c r="O1788" s="36">
        <f>IF(ISBLANK(N1789),"",Long2[[#This Row],[Adj Close]]/N1789-1)</f>
        <v>-2.6890250840739816E-3</v>
      </c>
      <c r="P1788" s="29">
        <v>32580</v>
      </c>
      <c r="Q1788">
        <v>1.381564</v>
      </c>
      <c r="R1788" s="33">
        <f>IF(ISBLANK(Q1789),"",Long3[[#This Row],[Adj Close]]/Q1789-1)</f>
        <v>3.9262206910040121E-2</v>
      </c>
      <c r="AK1788" s="37">
        <v>32580</v>
      </c>
      <c r="AL1788" s="39">
        <v>0.212923</v>
      </c>
      <c r="AM1788" s="36">
        <f>IF(ISBLANK(AL1789),"",Short1[[#This Row],[Adj Close]]/AL1789-1)</f>
        <v>-6.409940836725192E-2</v>
      </c>
      <c r="AN1788" s="29">
        <v>32580</v>
      </c>
      <c r="AO1788" s="44">
        <v>0.90822700000000001</v>
      </c>
      <c r="AP1788" s="33">
        <f>IF(ISBLANK(AO1789),"",Short2[[#This Row],[Adj Close]]/AO1789-1)</f>
        <v>6.0603308092108676E-3</v>
      </c>
    </row>
    <row r="1789" spans="1:42" x14ac:dyDescent="0.25">
      <c r="A1789" s="37">
        <v>32573</v>
      </c>
      <c r="B1789" s="39">
        <v>292.88000499999998</v>
      </c>
      <c r="C1789" s="36">
        <f>IF(ISBLANK(B1790), "", GSPC[[#This Row],[Adj Close]]/B1790-1)</f>
        <v>5.8383544229290152E-3</v>
      </c>
      <c r="D178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8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89" s="11" t="e">
        <f>IF(ISBLANK(GSPC[[#This Row],[Long Exp.]]), "", (GSPC[[#This Row],[Long Exp.]]/D1790-1)+(E1790/GSPC[[#This Row],[Short Exp.]]-1))</f>
        <v>#VALUE!</v>
      </c>
      <c r="G1789" s="37">
        <v>32573</v>
      </c>
      <c r="H1789">
        <v>0.93477100000000002</v>
      </c>
      <c r="I1789" s="36">
        <f>IF(ISBLANK(H1790), "", Long0[[#This Row],[Adj Close]]/H1790-1)</f>
        <v>1.6130540083397538E-2</v>
      </c>
      <c r="M1789" s="37">
        <v>32573</v>
      </c>
      <c r="N1789">
        <v>14.896105</v>
      </c>
      <c r="O1789" s="36">
        <f>IF(ISBLANK(N1790),"",Long2[[#This Row],[Adj Close]]/N1790-1)</f>
        <v>-2.1052159098406853E-2</v>
      </c>
      <c r="P1789" s="29">
        <v>32573</v>
      </c>
      <c r="Q1789">
        <v>1.3293699999999999</v>
      </c>
      <c r="R1789" s="33">
        <f>IF(ISBLANK(Q1790),"",Long3[[#This Row],[Adj Close]]/Q1790-1)</f>
        <v>-2.4823046209348609E-2</v>
      </c>
      <c r="AK1789" s="37">
        <v>32573</v>
      </c>
      <c r="AL1789" s="39">
        <v>0.22750600000000001</v>
      </c>
      <c r="AM1789" s="36">
        <f>IF(ISBLANK(AL1790),"",Short1[[#This Row],[Adj Close]]/AL1790-1)</f>
        <v>-2.5002142795920057E-2</v>
      </c>
      <c r="AN1789" s="29">
        <v>32573</v>
      </c>
      <c r="AO1789" s="44">
        <v>0.902756</v>
      </c>
      <c r="AP1789" s="33">
        <f>IF(ISBLANK(AO1790),"",Short2[[#This Row],[Adj Close]]/AO1790-1)</f>
        <v>3.1249714416266894E-2</v>
      </c>
    </row>
    <row r="1790" spans="1:42" x14ac:dyDescent="0.25">
      <c r="A1790" s="37">
        <v>32566</v>
      </c>
      <c r="B1790" s="39">
        <v>291.17999300000002</v>
      </c>
      <c r="C1790" s="36">
        <f>IF(ISBLANK(B1791), "", GSPC[[#This Row],[Adj Close]]/B1791-1)</f>
        <v>1.4105067145455674E-2</v>
      </c>
      <c r="D179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9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90" s="11" t="e">
        <f>IF(ISBLANK(GSPC[[#This Row],[Long Exp.]]), "", (GSPC[[#This Row],[Long Exp.]]/D1791-1)+(E1791/GSPC[[#This Row],[Short Exp.]]-1))</f>
        <v>#VALUE!</v>
      </c>
      <c r="G1790" s="37">
        <v>32566</v>
      </c>
      <c r="H1790">
        <v>0.91993199999999997</v>
      </c>
      <c r="I1790" s="36">
        <f>IF(ISBLANK(H1791), "", Long0[[#This Row],[Adj Close]]/H1791-1)</f>
        <v>-3.1249769641546465E-2</v>
      </c>
      <c r="M1790" s="37">
        <v>32566</v>
      </c>
      <c r="N1790">
        <v>15.216443999999999</v>
      </c>
      <c r="O1790" s="36">
        <f>IF(ISBLANK(N1791),"",Long2[[#This Row],[Adj Close]]/N1791-1)</f>
        <v>0</v>
      </c>
      <c r="P1790" s="29">
        <v>32566</v>
      </c>
      <c r="Q1790">
        <v>1.3632089999999999</v>
      </c>
      <c r="R1790" s="33">
        <f>IF(ISBLANK(Q1791),"",Long3[[#This Row],[Adj Close]]/Q1791-1)</f>
        <v>-3.5327862741056926E-3</v>
      </c>
      <c r="AK1790" s="37">
        <v>32566</v>
      </c>
      <c r="AL1790" s="39">
        <v>0.23333999999999999</v>
      </c>
      <c r="AM1790" s="36">
        <f>IF(ISBLANK(AL1791),"",Short1[[#This Row],[Adj Close]]/AL1791-1)</f>
        <v>1.2659326542923344E-2</v>
      </c>
      <c r="AN1790" s="29">
        <v>32566</v>
      </c>
      <c r="AO1790" s="44">
        <v>0.87539999999999996</v>
      </c>
      <c r="AP1790" s="33">
        <f>IF(ISBLANK(AO1791),"",Short2[[#This Row],[Adj Close]]/AO1791-1)</f>
        <v>-4.1916429808941502E-2</v>
      </c>
    </row>
    <row r="1791" spans="1:42" x14ac:dyDescent="0.25">
      <c r="A1791" s="37">
        <v>32559</v>
      </c>
      <c r="B1791" s="39">
        <v>287.13000499999998</v>
      </c>
      <c r="C1791" s="36">
        <f>IF(ISBLANK(B1792), "", GSPC[[#This Row],[Adj Close]]/B1792-1)</f>
        <v>-3.2450480777379775E-2</v>
      </c>
      <c r="D179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9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91" s="11" t="e">
        <f>IF(ISBLANK(GSPC[[#This Row],[Long Exp.]]), "", (GSPC[[#This Row],[Long Exp.]]/D1792-1)+(E1792/GSPC[[#This Row],[Short Exp.]]-1))</f>
        <v>#VALUE!</v>
      </c>
      <c r="G1791" s="37">
        <v>32559</v>
      </c>
      <c r="H1791">
        <v>0.94960699999999998</v>
      </c>
      <c r="I1791" s="36">
        <f>IF(ISBLANK(H1792), "", Long0[[#This Row],[Adj Close]]/H1792-1)</f>
        <v>1.5871266866430256E-2</v>
      </c>
      <c r="M1791" s="37">
        <v>32559</v>
      </c>
      <c r="N1791">
        <v>15.216443999999999</v>
      </c>
      <c r="O1791" s="36">
        <f>IF(ISBLANK(N1792),"",Long2[[#This Row],[Adj Close]]/N1792-1)</f>
        <v>-7.8327156702759915E-3</v>
      </c>
      <c r="P1791" s="29">
        <v>32559</v>
      </c>
      <c r="Q1791">
        <v>1.368042</v>
      </c>
      <c r="R1791" s="33">
        <f>IF(ISBLANK(Q1792),"",Long3[[#This Row],[Adj Close]]/Q1792-1)</f>
        <v>0</v>
      </c>
      <c r="AK1791" s="37">
        <v>32559</v>
      </c>
      <c r="AL1791" s="39">
        <v>0.23042299999999999</v>
      </c>
      <c r="AM1791" s="36">
        <f>IF(ISBLANK(AL1792),"",Short1[[#This Row],[Adj Close]]/AL1792-1)</f>
        <v>-4.8192820851749363E-2</v>
      </c>
      <c r="AN1791" s="29">
        <v>32559</v>
      </c>
      <c r="AO1791" s="44">
        <v>0.91369900000000004</v>
      </c>
      <c r="AP1791" s="33">
        <f>IF(ISBLANK(AO1792),"",Short2[[#This Row],[Adj Close]]/AO1792-1)</f>
        <v>-2.3391806614905697E-2</v>
      </c>
    </row>
    <row r="1792" spans="1:42" x14ac:dyDescent="0.25">
      <c r="A1792" s="37">
        <v>32552</v>
      </c>
      <c r="B1792" s="39">
        <v>296.76001000000002</v>
      </c>
      <c r="C1792" s="36">
        <f>IF(ISBLANK(B1793), "", GSPC[[#This Row],[Adj Close]]/B1793-1)</f>
        <v>1.6231837471920585E-2</v>
      </c>
      <c r="D179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9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92" s="11" t="e">
        <f>IF(ISBLANK(GSPC[[#This Row],[Long Exp.]]), "", (GSPC[[#This Row],[Long Exp.]]/D1793-1)+(E1793/GSPC[[#This Row],[Short Exp.]]-1))</f>
        <v>#VALUE!</v>
      </c>
      <c r="G1792" s="37">
        <v>32552</v>
      </c>
      <c r="H1792">
        <v>0.93477100000000002</v>
      </c>
      <c r="I1792" s="36">
        <f>IF(ISBLANK(H1793), "", Long0[[#This Row],[Adj Close]]/H1793-1)</f>
        <v>-1.5623305219948813E-2</v>
      </c>
      <c r="M1792" s="37">
        <v>32552</v>
      </c>
      <c r="N1792">
        <v>15.336570999999999</v>
      </c>
      <c r="O1792" s="36">
        <f>IF(ISBLANK(N1793),"",Long2[[#This Row],[Adj Close]]/N1793-1)</f>
        <v>2.4064417503584679E-2</v>
      </c>
      <c r="P1792" s="29">
        <v>32552</v>
      </c>
      <c r="Q1792">
        <v>1.368042</v>
      </c>
      <c r="R1792" s="33">
        <f>IF(ISBLANK(Q1793),"",Long3[[#This Row],[Adj Close]]/Q1793-1)</f>
        <v>0</v>
      </c>
      <c r="AK1792" s="37">
        <v>32552</v>
      </c>
      <c r="AL1792" s="39">
        <v>0.24209</v>
      </c>
      <c r="AM1792" s="36">
        <f>IF(ISBLANK(AL1793),"",Short1[[#This Row],[Adj Close]]/AL1793-1)</f>
        <v>1.2196192714060583E-2</v>
      </c>
      <c r="AN1792" s="29">
        <v>32552</v>
      </c>
      <c r="AO1792" s="44">
        <v>0.93558399999999997</v>
      </c>
      <c r="AP1792" s="33">
        <f>IF(ISBLANK(AO1793),"",Short2[[#This Row],[Adj Close]]/AO1793-1)</f>
        <v>5.8820809944597485E-3</v>
      </c>
    </row>
    <row r="1793" spans="1:42" x14ac:dyDescent="0.25">
      <c r="A1793" s="37">
        <v>32545</v>
      </c>
      <c r="B1793" s="39">
        <v>292.01998900000001</v>
      </c>
      <c r="C1793" s="36">
        <f>IF(ISBLANK(B1794), "", GSPC[[#This Row],[Adj Close]]/B1794-1)</f>
        <v>-1.6668390690411927E-2</v>
      </c>
      <c r="D179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9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93" s="11" t="e">
        <f>IF(ISBLANK(GSPC[[#This Row],[Long Exp.]]), "", (GSPC[[#This Row],[Long Exp.]]/D1794-1)+(E1794/GSPC[[#This Row],[Short Exp.]]-1))</f>
        <v>#VALUE!</v>
      </c>
      <c r="G1793" s="37">
        <v>32545</v>
      </c>
      <c r="H1793">
        <v>0.94960699999999998</v>
      </c>
      <c r="I1793" s="36">
        <f>IF(ISBLANK(H1794), "", Long0[[#This Row],[Adj Close]]/H1794-1)</f>
        <v>0</v>
      </c>
      <c r="M1793" s="37">
        <v>32545</v>
      </c>
      <c r="N1793">
        <v>14.976178000000001</v>
      </c>
      <c r="O1793" s="36">
        <f>IF(ISBLANK(N1794),"",Long2[[#This Row],[Adj Close]]/N1794-1)</f>
        <v>-2.0942596969887206E-2</v>
      </c>
      <c r="P1793" s="29">
        <v>32545</v>
      </c>
      <c r="Q1793">
        <v>1.368042</v>
      </c>
      <c r="R1793" s="33">
        <f>IF(ISBLANK(Q1794),"",Long3[[#This Row],[Adj Close]]/Q1794-1)</f>
        <v>-1.7361567518763277E-2</v>
      </c>
      <c r="AK1793" s="37">
        <v>32545</v>
      </c>
      <c r="AL1793" s="39">
        <v>0.239173</v>
      </c>
      <c r="AM1793" s="36">
        <f>IF(ISBLANK(AL1794),"",Short1[[#This Row],[Adj Close]]/AL1794-1)</f>
        <v>-2.3811564567542964E-2</v>
      </c>
      <c r="AN1793" s="29">
        <v>32545</v>
      </c>
      <c r="AO1793" s="44">
        <v>0.93011299999999997</v>
      </c>
      <c r="AP1793" s="33">
        <f>IF(ISBLANK(AO1794),"",Short2[[#This Row],[Adj Close]]/AO1794-1)</f>
        <v>1.489421831541482E-2</v>
      </c>
    </row>
    <row r="1794" spans="1:42" x14ac:dyDescent="0.25">
      <c r="A1794" s="37">
        <v>32538</v>
      </c>
      <c r="B1794" s="39">
        <v>296.97000100000002</v>
      </c>
      <c r="C1794" s="36">
        <f>IF(ISBLANK(B1795), "", GSPC[[#This Row],[Adj Close]]/B1795-1)</f>
        <v>1.0720828823614026E-2</v>
      </c>
      <c r="D179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9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94" s="11" t="e">
        <f>IF(ISBLANK(GSPC[[#This Row],[Long Exp.]]), "", (GSPC[[#This Row],[Long Exp.]]/D1795-1)+(E1795/GSPC[[#This Row],[Short Exp.]]-1))</f>
        <v>#VALUE!</v>
      </c>
      <c r="G1794" s="37">
        <v>32538</v>
      </c>
      <c r="H1794">
        <v>0.94960699999999998</v>
      </c>
      <c r="I1794" s="36">
        <f>IF(ISBLANK(H1795), "", Long0[[#This Row],[Adj Close]]/H1795-1)</f>
        <v>-7.2465537601692609E-2</v>
      </c>
      <c r="M1794" s="37">
        <v>32538</v>
      </c>
      <c r="N1794">
        <v>15.296526999999999</v>
      </c>
      <c r="O1794" s="36">
        <f>IF(ISBLANK(N1795),"",Long2[[#This Row],[Adj Close]]/N1795-1)</f>
        <v>-5.2083638179380998E-3</v>
      </c>
      <c r="P1794" s="29">
        <v>32538</v>
      </c>
      <c r="Q1794">
        <v>1.3922129999999999</v>
      </c>
      <c r="R1794" s="33">
        <f>IF(ISBLANK(Q1795),"",Long3[[#This Row],[Adj Close]]/Q1795-1)</f>
        <v>0</v>
      </c>
      <c r="AK1794" s="37">
        <v>32538</v>
      </c>
      <c r="AL1794" s="39">
        <v>0.245007</v>
      </c>
      <c r="AM1794" s="36">
        <f>IF(ISBLANK(AL1795),"",Short1[[#This Row],[Adj Close]]/AL1795-1)</f>
        <v>-2.3253867006856943E-2</v>
      </c>
      <c r="AN1794" s="29">
        <v>32538</v>
      </c>
      <c r="AO1794" s="44">
        <v>0.91646300000000003</v>
      </c>
      <c r="AP1794" s="33">
        <f>IF(ISBLANK(AO1795),"",Short2[[#This Row],[Adj Close]]/AO1795-1)</f>
        <v>7.0063062126878517E-2</v>
      </c>
    </row>
    <row r="1795" spans="1:42" x14ac:dyDescent="0.25">
      <c r="A1795" s="37">
        <v>32531</v>
      </c>
      <c r="B1795" s="39">
        <v>293.82000699999998</v>
      </c>
      <c r="C1795" s="36">
        <f>IF(ISBLANK(B1796), "", GSPC[[#This Row],[Adj Close]]/B1796-1)</f>
        <v>2.5084610384736195E-2</v>
      </c>
      <c r="D179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9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95" s="11" t="e">
        <f>IF(ISBLANK(GSPC[[#This Row],[Long Exp.]]), "", (GSPC[[#This Row],[Long Exp.]]/D1796-1)+(E1796/GSPC[[#This Row],[Short Exp.]]-1))</f>
        <v>#VALUE!</v>
      </c>
      <c r="G1795" s="37">
        <v>32531</v>
      </c>
      <c r="H1795">
        <v>1.0237970000000001</v>
      </c>
      <c r="I1795" s="36">
        <f>IF(ISBLANK(H1796), "", Long0[[#This Row],[Adj Close]]/H1796-1)</f>
        <v>-1.4284160044982008E-2</v>
      </c>
      <c r="M1795" s="37">
        <v>32531</v>
      </c>
      <c r="N1795">
        <v>15.376614</v>
      </c>
      <c r="O1795" s="36">
        <f>IF(ISBLANK(N1796),"",Long2[[#This Row],[Adj Close]]/N1796-1)</f>
        <v>-1.0309083269742336E-2</v>
      </c>
      <c r="P1795" s="29">
        <v>32531</v>
      </c>
      <c r="Q1795">
        <v>1.3922129999999999</v>
      </c>
      <c r="R1795" s="33">
        <f>IF(ISBLANK(Q1796),"",Long3[[#This Row],[Adj Close]]/Q1796-1)</f>
        <v>1.0526155340270904E-2</v>
      </c>
      <c r="AK1795" s="37">
        <v>32531</v>
      </c>
      <c r="AL1795" s="39">
        <v>0.25084000000000001</v>
      </c>
      <c r="AM1795" s="36">
        <f>IF(ISBLANK(AL1796),"",Short1[[#This Row],[Adj Close]]/AL1796-1)</f>
        <v>4.8780589782291495E-2</v>
      </c>
      <c r="AN1795" s="29">
        <v>32531</v>
      </c>
      <c r="AO1795" s="44">
        <v>0.85645700000000002</v>
      </c>
      <c r="AP1795" s="33">
        <f>IF(ISBLANK(AO1796),"",Short2[[#This Row],[Adj Close]]/AO1796-1)</f>
        <v>-6.3289523756485666E-3</v>
      </c>
    </row>
    <row r="1796" spans="1:42" x14ac:dyDescent="0.25">
      <c r="A1796" s="37">
        <v>32524</v>
      </c>
      <c r="B1796" s="39">
        <v>286.63000499999998</v>
      </c>
      <c r="C1796" s="36">
        <f>IF(ISBLANK(B1797), "", GSPC[[#This Row],[Adj Close]]/B1797-1)</f>
        <v>9.7227958171484108E-3</v>
      </c>
      <c r="D179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9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96" s="11" t="e">
        <f>IF(ISBLANK(GSPC[[#This Row],[Long Exp.]]), "", (GSPC[[#This Row],[Long Exp.]]/D1797-1)+(E1797/GSPC[[#This Row],[Short Exp.]]-1))</f>
        <v>#VALUE!</v>
      </c>
      <c r="G1796" s="37">
        <v>32524</v>
      </c>
      <c r="H1796">
        <v>1.0386329999999999</v>
      </c>
      <c r="I1796" s="36">
        <f>IF(ISBLANK(H1797), "", Long0[[#This Row],[Adj Close]]/H1797-1)</f>
        <v>2.9411531500815657E-2</v>
      </c>
      <c r="M1796" s="37">
        <v>32524</v>
      </c>
      <c r="N1796">
        <v>15.536784000000001</v>
      </c>
      <c r="O1796" s="36">
        <f>IF(ISBLANK(N1797),"",Long2[[#This Row],[Adj Close]]/N1797-1)</f>
        <v>4.0214138324895288E-2</v>
      </c>
      <c r="P1796" s="29">
        <v>32524</v>
      </c>
      <c r="Q1796">
        <v>1.3777109999999999</v>
      </c>
      <c r="R1796" s="33">
        <f>IF(ISBLANK(Q1797),"",Long3[[#This Row],[Adj Close]]/Q1797-1)</f>
        <v>3.5218038628397341E-3</v>
      </c>
      <c r="AK1796" s="37">
        <v>32524</v>
      </c>
      <c r="AL1796" s="39">
        <v>0.239173</v>
      </c>
      <c r="AM1796" s="36">
        <f>IF(ISBLANK(AL1797),"",Short1[[#This Row],[Adj Close]]/AL1797-1)</f>
        <v>0.10810835854502665</v>
      </c>
      <c r="AN1796" s="29">
        <v>32524</v>
      </c>
      <c r="AO1796" s="44">
        <v>0.86191200000000001</v>
      </c>
      <c r="AP1796" s="33">
        <f>IF(ISBLANK(AO1797),"",Short2[[#This Row],[Adj Close]]/AO1797-1)</f>
        <v>1.9355540680223271E-2</v>
      </c>
    </row>
    <row r="1797" spans="1:42" x14ac:dyDescent="0.25">
      <c r="A1797" s="37">
        <v>32517</v>
      </c>
      <c r="B1797" s="39">
        <v>283.86999500000002</v>
      </c>
      <c r="C1797" s="36">
        <f>IF(ISBLANK(B1798), "", GSPC[[#This Row],[Adj Close]]/B1798-1)</f>
        <v>1.1401225110571511E-2</v>
      </c>
      <c r="D179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9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97" s="11" t="e">
        <f>IF(ISBLANK(GSPC[[#This Row],[Long Exp.]]), "", (GSPC[[#This Row],[Long Exp.]]/D1798-1)+(E1798/GSPC[[#This Row],[Short Exp.]]-1))</f>
        <v>#VALUE!</v>
      </c>
      <c r="G1797" s="37">
        <v>32517</v>
      </c>
      <c r="H1797">
        <v>1.008958</v>
      </c>
      <c r="I1797" s="36">
        <f>IF(ISBLANK(H1798), "", Long0[[#This Row],[Adj Close]]/H1798-1)</f>
        <v>-5.5555139529049669E-2</v>
      </c>
      <c r="M1797" s="37">
        <v>32517</v>
      </c>
      <c r="N1797">
        <v>14.93614</v>
      </c>
      <c r="O1797" s="36">
        <f>IF(ISBLANK(N1798),"",Long2[[#This Row],[Adj Close]]/N1798-1)</f>
        <v>8.1087332540001889E-3</v>
      </c>
      <c r="P1797" s="29">
        <v>32517</v>
      </c>
      <c r="Q1797">
        <v>1.372876</v>
      </c>
      <c r="R1797" s="33">
        <f>IF(ISBLANK(Q1798),"",Long3[[#This Row],[Adj Close]]/Q1798-1)</f>
        <v>-6.99290583156853E-3</v>
      </c>
      <c r="AK1797" s="37">
        <v>32517</v>
      </c>
      <c r="AL1797" s="39">
        <v>0.215839</v>
      </c>
      <c r="AM1797" s="36">
        <f>IF(ISBLANK(AL1798),"",Short1[[#This Row],[Adj Close]]/AL1798-1)</f>
        <v>5.7142997080892544E-2</v>
      </c>
      <c r="AN1797" s="29">
        <v>32517</v>
      </c>
      <c r="AO1797" s="44">
        <v>0.84554600000000002</v>
      </c>
      <c r="AP1797" s="33">
        <f>IF(ISBLANK(AO1798),"",Short2[[#This Row],[Adj Close]]/AO1798-1)</f>
        <v>1.3071566527204537E-2</v>
      </c>
    </row>
    <row r="1798" spans="1:42" x14ac:dyDescent="0.25">
      <c r="A1798" s="37">
        <v>32510</v>
      </c>
      <c r="B1798" s="39">
        <v>280.67001299999998</v>
      </c>
      <c r="C1798" s="36">
        <f>IF(ISBLANK(B1799), "", GSPC[[#This Row],[Adj Close]]/B1799-1)</f>
        <v>1.0622252590298586E-2</v>
      </c>
      <c r="D179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9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98" s="11" t="e">
        <f>IF(ISBLANK(GSPC[[#This Row],[Long Exp.]]), "", (GSPC[[#This Row],[Long Exp.]]/D1799-1)+(E1799/GSPC[[#This Row],[Short Exp.]]-1))</f>
        <v>#VALUE!</v>
      </c>
      <c r="G1798" s="37">
        <v>32510</v>
      </c>
      <c r="H1798">
        <v>1.068308</v>
      </c>
      <c r="I1798" s="36">
        <f>IF(ISBLANK(H1799), "", Long0[[#This Row],[Adj Close]]/H1799-1)</f>
        <v>1.408391877896964E-2</v>
      </c>
      <c r="M1798" s="37">
        <v>32510</v>
      </c>
      <c r="N1798">
        <v>14.816001</v>
      </c>
      <c r="O1798" s="36">
        <f>IF(ISBLANK(N1799),"",Long2[[#This Row],[Adj Close]]/N1799-1)</f>
        <v>4.8158775103174678E-2</v>
      </c>
      <c r="P1798" s="29">
        <v>32510</v>
      </c>
      <c r="Q1798">
        <v>1.382544</v>
      </c>
      <c r="R1798" s="33">
        <f>IF(ISBLANK(Q1799),"",Long3[[#This Row],[Adj Close]]/Q1799-1)</f>
        <v>-1.0381182594429439E-2</v>
      </c>
      <c r="AK1798" s="37">
        <v>32510</v>
      </c>
      <c r="AL1798" s="39">
        <v>0.20417199999999999</v>
      </c>
      <c r="AM1798" s="36">
        <f>IF(ISBLANK(AL1799),"",Short1[[#This Row],[Adj Close]]/AL1799-1)</f>
        <v>4.4774897401520741E-2</v>
      </c>
      <c r="AN1798" s="29">
        <v>32510</v>
      </c>
      <c r="AO1798" s="44">
        <v>0.83463600000000004</v>
      </c>
      <c r="AP1798" s="33">
        <f>IF(ISBLANK(AO1799),"",Short2[[#This Row],[Adj Close]]/AO1799-1)</f>
        <v>8.5105470146585649E-2</v>
      </c>
    </row>
    <row r="1799" spans="1:42" x14ac:dyDescent="0.25">
      <c r="A1799" s="37">
        <v>32503</v>
      </c>
      <c r="B1799" s="39">
        <v>277.72000100000002</v>
      </c>
      <c r="C1799" s="36">
        <f>IF(ISBLANK(B1800), "", GSPC[[#This Row],[Adj Close]]/B1800-1)</f>
        <v>-5.3979919638313945E-4</v>
      </c>
      <c r="D179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79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799" s="11" t="e">
        <f>IF(ISBLANK(GSPC[[#This Row],[Long Exp.]]), "", (GSPC[[#This Row],[Long Exp.]]/D1800-1)+(E1800/GSPC[[#This Row],[Short Exp.]]-1))</f>
        <v>#VALUE!</v>
      </c>
      <c r="G1799" s="37">
        <v>32503</v>
      </c>
      <c r="H1799">
        <v>1.053471</v>
      </c>
      <c r="I1799" s="36">
        <f>IF(ISBLANK(H1800), "", Long0[[#This Row],[Adj Close]]/H1800-1)</f>
        <v>4.7153522796965941E-2</v>
      </c>
      <c r="M1799" s="37">
        <v>32503</v>
      </c>
      <c r="N1799">
        <v>14.135263999999999</v>
      </c>
      <c r="O1799" s="36">
        <f>IF(ISBLANK(N1800),"",Long2[[#This Row],[Adj Close]]/N1800-1)</f>
        <v>-1.9445009997866913E-2</v>
      </c>
      <c r="P1799" s="29">
        <v>32503</v>
      </c>
      <c r="Q1799">
        <v>1.3970469999999999</v>
      </c>
      <c r="R1799" s="33">
        <f>IF(ISBLANK(Q1800),"",Long3[[#This Row],[Adj Close]]/Q1800-1)</f>
        <v>6.9685356344588723E-3</v>
      </c>
      <c r="AK1799" s="37">
        <v>32503</v>
      </c>
      <c r="AL1799" s="39">
        <v>0.19542200000000001</v>
      </c>
      <c r="AM1799" s="36">
        <f>IF(ISBLANK(AL1800),"",Short1[[#This Row],[Adj Close]]/AL1800-1)</f>
        <v>-4.2856023352859207E-2</v>
      </c>
      <c r="AN1799" s="29">
        <v>32503</v>
      </c>
      <c r="AO1799" s="44">
        <v>0.76917500000000005</v>
      </c>
      <c r="AP1799" s="33">
        <f>IF(ISBLANK(AO1800),"",Short2[[#This Row],[Adj Close]]/AO1800-1)</f>
        <v>0</v>
      </c>
    </row>
    <row r="1800" spans="1:42" x14ac:dyDescent="0.25">
      <c r="A1800" s="37">
        <v>32496</v>
      </c>
      <c r="B1800" s="39">
        <v>277.86999500000002</v>
      </c>
      <c r="C1800" s="36">
        <f>IF(ISBLANK(B1801), "", GSPC[[#This Row],[Adj Close]]/B1801-1)</f>
        <v>5.7185781191242402E-3</v>
      </c>
      <c r="D180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0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00" s="11" t="e">
        <f>IF(ISBLANK(GSPC[[#This Row],[Long Exp.]]), "", (GSPC[[#This Row],[Long Exp.]]/D1801-1)+(E1801/GSPC[[#This Row],[Short Exp.]]-1))</f>
        <v>#VALUE!</v>
      </c>
      <c r="G1800" s="37">
        <v>32496</v>
      </c>
      <c r="H1800">
        <v>1.006033</v>
      </c>
      <c r="I1800" s="36">
        <f>IF(ISBLANK(H1801), "", Long0[[#This Row],[Adj Close]]/H1801-1)</f>
        <v>1.4924755785436172E-2</v>
      </c>
      <c r="M1800" s="37">
        <v>32496</v>
      </c>
      <c r="N1800">
        <v>14.415575</v>
      </c>
      <c r="O1800" s="36">
        <f>IF(ISBLANK(N1801),"",Long2[[#This Row],[Adj Close]]/N1801-1)</f>
        <v>6.8305460183031297E-2</v>
      </c>
      <c r="P1800" s="29">
        <v>32496</v>
      </c>
      <c r="Q1800">
        <v>1.3873789999999999</v>
      </c>
      <c r="R1800" s="33">
        <f>IF(ISBLANK(Q1801),"",Long3[[#This Row],[Adj Close]]/Q1801-1)</f>
        <v>7.017436893513862E-3</v>
      </c>
      <c r="AK1800" s="37">
        <v>32496</v>
      </c>
      <c r="AL1800" s="39">
        <v>0.20417199999999999</v>
      </c>
      <c r="AM1800" s="36">
        <f>IF(ISBLANK(AL1801),"",Short1[[#This Row],[Adj Close]]/AL1801-1)</f>
        <v>2.9409243769505711E-2</v>
      </c>
      <c r="AN1800" s="29">
        <v>32496</v>
      </c>
      <c r="AO1800" s="44">
        <v>0.76917500000000005</v>
      </c>
      <c r="AP1800" s="33">
        <f>IF(ISBLANK(AO1801),"",Short2[[#This Row],[Adj Close]]/AO1801-1)</f>
        <v>-6.6224691220138632E-2</v>
      </c>
    </row>
    <row r="1801" spans="1:42" x14ac:dyDescent="0.25">
      <c r="A1801" s="37">
        <v>32489</v>
      </c>
      <c r="B1801" s="39">
        <v>276.290009</v>
      </c>
      <c r="C1801" s="36">
        <f>IF(ISBLANK(B1802), "", GSPC[[#This Row],[Adj Close]]/B1802-1)</f>
        <v>-2.6711547582252138E-3</v>
      </c>
      <c r="D180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0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01" s="11" t="e">
        <f>IF(ISBLANK(GSPC[[#This Row],[Long Exp.]]), "", (GSPC[[#This Row],[Long Exp.]]/D1802-1)+(E1802/GSPC[[#This Row],[Short Exp.]]-1))</f>
        <v>#VALUE!</v>
      </c>
      <c r="G1801" s="37">
        <v>32489</v>
      </c>
      <c r="H1801">
        <v>0.99123899999999998</v>
      </c>
      <c r="I1801" s="36">
        <f>IF(ISBLANK(H1802), "", Long0[[#This Row],[Adj Close]]/H1802-1)</f>
        <v>1.5151918594410008E-2</v>
      </c>
      <c r="M1801" s="37">
        <v>32489</v>
      </c>
      <c r="N1801">
        <v>13.493869999999999</v>
      </c>
      <c r="O1801" s="36">
        <f>IF(ISBLANK(N1802),"",Long2[[#This Row],[Adj Close]]/N1802-1)</f>
        <v>8.9291161773554784E-3</v>
      </c>
      <c r="P1801" s="29">
        <v>32489</v>
      </c>
      <c r="Q1801">
        <v>1.3777109999999999</v>
      </c>
      <c r="R1801" s="33">
        <f>IF(ISBLANK(Q1802),"",Long3[[#This Row],[Adj Close]]/Q1802-1)</f>
        <v>7.0677654633410913E-3</v>
      </c>
      <c r="AK1801" s="37">
        <v>32489</v>
      </c>
      <c r="AL1801" s="39">
        <v>0.19833899999999999</v>
      </c>
      <c r="AM1801" s="36">
        <f>IF(ISBLANK(AL1802),"",Short1[[#This Row],[Adj Close]]/AL1802-1)</f>
        <v>0</v>
      </c>
      <c r="AN1801" s="29">
        <v>32489</v>
      </c>
      <c r="AO1801" s="44">
        <v>0.82372599999999996</v>
      </c>
      <c r="AP1801" s="33">
        <f>IF(ISBLANK(AO1802),"",Short2[[#This Row],[Adj Close]]/AO1802-1)</f>
        <v>2.02710067380103E-2</v>
      </c>
    </row>
    <row r="1802" spans="1:42" x14ac:dyDescent="0.25">
      <c r="A1802" s="37">
        <v>32482</v>
      </c>
      <c r="B1802" s="39">
        <v>277.02999899999998</v>
      </c>
      <c r="C1802" s="36">
        <f>IF(ISBLANK(B1803), "", GSPC[[#This Row],[Adj Close]]/B1803-1)</f>
        <v>1.9204595262901192E-2</v>
      </c>
      <c r="D180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0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02" s="11" t="e">
        <f>IF(ISBLANK(GSPC[[#This Row],[Long Exp.]]), "", (GSPC[[#This Row],[Long Exp.]]/D1803-1)+(E1803/GSPC[[#This Row],[Short Exp.]]-1))</f>
        <v>#VALUE!</v>
      </c>
      <c r="G1802" s="37">
        <v>32482</v>
      </c>
      <c r="H1802">
        <v>0.97644399999999998</v>
      </c>
      <c r="I1802" s="36">
        <f>IF(ISBLANK(H1803), "", Long0[[#This Row],[Adj Close]]/H1803-1)</f>
        <v>0</v>
      </c>
      <c r="M1802" s="37">
        <v>32482</v>
      </c>
      <c r="N1802">
        <v>13.374447999999999</v>
      </c>
      <c r="O1802" s="36">
        <f>IF(ISBLANK(N1803),"",Long2[[#This Row],[Adj Close]]/N1803-1)</f>
        <v>2.7522766618782724E-2</v>
      </c>
      <c r="P1802" s="29">
        <v>32482</v>
      </c>
      <c r="Q1802">
        <v>1.368042</v>
      </c>
      <c r="R1802" s="33">
        <f>IF(ISBLANK(Q1803),"",Long3[[#This Row],[Adj Close]]/Q1803-1)</f>
        <v>-1.3937792052496012E-2</v>
      </c>
      <c r="AK1802" s="37">
        <v>32482</v>
      </c>
      <c r="AL1802" s="39">
        <v>0.19833899999999999</v>
      </c>
      <c r="AM1802" s="36">
        <f>IF(ISBLANK(AL1803),"",Short1[[#This Row],[Adj Close]]/AL1803-1)</f>
        <v>-2.8569049624826204E-2</v>
      </c>
      <c r="AN1802" s="29">
        <v>32482</v>
      </c>
      <c r="AO1802" s="44">
        <v>0.80735999999999997</v>
      </c>
      <c r="AP1802" s="33">
        <f>IF(ISBLANK(AO1803),"",Short2[[#This Row],[Adj Close]]/AO1803-1)</f>
        <v>-6.7124662900336363E-3</v>
      </c>
    </row>
    <row r="1803" spans="1:42" x14ac:dyDescent="0.25">
      <c r="A1803" s="37">
        <v>32475</v>
      </c>
      <c r="B1803" s="39">
        <v>271.80999800000001</v>
      </c>
      <c r="C1803" s="36">
        <f>IF(ISBLANK(B1804), "", GSPC[[#This Row],[Adj Close]]/B1804-1)</f>
        <v>1.7138744944331874E-2</v>
      </c>
      <c r="D180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0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03" s="11" t="e">
        <f>IF(ISBLANK(GSPC[[#This Row],[Long Exp.]]), "", (GSPC[[#This Row],[Long Exp.]]/D1804-1)+(E1804/GSPC[[#This Row],[Short Exp.]]-1))</f>
        <v>#VALUE!</v>
      </c>
      <c r="G1803" s="37">
        <v>32475</v>
      </c>
      <c r="H1803">
        <v>0.97644399999999998</v>
      </c>
      <c r="I1803" s="36">
        <f>IF(ISBLANK(H1804), "", Long0[[#This Row],[Adj Close]]/H1804-1)</f>
        <v>-1.4925764623869742E-2</v>
      </c>
      <c r="M1803" s="37">
        <v>32475</v>
      </c>
      <c r="N1803">
        <v>13.016206</v>
      </c>
      <c r="O1803" s="36">
        <f>IF(ISBLANK(N1804),"",Long2[[#This Row],[Adj Close]]/N1804-1)</f>
        <v>4.1401536587010845E-2</v>
      </c>
      <c r="P1803" s="29">
        <v>32475</v>
      </c>
      <c r="Q1803">
        <v>1.3873789999999999</v>
      </c>
      <c r="R1803" s="33">
        <f>IF(ISBLANK(Q1804),"",Long3[[#This Row],[Adj Close]]/Q1804-1)</f>
        <v>1.0563954792712549E-2</v>
      </c>
      <c r="AK1803" s="37">
        <v>32475</v>
      </c>
      <c r="AL1803" s="39">
        <v>0.20417199999999999</v>
      </c>
      <c r="AM1803" s="36">
        <f>IF(ISBLANK(AL1804),"",Short1[[#This Row],[Adj Close]]/AL1804-1)</f>
        <v>4.4774897401520741E-2</v>
      </c>
      <c r="AN1803" s="29">
        <v>32475</v>
      </c>
      <c r="AO1803" s="44">
        <v>0.81281599999999998</v>
      </c>
      <c r="AP1803" s="33">
        <f>IF(ISBLANK(AO1804),"",Short2[[#This Row],[Adj Close]]/AO1804-1)</f>
        <v>3.4722611197392839E-2</v>
      </c>
    </row>
    <row r="1804" spans="1:42" x14ac:dyDescent="0.25">
      <c r="A1804" s="37">
        <v>32468</v>
      </c>
      <c r="B1804" s="39">
        <v>267.23001099999999</v>
      </c>
      <c r="C1804" s="36">
        <f>IF(ISBLANK(B1805), "", GSPC[[#This Row],[Adj Close]]/B1805-1)</f>
        <v>2.8521409432500366E-3</v>
      </c>
      <c r="D180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0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04" s="11" t="e">
        <f>IF(ISBLANK(GSPC[[#This Row],[Long Exp.]]), "", (GSPC[[#This Row],[Long Exp.]]/D1805-1)+(E1805/GSPC[[#This Row],[Short Exp.]]-1))</f>
        <v>#VALUE!</v>
      </c>
      <c r="G1804" s="37">
        <v>32468</v>
      </c>
      <c r="H1804">
        <v>0.99123899999999998</v>
      </c>
      <c r="I1804" s="36">
        <f>IF(ISBLANK(H1805), "", Long0[[#This Row],[Adj Close]]/H1805-1)</f>
        <v>-5.6338524282714242E-2</v>
      </c>
      <c r="M1804" s="37">
        <v>32468</v>
      </c>
      <c r="N1804">
        <v>12.498739</v>
      </c>
      <c r="O1804" s="36">
        <f>IF(ISBLANK(N1805),"",Long2[[#This Row],[Adj Close]]/N1805-1)</f>
        <v>2.9507084876514211E-2</v>
      </c>
      <c r="P1804" s="29">
        <v>32468</v>
      </c>
      <c r="Q1804">
        <v>1.372876</v>
      </c>
      <c r="R1804" s="33">
        <f>IF(ISBLANK(Q1805),"",Long3[[#This Row],[Adj Close]]/Q1805-1)</f>
        <v>-3.5094442883883969E-3</v>
      </c>
      <c r="AK1804" s="37">
        <v>32468</v>
      </c>
      <c r="AL1804" s="39">
        <v>0.19542200000000001</v>
      </c>
      <c r="AM1804" s="36">
        <f>IF(ISBLANK(AL1805),"",Short1[[#This Row],[Adj Close]]/AL1805-1)</f>
        <v>0</v>
      </c>
      <c r="AN1804" s="29">
        <v>32468</v>
      </c>
      <c r="AO1804" s="44">
        <v>0.78554000000000002</v>
      </c>
      <c r="AP1804" s="33">
        <f>IF(ISBLANK(AO1805),"",Short2[[#This Row],[Adj Close]]/AO1805-1)</f>
        <v>-2.0408875853279551E-2</v>
      </c>
    </row>
    <row r="1805" spans="1:42" x14ac:dyDescent="0.25">
      <c r="A1805" s="37">
        <v>32461</v>
      </c>
      <c r="B1805" s="39">
        <v>266.47000100000002</v>
      </c>
      <c r="C1805" s="36">
        <f>IF(ISBLANK(B1806), "", GSPC[[#This Row],[Adj Close]]/B1806-1)</f>
        <v>-5.4121078293616343E-3</v>
      </c>
      <c r="D180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0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05" s="11" t="e">
        <f>IF(ISBLANK(GSPC[[#This Row],[Long Exp.]]), "", (GSPC[[#This Row],[Long Exp.]]/D1806-1)+(E1806/GSPC[[#This Row],[Short Exp.]]-1))</f>
        <v>#VALUE!</v>
      </c>
      <c r="G1805" s="37">
        <v>32461</v>
      </c>
      <c r="H1805">
        <v>1.0504180000000001</v>
      </c>
      <c r="I1805" s="36">
        <f>IF(ISBLANK(H1806), "", Long0[[#This Row],[Adj Close]]/H1806-1)</f>
        <v>-2.7396144095495734E-2</v>
      </c>
      <c r="M1805" s="37">
        <v>32461</v>
      </c>
      <c r="N1805">
        <v>12.140508000000001</v>
      </c>
      <c r="O1805" s="36">
        <f>IF(ISBLANK(N1806),"",Long2[[#This Row],[Adj Close]]/N1806-1)</f>
        <v>-2.2435298432620265E-2</v>
      </c>
      <c r="P1805" s="29">
        <v>32461</v>
      </c>
      <c r="Q1805">
        <v>1.3777109999999999</v>
      </c>
      <c r="R1805" s="33">
        <f>IF(ISBLANK(Q1806),"",Long3[[#This Row],[Adj Close]]/Q1806-1)</f>
        <v>-1.0416509542720886E-2</v>
      </c>
      <c r="AK1805" s="37">
        <v>32461</v>
      </c>
      <c r="AL1805" s="39">
        <v>0.19542200000000001</v>
      </c>
      <c r="AM1805" s="36">
        <f>IF(ISBLANK(AL1806),"",Short1[[#This Row],[Adj Close]]/AL1806-1)</f>
        <v>0</v>
      </c>
      <c r="AN1805" s="29">
        <v>32461</v>
      </c>
      <c r="AO1805" s="44">
        <v>0.80190600000000001</v>
      </c>
      <c r="AP1805" s="33">
        <f>IF(ISBLANK(AO1806),"",Short2[[#This Row],[Adj Close]]/AO1806-1)</f>
        <v>2.0834075922295581E-2</v>
      </c>
    </row>
    <row r="1806" spans="1:42" x14ac:dyDescent="0.25">
      <c r="A1806" s="37">
        <v>32454</v>
      </c>
      <c r="B1806" s="39">
        <v>267.92001299999998</v>
      </c>
      <c r="C1806" s="36">
        <f>IF(ISBLANK(B1807), "", GSPC[[#This Row],[Adj Close]]/B1807-1)</f>
        <v>-3.0364391664177259E-2</v>
      </c>
      <c r="D180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0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06" s="11" t="e">
        <f>IF(ISBLANK(GSPC[[#This Row],[Long Exp.]]), "", (GSPC[[#This Row],[Long Exp.]]/D1807-1)+(E1807/GSPC[[#This Row],[Short Exp.]]-1))</f>
        <v>#VALUE!</v>
      </c>
      <c r="G1806" s="37">
        <v>32454</v>
      </c>
      <c r="H1806">
        <v>1.080006</v>
      </c>
      <c r="I1806" s="36">
        <f>IF(ISBLANK(H1807), "", Long0[[#This Row],[Adj Close]]/H1807-1)</f>
        <v>0</v>
      </c>
      <c r="M1806" s="37">
        <v>32454</v>
      </c>
      <c r="N1806">
        <v>12.419135000000001</v>
      </c>
      <c r="O1806" s="36">
        <f>IF(ISBLANK(N1807),"",Long2[[#This Row],[Adj Close]]/N1807-1)</f>
        <v>-2.4999972522240066E-2</v>
      </c>
      <c r="P1806" s="29">
        <v>32454</v>
      </c>
      <c r="Q1806">
        <v>1.3922129999999999</v>
      </c>
      <c r="R1806" s="33">
        <f>IF(ISBLANK(Q1807),"",Long3[[#This Row],[Adj Close]]/Q1807-1)</f>
        <v>-2.7027310351768197E-2</v>
      </c>
      <c r="AK1806" s="37">
        <v>32454</v>
      </c>
      <c r="AL1806" s="39">
        <v>0.19542200000000001</v>
      </c>
      <c r="AM1806" s="36">
        <f>IF(ISBLANK(AL1807),"",Short1[[#This Row],[Adj Close]]/AL1807-1)</f>
        <v>-1.4707142821129393E-2</v>
      </c>
      <c r="AN1806" s="29">
        <v>32454</v>
      </c>
      <c r="AO1806" s="44">
        <v>0.78554000000000002</v>
      </c>
      <c r="AP1806" s="33">
        <f>IF(ISBLANK(AO1807),"",Short2[[#This Row],[Adj Close]]/AO1807-1)</f>
        <v>-3.5517670040845495E-3</v>
      </c>
    </row>
    <row r="1807" spans="1:42" x14ac:dyDescent="0.25">
      <c r="A1807" s="37">
        <v>32447</v>
      </c>
      <c r="B1807" s="39">
        <v>276.30999800000001</v>
      </c>
      <c r="C1807" s="36">
        <f>IF(ISBLANK(B1808), "", GSPC[[#This Row],[Adj Close]]/B1808-1)</f>
        <v>-7.9704197320590309E-3</v>
      </c>
      <c r="D180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0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07" s="11" t="e">
        <f>IF(ISBLANK(GSPC[[#This Row],[Long Exp.]]), "", (GSPC[[#This Row],[Long Exp.]]/D1808-1)+(E1808/GSPC[[#This Row],[Short Exp.]]-1))</f>
        <v>#VALUE!</v>
      </c>
      <c r="G1807" s="37">
        <v>32447</v>
      </c>
      <c r="H1807">
        <v>1.080006</v>
      </c>
      <c r="I1807" s="36">
        <f>IF(ISBLANK(H1808), "", Long0[[#This Row],[Adj Close]]/H1808-1)</f>
        <v>-1.3513871470705485E-2</v>
      </c>
      <c r="M1807" s="37">
        <v>32447</v>
      </c>
      <c r="N1807">
        <v>12.737574</v>
      </c>
      <c r="O1807" s="36">
        <f>IF(ISBLANK(N1808),"",Long2[[#This Row],[Adj Close]]/N1808-1)</f>
        <v>-4.7618712936787988E-2</v>
      </c>
      <c r="P1807" s="29">
        <v>32447</v>
      </c>
      <c r="Q1807">
        <v>1.4308860000000001</v>
      </c>
      <c r="R1807" s="33">
        <f>IF(ISBLANK(Q1808),"",Long3[[#This Row],[Adj Close]]/Q1808-1)</f>
        <v>1.3698416634196464E-2</v>
      </c>
      <c r="AK1807" s="37">
        <v>32447</v>
      </c>
      <c r="AL1807" s="39">
        <v>0.19833899999999999</v>
      </c>
      <c r="AM1807" s="36">
        <f>IF(ISBLANK(AL1808),"",Short1[[#This Row],[Adj Close]]/AL1808-1)</f>
        <v>-8.1078952367273804E-2</v>
      </c>
      <c r="AN1807" s="29">
        <v>32447</v>
      </c>
      <c r="AO1807" s="44">
        <v>0.78834000000000004</v>
      </c>
      <c r="AP1807" s="33">
        <f>IF(ISBLANK(AO1808),"",Short2[[#This Row],[Adj Close]]/AO1808-1)</f>
        <v>1.3986463716741282E-2</v>
      </c>
    </row>
    <row r="1808" spans="1:42" x14ac:dyDescent="0.25">
      <c r="A1808" s="37">
        <v>32440</v>
      </c>
      <c r="B1808" s="39">
        <v>278.52999899999998</v>
      </c>
      <c r="C1808" s="36">
        <f>IF(ISBLANK(B1809), "", GSPC[[#This Row],[Adj Close]]/B1809-1)</f>
        <v>-1.8085048747302546E-2</v>
      </c>
      <c r="D180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0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08" s="11" t="e">
        <f>IF(ISBLANK(GSPC[[#This Row],[Long Exp.]]), "", (GSPC[[#This Row],[Long Exp.]]/D1809-1)+(E1809/GSPC[[#This Row],[Short Exp.]]-1))</f>
        <v>#VALUE!</v>
      </c>
      <c r="G1808" s="37">
        <v>32440</v>
      </c>
      <c r="H1808">
        <v>1.0948009999999999</v>
      </c>
      <c r="I1808" s="36">
        <f>IF(ISBLANK(H1809), "", Long0[[#This Row],[Adj Close]]/H1809-1)</f>
        <v>2.7777569159941784E-2</v>
      </c>
      <c r="M1808" s="37">
        <v>32440</v>
      </c>
      <c r="N1808">
        <v>13.374447999999999</v>
      </c>
      <c r="O1808" s="36">
        <f>IF(ISBLANK(N1809),"",Long2[[#This Row],[Adj Close]]/N1809-1)</f>
        <v>1.510516050670363E-2</v>
      </c>
      <c r="P1808" s="29">
        <v>32440</v>
      </c>
      <c r="Q1808">
        <v>1.4115500000000001</v>
      </c>
      <c r="R1808" s="33">
        <f>IF(ISBLANK(Q1809),"",Long3[[#This Row],[Adj Close]]/Q1809-1)</f>
        <v>1.3889397671189796E-2</v>
      </c>
      <c r="AK1808" s="37">
        <v>32440</v>
      </c>
      <c r="AL1808" s="39">
        <v>0.215839</v>
      </c>
      <c r="AM1808" s="36">
        <f>IF(ISBLANK(AL1809),"",Short1[[#This Row],[Adj Close]]/AL1809-1)</f>
        <v>0.10447646631392571</v>
      </c>
      <c r="AN1808" s="29">
        <v>32440</v>
      </c>
      <c r="AO1808" s="44">
        <v>0.77746599999999999</v>
      </c>
      <c r="AP1808" s="33">
        <f>IF(ISBLANK(AO1809),"",Short2[[#This Row],[Adj Close]]/AO1809-1)</f>
        <v>-1.3793540858005437E-2</v>
      </c>
    </row>
    <row r="1809" spans="1:42" x14ac:dyDescent="0.25">
      <c r="A1809" s="37">
        <v>32433</v>
      </c>
      <c r="B1809" s="39">
        <v>283.66000400000001</v>
      </c>
      <c r="C1809" s="36">
        <f>IF(ISBLANK(B1810), "", GSPC[[#This Row],[Adj Close]]/B1810-1)</f>
        <v>2.9618889292196027E-2</v>
      </c>
      <c r="D180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0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09" s="11" t="e">
        <f>IF(ISBLANK(GSPC[[#This Row],[Long Exp.]]), "", (GSPC[[#This Row],[Long Exp.]]/D1810-1)+(E1810/GSPC[[#This Row],[Short Exp.]]-1))</f>
        <v>#VALUE!</v>
      </c>
      <c r="G1809" s="37">
        <v>32433</v>
      </c>
      <c r="H1809">
        <v>1.065212</v>
      </c>
      <c r="I1809" s="36">
        <f>IF(ISBLANK(H1810), "", Long0[[#This Row],[Adj Close]]/H1810-1)</f>
        <v>-2.7026829533403629E-2</v>
      </c>
      <c r="M1809" s="37">
        <v>32433</v>
      </c>
      <c r="N1809">
        <v>13.175431</v>
      </c>
      <c r="O1809" s="36">
        <f>IF(ISBLANK(N1810),"",Long2[[#This Row],[Adj Close]]/N1810-1)</f>
        <v>2.7950362895568404E-2</v>
      </c>
      <c r="P1809" s="29">
        <v>32433</v>
      </c>
      <c r="Q1809">
        <v>1.3922129999999999</v>
      </c>
      <c r="R1809" s="33">
        <f>IF(ISBLANK(Q1810),"",Long3[[#This Row],[Adj Close]]/Q1810-1)</f>
        <v>1.0526155340270904E-2</v>
      </c>
      <c r="AK1809" s="37">
        <v>32433</v>
      </c>
      <c r="AL1809" s="39">
        <v>0.19542200000000001</v>
      </c>
      <c r="AM1809" s="36">
        <f>IF(ISBLANK(AL1810),"",Short1[[#This Row],[Adj Close]]/AL1810-1)</f>
        <v>-2.8983130853891703E-2</v>
      </c>
      <c r="AN1809" s="29">
        <v>32433</v>
      </c>
      <c r="AO1809" s="44">
        <v>0.78834000000000004</v>
      </c>
      <c r="AP1809" s="33">
        <f>IF(ISBLANK(AO1810),"",Short2[[#This Row],[Adj Close]]/AO1810-1)</f>
        <v>-6.848279615407904E-3</v>
      </c>
    </row>
    <row r="1810" spans="1:42" x14ac:dyDescent="0.25">
      <c r="A1810" s="37">
        <v>32426</v>
      </c>
      <c r="B1810" s="39">
        <v>275.5</v>
      </c>
      <c r="C1810" s="36">
        <f>IF(ISBLANK(B1811), "", GSPC[[#This Row],[Adj Close]]/B1811-1)</f>
        <v>-9.2423020653211729E-3</v>
      </c>
      <c r="D181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1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10" s="11" t="e">
        <f>IF(ISBLANK(GSPC[[#This Row],[Long Exp.]]), "", (GSPC[[#This Row],[Long Exp.]]/D1811-1)+(E1811/GSPC[[#This Row],[Short Exp.]]-1))</f>
        <v>#VALUE!</v>
      </c>
      <c r="G1810" s="37">
        <v>32426</v>
      </c>
      <c r="H1810">
        <v>1.0948009999999999</v>
      </c>
      <c r="I1810" s="36">
        <f>IF(ISBLANK(H1811), "", Long0[[#This Row],[Adj Close]]/H1811-1)</f>
        <v>-2.6315602237657831E-2</v>
      </c>
      <c r="M1810" s="37">
        <v>32426</v>
      </c>
      <c r="N1810">
        <v>12.817186</v>
      </c>
      <c r="O1810" s="36">
        <f>IF(ISBLANK(N1811),"",Long2[[#This Row],[Adj Close]]/N1811-1)</f>
        <v>3.1157416918576875E-3</v>
      </c>
      <c r="P1810" s="29">
        <v>32426</v>
      </c>
      <c r="Q1810">
        <v>1.3777109999999999</v>
      </c>
      <c r="R1810" s="33">
        <f>IF(ISBLANK(Q1811),"",Long3[[#This Row],[Adj Close]]/Q1811-1)</f>
        <v>-1.0416509542720886E-2</v>
      </c>
      <c r="AK1810" s="37">
        <v>32426</v>
      </c>
      <c r="AL1810" s="39">
        <v>0.20125499999999999</v>
      </c>
      <c r="AM1810" s="36">
        <f>IF(ISBLANK(AL1811),"",Short1[[#This Row],[Adj Close]]/AL1811-1)</f>
        <v>-4.1670237993200243E-2</v>
      </c>
      <c r="AN1810" s="29">
        <v>32426</v>
      </c>
      <c r="AO1810" s="44">
        <v>0.79377600000000004</v>
      </c>
      <c r="AP1810" s="33">
        <f>IF(ISBLANK(AO1811),"",Short2[[#This Row],[Adj Close]]/AO1811-1)</f>
        <v>-1.3513950164667832E-2</v>
      </c>
    </row>
    <row r="1811" spans="1:42" x14ac:dyDescent="0.25">
      <c r="A1811" s="37">
        <v>32419</v>
      </c>
      <c r="B1811" s="39">
        <v>278.07000699999998</v>
      </c>
      <c r="C1811" s="36">
        <f>IF(ISBLANK(B1812), "", GSPC[[#This Row],[Adj Close]]/B1812-1)</f>
        <v>2.265456551572842E-2</v>
      </c>
      <c r="D181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1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11" s="11" t="e">
        <f>IF(ISBLANK(GSPC[[#This Row],[Long Exp.]]), "", (GSPC[[#This Row],[Long Exp.]]/D1812-1)+(E1812/GSPC[[#This Row],[Short Exp.]]-1))</f>
        <v>#VALUE!</v>
      </c>
      <c r="G1811" s="37">
        <v>32419</v>
      </c>
      <c r="H1811">
        <v>1.12439</v>
      </c>
      <c r="I1811" s="36">
        <f>IF(ISBLANK(H1812), "", Long0[[#This Row],[Adj Close]]/H1812-1)</f>
        <v>-1.2987354995018241E-2</v>
      </c>
      <c r="M1811" s="37">
        <v>32419</v>
      </c>
      <c r="N1811">
        <v>12.777374999999999</v>
      </c>
      <c r="O1811" s="36">
        <f>IF(ISBLANK(N1812),"",Long2[[#This Row],[Adj Close]]/N1812-1)</f>
        <v>7.3578329763806183E-2</v>
      </c>
      <c r="P1811" s="29">
        <v>32419</v>
      </c>
      <c r="Q1811">
        <v>1.3922129999999999</v>
      </c>
      <c r="R1811" s="33">
        <f>IF(ISBLANK(Q1812),"",Long3[[#This Row],[Adj Close]]/Q1812-1)</f>
        <v>6.9936291358538849E-3</v>
      </c>
      <c r="AK1811" s="37">
        <v>32419</v>
      </c>
      <c r="AL1811" s="39">
        <v>0.210006</v>
      </c>
      <c r="AM1811" s="36">
        <f>IF(ISBLANK(AL1812),"",Short1[[#This Row],[Adj Close]]/AL1812-1)</f>
        <v>2.8573947456066451E-2</v>
      </c>
      <c r="AN1811" s="29">
        <v>32419</v>
      </c>
      <c r="AO1811" s="44">
        <v>0.80464999999999998</v>
      </c>
      <c r="AP1811" s="33">
        <f>IF(ISBLANK(AO1812),"",Short2[[#This Row],[Adj Close]]/AO1812-1)</f>
        <v>-3.2680760006491671E-2</v>
      </c>
    </row>
    <row r="1812" spans="1:42" x14ac:dyDescent="0.25">
      <c r="A1812" s="37">
        <v>32412</v>
      </c>
      <c r="B1812" s="39">
        <v>271.91000400000001</v>
      </c>
      <c r="C1812" s="36">
        <f>IF(ISBLANK(B1813), "", GSPC[[#This Row],[Adj Close]]/B1813-1)</f>
        <v>7.9700249121432698E-3</v>
      </c>
      <c r="D181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1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12" s="11" t="e">
        <f>IF(ISBLANK(GSPC[[#This Row],[Long Exp.]]), "", (GSPC[[#This Row],[Long Exp.]]/D1813-1)+(E1813/GSPC[[#This Row],[Short Exp.]]-1))</f>
        <v>#VALUE!</v>
      </c>
      <c r="G1812" s="37">
        <v>32412</v>
      </c>
      <c r="H1812">
        <v>1.1391849999999999</v>
      </c>
      <c r="I1812" s="36">
        <f>IF(ISBLANK(H1813), "", Long0[[#This Row],[Adj Close]]/H1813-1)</f>
        <v>-9.4117731256689652E-2</v>
      </c>
      <c r="M1812" s="37">
        <v>32412</v>
      </c>
      <c r="N1812">
        <v>11.901669999999999</v>
      </c>
      <c r="O1812" s="36">
        <f>IF(ISBLANK(N1813),"",Long2[[#This Row],[Adj Close]]/N1813-1)</f>
        <v>-3.5483786528863415E-2</v>
      </c>
      <c r="P1812" s="29">
        <v>32412</v>
      </c>
      <c r="Q1812">
        <v>1.382544</v>
      </c>
      <c r="R1812" s="33">
        <f>IF(ISBLANK(Q1813),"",Long3[[#This Row],[Adj Close]]/Q1813-1)</f>
        <v>3.5079926051255761E-3</v>
      </c>
      <c r="AK1812" s="37">
        <v>32412</v>
      </c>
      <c r="AL1812" s="39">
        <v>0.20417199999999999</v>
      </c>
      <c r="AM1812" s="36">
        <f>IF(ISBLANK(AL1813),"",Short1[[#This Row],[Adj Close]]/AL1813-1)</f>
        <v>-9.0908281349487363E-2</v>
      </c>
      <c r="AN1812" s="29">
        <v>32412</v>
      </c>
      <c r="AO1812" s="44">
        <v>0.83183499999999999</v>
      </c>
      <c r="AP1812" s="33">
        <f>IF(ISBLANK(AO1813),"",Short2[[#This Row],[Adj Close]]/AO1813-1)</f>
        <v>-3.1645400159949877E-2</v>
      </c>
    </row>
    <row r="1813" spans="1:42" x14ac:dyDescent="0.25">
      <c r="A1813" s="37">
        <v>32405</v>
      </c>
      <c r="B1813" s="39">
        <v>269.76001000000002</v>
      </c>
      <c r="C1813" s="36">
        <f>IF(ISBLANK(B1814), "", GSPC[[#This Row],[Adj Close]]/B1814-1)</f>
        <v>-3.2883207823014571E-3</v>
      </c>
      <c r="D181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1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13" s="11" t="e">
        <f>IF(ISBLANK(GSPC[[#This Row],[Long Exp.]]), "", (GSPC[[#This Row],[Long Exp.]]/D1814-1)+(E1814/GSPC[[#This Row],[Short Exp.]]-1))</f>
        <v>#VALUE!</v>
      </c>
      <c r="G1813" s="37">
        <v>32405</v>
      </c>
      <c r="H1813">
        <v>1.2575419999999999</v>
      </c>
      <c r="I1813" s="36">
        <f>IF(ISBLANK(H1814), "", Long0[[#This Row],[Adj Close]]/H1814-1)</f>
        <v>2.409703310878597E-2</v>
      </c>
      <c r="M1813" s="37">
        <v>32405</v>
      </c>
      <c r="N1813">
        <v>12.339523</v>
      </c>
      <c r="O1813" s="36">
        <f>IF(ISBLANK(N1814),"",Long2[[#This Row],[Adj Close]]/N1814-1)</f>
        <v>-7.1856014481411101E-2</v>
      </c>
      <c r="P1813" s="29">
        <v>32405</v>
      </c>
      <c r="Q1813">
        <v>1.3777109999999999</v>
      </c>
      <c r="R1813" s="33">
        <f>IF(ISBLANK(Q1814),"",Long3[[#This Row],[Adj Close]]/Q1814-1)</f>
        <v>0</v>
      </c>
      <c r="AK1813" s="37">
        <v>32405</v>
      </c>
      <c r="AL1813" s="39">
        <v>0.22458900000000001</v>
      </c>
      <c r="AM1813" s="36">
        <f>IF(ISBLANK(AL1814),"",Short1[[#This Row],[Adj Close]]/AL1814-1)</f>
        <v>-0.30630808718830982</v>
      </c>
      <c r="AN1813" s="29">
        <v>32405</v>
      </c>
      <c r="AO1813" s="44">
        <v>0.85901899999999998</v>
      </c>
      <c r="AP1813" s="33">
        <f>IF(ISBLANK(AO1814),"",Short2[[#This Row],[Adj Close]]/AO1814-1)</f>
        <v>0</v>
      </c>
    </row>
    <row r="1814" spans="1:42" x14ac:dyDescent="0.25">
      <c r="A1814" s="37">
        <v>32398</v>
      </c>
      <c r="B1814" s="39">
        <v>270.64999399999999</v>
      </c>
      <c r="C1814" s="36">
        <f>IF(ISBLANK(B1815), "", GSPC[[#This Row],[Adj Close]]/B1815-1)</f>
        <v>1.4278211876453506E-2</v>
      </c>
      <c r="D181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1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14" s="11" t="e">
        <f>IF(ISBLANK(GSPC[[#This Row],[Long Exp.]]), "", (GSPC[[#This Row],[Long Exp.]]/D1815-1)+(E1815/GSPC[[#This Row],[Short Exp.]]-1))</f>
        <v>#VALUE!</v>
      </c>
      <c r="G1814" s="37">
        <v>32398</v>
      </c>
      <c r="H1814">
        <v>1.2279519999999999</v>
      </c>
      <c r="I1814" s="36">
        <f>IF(ISBLANK(H1815), "", Long0[[#This Row],[Adj Close]]/H1815-1)</f>
        <v>-1.1905873113455034E-2</v>
      </c>
      <c r="M1814" s="37">
        <v>32398</v>
      </c>
      <c r="N1814">
        <v>13.294836999999999</v>
      </c>
      <c r="O1814" s="36">
        <f>IF(ISBLANK(N1815),"",Long2[[#This Row],[Adj Close]]/N1815-1)</f>
        <v>0</v>
      </c>
      <c r="P1814" s="29">
        <v>32398</v>
      </c>
      <c r="Q1814">
        <v>1.3777109999999999</v>
      </c>
      <c r="R1814" s="33">
        <f>IF(ISBLANK(Q1815),"",Long3[[#This Row],[Adj Close]]/Q1815-1)</f>
        <v>2.1505041495298638E-2</v>
      </c>
      <c r="AK1814" s="37">
        <v>32398</v>
      </c>
      <c r="AL1814" s="39">
        <v>0.32375900000000002</v>
      </c>
      <c r="AM1814" s="36">
        <f>IF(ISBLANK(AL1815),"",Short1[[#This Row],[Adj Close]]/AL1815-1)</f>
        <v>-8.9293367128285839E-3</v>
      </c>
      <c r="AN1814" s="29">
        <v>32398</v>
      </c>
      <c r="AO1814" s="44">
        <v>0.85901899999999998</v>
      </c>
      <c r="AP1814" s="33">
        <f>IF(ISBLANK(AO1815),"",Short2[[#This Row],[Adj Close]]/AO1815-1)</f>
        <v>3.9473716054492014E-2</v>
      </c>
    </row>
    <row r="1815" spans="1:42" x14ac:dyDescent="0.25">
      <c r="A1815" s="37">
        <v>32391</v>
      </c>
      <c r="B1815" s="39">
        <v>266.83999599999999</v>
      </c>
      <c r="C1815" s="36">
        <f>IF(ISBLANK(B1816), "", GSPC[[#This Row],[Adj Close]]/B1816-1)</f>
        <v>8.9231129077651516E-3</v>
      </c>
      <c r="D181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1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15" s="11" t="e">
        <f>IF(ISBLANK(GSPC[[#This Row],[Long Exp.]]), "", (GSPC[[#This Row],[Long Exp.]]/D1816-1)+(E1816/GSPC[[#This Row],[Short Exp.]]-1))</f>
        <v>#VALUE!</v>
      </c>
      <c r="G1815" s="37">
        <v>32391</v>
      </c>
      <c r="H1815">
        <v>1.242748</v>
      </c>
      <c r="I1815" s="36">
        <f>IF(ISBLANK(H1816), "", Long0[[#This Row],[Adj Close]]/H1816-1)</f>
        <v>-1.1764219405793197E-2</v>
      </c>
      <c r="M1815" s="37">
        <v>32391</v>
      </c>
      <c r="N1815">
        <v>13.294836999999999</v>
      </c>
      <c r="O1815" s="36">
        <f>IF(ISBLANK(N1816),"",Long2[[#This Row],[Adj Close]]/N1816-1)</f>
        <v>3.0674633076882563E-2</v>
      </c>
      <c r="P1815" s="29">
        <v>32391</v>
      </c>
      <c r="Q1815">
        <v>1.3487070000000001</v>
      </c>
      <c r="R1815" s="33">
        <f>IF(ISBLANK(Q1816),"",Long3[[#This Row],[Adj Close]]/Q1816-1)</f>
        <v>2.0038390212764767E-2</v>
      </c>
      <c r="AK1815" s="37">
        <v>32391</v>
      </c>
      <c r="AL1815" s="39">
        <v>0.32667600000000002</v>
      </c>
      <c r="AM1815" s="36">
        <f>IF(ISBLANK(AL1816),"",Short1[[#This Row],[Adj Close]]/AL1816-1)</f>
        <v>0.16667083322916931</v>
      </c>
      <c r="AN1815" s="29">
        <v>32391</v>
      </c>
      <c r="AO1815" s="44">
        <v>0.82639799999999997</v>
      </c>
      <c r="AP1815" s="33">
        <f>IF(ISBLANK(AO1816),"",Short2[[#This Row],[Adj Close]]/AO1816-1)</f>
        <v>1.3333758417900521E-2</v>
      </c>
    </row>
    <row r="1816" spans="1:42" x14ac:dyDescent="0.25">
      <c r="A1816" s="37">
        <v>32384</v>
      </c>
      <c r="B1816" s="39">
        <v>264.48001099999999</v>
      </c>
      <c r="C1816" s="36">
        <f>IF(ISBLANK(B1817), "", GSPC[[#This Row],[Adj Close]]/B1817-1)</f>
        <v>1.8484358169248649E-2</v>
      </c>
      <c r="D181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1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16" s="11" t="e">
        <f>IF(ISBLANK(GSPC[[#This Row],[Long Exp.]]), "", (GSPC[[#This Row],[Long Exp.]]/D1817-1)+(E1817/GSPC[[#This Row],[Short Exp.]]-1))</f>
        <v>#VALUE!</v>
      </c>
      <c r="G1816" s="37">
        <v>32384</v>
      </c>
      <c r="H1816">
        <v>1.2575419999999999</v>
      </c>
      <c r="I1816" s="36">
        <f>IF(ISBLANK(H1817), "", Long0[[#This Row],[Adj Close]]/H1817-1)</f>
        <v>0</v>
      </c>
      <c r="M1816" s="37">
        <v>32384</v>
      </c>
      <c r="N1816">
        <v>12.89916</v>
      </c>
      <c r="O1816" s="36">
        <f>IF(ISBLANK(N1817),"",Long2[[#This Row],[Adj Close]]/N1817-1)</f>
        <v>1.2421891273877605E-2</v>
      </c>
      <c r="P1816" s="29">
        <v>32384</v>
      </c>
      <c r="Q1816">
        <v>1.3222119999999999</v>
      </c>
      <c r="R1816" s="33">
        <f>IF(ISBLANK(Q1817),"",Long3[[#This Row],[Adj Close]]/Q1817-1)</f>
        <v>-7.1172720377866705E-3</v>
      </c>
      <c r="AK1816" s="37">
        <v>32384</v>
      </c>
      <c r="AL1816" s="39">
        <v>0.28000700000000001</v>
      </c>
      <c r="AM1816" s="36">
        <f>IF(ISBLANK(AL1817),"",Short1[[#This Row],[Adj Close]]/AL1817-1)</f>
        <v>-4.0003428473472269E-2</v>
      </c>
      <c r="AN1816" s="29">
        <v>32384</v>
      </c>
      <c r="AO1816" s="44">
        <v>0.81552400000000003</v>
      </c>
      <c r="AP1816" s="33">
        <f>IF(ISBLANK(AO1817),"",Short2[[#This Row],[Adj Close]]/AO1817-1)</f>
        <v>0</v>
      </c>
    </row>
    <row r="1817" spans="1:42" x14ac:dyDescent="0.25">
      <c r="A1817" s="37">
        <v>32377</v>
      </c>
      <c r="B1817" s="39">
        <v>259.67999300000002</v>
      </c>
      <c r="C1817" s="36">
        <f>IF(ISBLANK(B1818), "", GSPC[[#This Row],[Adj Close]]/B1818-1)</f>
        <v>-2.151848376569454E-3</v>
      </c>
      <c r="D181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1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17" s="11" t="e">
        <f>IF(ISBLANK(GSPC[[#This Row],[Long Exp.]]), "", (GSPC[[#This Row],[Long Exp.]]/D1818-1)+(E1818/GSPC[[#This Row],[Short Exp.]]-1))</f>
        <v>#VALUE!</v>
      </c>
      <c r="G1817" s="37">
        <v>32377</v>
      </c>
      <c r="H1817">
        <v>1.2575419999999999</v>
      </c>
      <c r="I1817" s="36">
        <f>IF(ISBLANK(H1818), "", Long0[[#This Row],[Adj Close]]/H1818-1)</f>
        <v>-4.4943495959657298E-2</v>
      </c>
      <c r="M1817" s="37">
        <v>32377</v>
      </c>
      <c r="N1817">
        <v>12.740894000000001</v>
      </c>
      <c r="O1817" s="36">
        <f>IF(ISBLANK(N1818),"",Long2[[#This Row],[Adj Close]]/N1818-1)</f>
        <v>4.5454552914094393E-2</v>
      </c>
      <c r="P1817" s="29">
        <v>32377</v>
      </c>
      <c r="Q1817">
        <v>1.33169</v>
      </c>
      <c r="R1817" s="33">
        <f>IF(ISBLANK(Q1818),"",Long3[[#This Row],[Adj Close]]/Q1818-1)</f>
        <v>1.4440864974065715E-2</v>
      </c>
      <c r="AK1817" s="37">
        <v>32377</v>
      </c>
      <c r="AL1817" s="39">
        <v>0.29167500000000002</v>
      </c>
      <c r="AM1817" s="36">
        <f>IF(ISBLANK(AL1818),"",Short1[[#This Row],[Adj Close]]/AL1818-1)</f>
        <v>-7.4074074074073959E-2</v>
      </c>
      <c r="AN1817" s="29">
        <v>32377</v>
      </c>
      <c r="AO1817" s="44">
        <v>0.81552400000000003</v>
      </c>
      <c r="AP1817" s="33">
        <f>IF(ISBLANK(AO1818),"",Short2[[#This Row],[Adj Close]]/AO1818-1)</f>
        <v>-6.6227262927228692E-3</v>
      </c>
    </row>
    <row r="1818" spans="1:42" x14ac:dyDescent="0.25">
      <c r="A1818" s="37">
        <v>32370</v>
      </c>
      <c r="B1818" s="39">
        <v>260.23998999999998</v>
      </c>
      <c r="C1818" s="36">
        <f>IF(ISBLANK(B1819), "", GSPC[[#This Row],[Adj Close]]/B1819-1)</f>
        <v>-8.79831691327293E-3</v>
      </c>
      <c r="D181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1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18" s="11" t="e">
        <f>IF(ISBLANK(GSPC[[#This Row],[Long Exp.]]), "", (GSPC[[#This Row],[Long Exp.]]/D1819-1)+(E1819/GSPC[[#This Row],[Short Exp.]]-1))</f>
        <v>#VALUE!</v>
      </c>
      <c r="G1818" s="37">
        <v>32370</v>
      </c>
      <c r="H1818">
        <v>1.3167199999999999</v>
      </c>
      <c r="I1818" s="36">
        <f>IF(ISBLANK(H1819), "", Long0[[#This Row],[Adj Close]]/H1819-1)</f>
        <v>3.4883053782134743E-2</v>
      </c>
      <c r="M1818" s="37">
        <v>32370</v>
      </c>
      <c r="N1818">
        <v>12.186942</v>
      </c>
      <c r="O1818" s="36">
        <f>IF(ISBLANK(N1819),"",Long2[[#This Row],[Adj Close]]/N1819-1)</f>
        <v>3.2574121170068082E-3</v>
      </c>
      <c r="P1818" s="29">
        <v>32370</v>
      </c>
      <c r="Q1818">
        <v>1.3127329999999999</v>
      </c>
      <c r="R1818" s="33">
        <f>IF(ISBLANK(Q1819),"",Long3[[#This Row],[Adj Close]]/Q1819-1)</f>
        <v>1.0948652153689231E-2</v>
      </c>
      <c r="AK1818" s="37">
        <v>32370</v>
      </c>
      <c r="AL1818" s="39">
        <v>0.31500899999999998</v>
      </c>
      <c r="AM1818" s="36">
        <f>IF(ISBLANK(AL1819),"",Short1[[#This Row],[Adj Close]]/AL1819-1)</f>
        <v>0.10204274404301672</v>
      </c>
      <c r="AN1818" s="29">
        <v>32370</v>
      </c>
      <c r="AO1818" s="44">
        <v>0.82096100000000005</v>
      </c>
      <c r="AP1818" s="33">
        <f>IF(ISBLANK(AO1819),"",Short2[[#This Row],[Adj Close]]/AO1819-1)</f>
        <v>-6.5791543541973141E-3</v>
      </c>
    </row>
    <row r="1819" spans="1:42" x14ac:dyDescent="0.25">
      <c r="A1819" s="37">
        <v>32363</v>
      </c>
      <c r="B1819" s="39">
        <v>262.54998799999998</v>
      </c>
      <c r="C1819" s="36">
        <f>IF(ISBLANK(B1820), "", GSPC[[#This Row],[Adj Close]]/B1820-1)</f>
        <v>-3.1716784769687312E-2</v>
      </c>
      <c r="D181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1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19" s="11" t="e">
        <f>IF(ISBLANK(GSPC[[#This Row],[Long Exp.]]), "", (GSPC[[#This Row],[Long Exp.]]/D1820-1)+(E1820/GSPC[[#This Row],[Short Exp.]]-1))</f>
        <v>#VALUE!</v>
      </c>
      <c r="G1819" s="37">
        <v>32363</v>
      </c>
      <c r="H1819">
        <v>1.2723370000000001</v>
      </c>
      <c r="I1819" s="36">
        <f>IF(ISBLANK(H1820), "", Long0[[#This Row],[Adj Close]]/H1820-1)</f>
        <v>-2.2727098160724823E-2</v>
      </c>
      <c r="M1819" s="37">
        <v>32363</v>
      </c>
      <c r="N1819">
        <v>12.147373</v>
      </c>
      <c r="O1819" s="36">
        <f>IF(ISBLANK(N1820),"",Long2[[#This Row],[Adj Close]]/N1820-1)</f>
        <v>-2.229292032064778E-2</v>
      </c>
      <c r="P1819" s="29">
        <v>32363</v>
      </c>
      <c r="Q1819">
        <v>1.298516</v>
      </c>
      <c r="R1819" s="33">
        <f>IF(ISBLANK(Q1820),"",Long3[[#This Row],[Adj Close]]/Q1820-1)</f>
        <v>-2.4911203057768727E-2</v>
      </c>
      <c r="AK1819" s="37">
        <v>32363</v>
      </c>
      <c r="AL1819" s="39">
        <v>0.28584100000000001</v>
      </c>
      <c r="AM1819" s="36">
        <f>IF(ISBLANK(AL1820),"",Short1[[#This Row],[Adj Close]]/AL1820-1)</f>
        <v>0.34246182892407129</v>
      </c>
      <c r="AN1819" s="29">
        <v>32363</v>
      </c>
      <c r="AO1819" s="44">
        <v>0.82639799999999997</v>
      </c>
      <c r="AP1819" s="33">
        <f>IF(ISBLANK(AO1820),"",Short2[[#This Row],[Adj Close]]/AO1820-1)</f>
        <v>9.9208095028595622E-3</v>
      </c>
    </row>
    <row r="1820" spans="1:42" x14ac:dyDescent="0.25">
      <c r="A1820" s="37">
        <v>32356</v>
      </c>
      <c r="B1820" s="39">
        <v>271.14999399999999</v>
      </c>
      <c r="C1820" s="36">
        <f>IF(ISBLANK(B1821), "", GSPC[[#This Row],[Adj Close]]/B1821-1)</f>
        <v>-3.1982759914015446E-3</v>
      </c>
      <c r="D182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2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20" s="11" t="e">
        <f>IF(ISBLANK(GSPC[[#This Row],[Long Exp.]]), "", (GSPC[[#This Row],[Long Exp.]]/D1821-1)+(E1821/GSPC[[#This Row],[Short Exp.]]-1))</f>
        <v>#VALUE!</v>
      </c>
      <c r="G1820" s="37">
        <v>32356</v>
      </c>
      <c r="H1820">
        <v>1.3019259999999999</v>
      </c>
      <c r="I1820" s="36">
        <f>IF(ISBLANK(H1821), "", Long0[[#This Row],[Adj Close]]/H1821-1)</f>
        <v>-4.3477941435775769E-2</v>
      </c>
      <c r="M1820" s="37">
        <v>32356</v>
      </c>
      <c r="N1820">
        <v>12.424348</v>
      </c>
      <c r="O1820" s="36">
        <f>IF(ISBLANK(N1821),"",Long2[[#This Row],[Adj Close]]/N1821-1)</f>
        <v>5.016697474589904E-2</v>
      </c>
      <c r="P1820" s="29">
        <v>32356</v>
      </c>
      <c r="Q1820">
        <v>1.33169</v>
      </c>
      <c r="R1820" s="33">
        <f>IF(ISBLANK(Q1821),"",Long3[[#This Row],[Adj Close]]/Q1821-1)</f>
        <v>0</v>
      </c>
      <c r="AK1820" s="37">
        <v>32356</v>
      </c>
      <c r="AL1820" s="39">
        <v>0.212923</v>
      </c>
      <c r="AM1820" s="36">
        <f>IF(ISBLANK(AL1821),"",Short1[[#This Row],[Adj Close]]/AL1821-1)</f>
        <v>0.12307676078253471</v>
      </c>
      <c r="AN1820" s="29">
        <v>32356</v>
      </c>
      <c r="AO1820" s="44">
        <v>0.81828000000000001</v>
      </c>
      <c r="AP1820" s="33">
        <f>IF(ISBLANK(AO1821),"",Short2[[#This Row],[Adj Close]]/AO1821-1)</f>
        <v>2.7210508609045503E-2</v>
      </c>
    </row>
    <row r="1821" spans="1:42" x14ac:dyDescent="0.25">
      <c r="A1821" s="37">
        <v>32349</v>
      </c>
      <c r="B1821" s="39">
        <v>272.01998900000001</v>
      </c>
      <c r="C1821" s="36">
        <f>IF(ISBLANK(B1822), "", GSPC[[#This Row],[Adj Close]]/B1822-1)</f>
        <v>3.2333924098671751E-2</v>
      </c>
      <c r="D182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2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21" s="11" t="e">
        <f>IF(ISBLANK(GSPC[[#This Row],[Long Exp.]]), "", (GSPC[[#This Row],[Long Exp.]]/D1822-1)+(E1822/GSPC[[#This Row],[Short Exp.]]-1))</f>
        <v>#VALUE!</v>
      </c>
      <c r="G1821" s="37">
        <v>32349</v>
      </c>
      <c r="H1821">
        <v>1.3611040000000001</v>
      </c>
      <c r="I1821" s="36">
        <f>IF(ISBLANK(H1822), "", Long0[[#This Row],[Adj Close]]/H1822-1)</f>
        <v>3.3708001701197032E-2</v>
      </c>
      <c r="M1821" s="37">
        <v>32349</v>
      </c>
      <c r="N1821">
        <v>11.830831</v>
      </c>
      <c r="O1821" s="36">
        <f>IF(ISBLANK(N1822),"",Long2[[#This Row],[Adj Close]]/N1822-1)</f>
        <v>-3.3330817270122992E-3</v>
      </c>
      <c r="P1821" s="29">
        <v>32349</v>
      </c>
      <c r="Q1821">
        <v>1.33169</v>
      </c>
      <c r="R1821" s="33">
        <f>IF(ISBLANK(Q1822),"",Long3[[#This Row],[Adj Close]]/Q1822-1)</f>
        <v>2.1817662838306662E-2</v>
      </c>
      <c r="AK1821" s="37">
        <v>32349</v>
      </c>
      <c r="AL1821" s="39">
        <v>0.18958900000000001</v>
      </c>
      <c r="AM1821" s="36">
        <f>IF(ISBLANK(AL1822),"",Short1[[#This Row],[Adj Close]]/AL1822-1)</f>
        <v>0</v>
      </c>
      <c r="AN1821" s="29">
        <v>32349</v>
      </c>
      <c r="AO1821" s="44">
        <v>0.79660399999999998</v>
      </c>
      <c r="AP1821" s="33">
        <f>IF(ISBLANK(AO1822),"",Short2[[#This Row],[Adj Close]]/AO1822-1)</f>
        <v>2.7972957452766511E-2</v>
      </c>
    </row>
    <row r="1822" spans="1:42" x14ac:dyDescent="0.25">
      <c r="A1822" s="37">
        <v>32342</v>
      </c>
      <c r="B1822" s="39">
        <v>263.5</v>
      </c>
      <c r="C1822" s="36">
        <f>IF(ISBLANK(B1823), "", GSPC[[#This Row],[Adj Close]]/B1823-1)</f>
        <v>-3.1428003591751574E-2</v>
      </c>
      <c r="D182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2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22" s="11" t="e">
        <f>IF(ISBLANK(GSPC[[#This Row],[Long Exp.]]), "", (GSPC[[#This Row],[Long Exp.]]/D1823-1)+(E1823/GSPC[[#This Row],[Short Exp.]]-1))</f>
        <v>#VALUE!</v>
      </c>
      <c r="G1822" s="37">
        <v>32342</v>
      </c>
      <c r="H1822">
        <v>1.3167199999999999</v>
      </c>
      <c r="I1822" s="36">
        <f>IF(ISBLANK(H1823), "", Long0[[#This Row],[Adj Close]]/H1823-1)</f>
        <v>-6.3158134398870858E-2</v>
      </c>
      <c r="M1822" s="37">
        <v>32342</v>
      </c>
      <c r="N1822">
        <v>11.870396</v>
      </c>
      <c r="O1822" s="36">
        <f>IF(ISBLANK(N1823),"",Long2[[#This Row],[Adj Close]]/N1823-1)</f>
        <v>-9.9099060809847206E-2</v>
      </c>
      <c r="P1822" s="29">
        <v>32342</v>
      </c>
      <c r="Q1822">
        <v>1.303256</v>
      </c>
      <c r="R1822" s="33">
        <f>IF(ISBLANK(Q1823),"",Long3[[#This Row],[Adj Close]]/Q1823-1)</f>
        <v>-7.2192898327382293E-3</v>
      </c>
      <c r="AK1822" s="37">
        <v>32342</v>
      </c>
      <c r="AL1822" s="39">
        <v>0.18958900000000001</v>
      </c>
      <c r="AM1822" s="36">
        <f>IF(ISBLANK(AL1823),"",Short1[[#This Row],[Adj Close]]/AL1823-1)</f>
        <v>3.1748795951130671E-2</v>
      </c>
      <c r="AN1822" s="29">
        <v>32342</v>
      </c>
      <c r="AO1822" s="44">
        <v>0.77492700000000003</v>
      </c>
      <c r="AP1822" s="33">
        <f>IF(ISBLANK(AO1823),"",Short2[[#This Row],[Adj Close]]/AO1823-1)</f>
        <v>-1.3794183001046068E-2</v>
      </c>
    </row>
    <row r="1823" spans="1:42" x14ac:dyDescent="0.25">
      <c r="A1823" s="37">
        <v>32335</v>
      </c>
      <c r="B1823" s="39">
        <v>272.04998799999998</v>
      </c>
      <c r="C1823" s="36">
        <f>IF(ISBLANK(B1824), "", GSPC[[#This Row],[Adj Close]]/B1824-1)</f>
        <v>7.5179582353066543E-3</v>
      </c>
      <c r="D182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2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23" s="11" t="e">
        <f>IF(ISBLANK(GSPC[[#This Row],[Long Exp.]]), "", (GSPC[[#This Row],[Long Exp.]]/D1824-1)+(E1824/GSPC[[#This Row],[Short Exp.]]-1))</f>
        <v>#VALUE!</v>
      </c>
      <c r="G1823" s="37">
        <v>32335</v>
      </c>
      <c r="H1823">
        <v>1.4054880000000001</v>
      </c>
      <c r="I1823" s="36">
        <f>IF(ISBLANK(H1824), "", Long0[[#This Row],[Adj Close]]/H1824-1)</f>
        <v>-3.0612357504662513E-2</v>
      </c>
      <c r="M1823" s="37">
        <v>32335</v>
      </c>
      <c r="N1823">
        <v>13.176138999999999</v>
      </c>
      <c r="O1823" s="36">
        <f>IF(ISBLANK(N1824),"",Long2[[#This Row],[Adj Close]]/N1824-1)</f>
        <v>9.0906807292516767E-3</v>
      </c>
      <c r="P1823" s="29">
        <v>32335</v>
      </c>
      <c r="Q1823">
        <v>1.3127329999999999</v>
      </c>
      <c r="R1823" s="33">
        <f>IF(ISBLANK(Q1824),"",Long3[[#This Row],[Adj Close]]/Q1824-1)</f>
        <v>-2.1201668992997136E-2</v>
      </c>
      <c r="AK1823" s="37">
        <v>32335</v>
      </c>
      <c r="AL1823" s="39">
        <v>0.183755</v>
      </c>
      <c r="AM1823" s="36">
        <f>IF(ISBLANK(AL1824),"",Short1[[#This Row],[Adj Close]]/AL1824-1)</f>
        <v>1.6130459306119338E-2</v>
      </c>
      <c r="AN1823" s="29">
        <v>32335</v>
      </c>
      <c r="AO1823" s="44">
        <v>0.78576599999999996</v>
      </c>
      <c r="AP1823" s="33">
        <f>IF(ISBLANK(AO1824),"",Short2[[#This Row],[Adj Close]]/AO1824-1)</f>
        <v>-2.6845271858536024E-2</v>
      </c>
    </row>
    <row r="1824" spans="1:42" x14ac:dyDescent="0.25">
      <c r="A1824" s="37">
        <v>32328</v>
      </c>
      <c r="B1824" s="39">
        <v>270.01998900000001</v>
      </c>
      <c r="C1824" s="36">
        <f>IF(ISBLANK(B1825), "", GSPC[[#This Row],[Adj Close]]/B1825-1)</f>
        <v>-6.4758628540577678E-3</v>
      </c>
      <c r="D182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2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24" s="11" t="e">
        <f>IF(ISBLANK(GSPC[[#This Row],[Long Exp.]]), "", (GSPC[[#This Row],[Long Exp.]]/D1825-1)+(E1825/GSPC[[#This Row],[Short Exp.]]-1))</f>
        <v>#VALUE!</v>
      </c>
      <c r="G1824" s="37">
        <v>32328</v>
      </c>
      <c r="H1824">
        <v>1.449872</v>
      </c>
      <c r="I1824" s="36">
        <f>IF(ISBLANK(H1825), "", Long0[[#This Row],[Adj Close]]/H1825-1)</f>
        <v>-5.4088719958141351E-2</v>
      </c>
      <c r="M1824" s="37">
        <v>32328</v>
      </c>
      <c r="N1824">
        <v>13.057437999999999</v>
      </c>
      <c r="O1824" s="36">
        <f>IF(ISBLANK(N1825),"",Long2[[#This Row],[Adj Close]]/N1825-1)</f>
        <v>3.773610247596304E-2</v>
      </c>
      <c r="P1824" s="29">
        <v>32328</v>
      </c>
      <c r="Q1824">
        <v>1.3411679999999999</v>
      </c>
      <c r="R1824" s="33">
        <f>IF(ISBLANK(Q1825),"",Long3[[#This Row],[Adj Close]]/Q1825-1)</f>
        <v>-1.0489270576257037E-2</v>
      </c>
      <c r="AK1824" s="37">
        <v>32328</v>
      </c>
      <c r="AL1824" s="39">
        <v>0.180838</v>
      </c>
      <c r="AM1824" s="36">
        <f>IF(ISBLANK(AL1825),"",Short1[[#This Row],[Adj Close]]/AL1825-1)</f>
        <v>0</v>
      </c>
      <c r="AN1824" s="29">
        <v>32328</v>
      </c>
      <c r="AO1824" s="44">
        <v>0.80744199999999999</v>
      </c>
      <c r="AP1824" s="33">
        <f>IF(ISBLANK(AO1825),"",Short2[[#This Row],[Adj Close]]/AO1825-1)</f>
        <v>-3.870917048035849E-2</v>
      </c>
    </row>
    <row r="1825" spans="1:42" x14ac:dyDescent="0.25">
      <c r="A1825" s="37">
        <v>32321</v>
      </c>
      <c r="B1825" s="39">
        <v>271.77999899999998</v>
      </c>
      <c r="C1825" s="36">
        <f>IF(ISBLANK(B1826), "", GSPC[[#This Row],[Adj Close]]/B1826-1)</f>
        <v>-7.3051355369462279E-3</v>
      </c>
      <c r="D182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2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25" s="11" t="e">
        <f>IF(ISBLANK(GSPC[[#This Row],[Long Exp.]]), "", (GSPC[[#This Row],[Long Exp.]]/D1826-1)+(E1826/GSPC[[#This Row],[Short Exp.]]-1))</f>
        <v>#VALUE!</v>
      </c>
      <c r="G1825" s="37">
        <v>32321</v>
      </c>
      <c r="H1825">
        <v>1.532778</v>
      </c>
      <c r="I1825" s="36">
        <f>IF(ISBLANK(H1826), "", Long0[[#This Row],[Adj Close]]/H1826-1)</f>
        <v>9.7085715791414007E-3</v>
      </c>
      <c r="M1825" s="37">
        <v>32321</v>
      </c>
      <c r="N1825">
        <v>12.582618999999999</v>
      </c>
      <c r="O1825" s="36">
        <f>IF(ISBLANK(N1826),"",Long2[[#This Row],[Adj Close]]/N1826-1)</f>
        <v>-3.9275379592394022E-2</v>
      </c>
      <c r="P1825" s="29">
        <v>32321</v>
      </c>
      <c r="Q1825">
        <v>1.3553850000000001</v>
      </c>
      <c r="R1825" s="33">
        <f>IF(ISBLANK(Q1826),"",Long3[[#This Row],[Adj Close]]/Q1826-1)</f>
        <v>-1.0381110438572261E-2</v>
      </c>
      <c r="AK1825" s="37">
        <v>32321</v>
      </c>
      <c r="AL1825" s="39">
        <v>0.180838</v>
      </c>
      <c r="AM1825" s="36">
        <f>IF(ISBLANK(AL1826),"",Short1[[#This Row],[Adj Close]]/AL1826-1)</f>
        <v>0</v>
      </c>
      <c r="AN1825" s="29">
        <v>32321</v>
      </c>
      <c r="AO1825" s="44">
        <v>0.83995600000000004</v>
      </c>
      <c r="AP1825" s="33">
        <f>IF(ISBLANK(AO1826),"",Short2[[#This Row],[Adj Close]]/AO1826-1)</f>
        <v>-9.3567118935619309E-2</v>
      </c>
    </row>
    <row r="1826" spans="1:42" x14ac:dyDescent="0.25">
      <c r="A1826" s="37">
        <v>32314</v>
      </c>
      <c r="B1826" s="39">
        <v>273.77999899999998</v>
      </c>
      <c r="C1826" s="36">
        <f>IF(ISBLANK(B1827), "", GSPC[[#This Row],[Adj Close]]/B1827-1)</f>
        <v>1.1452660263663983E-2</v>
      </c>
      <c r="D182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2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26" s="11" t="e">
        <f>IF(ISBLANK(GSPC[[#This Row],[Long Exp.]]), "", (GSPC[[#This Row],[Long Exp.]]/D1827-1)+(E1827/GSPC[[#This Row],[Short Exp.]]-1))</f>
        <v>#VALUE!</v>
      </c>
      <c r="G1826" s="37">
        <v>32314</v>
      </c>
      <c r="H1826">
        <v>1.5180400000000001</v>
      </c>
      <c r="I1826" s="36">
        <f>IF(ISBLANK(H1827), "", Long0[[#This Row],[Adj Close]]/H1827-1)</f>
        <v>9.5744465842257265E-2</v>
      </c>
      <c r="M1826" s="37">
        <v>32314</v>
      </c>
      <c r="N1826">
        <v>13.097009</v>
      </c>
      <c r="O1826" s="36">
        <f>IF(ISBLANK(N1827),"",Long2[[#This Row],[Adj Close]]/N1827-1)</f>
        <v>0.11827636477523229</v>
      </c>
      <c r="P1826" s="29">
        <v>32314</v>
      </c>
      <c r="Q1826">
        <v>1.3696029999999999</v>
      </c>
      <c r="R1826" s="33">
        <f>IF(ISBLANK(Q1827),"",Long3[[#This Row],[Adj Close]]/Q1827-1)</f>
        <v>-1.0274450235977062E-2</v>
      </c>
      <c r="AK1826" s="37">
        <v>32314</v>
      </c>
      <c r="AL1826" s="39">
        <v>0.180838</v>
      </c>
      <c r="AM1826" s="36">
        <f>IF(ISBLANK(AL1827),"",Short1[[#This Row],[Adj Close]]/AL1827-1)</f>
        <v>-4.6157741219163606E-2</v>
      </c>
      <c r="AN1826" s="29">
        <v>32314</v>
      </c>
      <c r="AO1826" s="44">
        <v>0.92666099999999996</v>
      </c>
      <c r="AP1826" s="33">
        <f>IF(ISBLANK(AO1827),"",Short2[[#This Row],[Adj Close]]/AO1827-1)</f>
        <v>0.10322564515284127</v>
      </c>
    </row>
    <row r="1827" spans="1:42" x14ac:dyDescent="0.25">
      <c r="A1827" s="37">
        <v>32307</v>
      </c>
      <c r="B1827" s="39">
        <v>270.67999300000002</v>
      </c>
      <c r="C1827" s="36">
        <f>IF(ISBLANK(B1828), "", GSPC[[#This Row],[Adj Close]]/B1828-1)</f>
        <v>-2.1382326130563456E-3</v>
      </c>
      <c r="D182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2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27" s="11" t="e">
        <f>IF(ISBLANK(GSPC[[#This Row],[Long Exp.]]), "", (GSPC[[#This Row],[Long Exp.]]/D1828-1)+(E1828/GSPC[[#This Row],[Short Exp.]]-1))</f>
        <v>#VALUE!</v>
      </c>
      <c r="G1827" s="37">
        <v>32307</v>
      </c>
      <c r="H1827">
        <v>1.3853960000000001</v>
      </c>
      <c r="I1827" s="36">
        <f>IF(ISBLANK(H1828), "", Long0[[#This Row],[Adj Close]]/H1828-1)</f>
        <v>-1.0526135355615862E-2</v>
      </c>
      <c r="M1827" s="37">
        <v>32307</v>
      </c>
      <c r="N1827">
        <v>11.711781999999999</v>
      </c>
      <c r="O1827" s="36">
        <f>IF(ISBLANK(N1828),"",Long2[[#This Row],[Adj Close]]/N1828-1)</f>
        <v>9.1574985057204739E-2</v>
      </c>
      <c r="P1827" s="29">
        <v>32307</v>
      </c>
      <c r="Q1827">
        <v>1.383821</v>
      </c>
      <c r="R1827" s="33">
        <f>IF(ISBLANK(Q1828),"",Long3[[#This Row],[Adj Close]]/Q1828-1)</f>
        <v>3.6623615752424454E-2</v>
      </c>
      <c r="AK1827" s="37">
        <v>32307</v>
      </c>
      <c r="AL1827" s="39">
        <v>0.18958900000000001</v>
      </c>
      <c r="AM1827" s="36">
        <f>IF(ISBLANK(AL1828),"",Short1[[#This Row],[Adj Close]]/AL1828-1)</f>
        <v>-4.4116386590635104E-2</v>
      </c>
      <c r="AN1827" s="29">
        <v>32307</v>
      </c>
      <c r="AO1827" s="44">
        <v>0.83995600000000004</v>
      </c>
      <c r="AP1827" s="33">
        <f>IF(ISBLANK(AO1828),"",Short2[[#This Row],[Adj Close]]/AO1828-1)</f>
        <v>1.9737816529844743E-2</v>
      </c>
    </row>
    <row r="1828" spans="1:42" x14ac:dyDescent="0.25">
      <c r="A1828" s="37">
        <v>32300</v>
      </c>
      <c r="B1828" s="39">
        <v>271.26001000000002</v>
      </c>
      <c r="C1828" s="36">
        <f>IF(ISBLANK(B1829), "", GSPC[[#This Row],[Adj Close]]/B1829-1)</f>
        <v>1.8052159066894724E-2</v>
      </c>
      <c r="D182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2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28" s="11" t="e">
        <f>IF(ISBLANK(GSPC[[#This Row],[Long Exp.]]), "", (GSPC[[#This Row],[Long Exp.]]/D1829-1)+(E1829/GSPC[[#This Row],[Short Exp.]]-1))</f>
        <v>#VALUE!</v>
      </c>
      <c r="G1828" s="37">
        <v>32300</v>
      </c>
      <c r="H1828">
        <v>1.400134</v>
      </c>
      <c r="I1828" s="36">
        <f>IF(ISBLANK(H1829), "", Long0[[#This Row],[Adj Close]]/H1829-1)</f>
        <v>-1.0416489972237764E-2</v>
      </c>
      <c r="M1828" s="37">
        <v>32300</v>
      </c>
      <c r="N1828">
        <v>10.729251</v>
      </c>
      <c r="O1828" s="36">
        <f>IF(ISBLANK(N1829),"",Long2[[#This Row],[Adj Close]]/N1829-1)</f>
        <v>9.1999380783967855E-2</v>
      </c>
      <c r="P1828" s="29">
        <v>32300</v>
      </c>
      <c r="Q1828">
        <v>1.3349310000000001</v>
      </c>
      <c r="R1828" s="33">
        <f>IF(ISBLANK(Q1829),"",Long3[[#This Row],[Adj Close]]/Q1829-1)</f>
        <v>-3.6913027669079113E-2</v>
      </c>
      <c r="AK1828" s="37">
        <v>32300</v>
      </c>
      <c r="AL1828" s="39">
        <v>0.19833899999999999</v>
      </c>
      <c r="AM1828" s="36">
        <f>IF(ISBLANK(AL1829),"",Short1[[#This Row],[Adj Close]]/AL1829-1)</f>
        <v>6.25E-2</v>
      </c>
      <c r="AN1828" s="29">
        <v>32300</v>
      </c>
      <c r="AO1828" s="44">
        <v>0.82369800000000004</v>
      </c>
      <c r="AP1828" s="33">
        <f>IF(ISBLANK(AO1829),"",Short2[[#This Row],[Adj Close]]/AO1829-1)</f>
        <v>0.10948757632207418</v>
      </c>
    </row>
    <row r="1829" spans="1:42" x14ac:dyDescent="0.25">
      <c r="A1829" s="37">
        <v>32293</v>
      </c>
      <c r="B1829" s="39">
        <v>266.45001200000002</v>
      </c>
      <c r="C1829" s="36">
        <f>IF(ISBLANK(B1830), "", GSPC[[#This Row],[Adj Close]]/B1830-1)</f>
        <v>5.141667627982538E-2</v>
      </c>
      <c r="D182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2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29" s="11" t="e">
        <f>IF(ISBLANK(GSPC[[#This Row],[Long Exp.]]), "", (GSPC[[#This Row],[Long Exp.]]/D1830-1)+(E1830/GSPC[[#This Row],[Short Exp.]]-1))</f>
        <v>#VALUE!</v>
      </c>
      <c r="G1829" s="37">
        <v>32293</v>
      </c>
      <c r="H1829">
        <v>1.4148719999999999</v>
      </c>
      <c r="I1829" s="36">
        <f>IF(ISBLANK(H1830), "", Long0[[#This Row],[Adj Close]]/H1830-1)</f>
        <v>2.127622715815547E-2</v>
      </c>
      <c r="M1829" s="37">
        <v>32293</v>
      </c>
      <c r="N1829">
        <v>9.8253269999999997</v>
      </c>
      <c r="O1829" s="36">
        <f>IF(ISBLANK(N1830),"",Long2[[#This Row],[Adj Close]]/N1830-1)</f>
        <v>9.64916225806145E-2</v>
      </c>
      <c r="P1829" s="29">
        <v>32293</v>
      </c>
      <c r="Q1829">
        <v>1.386096</v>
      </c>
      <c r="R1829" s="33">
        <f>IF(ISBLANK(Q1830),"",Long3[[#This Row],[Adj Close]]/Q1830-1)</f>
        <v>3.4723544152985175E-2</v>
      </c>
      <c r="AK1829" s="37">
        <v>32293</v>
      </c>
      <c r="AL1829" s="39">
        <v>0.186672</v>
      </c>
      <c r="AM1829" s="36">
        <f>IF(ISBLANK(AL1830),"",Short1[[#This Row],[Adj Close]]/AL1830-1)</f>
        <v>0.12280532916303288</v>
      </c>
      <c r="AN1829" s="29">
        <v>32293</v>
      </c>
      <c r="AO1829" s="44">
        <v>0.74241299999999999</v>
      </c>
      <c r="AP1829" s="33">
        <f>IF(ISBLANK(AO1830),"",Short2[[#This Row],[Adj Close]]/AO1830-1)</f>
        <v>4.5800881533851978E-2</v>
      </c>
    </row>
    <row r="1830" spans="1:42" x14ac:dyDescent="0.25">
      <c r="A1830" s="37">
        <v>32286</v>
      </c>
      <c r="B1830" s="39">
        <v>253.41999799999999</v>
      </c>
      <c r="C1830" s="36">
        <f>IF(ISBLANK(B1831), "", GSPC[[#This Row],[Adj Close]]/B1831-1)</f>
        <v>1.5808789569065063E-3</v>
      </c>
      <c r="D183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3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30" s="11" t="e">
        <f>IF(ISBLANK(GSPC[[#This Row],[Long Exp.]]), "", (GSPC[[#This Row],[Long Exp.]]/D1831-1)+(E1831/GSPC[[#This Row],[Short Exp.]]-1))</f>
        <v>#VALUE!</v>
      </c>
      <c r="G1830" s="37">
        <v>32286</v>
      </c>
      <c r="H1830">
        <v>1.3853960000000001</v>
      </c>
      <c r="I1830" s="36">
        <f>IF(ISBLANK(H1831), "", Long0[[#This Row],[Adj Close]]/H1831-1)</f>
        <v>2.1739499188373257E-2</v>
      </c>
      <c r="M1830" s="37">
        <v>32286</v>
      </c>
      <c r="N1830">
        <v>8.9606949999999994</v>
      </c>
      <c r="O1830" s="36">
        <f>IF(ISBLANK(N1831),"",Long2[[#This Row],[Adj Close]]/N1831-1)</f>
        <v>-1.7241144834039712E-2</v>
      </c>
      <c r="P1830" s="29">
        <v>32286</v>
      </c>
      <c r="Q1830">
        <v>1.3395809999999999</v>
      </c>
      <c r="R1830" s="33">
        <f>IF(ISBLANK(Q1831),"",Long3[[#This Row],[Adj Close]]/Q1831-1)</f>
        <v>2.1275865802020899E-2</v>
      </c>
      <c r="AK1830" s="37">
        <v>32286</v>
      </c>
      <c r="AL1830" s="39">
        <v>0.16625499999999999</v>
      </c>
      <c r="AM1830" s="36">
        <f>IF(ISBLANK(AL1831),"",Short1[[#This Row],[Adj Close]]/AL1831-1)</f>
        <v>1.7858673425657168E-2</v>
      </c>
      <c r="AN1830" s="29">
        <v>32286</v>
      </c>
      <c r="AO1830" s="44">
        <v>0.70989899999999995</v>
      </c>
      <c r="AP1830" s="33">
        <f>IF(ISBLANK(AO1831),"",Short2[[#This Row],[Adj Close]]/AO1831-1)</f>
        <v>-2.23877513922629E-2</v>
      </c>
    </row>
    <row r="1831" spans="1:42" x14ac:dyDescent="0.25">
      <c r="A1831" s="37">
        <v>32279</v>
      </c>
      <c r="B1831" s="39">
        <v>253.020004</v>
      </c>
      <c r="C1831" s="36">
        <f>IF(ISBLANK(B1832), "", GSPC[[#This Row],[Adj Close]]/B1832-1)</f>
        <v>-1.4642865544991168E-2</v>
      </c>
      <c r="D183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3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31" s="11" t="e">
        <f>IF(ISBLANK(GSPC[[#This Row],[Long Exp.]]), "", (GSPC[[#This Row],[Long Exp.]]/D1832-1)+(E1832/GSPC[[#This Row],[Short Exp.]]-1))</f>
        <v>#VALUE!</v>
      </c>
      <c r="G1831" s="37">
        <v>32279</v>
      </c>
      <c r="H1831">
        <v>1.3559190000000001</v>
      </c>
      <c r="I1831" s="36">
        <f>IF(ISBLANK(H1832), "", Long0[[#This Row],[Adj Close]]/H1832-1)</f>
        <v>-2.127694897343424E-2</v>
      </c>
      <c r="M1831" s="37">
        <v>32279</v>
      </c>
      <c r="N1831">
        <v>9.1178980000000003</v>
      </c>
      <c r="O1831" s="36">
        <f>IF(ISBLANK(N1832),"",Long2[[#This Row],[Adj Close]]/N1832-1)</f>
        <v>0</v>
      </c>
      <c r="P1831" s="29">
        <v>32279</v>
      </c>
      <c r="Q1831">
        <v>1.311674</v>
      </c>
      <c r="R1831" s="33">
        <f>IF(ISBLANK(Q1832),"",Long3[[#This Row],[Adj Close]]/Q1832-1)</f>
        <v>0</v>
      </c>
      <c r="AK1831" s="37">
        <v>32279</v>
      </c>
      <c r="AL1831" s="39">
        <v>0.16333800000000001</v>
      </c>
      <c r="AM1831" s="36">
        <f>IF(ISBLANK(AL1832),"",Short1[[#This Row],[Adj Close]]/AL1832-1)</f>
        <v>-0.17647058823529405</v>
      </c>
      <c r="AN1831" s="29">
        <v>32279</v>
      </c>
      <c r="AO1831" s="44">
        <v>0.72615600000000002</v>
      </c>
      <c r="AP1831" s="33">
        <f>IF(ISBLANK(AO1832),"",Short2[[#This Row],[Adj Close]]/AO1832-1)</f>
        <v>7.5186926715293811E-3</v>
      </c>
    </row>
    <row r="1832" spans="1:42" x14ac:dyDescent="0.25">
      <c r="A1832" s="37">
        <v>32272</v>
      </c>
      <c r="B1832" s="39">
        <v>256.77999899999998</v>
      </c>
      <c r="C1832" s="36">
        <f>IF(ISBLANK(B1833), "", GSPC[[#This Row],[Adj Close]]/B1833-1)</f>
        <v>-2.7187042492398117E-3</v>
      </c>
      <c r="D183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3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32" s="11" t="e">
        <f>IF(ISBLANK(GSPC[[#This Row],[Long Exp.]]), "", (GSPC[[#This Row],[Long Exp.]]/D1833-1)+(E1833/GSPC[[#This Row],[Short Exp.]]-1))</f>
        <v>#VALUE!</v>
      </c>
      <c r="G1832" s="37">
        <v>32272</v>
      </c>
      <c r="H1832">
        <v>1.3853960000000001</v>
      </c>
      <c r="I1832" s="36">
        <f>IF(ISBLANK(H1833), "", Long0[[#This Row],[Adj Close]]/H1833-1)</f>
        <v>3.2967983417587554E-2</v>
      </c>
      <c r="M1832" s="37">
        <v>32272</v>
      </c>
      <c r="N1832">
        <v>9.1178980000000003</v>
      </c>
      <c r="O1832" s="36">
        <f>IF(ISBLANK(N1833),"",Long2[[#This Row],[Adj Close]]/N1833-1)</f>
        <v>0</v>
      </c>
      <c r="P1832" s="29">
        <v>32272</v>
      </c>
      <c r="Q1832">
        <v>1.311674</v>
      </c>
      <c r="R1832" s="33">
        <f>IF(ISBLANK(Q1833),"",Long3[[#This Row],[Adj Close]]/Q1833-1)</f>
        <v>7.1431258834848688E-3</v>
      </c>
      <c r="AK1832" s="37">
        <v>32272</v>
      </c>
      <c r="AL1832" s="39">
        <v>0.19833899999999999</v>
      </c>
      <c r="AM1832" s="36">
        <f>IF(ISBLANK(AL1833),"",Short1[[#This Row],[Adj Close]]/AL1833-1)</f>
        <v>-4.2252364925225439E-2</v>
      </c>
      <c r="AN1832" s="29">
        <v>32272</v>
      </c>
      <c r="AO1832" s="44">
        <v>0.72073699999999996</v>
      </c>
      <c r="AP1832" s="33">
        <f>IF(ISBLANK(AO1833),"",Short2[[#This Row],[Adj Close]]/AO1833-1)</f>
        <v>-4.3164894570335788E-2</v>
      </c>
    </row>
    <row r="1833" spans="1:42" x14ac:dyDescent="0.25">
      <c r="A1833" s="37">
        <v>32265</v>
      </c>
      <c r="B1833" s="39">
        <v>257.48001099999999</v>
      </c>
      <c r="C1833" s="36">
        <f>IF(ISBLANK(B1834), "", GSPC[[#This Row],[Adj Close]]/B1834-1)</f>
        <v>-1.4732239664482227E-2</v>
      </c>
      <c r="D183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3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33" s="11" t="e">
        <f>IF(ISBLANK(GSPC[[#This Row],[Long Exp.]]), "", (GSPC[[#This Row],[Long Exp.]]/D1834-1)+(E1834/GSPC[[#This Row],[Short Exp.]]-1))</f>
        <v>#VALUE!</v>
      </c>
      <c r="G1833" s="37">
        <v>32265</v>
      </c>
      <c r="H1833">
        <v>1.34118</v>
      </c>
      <c r="I1833" s="36">
        <f>IF(ISBLANK(H1834), "", Long0[[#This Row],[Adj Close]]/H1834-1)</f>
        <v>8.3331852466935086E-2</v>
      </c>
      <c r="M1833" s="37">
        <v>32265</v>
      </c>
      <c r="N1833">
        <v>9.1178980000000003</v>
      </c>
      <c r="O1833" s="36">
        <f>IF(ISBLANK(N1834),"",Long2[[#This Row],[Adj Close]]/N1834-1)</f>
        <v>-1.6949667863705664E-2</v>
      </c>
      <c r="P1833" s="29">
        <v>32265</v>
      </c>
      <c r="Q1833">
        <v>1.3023709999999999</v>
      </c>
      <c r="R1833" s="33">
        <f>IF(ISBLANK(Q1834),"",Long3[[#This Row],[Adj Close]]/Q1834-1)</f>
        <v>3.5839780538173827E-3</v>
      </c>
      <c r="AK1833" s="37">
        <v>32265</v>
      </c>
      <c r="AL1833" s="39">
        <v>0.207089</v>
      </c>
      <c r="AM1833" s="36">
        <f>IF(ISBLANK(AL1834),"",Short1[[#This Row],[Adj Close]]/AL1834-1)</f>
        <v>2.8988099674542189E-2</v>
      </c>
      <c r="AN1833" s="29">
        <v>32265</v>
      </c>
      <c r="AO1833" s="44">
        <v>0.753251</v>
      </c>
      <c r="AP1833" s="33">
        <f>IF(ISBLANK(AO1834),"",Short2[[#This Row],[Adj Close]]/AO1834-1)</f>
        <v>-6.3994949990742511E-2</v>
      </c>
    </row>
    <row r="1834" spans="1:42" x14ac:dyDescent="0.25">
      <c r="A1834" s="37">
        <v>32258</v>
      </c>
      <c r="B1834" s="39">
        <v>261.32998700000002</v>
      </c>
      <c r="C1834" s="36">
        <f>IF(ISBLANK(B1835), "", GSPC[[#This Row],[Adj Close]]/B1835-1)</f>
        <v>4.574352008090754E-3</v>
      </c>
      <c r="D183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3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34" s="11" t="e">
        <f>IF(ISBLANK(GSPC[[#This Row],[Long Exp.]]), "", (GSPC[[#This Row],[Long Exp.]]/D1835-1)+(E1835/GSPC[[#This Row],[Short Exp.]]-1))</f>
        <v>#VALUE!</v>
      </c>
      <c r="G1834" s="37">
        <v>32258</v>
      </c>
      <c r="H1834">
        <v>1.2380139999999999</v>
      </c>
      <c r="I1834" s="36">
        <f>IF(ISBLANK(H1835), "", Long0[[#This Row],[Adj Close]]/H1835-1)</f>
        <v>5.0000848133258557E-2</v>
      </c>
      <c r="M1834" s="37">
        <v>32258</v>
      </c>
      <c r="N1834">
        <v>9.2751079999999995</v>
      </c>
      <c r="O1834" s="36">
        <f>IF(ISBLANK(N1835),"",Long2[[#This Row],[Adj Close]]/N1835-1)</f>
        <v>-8.402554581859234E-3</v>
      </c>
      <c r="P1834" s="29">
        <v>32258</v>
      </c>
      <c r="Q1834">
        <v>1.29772</v>
      </c>
      <c r="R1834" s="33">
        <f>IF(ISBLANK(Q1835),"",Long3[[#This Row],[Adj Close]]/Q1835-1)</f>
        <v>1.4546006063572037E-2</v>
      </c>
      <c r="AK1834" s="37">
        <v>32258</v>
      </c>
      <c r="AL1834" s="39">
        <v>0.20125499999999999</v>
      </c>
      <c r="AM1834" s="36">
        <f>IF(ISBLANK(AL1835),"",Short1[[#This Row],[Adj Close]]/AL1835-1)</f>
        <v>0</v>
      </c>
      <c r="AN1834" s="29">
        <v>32258</v>
      </c>
      <c r="AO1834" s="44">
        <v>0.80475099999999999</v>
      </c>
      <c r="AP1834" s="33">
        <f>IF(ISBLANK(AO1835),"",Short2[[#This Row],[Adj Close]]/AO1835-1)</f>
        <v>4.1959282392301844E-2</v>
      </c>
    </row>
    <row r="1835" spans="1:42" x14ac:dyDescent="0.25">
      <c r="A1835" s="37">
        <v>32251</v>
      </c>
      <c r="B1835" s="39">
        <v>260.14001500000001</v>
      </c>
      <c r="C1835" s="36">
        <f>IF(ISBLANK(B1836), "", GSPC[[#This Row],[Adj Close]]/B1836-1)</f>
        <v>1.4244370622813474E-3</v>
      </c>
      <c r="D183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3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35" s="11" t="e">
        <f>IF(ISBLANK(GSPC[[#This Row],[Long Exp.]]), "", (GSPC[[#This Row],[Long Exp.]]/D1836-1)+(E1836/GSPC[[#This Row],[Short Exp.]]-1))</f>
        <v>#VALUE!</v>
      </c>
      <c r="G1835" s="37">
        <v>32251</v>
      </c>
      <c r="H1835">
        <v>1.17906</v>
      </c>
      <c r="I1835" s="36">
        <f>IF(ISBLANK(H1836), "", Long0[[#This Row],[Adj Close]]/H1836-1)</f>
        <v>1.2658010412927023E-2</v>
      </c>
      <c r="M1835" s="37">
        <v>32251</v>
      </c>
      <c r="N1835">
        <v>9.3537029999999994</v>
      </c>
      <c r="O1835" s="36">
        <f>IF(ISBLANK(N1836),"",Long2[[#This Row],[Adj Close]]/N1836-1)</f>
        <v>8.4737557772911476E-3</v>
      </c>
      <c r="P1835" s="29">
        <v>32251</v>
      </c>
      <c r="Q1835">
        <v>1.2791140000000001</v>
      </c>
      <c r="R1835" s="33">
        <f>IF(ISBLANK(Q1836),"",Long3[[#This Row],[Adj Close]]/Q1836-1)</f>
        <v>7.3254938526334801E-3</v>
      </c>
      <c r="AK1835" s="37">
        <v>32251</v>
      </c>
      <c r="AL1835" s="39">
        <v>0.20125499999999999</v>
      </c>
      <c r="AM1835" s="36">
        <f>IF(ISBLANK(AL1836),"",Short1[[#This Row],[Adj Close]]/AL1836-1)</f>
        <v>6.1533105823649903E-2</v>
      </c>
      <c r="AN1835" s="29">
        <v>32251</v>
      </c>
      <c r="AO1835" s="44">
        <v>0.77234400000000003</v>
      </c>
      <c r="AP1835" s="33">
        <f>IF(ISBLANK(AO1836),"",Short2[[#This Row],[Adj Close]]/AO1836-1)</f>
        <v>7.0422443388882261E-3</v>
      </c>
    </row>
    <row r="1836" spans="1:42" x14ac:dyDescent="0.25">
      <c r="A1836" s="37">
        <v>32244</v>
      </c>
      <c r="B1836" s="39">
        <v>259.76998900000001</v>
      </c>
      <c r="C1836" s="36">
        <f>IF(ISBLANK(B1837), "", GSPC[[#This Row],[Adj Close]]/B1837-1)</f>
        <v>-3.5853484211017306E-2</v>
      </c>
      <c r="D183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3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36" s="11" t="e">
        <f>IF(ISBLANK(GSPC[[#This Row],[Long Exp.]]), "", (GSPC[[#This Row],[Long Exp.]]/D1837-1)+(E1837/GSPC[[#This Row],[Short Exp.]]-1))</f>
        <v>#VALUE!</v>
      </c>
      <c r="G1836" s="37">
        <v>32244</v>
      </c>
      <c r="H1836">
        <v>1.1643220000000001</v>
      </c>
      <c r="I1836" s="36">
        <f>IF(ISBLANK(H1837), "", Long0[[#This Row],[Adj Close]]/H1837-1)</f>
        <v>1.2821170807153504E-2</v>
      </c>
      <c r="M1836" s="37">
        <v>32244</v>
      </c>
      <c r="N1836">
        <v>9.2751079999999995</v>
      </c>
      <c r="O1836" s="36">
        <f>IF(ISBLANK(N1837),"",Long2[[#This Row],[Adj Close]]/N1837-1)</f>
        <v>-7.8124715799844036E-2</v>
      </c>
      <c r="P1836" s="29">
        <v>32244</v>
      </c>
      <c r="Q1836">
        <v>1.2698119999999999</v>
      </c>
      <c r="R1836" s="33">
        <f>IF(ISBLANK(Q1837),"",Long3[[#This Row],[Adj Close]]/Q1837-1)</f>
        <v>-2.8469298910041241E-2</v>
      </c>
      <c r="AK1836" s="37">
        <v>32244</v>
      </c>
      <c r="AL1836" s="39">
        <v>0.18958900000000001</v>
      </c>
      <c r="AM1836" s="36">
        <f>IF(ISBLANK(AL1837),"",Short1[[#This Row],[Adj Close]]/AL1837-1)</f>
        <v>-7.1425072977685411E-2</v>
      </c>
      <c r="AN1836" s="29">
        <v>32244</v>
      </c>
      <c r="AO1836" s="44">
        <v>0.76694300000000004</v>
      </c>
      <c r="AP1836" s="33">
        <f>IF(ISBLANK(AO1837),"",Short2[[#This Row],[Adj Close]]/AO1837-1)</f>
        <v>-6.5789393546280994E-2</v>
      </c>
    </row>
    <row r="1837" spans="1:42" x14ac:dyDescent="0.25">
      <c r="A1837" s="37">
        <v>32237</v>
      </c>
      <c r="B1837" s="39">
        <v>269.42999300000002</v>
      </c>
      <c r="C1837" s="36">
        <f>IF(ISBLANK(B1838), "", GSPC[[#This Row],[Adj Close]]/B1838-1)</f>
        <v>4.0712184284125597E-2</v>
      </c>
      <c r="D183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3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37" s="11" t="e">
        <f>IF(ISBLANK(GSPC[[#This Row],[Long Exp.]]), "", (GSPC[[#This Row],[Long Exp.]]/D1838-1)+(E1838/GSPC[[#This Row],[Short Exp.]]-1))</f>
        <v>#VALUE!</v>
      </c>
      <c r="G1837" s="37">
        <v>32237</v>
      </c>
      <c r="H1837">
        <v>1.149583</v>
      </c>
      <c r="I1837" s="36">
        <f>IF(ISBLANK(H1838), "", Long0[[#This Row],[Adj Close]]/H1838-1)</f>
        <v>0</v>
      </c>
      <c r="M1837" s="37">
        <v>32237</v>
      </c>
      <c r="N1837">
        <v>10.061131</v>
      </c>
      <c r="O1837" s="36">
        <f>IF(ISBLANK(N1838),"",Long2[[#This Row],[Adj Close]]/N1838-1)</f>
        <v>6.2240507503843245E-2</v>
      </c>
      <c r="P1837" s="29">
        <v>32237</v>
      </c>
      <c r="Q1837">
        <v>1.3070219999999999</v>
      </c>
      <c r="R1837" s="33">
        <f>IF(ISBLANK(Q1838),"",Long3[[#This Row],[Adj Close]]/Q1838-1)</f>
        <v>1.8115450946667888E-2</v>
      </c>
      <c r="AK1837" s="37">
        <v>32237</v>
      </c>
      <c r="AL1837" s="39">
        <v>0.20417199999999999</v>
      </c>
      <c r="AM1837" s="36">
        <f>IF(ISBLANK(AL1838),"",Short1[[#This Row],[Adj Close]]/AL1838-1)</f>
        <v>-6.6667885680849914E-2</v>
      </c>
      <c r="AN1837" s="29">
        <v>32237</v>
      </c>
      <c r="AO1837" s="44">
        <v>0.82095300000000004</v>
      </c>
      <c r="AP1837" s="33">
        <f>IF(ISBLANK(AO1838),"",Short2[[#This Row],[Adj Close]]/AO1838-1)</f>
        <v>4.1095838294990639E-2</v>
      </c>
    </row>
    <row r="1838" spans="1:42" x14ac:dyDescent="0.25">
      <c r="A1838" s="37">
        <v>32230</v>
      </c>
      <c r="B1838" s="39">
        <v>258.89001500000001</v>
      </c>
      <c r="C1838" s="36">
        <f>IF(ISBLANK(B1839), "", GSPC[[#This Row],[Adj Close]]/B1839-1)</f>
        <v>1.4699817620213995E-3</v>
      </c>
      <c r="D183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3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38" s="11" t="e">
        <f>IF(ISBLANK(GSPC[[#This Row],[Long Exp.]]), "", (GSPC[[#This Row],[Long Exp.]]/D1839-1)+(E1839/GSPC[[#This Row],[Short Exp.]]-1))</f>
        <v>#VALUE!</v>
      </c>
      <c r="G1838" s="37">
        <v>32230</v>
      </c>
      <c r="H1838">
        <v>1.149583</v>
      </c>
      <c r="I1838" s="36">
        <f>IF(ISBLANK(H1839), "", Long0[[#This Row],[Adj Close]]/H1839-1)</f>
        <v>-2.5000424066629279E-2</v>
      </c>
      <c r="M1838" s="37">
        <v>32230</v>
      </c>
      <c r="N1838">
        <v>9.4716129999999996</v>
      </c>
      <c r="O1838" s="36">
        <f>IF(ISBLANK(N1839),"",Long2[[#This Row],[Adj Close]]/N1839-1)</f>
        <v>6.1673868080735383E-2</v>
      </c>
      <c r="P1838" s="29">
        <v>32230</v>
      </c>
      <c r="Q1838">
        <v>1.283766</v>
      </c>
      <c r="R1838" s="33">
        <f>IF(ISBLANK(Q1839),"",Long3[[#This Row],[Adj Close]]/Q1839-1)</f>
        <v>3.6368924114660306E-3</v>
      </c>
      <c r="AK1838" s="37">
        <v>32230</v>
      </c>
      <c r="AL1838" s="39">
        <v>0.21875600000000001</v>
      </c>
      <c r="AM1838" s="36">
        <f>IF(ISBLANK(AL1839),"",Short1[[#This Row],[Adj Close]]/AL1839-1)</f>
        <v>4.1665476224488796E-2</v>
      </c>
      <c r="AN1838" s="29">
        <v>32230</v>
      </c>
      <c r="AO1838" s="44">
        <v>0.788547</v>
      </c>
      <c r="AP1838" s="33">
        <f>IF(ISBLANK(AO1839),"",Short2[[#This Row],[Adj Close]]/AO1839-1)</f>
        <v>1.3887567406325463E-2</v>
      </c>
    </row>
    <row r="1839" spans="1:42" x14ac:dyDescent="0.25">
      <c r="A1839" s="37">
        <v>32223</v>
      </c>
      <c r="B1839" s="39">
        <v>258.51001000000002</v>
      </c>
      <c r="C1839" s="36">
        <f>IF(ISBLANK(B1840), "", GSPC[[#This Row],[Adj Close]]/B1840-1)</f>
        <v>-4.6510715670380565E-2</v>
      </c>
      <c r="D183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3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39" s="11" t="e">
        <f>IF(ISBLANK(GSPC[[#This Row],[Long Exp.]]), "", (GSPC[[#This Row],[Long Exp.]]/D1840-1)+(E1840/GSPC[[#This Row],[Short Exp.]]-1))</f>
        <v>#VALUE!</v>
      </c>
      <c r="G1839" s="37">
        <v>32223</v>
      </c>
      <c r="H1839">
        <v>1.17906</v>
      </c>
      <c r="I1839" s="36">
        <f>IF(ISBLANK(H1840), "", Long0[[#This Row],[Adj Close]]/H1840-1)</f>
        <v>-2.4390647534994758E-2</v>
      </c>
      <c r="M1839" s="37">
        <v>32223</v>
      </c>
      <c r="N1839">
        <v>8.9213959999999997</v>
      </c>
      <c r="O1839" s="36">
        <f>IF(ISBLANK(N1840),"",Long2[[#This Row],[Adj Close]]/N1840-1)</f>
        <v>-8.0971463066396798E-2</v>
      </c>
      <c r="P1839" s="29">
        <v>32223</v>
      </c>
      <c r="Q1839">
        <v>1.2791140000000001</v>
      </c>
      <c r="R1839" s="33">
        <f>IF(ISBLANK(Q1840),"",Long3[[#This Row],[Adj Close]]/Q1840-1)</f>
        <v>-3.8461856497772229E-2</v>
      </c>
      <c r="AK1839" s="37">
        <v>32223</v>
      </c>
      <c r="AL1839" s="39">
        <v>0.210006</v>
      </c>
      <c r="AM1839" s="36">
        <f>IF(ISBLANK(AL1840),"",Short1[[#This Row],[Adj Close]]/AL1840-1)</f>
        <v>0</v>
      </c>
      <c r="AN1839" s="29">
        <v>32223</v>
      </c>
      <c r="AO1839" s="44">
        <v>0.77774600000000005</v>
      </c>
      <c r="AP1839" s="33">
        <f>IF(ISBLANK(AO1840),"",Short2[[#This Row],[Adj Close]]/AO1840-1)</f>
        <v>-4.6356332888644713E-2</v>
      </c>
    </row>
    <row r="1840" spans="1:42" x14ac:dyDescent="0.25">
      <c r="A1840" s="37">
        <v>32216</v>
      </c>
      <c r="B1840" s="39">
        <v>271.11999500000002</v>
      </c>
      <c r="C1840" s="36">
        <f>IF(ISBLANK(B1841), "", GSPC[[#This Row],[Adj Close]]/B1841-1)</f>
        <v>2.3326009486480004E-2</v>
      </c>
      <c r="D184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4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40" s="11" t="e">
        <f>IF(ISBLANK(GSPC[[#This Row],[Long Exp.]]), "", (GSPC[[#This Row],[Long Exp.]]/D1841-1)+(E1841/GSPC[[#This Row],[Short Exp.]]-1))</f>
        <v>#VALUE!</v>
      </c>
      <c r="G1840" s="37">
        <v>32216</v>
      </c>
      <c r="H1840">
        <v>1.208537</v>
      </c>
      <c r="I1840" s="36">
        <f>IF(ISBLANK(H1841), "", Long0[[#This Row],[Adj Close]]/H1841-1)</f>
        <v>-2.3809908450146744E-2</v>
      </c>
      <c r="M1840" s="37">
        <v>32216</v>
      </c>
      <c r="N1840">
        <v>9.7074200000000008</v>
      </c>
      <c r="O1840" s="36">
        <f>IF(ISBLANK(N1841),"",Long2[[#This Row],[Adj Close]]/N1841-1)</f>
        <v>6.9797550647603623E-2</v>
      </c>
      <c r="P1840" s="29">
        <v>32216</v>
      </c>
      <c r="Q1840">
        <v>1.330279</v>
      </c>
      <c r="R1840" s="33">
        <f>IF(ISBLANK(Q1841),"",Long3[[#This Row],[Adj Close]]/Q1841-1)</f>
        <v>2.1428609820089761E-2</v>
      </c>
      <c r="AK1840" s="37">
        <v>32216</v>
      </c>
      <c r="AL1840" s="39">
        <v>0.210006</v>
      </c>
      <c r="AM1840" s="36">
        <f>IF(ISBLANK(AL1841),"",Short1[[#This Row],[Adj Close]]/AL1841-1)</f>
        <v>9.0911924365600916E-2</v>
      </c>
      <c r="AN1840" s="29">
        <v>32216</v>
      </c>
      <c r="AO1840" s="44">
        <v>0.81555200000000005</v>
      </c>
      <c r="AP1840" s="33">
        <f>IF(ISBLANK(AO1841),"",Short2[[#This Row],[Adj Close]]/AO1841-1)</f>
        <v>2.7209556281322822E-2</v>
      </c>
    </row>
    <row r="1841" spans="1:42" x14ac:dyDescent="0.25">
      <c r="A1841" s="37">
        <v>32209</v>
      </c>
      <c r="B1841" s="39">
        <v>264.94000199999999</v>
      </c>
      <c r="C1841" s="36">
        <f>IF(ISBLANK(B1842), "", GSPC[[#This Row],[Adj Close]]/B1842-1)</f>
        <v>-8.8289790720079697E-3</v>
      </c>
      <c r="D184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4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41" s="11" t="e">
        <f>IF(ISBLANK(GSPC[[#This Row],[Long Exp.]]), "", (GSPC[[#This Row],[Long Exp.]]/D1842-1)+(E1842/GSPC[[#This Row],[Short Exp.]]-1))</f>
        <v>#VALUE!</v>
      </c>
      <c r="G1841" s="37">
        <v>32209</v>
      </c>
      <c r="H1841">
        <v>1.2380139999999999</v>
      </c>
      <c r="I1841" s="36">
        <f>IF(ISBLANK(H1842), "", Long0[[#This Row],[Adj Close]]/H1842-1)</f>
        <v>-2.3255410299095058E-2</v>
      </c>
      <c r="M1841" s="37">
        <v>32209</v>
      </c>
      <c r="N1841">
        <v>9.0740719999999992</v>
      </c>
      <c r="O1841" s="36">
        <f>IF(ISBLANK(N1842),"",Long2[[#This Row],[Adj Close]]/N1842-1)</f>
        <v>-6.4516508152580143E-2</v>
      </c>
      <c r="P1841" s="29">
        <v>32209</v>
      </c>
      <c r="Q1841">
        <v>1.3023709999999999</v>
      </c>
      <c r="R1841" s="33">
        <f>IF(ISBLANK(Q1842),"",Long3[[#This Row],[Adj Close]]/Q1842-1)</f>
        <v>-9.1750727120708531E-3</v>
      </c>
      <c r="AK1841" s="37">
        <v>32209</v>
      </c>
      <c r="AL1841" s="39">
        <v>0.19250500000000001</v>
      </c>
      <c r="AM1841" s="36">
        <f>IF(ISBLANK(AL1842),"",Short1[[#This Row],[Adj Close]]/AL1842-1)</f>
        <v>1.538063917210386E-2</v>
      </c>
      <c r="AN1841" s="29">
        <v>32209</v>
      </c>
      <c r="AO1841" s="44">
        <v>0.79394900000000002</v>
      </c>
      <c r="AP1841" s="33">
        <f>IF(ISBLANK(AO1842),"",Short2[[#This Row],[Adj Close]]/AO1842-1)</f>
        <v>1.3794362736960997E-2</v>
      </c>
    </row>
    <row r="1842" spans="1:42" x14ac:dyDescent="0.25">
      <c r="A1842" s="37">
        <v>32202</v>
      </c>
      <c r="B1842" s="39">
        <v>267.29998799999998</v>
      </c>
      <c r="C1842" s="36">
        <f>IF(ISBLANK(B1843), "", GSPC[[#This Row],[Adj Close]]/B1843-1)</f>
        <v>1.8440894482847137E-2</v>
      </c>
      <c r="D184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4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42" s="11" t="e">
        <f>IF(ISBLANK(GSPC[[#This Row],[Long Exp.]]), "", (GSPC[[#This Row],[Long Exp.]]/D1843-1)+(E1843/GSPC[[#This Row],[Short Exp.]]-1))</f>
        <v>#VALUE!</v>
      </c>
      <c r="G1842" s="37">
        <v>32202</v>
      </c>
      <c r="H1842">
        <v>1.26749</v>
      </c>
      <c r="I1842" s="36">
        <f>IF(ISBLANK(H1843), "", Long0[[#This Row],[Adj Close]]/H1843-1)</f>
        <v>8.8607790628365546E-2</v>
      </c>
      <c r="M1842" s="37">
        <v>32202</v>
      </c>
      <c r="N1842">
        <v>9.6998739999999994</v>
      </c>
      <c r="O1842" s="36">
        <f>IF(ISBLANK(N1843),"",Long2[[#This Row],[Adj Close]]/N1843-1)</f>
        <v>9.7345046644558009E-2</v>
      </c>
      <c r="P1842" s="29">
        <v>32202</v>
      </c>
      <c r="Q1842">
        <v>1.3144309999999999</v>
      </c>
      <c r="R1842" s="33">
        <f>IF(ISBLANK(Q1843),"",Long3[[#This Row],[Adj Close]]/Q1843-1)</f>
        <v>-2.0408178474678018E-2</v>
      </c>
      <c r="AK1842" s="37">
        <v>32202</v>
      </c>
      <c r="AL1842" s="39">
        <v>0.18958900000000001</v>
      </c>
      <c r="AM1842" s="36">
        <f>IF(ISBLANK(AL1843),"",Short1[[#This Row],[Adj Close]]/AL1843-1)</f>
        <v>0.16071581628279996</v>
      </c>
      <c r="AN1842" s="29">
        <v>32202</v>
      </c>
      <c r="AO1842" s="44">
        <v>0.78314600000000001</v>
      </c>
      <c r="AP1842" s="33">
        <f>IF(ISBLANK(AO1843),"",Short2[[#This Row],[Adj Close]]/AO1843-1)</f>
        <v>-1.360666743077954E-2</v>
      </c>
    </row>
    <row r="1843" spans="1:42" x14ac:dyDescent="0.25">
      <c r="A1843" s="37">
        <v>32195</v>
      </c>
      <c r="B1843" s="39">
        <v>262.459991</v>
      </c>
      <c r="C1843" s="36">
        <f>IF(ISBLANK(B1844), "", GSPC[[#This Row],[Adj Close]]/B1844-1)</f>
        <v>3.2491343937044448E-3</v>
      </c>
      <c r="D184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4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43" s="11" t="e">
        <f>IF(ISBLANK(GSPC[[#This Row],[Long Exp.]]), "", (GSPC[[#This Row],[Long Exp.]]/D1844-1)+(E1844/GSPC[[#This Row],[Short Exp.]]-1))</f>
        <v>#VALUE!</v>
      </c>
      <c r="G1843" s="37">
        <v>32195</v>
      </c>
      <c r="H1843">
        <v>1.1643220000000001</v>
      </c>
      <c r="I1843" s="36">
        <f>IF(ISBLANK(H1844), "", Long0[[#This Row],[Adj Close]]/H1844-1)</f>
        <v>0.16176495533331159</v>
      </c>
      <c r="M1843" s="37">
        <v>32195</v>
      </c>
      <c r="N1843">
        <v>8.8394019999999998</v>
      </c>
      <c r="O1843" s="36">
        <f>IF(ISBLANK(N1844),"",Long2[[#This Row],[Adj Close]]/N1844-1)</f>
        <v>-8.7718412949814306E-3</v>
      </c>
      <c r="P1843" s="29">
        <v>32195</v>
      </c>
      <c r="Q1843">
        <v>1.341815</v>
      </c>
      <c r="R1843" s="33">
        <f>IF(ISBLANK(Q1844),"",Long3[[#This Row],[Adj Close]]/Q1844-1)</f>
        <v>-1.0101017552841873E-2</v>
      </c>
      <c r="AK1843" s="37">
        <v>32195</v>
      </c>
      <c r="AL1843" s="39">
        <v>0.16333800000000001</v>
      </c>
      <c r="AM1843" s="36">
        <f>IF(ISBLANK(AL1844),"",Short1[[#This Row],[Adj Close]]/AL1844-1)</f>
        <v>0</v>
      </c>
      <c r="AN1843" s="29">
        <v>32195</v>
      </c>
      <c r="AO1843" s="44">
        <v>0.79394900000000002</v>
      </c>
      <c r="AP1843" s="33">
        <f>IF(ISBLANK(AO1844),"",Short2[[#This Row],[Adj Close]]/AO1844-1)</f>
        <v>0</v>
      </c>
    </row>
    <row r="1844" spans="1:42" x14ac:dyDescent="0.25">
      <c r="A1844" s="37">
        <v>32188</v>
      </c>
      <c r="B1844" s="39">
        <v>261.60998499999999</v>
      </c>
      <c r="C1844" s="36">
        <f>IF(ISBLANK(B1845), "", GSPC[[#This Row],[Adj Close]]/B1845-1)</f>
        <v>1.5448433500593328E-2</v>
      </c>
      <c r="D184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4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44" s="11" t="e">
        <f>IF(ISBLANK(GSPC[[#This Row],[Long Exp.]]), "", (GSPC[[#This Row],[Long Exp.]]/D1845-1)+(E1845/GSPC[[#This Row],[Short Exp.]]-1))</f>
        <v>#VALUE!</v>
      </c>
      <c r="G1844" s="37">
        <v>32188</v>
      </c>
      <c r="H1844">
        <v>1.0022009999999999</v>
      </c>
      <c r="I1844" s="36">
        <f>IF(ISBLANK(H1845), "", Long0[[#This Row],[Adj Close]]/H1845-1)</f>
        <v>1.4925116181568221E-2</v>
      </c>
      <c r="M1844" s="37">
        <v>32188</v>
      </c>
      <c r="N1844">
        <v>8.9176260000000003</v>
      </c>
      <c r="O1844" s="36">
        <f>IF(ISBLANK(N1845),"",Long2[[#This Row],[Adj Close]]/N1845-1)</f>
        <v>0.11764755277183325</v>
      </c>
      <c r="P1844" s="29">
        <v>32188</v>
      </c>
      <c r="Q1844">
        <v>1.355507</v>
      </c>
      <c r="R1844" s="33">
        <f>IF(ISBLANK(Q1845),"",Long3[[#This Row],[Adj Close]]/Q1845-1)</f>
        <v>-1.0000007303540226E-2</v>
      </c>
      <c r="AK1844" s="37">
        <v>32188</v>
      </c>
      <c r="AL1844" s="39">
        <v>0.16333800000000001</v>
      </c>
      <c r="AM1844" s="36">
        <f>IF(ISBLANK(AL1845),"",Short1[[#This Row],[Adj Close]]/AL1845-1)</f>
        <v>1.8183404915815382E-2</v>
      </c>
      <c r="AN1844" s="29">
        <v>32188</v>
      </c>
      <c r="AO1844" s="44">
        <v>0.79394900000000002</v>
      </c>
      <c r="AP1844" s="33">
        <f>IF(ISBLANK(AO1845),"",Short2[[#This Row],[Adj Close]]/AO1845-1)</f>
        <v>6.85057453772564E-3</v>
      </c>
    </row>
    <row r="1845" spans="1:42" x14ac:dyDescent="0.25">
      <c r="A1845" s="37">
        <v>32181</v>
      </c>
      <c r="B1845" s="39">
        <v>257.63000499999998</v>
      </c>
      <c r="C1845" s="36">
        <f>IF(ISBLANK(B1846), "", GSPC[[#This Row],[Adj Close]]/B1846-1)</f>
        <v>2.6577931996949689E-2</v>
      </c>
      <c r="D184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4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45" s="11" t="e">
        <f>IF(ISBLANK(GSPC[[#This Row],[Long Exp.]]), "", (GSPC[[#This Row],[Long Exp.]]/D1846-1)+(E1846/GSPC[[#This Row],[Short Exp.]]-1))</f>
        <v>#VALUE!</v>
      </c>
      <c r="G1845" s="37">
        <v>32181</v>
      </c>
      <c r="H1845">
        <v>0.98746299999999998</v>
      </c>
      <c r="I1845" s="36">
        <f>IF(ISBLANK(H1846), "", Long0[[#This Row],[Adj Close]]/H1846-1)</f>
        <v>-1.4705632901982679E-2</v>
      </c>
      <c r="M1845" s="37">
        <v>32181</v>
      </c>
      <c r="N1845">
        <v>7.9789250000000003</v>
      </c>
      <c r="O1845" s="36">
        <f>IF(ISBLANK(N1846),"",Long2[[#This Row],[Adj Close]]/N1846-1)</f>
        <v>3.0302729004334061E-2</v>
      </c>
      <c r="P1845" s="29">
        <v>32181</v>
      </c>
      <c r="Q1845">
        <v>1.3691990000000001</v>
      </c>
      <c r="R1845" s="33">
        <f>IF(ISBLANK(Q1846),"",Long3[[#This Row],[Adj Close]]/Q1846-1)</f>
        <v>0</v>
      </c>
      <c r="AK1845" s="37">
        <v>32181</v>
      </c>
      <c r="AL1845" s="39">
        <v>0.16042100000000001</v>
      </c>
      <c r="AM1845" s="36">
        <f>IF(ISBLANK(AL1846),"",Short1[[#This Row],[Adj Close]]/AL1846-1)</f>
        <v>-1.7858673425657279E-2</v>
      </c>
      <c r="AN1845" s="29">
        <v>32181</v>
      </c>
      <c r="AO1845" s="44">
        <v>0.788547</v>
      </c>
      <c r="AP1845" s="33">
        <f>IF(ISBLANK(AO1846),"",Short2[[#This Row],[Adj Close]]/AO1846-1)</f>
        <v>-6.6931956947718141E-2</v>
      </c>
    </row>
    <row r="1846" spans="1:42" x14ac:dyDescent="0.25">
      <c r="A1846" s="37">
        <v>32174</v>
      </c>
      <c r="B1846" s="39">
        <v>250.96000699999999</v>
      </c>
      <c r="C1846" s="36">
        <f>IF(ISBLANK(B1847), "", GSPC[[#This Row],[Adj Close]]/B1847-1)</f>
        <v>-2.3767844686758743E-2</v>
      </c>
      <c r="D184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4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46" s="11" t="e">
        <f>IF(ISBLANK(GSPC[[#This Row],[Long Exp.]]), "", (GSPC[[#This Row],[Long Exp.]]/D1847-1)+(E1847/GSPC[[#This Row],[Short Exp.]]-1))</f>
        <v>#VALUE!</v>
      </c>
      <c r="G1846" s="37">
        <v>32174</v>
      </c>
      <c r="H1846">
        <v>1.0022009999999999</v>
      </c>
      <c r="I1846" s="36">
        <f>IF(ISBLANK(H1847), "", Long0[[#This Row],[Adj Close]]/H1847-1)</f>
        <v>-1.4493480441324036E-2</v>
      </c>
      <c r="M1846" s="37">
        <v>32174</v>
      </c>
      <c r="N1846">
        <v>7.7442529999999996</v>
      </c>
      <c r="O1846" s="36">
        <f>IF(ISBLANK(N1847),"",Long2[[#This Row],[Adj Close]]/N1847-1)</f>
        <v>1.020411091637019E-2</v>
      </c>
      <c r="P1846" s="29">
        <v>32174</v>
      </c>
      <c r="Q1846">
        <v>1.3691990000000001</v>
      </c>
      <c r="R1846" s="33">
        <f>IF(ISBLANK(Q1847),"",Long3[[#This Row],[Adj Close]]/Q1847-1)</f>
        <v>1.3514273743802541E-2</v>
      </c>
      <c r="AK1846" s="37">
        <v>32174</v>
      </c>
      <c r="AL1846" s="39">
        <v>0.16333800000000001</v>
      </c>
      <c r="AM1846" s="36">
        <f>IF(ISBLANK(AL1847),"",Short1[[#This Row],[Adj Close]]/AL1847-1)</f>
        <v>1.8183404915815382E-2</v>
      </c>
      <c r="AN1846" s="29">
        <v>32174</v>
      </c>
      <c r="AO1846" s="44">
        <v>0.84511199999999997</v>
      </c>
      <c r="AP1846" s="33">
        <f>IF(ISBLANK(AO1847),"",Short2[[#This Row],[Adj Close]]/AO1847-1)</f>
        <v>9.7901661833941223E-2</v>
      </c>
    </row>
    <row r="1847" spans="1:42" x14ac:dyDescent="0.25">
      <c r="A1847" s="37">
        <v>32167</v>
      </c>
      <c r="B1847" s="39">
        <v>257.07000699999998</v>
      </c>
      <c r="C1847" s="36">
        <f>IF(ISBLANK(B1848), "", GSPC[[#This Row],[Adj Close]]/B1848-1)</f>
        <v>4.2880352941176314E-2</v>
      </c>
      <c r="D184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4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47" s="11" t="e">
        <f>IF(ISBLANK(GSPC[[#This Row],[Long Exp.]]), "", (GSPC[[#This Row],[Long Exp.]]/D1848-1)+(E1848/GSPC[[#This Row],[Short Exp.]]-1))</f>
        <v>#VALUE!</v>
      </c>
      <c r="G1847" s="37">
        <v>32167</v>
      </c>
      <c r="H1847">
        <v>1.01694</v>
      </c>
      <c r="I1847" s="36">
        <f>IF(ISBLANK(H1848), "", Long0[[#This Row],[Adj Close]]/H1848-1)</f>
        <v>-2.8169458256125379E-2</v>
      </c>
      <c r="M1847" s="37">
        <v>32167</v>
      </c>
      <c r="N1847">
        <v>7.6660279999999998</v>
      </c>
      <c r="O1847" s="36" t="str">
        <f>IF(ISBLANK(N1848),"",Long2[[#This Row],[Adj Close]]/N1848-1)</f>
        <v/>
      </c>
      <c r="P1847" s="29">
        <v>32167</v>
      </c>
      <c r="Q1847">
        <v>1.3509420000000001</v>
      </c>
      <c r="R1847" s="33">
        <f>IF(ISBLANK(Q1848),"",Long3[[#This Row],[Adj Close]]/Q1848-1)</f>
        <v>3.8595752107071446E-2</v>
      </c>
      <c r="AK1847" s="37">
        <v>32167</v>
      </c>
      <c r="AL1847" s="39">
        <v>0.16042100000000001</v>
      </c>
      <c r="AM1847" s="36">
        <f>IF(ISBLANK(AL1848),"",Short1[[#This Row],[Adj Close]]/AL1848-1)</f>
        <v>-3.5090673964692676E-2</v>
      </c>
      <c r="AN1847" s="29">
        <v>32167</v>
      </c>
      <c r="AO1847" s="44">
        <v>0.76975199999999999</v>
      </c>
      <c r="AP1847" s="33">
        <f>IF(ISBLANK(AO1848),"",Short2[[#This Row],[Adj Close]]/AO1848-1)</f>
        <v>2.877763224719998E-2</v>
      </c>
    </row>
    <row r="1848" spans="1:42" x14ac:dyDescent="0.25">
      <c r="A1848" s="37">
        <v>32160</v>
      </c>
      <c r="B1848" s="39">
        <v>246.5</v>
      </c>
      <c r="C1848" s="36">
        <f>IF(ISBLANK(B1849), "", GSPC[[#This Row],[Adj Close]]/B1849-1)</f>
        <v>-2.2019452227501124E-2</v>
      </c>
      <c r="D184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4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48" s="11" t="e">
        <f>IF(ISBLANK(GSPC[[#This Row],[Long Exp.]]), "", (GSPC[[#This Row],[Long Exp.]]/D1849-1)+(E1849/GSPC[[#This Row],[Short Exp.]]-1))</f>
        <v>#VALUE!</v>
      </c>
      <c r="G1848" s="37">
        <v>32160</v>
      </c>
      <c r="H1848">
        <v>1.0464169999999999</v>
      </c>
      <c r="I1848" s="36">
        <f>IF(ISBLANK(H1849), "", Long0[[#This Row],[Adj Close]]/H1849-1)</f>
        <v>-5.3332416595725185E-2</v>
      </c>
      <c r="P1848" s="29">
        <v>32160</v>
      </c>
      <c r="Q1848">
        <v>1.3007390000000001</v>
      </c>
      <c r="R1848" s="33">
        <f>IF(ISBLANK(Q1849),"",Long3[[#This Row],[Adj Close]]/Q1849-1)</f>
        <v>4.7795000185273828E-2</v>
      </c>
      <c r="AK1848" s="37">
        <v>32160</v>
      </c>
      <c r="AL1848" s="39">
        <v>0.16625499999999999</v>
      </c>
      <c r="AM1848" s="36">
        <f>IF(ISBLANK(AL1849),"",Short1[[#This Row],[Adj Close]]/AL1849-1)</f>
        <v>-4.9998571469386688E-2</v>
      </c>
      <c r="AN1848" s="29">
        <v>32160</v>
      </c>
      <c r="AO1848" s="44">
        <v>0.74822</v>
      </c>
      <c r="AP1848" s="33">
        <f>IF(ISBLANK(AO1849),"",Short2[[#This Row],[Adj Close]]/AO1849-1)</f>
        <v>1.4598876675697703E-2</v>
      </c>
    </row>
    <row r="1849" spans="1:42" x14ac:dyDescent="0.25">
      <c r="A1849" s="37">
        <v>32153</v>
      </c>
      <c r="B1849" s="39">
        <v>252.050003</v>
      </c>
      <c r="C1849" s="36">
        <f>IF(ISBLANK(B1850), "", GSPC[[#This Row],[Adj Close]]/B1850-1)</f>
        <v>3.5538246562158982E-2</v>
      </c>
      <c r="D184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4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49" s="11" t="e">
        <f>IF(ISBLANK(GSPC[[#This Row],[Long Exp.]]), "", (GSPC[[#This Row],[Long Exp.]]/D1850-1)+(E1850/GSPC[[#This Row],[Short Exp.]]-1))</f>
        <v>#VALUE!</v>
      </c>
      <c r="G1849" s="37">
        <v>32153</v>
      </c>
      <c r="H1849">
        <v>1.105369</v>
      </c>
      <c r="I1849" s="36">
        <f>IF(ISBLANK(H1850), "", Long0[[#This Row],[Adj Close]]/H1850-1)</f>
        <v>4.1667883896101765E-2</v>
      </c>
      <c r="P1849" s="29">
        <v>32153</v>
      </c>
      <c r="Q1849">
        <v>1.241406</v>
      </c>
      <c r="R1849" s="33">
        <f>IF(ISBLANK(Q1850),"",Long3[[#This Row],[Adj Close]]/Q1850-1)</f>
        <v>-3.6630095427658826E-3</v>
      </c>
      <c r="AK1849" s="37">
        <v>32153</v>
      </c>
      <c r="AL1849" s="39">
        <v>0.17500499999999999</v>
      </c>
      <c r="AM1849" s="36">
        <f>IF(ISBLANK(AL1850),"",Short1[[#This Row],[Adj Close]]/AL1850-1)</f>
        <v>-1.6389296373109374E-2</v>
      </c>
      <c r="AN1849" s="29">
        <v>32153</v>
      </c>
      <c r="AO1849" s="44">
        <v>0.73745400000000005</v>
      </c>
      <c r="AP1849" s="33">
        <f>IF(ISBLANK(AO1850),"",Short2[[#This Row],[Adj Close]]/AO1850-1)</f>
        <v>6.201549271231932E-2</v>
      </c>
    </row>
    <row r="1850" spans="1:42" x14ac:dyDescent="0.25">
      <c r="A1850" s="37">
        <v>32146</v>
      </c>
      <c r="B1850" s="39">
        <v>243.39999399999999</v>
      </c>
      <c r="C1850" s="36">
        <f>IF(ISBLANK(B1851), "", GSPC[[#This Row],[Adj Close]]/B1851-1)</f>
        <v>-1.4893993727586263E-2</v>
      </c>
      <c r="D185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5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50" s="11" t="e">
        <f>IF(ISBLANK(GSPC[[#This Row],[Long Exp.]]), "", (GSPC[[#This Row],[Long Exp.]]/D1851-1)+(E1851/GSPC[[#This Row],[Short Exp.]]-1))</f>
        <v>#VALUE!</v>
      </c>
      <c r="G1850" s="37">
        <v>32146</v>
      </c>
      <c r="H1850">
        <v>1.061153</v>
      </c>
      <c r="I1850" s="36">
        <f>IF(ISBLANK(H1851), "", Long0[[#This Row],[Adj Close]]/H1851-1)</f>
        <v>9.0907502120332051E-2</v>
      </c>
      <c r="P1850" s="29">
        <v>32146</v>
      </c>
      <c r="Q1850">
        <v>1.24597</v>
      </c>
      <c r="R1850" s="33">
        <f>IF(ISBLANK(Q1851),"",Long3[[#This Row],[Adj Close]]/Q1851-1)</f>
        <v>3.4090107436747674E-2</v>
      </c>
      <c r="AK1850" s="37">
        <v>32146</v>
      </c>
      <c r="AL1850" s="39">
        <v>0.177921</v>
      </c>
      <c r="AM1850" s="36">
        <f>IF(ISBLANK(AL1851),"",Short1[[#This Row],[Adj Close]]/AL1851-1)</f>
        <v>-7.5759071192956107E-2</v>
      </c>
      <c r="AN1850" s="29">
        <v>32146</v>
      </c>
      <c r="AO1850" s="44">
        <v>0.69439099999999998</v>
      </c>
      <c r="AP1850" s="33">
        <f>IF(ISBLANK(AO1851),"",Short2[[#This Row],[Adj Close]]/AO1851-1)</f>
        <v>-3.0075860113447983E-2</v>
      </c>
    </row>
    <row r="1851" spans="1:42" x14ac:dyDescent="0.25">
      <c r="A1851" s="37">
        <v>32139</v>
      </c>
      <c r="B1851" s="39">
        <v>247.08000200000001</v>
      </c>
      <c r="C1851" s="36">
        <f>IF(ISBLANK(B1852), "", GSPC[[#This Row],[Adj Close]]/B1852-1)</f>
        <v>-1.9640507160419429E-2</v>
      </c>
      <c r="D185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5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51" s="11" t="e">
        <f>IF(ISBLANK(GSPC[[#This Row],[Long Exp.]]), "", (GSPC[[#This Row],[Long Exp.]]/D1852-1)+(E1852/GSPC[[#This Row],[Short Exp.]]-1))</f>
        <v>#VALUE!</v>
      </c>
      <c r="G1851" s="37">
        <v>32139</v>
      </c>
      <c r="H1851">
        <v>0.97272499999999995</v>
      </c>
      <c r="I1851" s="36">
        <f>IF(ISBLANK(H1852), "", Long0[[#This Row],[Adj Close]]/H1852-1)</f>
        <v>-6.523038543000037E-2</v>
      </c>
      <c r="P1851" s="29">
        <v>32139</v>
      </c>
      <c r="Q1851">
        <v>1.204895</v>
      </c>
      <c r="R1851" s="33">
        <f>IF(ISBLANK(Q1852),"",Long3[[#This Row],[Adj Close]]/Q1852-1)</f>
        <v>0</v>
      </c>
      <c r="AK1851" s="37">
        <v>32139</v>
      </c>
      <c r="AL1851" s="39">
        <v>0.19250500000000001</v>
      </c>
      <c r="AM1851" s="36">
        <f>IF(ISBLANK(AL1852),"",Short1[[#This Row],[Adj Close]]/AL1852-1)</f>
        <v>-0.1200012799648924</v>
      </c>
      <c r="AN1851" s="29">
        <v>32139</v>
      </c>
      <c r="AO1851" s="44">
        <v>0.71592299999999998</v>
      </c>
      <c r="AP1851" s="33">
        <f>IF(ISBLANK(AO1852),"",Short2[[#This Row],[Adj Close]]/AO1852-1)</f>
        <v>-7.4628521043773599E-3</v>
      </c>
    </row>
    <row r="1852" spans="1:42" x14ac:dyDescent="0.25">
      <c r="A1852" s="37">
        <v>32132</v>
      </c>
      <c r="B1852" s="39">
        <v>252.029999</v>
      </c>
      <c r="C1852" s="36">
        <f>IF(ISBLANK(B1853), "", GSPC[[#This Row],[Adj Close]]/B1853-1)</f>
        <v>1.1518682589200857E-2</v>
      </c>
      <c r="D185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5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52" s="11" t="e">
        <f>IF(ISBLANK(GSPC[[#This Row],[Long Exp.]]), "", (GSPC[[#This Row],[Long Exp.]]/D1853-1)+(E1853/GSPC[[#This Row],[Short Exp.]]-1))</f>
        <v>#VALUE!</v>
      </c>
      <c r="G1852" s="37">
        <v>32132</v>
      </c>
      <c r="H1852">
        <v>1.0406040000000001</v>
      </c>
      <c r="I1852" s="36">
        <f>IF(ISBLANK(H1853), "", Long0[[#This Row],[Adj Close]]/H1853-1)</f>
        <v>2.8986739708688924E-2</v>
      </c>
      <c r="P1852" s="29">
        <v>32132</v>
      </c>
      <c r="Q1852">
        <v>1.204895</v>
      </c>
      <c r="R1852" s="33">
        <f>IF(ISBLANK(Q1853),"",Long3[[#This Row],[Adj Close]]/Q1853-1)</f>
        <v>-1.1235964276658184E-2</v>
      </c>
      <c r="AK1852" s="37">
        <v>32132</v>
      </c>
      <c r="AL1852" s="39">
        <v>0.21875600000000001</v>
      </c>
      <c r="AM1852" s="36">
        <f>IF(ISBLANK(AL1853),"",Short1[[#This Row],[Adj Close]]/AL1853-1)</f>
        <v>-7.40721928755248E-2</v>
      </c>
      <c r="AN1852" s="29">
        <v>32132</v>
      </c>
      <c r="AO1852" s="44">
        <v>0.721306</v>
      </c>
      <c r="AP1852" s="33">
        <f>IF(ISBLANK(AO1853),"",Short2[[#This Row],[Adj Close]]/AO1853-1)</f>
        <v>-2.1896958996764582E-2</v>
      </c>
    </row>
    <row r="1853" spans="1:42" x14ac:dyDescent="0.25">
      <c r="A1853" s="37">
        <v>32125</v>
      </c>
      <c r="B1853" s="39">
        <v>249.16000399999999</v>
      </c>
      <c r="C1853" s="36">
        <f>IF(ISBLANK(B1854), "", GSPC[[#This Row],[Adj Close]]/B1854-1)</f>
        <v>5.8813516013536349E-2</v>
      </c>
      <c r="D185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5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53" s="11" t="e">
        <f>IF(ISBLANK(GSPC[[#This Row],[Long Exp.]]), "", (GSPC[[#This Row],[Long Exp.]]/D1854-1)+(E1854/GSPC[[#This Row],[Short Exp.]]-1))</f>
        <v>#VALUE!</v>
      </c>
      <c r="G1853" s="37">
        <v>32125</v>
      </c>
      <c r="H1853">
        <v>1.01129</v>
      </c>
      <c r="I1853" s="36">
        <f>IF(ISBLANK(H1854), "", Long0[[#This Row],[Adj Close]]/H1854-1)</f>
        <v>0</v>
      </c>
      <c r="P1853" s="29">
        <v>32125</v>
      </c>
      <c r="Q1853">
        <v>1.2185870000000001</v>
      </c>
      <c r="R1853" s="33">
        <f>IF(ISBLANK(Q1854),"",Long3[[#This Row],[Adj Close]]/Q1854-1)</f>
        <v>2.6923965017132456E-2</v>
      </c>
      <c r="AK1853" s="37">
        <v>32125</v>
      </c>
      <c r="AL1853" s="39">
        <v>0.23625599999999999</v>
      </c>
      <c r="AM1853" s="36">
        <f>IF(ISBLANK(AL1854),"",Short1[[#This Row],[Adj Close]]/AL1854-1)</f>
        <v>0.3499957144081598</v>
      </c>
      <c r="AN1853" s="29">
        <v>32125</v>
      </c>
      <c r="AO1853" s="44">
        <v>0.73745400000000005</v>
      </c>
      <c r="AP1853" s="33">
        <f>IF(ISBLANK(AO1854),"",Short2[[#This Row],[Adj Close]]/AO1854-1)</f>
        <v>0.14166686018159447</v>
      </c>
    </row>
    <row r="1854" spans="1:42" x14ac:dyDescent="0.25">
      <c r="A1854" s="37">
        <v>32118</v>
      </c>
      <c r="B1854" s="39">
        <v>235.320007</v>
      </c>
      <c r="C1854" s="36">
        <f>IF(ISBLANK(B1855), "", GSPC[[#This Row],[Adj Close]]/B1855-1)</f>
        <v>5.0911080304672174E-2</v>
      </c>
      <c r="D185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5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54" s="11" t="e">
        <f>IF(ISBLANK(GSPC[[#This Row],[Long Exp.]]), "", (GSPC[[#This Row],[Long Exp.]]/D1855-1)+(E1855/GSPC[[#This Row],[Short Exp.]]-1))</f>
        <v>#VALUE!</v>
      </c>
      <c r="G1854" s="37">
        <v>32118</v>
      </c>
      <c r="H1854">
        <v>1.01129</v>
      </c>
      <c r="I1854" s="36">
        <f>IF(ISBLANK(H1855), "", Long0[[#This Row],[Adj Close]]/H1855-1)</f>
        <v>-6.7567667245696961E-2</v>
      </c>
      <c r="P1854" s="29">
        <v>32118</v>
      </c>
      <c r="Q1854">
        <v>1.1866380000000001</v>
      </c>
      <c r="R1854" s="33">
        <f>IF(ISBLANK(Q1855),"",Long3[[#This Row],[Adj Close]]/Q1855-1)</f>
        <v>4.0985404213285559E-2</v>
      </c>
      <c r="AK1854" s="37">
        <v>32118</v>
      </c>
      <c r="AL1854" s="39">
        <v>0.17500499999999999</v>
      </c>
      <c r="AM1854" s="36">
        <f>IF(ISBLANK(AL1855),"",Short1[[#This Row],[Adj Close]]/AL1855-1)</f>
        <v>0.15384615384615374</v>
      </c>
      <c r="AN1854" s="29">
        <v>32118</v>
      </c>
      <c r="AO1854" s="44">
        <v>0.64594499999999999</v>
      </c>
      <c r="AP1854" s="33">
        <f>IF(ISBLANK(AO1855),"",Short2[[#This Row],[Adj Close]]/AO1855-1)</f>
        <v>0</v>
      </c>
    </row>
    <row r="1855" spans="1:42" x14ac:dyDescent="0.25">
      <c r="A1855" s="37">
        <v>32111</v>
      </c>
      <c r="B1855" s="39">
        <v>223.91999799999999</v>
      </c>
      <c r="C1855" s="36">
        <f>IF(ISBLANK(B1856), "", GSPC[[#This Row],[Adj Close]]/B1856-1)</f>
        <v>-6.831987298526887E-2</v>
      </c>
      <c r="D185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5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55" s="11" t="e">
        <f>IF(ISBLANK(GSPC[[#This Row],[Long Exp.]]), "", (GSPC[[#This Row],[Long Exp.]]/D1856-1)+(E1856/GSPC[[#This Row],[Short Exp.]]-1))</f>
        <v>#VALUE!</v>
      </c>
      <c r="G1855" s="37">
        <v>32111</v>
      </c>
      <c r="H1855">
        <v>1.0845720000000001</v>
      </c>
      <c r="I1855" s="36">
        <f>IF(ISBLANK(H1856), "", Long0[[#This Row],[Adj Close]]/H1856-1)</f>
        <v>-9.7560955315383335E-2</v>
      </c>
      <c r="P1855" s="29">
        <v>32111</v>
      </c>
      <c r="Q1855">
        <v>1.139918</v>
      </c>
      <c r="R1855" s="33">
        <f>IF(ISBLANK(Q1856),"",Long3[[#This Row],[Adj Close]]/Q1856-1)</f>
        <v>-7.2727021295460936E-2</v>
      </c>
      <c r="AK1855" s="37">
        <v>32111</v>
      </c>
      <c r="AL1855" s="39">
        <v>0.151671</v>
      </c>
      <c r="AM1855" s="36">
        <f>IF(ISBLANK(AL1856),"",Short1[[#This Row],[Adj Close]]/AL1856-1)</f>
        <v>-0.11864278741109191</v>
      </c>
      <c r="AN1855" s="29">
        <v>32111</v>
      </c>
      <c r="AO1855" s="44">
        <v>0.64594499999999999</v>
      </c>
      <c r="AP1855" s="33">
        <f>IF(ISBLANK(AO1856),"",Short2[[#This Row],[Adj Close]]/AO1856-1)</f>
        <v>0</v>
      </c>
    </row>
    <row r="1856" spans="1:42" x14ac:dyDescent="0.25">
      <c r="A1856" s="37">
        <v>32104</v>
      </c>
      <c r="B1856" s="39">
        <v>240.33999600000001</v>
      </c>
      <c r="C1856" s="36">
        <f>IF(ISBLANK(B1857), "", GSPC[[#This Row],[Adj Close]]/B1857-1)</f>
        <v>-6.8595206611569148E-3</v>
      </c>
      <c r="D185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5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56" s="11" t="e">
        <f>IF(ISBLANK(GSPC[[#This Row],[Long Exp.]]), "", (GSPC[[#This Row],[Long Exp.]]/D1857-1)+(E1857/GSPC[[#This Row],[Short Exp.]]-1))</f>
        <v>#VALUE!</v>
      </c>
      <c r="G1856" s="37">
        <v>32104</v>
      </c>
      <c r="H1856">
        <v>1.2018230000000001</v>
      </c>
      <c r="I1856" s="36">
        <f>IF(ISBLANK(H1857), "", Long0[[#This Row],[Adj Close]]/H1857-1)</f>
        <v>-2.3809717204273051E-2</v>
      </c>
      <c r="P1856" s="29">
        <v>32104</v>
      </c>
      <c r="Q1856">
        <v>1.2293229999999999</v>
      </c>
      <c r="R1856" s="33">
        <f>IF(ISBLANK(Q1857),"",Long3[[#This Row],[Adj Close]]/Q1857-1)</f>
        <v>7.3255691041254067E-3</v>
      </c>
      <c r="AK1856" s="37">
        <v>32104</v>
      </c>
      <c r="AL1856" s="39">
        <v>0.17208799999999999</v>
      </c>
      <c r="AM1856" s="36">
        <f>IF(ISBLANK(AL1857),"",Short1[[#This Row],[Adj Close]]/AL1857-1)</f>
        <v>-0.14492559191075993</v>
      </c>
      <c r="AN1856" s="29">
        <v>32104</v>
      </c>
      <c r="AO1856" s="44">
        <v>0.64594499999999999</v>
      </c>
      <c r="AP1856" s="33">
        <f>IF(ISBLANK(AO1857),"",Short2[[#This Row],[Adj Close]]/AO1857-1)</f>
        <v>8.40198387980573E-3</v>
      </c>
    </row>
    <row r="1857" spans="1:42" x14ac:dyDescent="0.25">
      <c r="A1857" s="37">
        <v>32097</v>
      </c>
      <c r="B1857" s="39">
        <v>242</v>
      </c>
      <c r="C1857" s="36">
        <f>IF(ISBLANK(B1858), "", GSPC[[#This Row],[Adj Close]]/B1858-1)</f>
        <v>-1.4818429469216854E-2</v>
      </c>
      <c r="D185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5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57" s="11" t="e">
        <f>IF(ISBLANK(GSPC[[#This Row],[Long Exp.]]), "", (GSPC[[#This Row],[Long Exp.]]/D1858-1)+(E1858/GSPC[[#This Row],[Short Exp.]]-1))</f>
        <v>#VALUE!</v>
      </c>
      <c r="G1857" s="37">
        <v>32097</v>
      </c>
      <c r="H1857">
        <v>1.231136</v>
      </c>
      <c r="I1857" s="36">
        <f>IF(ISBLANK(H1858), "", Long0[[#This Row],[Adj Close]]/H1858-1)</f>
        <v>-2.3255998457692439E-2</v>
      </c>
      <c r="P1857" s="29">
        <v>32097</v>
      </c>
      <c r="Q1857">
        <v>1.220383</v>
      </c>
      <c r="R1857" s="33">
        <f>IF(ISBLANK(Q1858),"",Long3[[#This Row],[Adj Close]]/Q1858-1)</f>
        <v>-3.8731681573464738E-2</v>
      </c>
      <c r="AK1857" s="37">
        <v>32097</v>
      </c>
      <c r="AL1857" s="39">
        <v>0.20125499999999999</v>
      </c>
      <c r="AM1857" s="36">
        <f>IF(ISBLANK(AL1858),"",Short1[[#This Row],[Adj Close]]/AL1858-1)</f>
        <v>-8.0002377077657338E-2</v>
      </c>
      <c r="AN1857" s="29">
        <v>32097</v>
      </c>
      <c r="AO1857" s="44">
        <v>0.64056299999999999</v>
      </c>
      <c r="AP1857" s="33">
        <f>IF(ISBLANK(AO1858),"",Short2[[#This Row],[Adj Close]]/AO1858-1)</f>
        <v>8.4747630592902912E-3</v>
      </c>
    </row>
    <row r="1858" spans="1:42" x14ac:dyDescent="0.25">
      <c r="A1858" s="37">
        <v>32090</v>
      </c>
      <c r="B1858" s="39">
        <v>245.63999899999999</v>
      </c>
      <c r="C1858" s="36">
        <f>IF(ISBLANK(B1859), "", GSPC[[#This Row],[Adj Close]]/B1859-1)</f>
        <v>-1.9048779696517193E-2</v>
      </c>
      <c r="D185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5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58" s="11" t="e">
        <f>IF(ISBLANK(GSPC[[#This Row],[Long Exp.]]), "", (GSPC[[#This Row],[Long Exp.]]/D1859-1)+(E1859/GSPC[[#This Row],[Short Exp.]]-1))</f>
        <v>#VALUE!</v>
      </c>
      <c r="G1858" s="37">
        <v>32090</v>
      </c>
      <c r="H1858">
        <v>1.2604489999999999</v>
      </c>
      <c r="I1858" s="36">
        <f>IF(ISBLANK(H1859), "", Long0[[#This Row],[Adj Close]]/H1859-1)</f>
        <v>7.5000639653393097E-2</v>
      </c>
      <c r="P1858" s="29">
        <v>32090</v>
      </c>
      <c r="Q1858">
        <v>1.269555</v>
      </c>
      <c r="R1858" s="33">
        <f>IF(ISBLANK(Q1859),"",Long3[[#This Row],[Adj Close]]/Q1859-1)</f>
        <v>1.0675519147868906E-2</v>
      </c>
      <c r="AK1858" s="37">
        <v>32090</v>
      </c>
      <c r="AL1858" s="39">
        <v>0.21875600000000001</v>
      </c>
      <c r="AM1858" s="36">
        <f>IF(ISBLANK(AL1859),"",Short1[[#This Row],[Adj Close]]/AL1859-1)</f>
        <v>0.11940313782480994</v>
      </c>
      <c r="AN1858" s="29">
        <v>32090</v>
      </c>
      <c r="AO1858" s="44">
        <v>0.63517999999999997</v>
      </c>
      <c r="AP1858" s="33">
        <f>IF(ISBLANK(AO1859),"",Short2[[#This Row],[Adj Close]]/AO1859-1)</f>
        <v>-3.6731821759445338E-2</v>
      </c>
    </row>
    <row r="1859" spans="1:42" x14ac:dyDescent="0.25">
      <c r="A1859" s="37">
        <v>32083</v>
      </c>
      <c r="B1859" s="39">
        <v>250.41000399999999</v>
      </c>
      <c r="C1859" s="36">
        <f>IF(ISBLANK(B1860), "", GSPC[[#This Row],[Adj Close]]/B1860-1)</f>
        <v>-5.4807142395052466E-3</v>
      </c>
      <c r="D185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5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59" s="11" t="e">
        <f>IF(ISBLANK(GSPC[[#This Row],[Long Exp.]]), "", (GSPC[[#This Row],[Long Exp.]]/D1860-1)+(E1860/GSPC[[#This Row],[Short Exp.]]-1))</f>
        <v>#VALUE!</v>
      </c>
      <c r="G1859" s="37">
        <v>32083</v>
      </c>
      <c r="H1859">
        <v>1.1725099999999999</v>
      </c>
      <c r="I1859" s="36">
        <f>IF(ISBLANK(H1860), "", Long0[[#This Row],[Adj Close]]/H1860-1)</f>
        <v>6.6665817586690324E-2</v>
      </c>
      <c r="P1859" s="29">
        <v>32083</v>
      </c>
      <c r="Q1859">
        <v>1.2561450000000001</v>
      </c>
      <c r="R1859" s="33">
        <f>IF(ISBLANK(Q1860),"",Long3[[#This Row],[Adj Close]]/Q1860-1)</f>
        <v>1.0791528999769984E-2</v>
      </c>
      <c r="AK1859" s="37">
        <v>32083</v>
      </c>
      <c r="AL1859" s="39">
        <v>0.19542200000000001</v>
      </c>
      <c r="AM1859" s="36">
        <f>IF(ISBLANK(AL1860),"",Short1[[#This Row],[Adj Close]]/AL1860-1)</f>
        <v>-0.17283793850738172</v>
      </c>
      <c r="AN1859" s="29">
        <v>32083</v>
      </c>
      <c r="AO1859" s="44">
        <v>0.65940100000000001</v>
      </c>
      <c r="AP1859" s="33">
        <f>IF(ISBLANK(AO1860),"",Short2[[#This Row],[Adj Close]]/AO1860-1)</f>
        <v>4.2373015320994689E-2</v>
      </c>
    </row>
    <row r="1860" spans="1:42" x14ac:dyDescent="0.25">
      <c r="A1860" s="37">
        <v>32076</v>
      </c>
      <c r="B1860" s="39">
        <v>251.78999300000001</v>
      </c>
      <c r="C1860" s="36">
        <f>IF(ISBLANK(B1861), "", GSPC[[#This Row],[Adj Close]]/B1861-1)</f>
        <v>1.4382370419860013E-2</v>
      </c>
      <c r="D186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6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60" s="11" t="e">
        <f>IF(ISBLANK(GSPC[[#This Row],[Long Exp.]]), "", (GSPC[[#This Row],[Long Exp.]]/D1861-1)+(E1861/GSPC[[#This Row],[Short Exp.]]-1))</f>
        <v>#VALUE!</v>
      </c>
      <c r="G1860" s="37">
        <v>32076</v>
      </c>
      <c r="H1860">
        <v>1.099229</v>
      </c>
      <c r="I1860" s="36">
        <f>IF(ISBLANK(H1861), "", Long0[[#This Row],[Adj Close]]/H1861-1)</f>
        <v>2.7398438193688257E-2</v>
      </c>
      <c r="P1860" s="29">
        <v>32076</v>
      </c>
      <c r="Q1860">
        <v>1.242734</v>
      </c>
      <c r="R1860" s="33">
        <f>IF(ISBLANK(Q1861),"",Long3[[#This Row],[Adj Close]]/Q1861-1)</f>
        <v>7.245942191322019E-3</v>
      </c>
      <c r="AK1860" s="37">
        <v>32076</v>
      </c>
      <c r="AL1860" s="39">
        <v>0.23625599999999999</v>
      </c>
      <c r="AM1860" s="36">
        <f>IF(ISBLANK(AL1861),"",Short1[[#This Row],[Adj Close]]/AL1861-1)</f>
        <v>2.5314313241299624E-2</v>
      </c>
      <c r="AN1860" s="29">
        <v>32076</v>
      </c>
      <c r="AO1860" s="44">
        <v>0.63259600000000005</v>
      </c>
      <c r="AP1860" s="33">
        <f>IF(ISBLANK(AO1861),"",Short2[[#This Row],[Adj Close]]/AO1861-1)</f>
        <v>-3.2786985505473543E-2</v>
      </c>
    </row>
    <row r="1861" spans="1:42" x14ac:dyDescent="0.25">
      <c r="A1861" s="37">
        <v>32069</v>
      </c>
      <c r="B1861" s="39">
        <v>248.220001</v>
      </c>
      <c r="C1861" s="36">
        <f>IF(ISBLANK(B1862), "", GSPC[[#This Row],[Adj Close]]/B1862-1)</f>
        <v>-0.12196678293738461</v>
      </c>
      <c r="D186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6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61" s="11" t="e">
        <f>IF(ISBLANK(GSPC[[#This Row],[Long Exp.]]), "", (GSPC[[#This Row],[Long Exp.]]/D1862-1)+(E1862/GSPC[[#This Row],[Short Exp.]]-1))</f>
        <v>#VALUE!</v>
      </c>
      <c r="G1861" s="37">
        <v>32069</v>
      </c>
      <c r="H1861">
        <v>1.0699149999999999</v>
      </c>
      <c r="I1861" s="36">
        <f>IF(ISBLANK(H1862), "", Long0[[#This Row],[Adj Close]]/H1862-1)</f>
        <v>-0.32407452449287355</v>
      </c>
      <c r="P1861" s="29">
        <v>32069</v>
      </c>
      <c r="Q1861">
        <v>1.2337940000000001</v>
      </c>
      <c r="R1861" s="33">
        <f>IF(ISBLANK(Q1862),"",Long3[[#This Row],[Adj Close]]/Q1862-1)</f>
        <v>-1.7793327999554243E-2</v>
      </c>
      <c r="AK1861" s="37">
        <v>32069</v>
      </c>
      <c r="AL1861" s="39">
        <v>0.23042299999999999</v>
      </c>
      <c r="AM1861" s="36">
        <f>IF(ISBLANK(AL1862),"",Short1[[#This Row],[Adj Close]]/AL1862-1)</f>
        <v>-0.30701725366832178</v>
      </c>
      <c r="AN1861" s="29">
        <v>32069</v>
      </c>
      <c r="AO1861" s="44">
        <v>0.65403999999999995</v>
      </c>
      <c r="AP1861" s="33">
        <f>IF(ISBLANK(AO1862),"",Short2[[#This Row],[Adj Close]]/AO1862-1)</f>
        <v>-0.18666611950302614</v>
      </c>
    </row>
    <row r="1862" spans="1:42" x14ac:dyDescent="0.25">
      <c r="A1862" s="37">
        <v>32062</v>
      </c>
      <c r="B1862" s="39">
        <v>282.70001200000002</v>
      </c>
      <c r="C1862" s="36">
        <f>IF(ISBLANK(B1863), "", GSPC[[#This Row],[Adj Close]]/B1863-1)</f>
        <v>-9.1201319193720765E-2</v>
      </c>
      <c r="D186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6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62" s="11" t="e">
        <f>IF(ISBLANK(GSPC[[#This Row],[Long Exp.]]), "", (GSPC[[#This Row],[Long Exp.]]/D1863-1)+(E1863/GSPC[[#This Row],[Short Exp.]]-1))</f>
        <v>#VALUE!</v>
      </c>
      <c r="G1862" s="37">
        <v>32062</v>
      </c>
      <c r="H1862">
        <v>1.582889</v>
      </c>
      <c r="I1862" s="36">
        <f>IF(ISBLANK(H1863), "", Long0[[#This Row],[Adj Close]]/H1863-1)</f>
        <v>-2.7026943961919181E-2</v>
      </c>
      <c r="P1862" s="29">
        <v>32062</v>
      </c>
      <c r="Q1862">
        <v>1.2561450000000001</v>
      </c>
      <c r="R1862" s="33">
        <f>IF(ISBLANK(Q1863),"",Long3[[#This Row],[Adj Close]]/Q1863-1)</f>
        <v>-3.1034929627006935E-2</v>
      </c>
      <c r="AK1862" s="37">
        <v>32062</v>
      </c>
      <c r="AL1862" s="39">
        <v>0.332509</v>
      </c>
      <c r="AM1862" s="36">
        <f>IF(ISBLANK(AL1863),"",Short1[[#This Row],[Adj Close]]/AL1863-1)</f>
        <v>-8.8001996741580935E-2</v>
      </c>
      <c r="AN1862" s="29">
        <v>32062</v>
      </c>
      <c r="AO1862" s="44">
        <v>0.80414699999999995</v>
      </c>
      <c r="AP1862" s="33">
        <f>IF(ISBLANK(AO1863),"",Short2[[#This Row],[Adj Close]]/AO1863-1)</f>
        <v>-0.1620116796718688</v>
      </c>
    </row>
    <row r="1863" spans="1:42" x14ac:dyDescent="0.25">
      <c r="A1863" s="37">
        <v>32055</v>
      </c>
      <c r="B1863" s="39">
        <v>311.07000699999998</v>
      </c>
      <c r="C1863" s="36">
        <f>IF(ISBLANK(B1864), "", GSPC[[#This Row],[Adj Close]]/B1864-1)</f>
        <v>-5.1818208422813816E-2</v>
      </c>
      <c r="D186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6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63" s="11" t="e">
        <f>IF(ISBLANK(GSPC[[#This Row],[Long Exp.]]), "", (GSPC[[#This Row],[Long Exp.]]/D1864-1)+(E1864/GSPC[[#This Row],[Short Exp.]]-1))</f>
        <v>#VALUE!</v>
      </c>
      <c r="G1863" s="37">
        <v>32055</v>
      </c>
      <c r="H1863">
        <v>1.6268579999999999</v>
      </c>
      <c r="I1863" s="36">
        <f>IF(ISBLANK(H1864), "", Long0[[#This Row],[Adj Close]]/H1864-1)</f>
        <v>-2.6315127966646479E-2</v>
      </c>
      <c r="P1863" s="29">
        <v>32055</v>
      </c>
      <c r="Q1863">
        <v>1.296378</v>
      </c>
      <c r="R1863" s="33">
        <f>IF(ISBLANK(Q1864),"",Long3[[#This Row],[Adj Close]]/Q1864-1)</f>
        <v>1.0453113758966515E-2</v>
      </c>
      <c r="AK1863" s="37">
        <v>32055</v>
      </c>
      <c r="AL1863" s="39">
        <v>0.36459399999999997</v>
      </c>
      <c r="AM1863" s="36">
        <f>IF(ISBLANK(AL1864),"",Short1[[#This Row],[Adj Close]]/AL1864-1)</f>
        <v>-0.1134729526991376</v>
      </c>
      <c r="AN1863" s="29">
        <v>32055</v>
      </c>
      <c r="AO1863" s="44">
        <v>0.95961600000000002</v>
      </c>
      <c r="AP1863" s="33">
        <f>IF(ISBLANK(AO1864),"",Short2[[#This Row],[Adj Close]]/AO1864-1)</f>
        <v>-4.7872482921819892E-2</v>
      </c>
    </row>
    <row r="1864" spans="1:42" x14ac:dyDescent="0.25">
      <c r="A1864" s="37">
        <v>32048</v>
      </c>
      <c r="B1864" s="39">
        <v>328.07000699999998</v>
      </c>
      <c r="C1864" s="36">
        <f>IF(ISBLANK(B1865), "", GSPC[[#This Row],[Adj Close]]/B1865-1)</f>
        <v>2.4706405863238246E-2</v>
      </c>
      <c r="D186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6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64" s="11" t="e">
        <f>IF(ISBLANK(GSPC[[#This Row],[Long Exp.]]), "", (GSPC[[#This Row],[Long Exp.]]/D1865-1)+(E1865/GSPC[[#This Row],[Short Exp.]]-1))</f>
        <v>#VALUE!</v>
      </c>
      <c r="G1864" s="37">
        <v>32048</v>
      </c>
      <c r="H1864">
        <v>1.6708259999999999</v>
      </c>
      <c r="I1864" s="36">
        <f>IF(ISBLANK(H1865), "", Long0[[#This Row],[Adj Close]]/H1865-1)</f>
        <v>8.8487239542291984E-3</v>
      </c>
      <c r="P1864" s="29">
        <v>32048</v>
      </c>
      <c r="Q1864">
        <v>1.282967</v>
      </c>
      <c r="R1864" s="33">
        <f>IF(ISBLANK(Q1865),"",Long3[[#This Row],[Adj Close]]/Q1865-1)</f>
        <v>7.0179101525400522E-3</v>
      </c>
      <c r="AK1864" s="37">
        <v>32048</v>
      </c>
      <c r="AL1864" s="39">
        <v>0.41126099999999999</v>
      </c>
      <c r="AM1864" s="36">
        <f>IF(ISBLANK(AL1865),"",Short1[[#This Row],[Adj Close]]/AL1865-1)</f>
        <v>7.141020460639913E-3</v>
      </c>
      <c r="AN1864" s="29">
        <v>32048</v>
      </c>
      <c r="AO1864" s="44">
        <v>1.007865</v>
      </c>
      <c r="AP1864" s="33">
        <f>IF(ISBLANK(AO1865),"",Short2[[#This Row],[Adj Close]]/AO1865-1)</f>
        <v>6.2147089137458922E-2</v>
      </c>
    </row>
    <row r="1865" spans="1:42" x14ac:dyDescent="0.25">
      <c r="A1865" s="37">
        <v>32041</v>
      </c>
      <c r="B1865" s="39">
        <v>320.16000400000001</v>
      </c>
      <c r="C1865" s="36">
        <f>IF(ISBLANK(B1866), "", GSPC[[#This Row],[Adj Close]]/B1866-1)</f>
        <v>1.6832939250759349E-2</v>
      </c>
      <c r="D186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6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65" s="11" t="e">
        <f>IF(ISBLANK(GSPC[[#This Row],[Long Exp.]]), "", (GSPC[[#This Row],[Long Exp.]]/D1866-1)+(E1866/GSPC[[#This Row],[Short Exp.]]-1))</f>
        <v>#VALUE!</v>
      </c>
      <c r="G1865" s="37">
        <v>32041</v>
      </c>
      <c r="H1865">
        <v>1.6561710000000001</v>
      </c>
      <c r="I1865" s="36">
        <f>IF(ISBLANK(H1866), "", Long0[[#This Row],[Adj Close]]/H1866-1)</f>
        <v>-3.4187740116025434E-2</v>
      </c>
      <c r="P1865" s="29">
        <v>32041</v>
      </c>
      <c r="Q1865">
        <v>1.2740260000000001</v>
      </c>
      <c r="R1865" s="33">
        <f>IF(ISBLANK(Q1866),"",Long3[[#This Row],[Adj Close]]/Q1866-1)</f>
        <v>1.4234821616931237E-2</v>
      </c>
      <c r="AK1865" s="37">
        <v>32041</v>
      </c>
      <c r="AL1865" s="39">
        <v>0.40834500000000001</v>
      </c>
      <c r="AM1865" s="36">
        <f>IF(ISBLANK(AL1866),"",Short1[[#This Row],[Adj Close]]/AL1866-1)</f>
        <v>-4.1094764526999117E-2</v>
      </c>
      <c r="AN1865" s="29">
        <v>32041</v>
      </c>
      <c r="AO1865" s="44">
        <v>0.94889400000000002</v>
      </c>
      <c r="AP1865" s="33">
        <f>IF(ISBLANK(AO1866),"",Short2[[#This Row],[Adj Close]]/AO1866-1)</f>
        <v>-1.1173219287715086E-2</v>
      </c>
    </row>
    <row r="1866" spans="1:42" x14ac:dyDescent="0.25">
      <c r="A1866" s="37">
        <v>32034</v>
      </c>
      <c r="B1866" s="39">
        <v>314.85998499999999</v>
      </c>
      <c r="C1866" s="36">
        <f>IF(ISBLANK(B1867), "", GSPC[[#This Row],[Adj Close]]/B1867-1)</f>
        <v>-2.2113254726238263E-2</v>
      </c>
      <c r="D186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6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66" s="11" t="e">
        <f>IF(ISBLANK(GSPC[[#This Row],[Long Exp.]]), "", (GSPC[[#This Row],[Long Exp.]]/D1867-1)+(E1867/GSPC[[#This Row],[Short Exp.]]-1))</f>
        <v>#VALUE!</v>
      </c>
      <c r="G1866" s="37">
        <v>32034</v>
      </c>
      <c r="H1866">
        <v>1.714796</v>
      </c>
      <c r="I1866" s="36">
        <f>IF(ISBLANK(H1867), "", Long0[[#This Row],[Adj Close]]/H1867-1)</f>
        <v>6.3636606105566207E-2</v>
      </c>
      <c r="P1866" s="29">
        <v>32034</v>
      </c>
      <c r="Q1866">
        <v>1.2561450000000001</v>
      </c>
      <c r="R1866" s="33">
        <f>IF(ISBLANK(Q1867),"",Long3[[#This Row],[Adj Close]]/Q1867-1)</f>
        <v>2.9303915246279288E-2</v>
      </c>
      <c r="AK1866" s="37">
        <v>32034</v>
      </c>
      <c r="AL1866" s="39">
        <v>0.42584499999999997</v>
      </c>
      <c r="AM1866" s="36">
        <f>IF(ISBLANK(AL1867),"",Short1[[#This Row],[Adj Close]]/AL1867-1)</f>
        <v>-2.6666697142021301E-2</v>
      </c>
      <c r="AN1866" s="29">
        <v>32034</v>
      </c>
      <c r="AO1866" s="44">
        <v>0.95961600000000002</v>
      </c>
      <c r="AP1866" s="33">
        <f>IF(ISBLANK(AO1867),"",Short2[[#This Row],[Adj Close]]/AO1867-1)</f>
        <v>5.617995189965086E-3</v>
      </c>
    </row>
    <row r="1867" spans="1:42" x14ac:dyDescent="0.25">
      <c r="A1867" s="37">
        <v>32027</v>
      </c>
      <c r="B1867" s="39">
        <v>321.98001099999999</v>
      </c>
      <c r="C1867" s="36">
        <f>IF(ISBLANK(B1868), "", GSPC[[#This Row],[Adj Close]]/B1868-1)</f>
        <v>1.6671925481329009E-2</v>
      </c>
      <c r="D186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6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67" s="11" t="e">
        <f>IF(ISBLANK(GSPC[[#This Row],[Long Exp.]]), "", (GSPC[[#This Row],[Long Exp.]]/D1868-1)+(E1868/GSPC[[#This Row],[Short Exp.]]-1))</f>
        <v>#VALUE!</v>
      </c>
      <c r="G1867" s="37">
        <v>32027</v>
      </c>
      <c r="H1867">
        <v>1.612201</v>
      </c>
      <c r="I1867" s="36">
        <f>IF(ISBLANK(H1868), "", Long0[[#This Row],[Adj Close]]/H1868-1)</f>
        <v>-5.1724563859446904E-2</v>
      </c>
      <c r="P1867" s="29">
        <v>32027</v>
      </c>
      <c r="Q1867">
        <v>1.220383</v>
      </c>
      <c r="R1867" s="33">
        <f>IF(ISBLANK(Q1868),"",Long3[[#This Row],[Adj Close]]/Q1868-1)</f>
        <v>1.5448275402994094E-2</v>
      </c>
      <c r="AK1867" s="37">
        <v>32027</v>
      </c>
      <c r="AL1867" s="39">
        <v>0.43751200000000001</v>
      </c>
      <c r="AM1867" s="36">
        <f>IF(ISBLANK(AL1868),"",Short1[[#This Row],[Adj Close]]/AL1868-1)</f>
        <v>1.3514703088876479E-2</v>
      </c>
      <c r="AN1867" s="29">
        <v>32027</v>
      </c>
      <c r="AO1867" s="44">
        <v>0.95425499999999996</v>
      </c>
      <c r="AP1867" s="33">
        <f>IF(ISBLANK(AO1868),"",Short2[[#This Row],[Adj Close]]/AO1868-1)</f>
        <v>-4.3009922358099417E-2</v>
      </c>
    </row>
    <row r="1868" spans="1:42" x14ac:dyDescent="0.25">
      <c r="A1868" s="37">
        <v>32020</v>
      </c>
      <c r="B1868" s="39">
        <v>316.70001200000002</v>
      </c>
      <c r="C1868" s="36">
        <f>IF(ISBLANK(B1869), "", GSPC[[#This Row],[Adj Close]]/B1869-1)</f>
        <v>-3.1616917549681101E-2</v>
      </c>
      <c r="D186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6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68" s="11" t="e">
        <f>IF(ISBLANK(GSPC[[#This Row],[Long Exp.]]), "", (GSPC[[#This Row],[Long Exp.]]/D1869-1)+(E1869/GSPC[[#This Row],[Short Exp.]]-1))</f>
        <v>#VALUE!</v>
      </c>
      <c r="G1868" s="37">
        <v>32020</v>
      </c>
      <c r="H1868">
        <v>1.70014</v>
      </c>
      <c r="I1868" s="36">
        <f>IF(ISBLANK(H1869), "", Long0[[#This Row],[Adj Close]]/H1869-1)</f>
        <v>1.7544615657165918E-2</v>
      </c>
      <c r="P1868" s="29">
        <v>32020</v>
      </c>
      <c r="Q1868">
        <v>1.2018169999999999</v>
      </c>
      <c r="R1868" s="33">
        <f>IF(ISBLANK(Q1869),"",Long3[[#This Row],[Adj Close]]/Q1869-1)</f>
        <v>-5.1903187889019486E-2</v>
      </c>
      <c r="AK1868" s="37">
        <v>32020</v>
      </c>
      <c r="AL1868" s="39">
        <v>0.43167800000000001</v>
      </c>
      <c r="AM1868" s="36">
        <f>IF(ISBLANK(AL1869),"",Short1[[#This Row],[Adj Close]]/AL1869-1)</f>
        <v>-6.3292292870069322E-2</v>
      </c>
      <c r="AN1868" s="29">
        <v>32020</v>
      </c>
      <c r="AO1868" s="44">
        <v>0.99714199999999997</v>
      </c>
      <c r="AP1868" s="33">
        <f>IF(ISBLANK(AO1869),"",Short2[[#This Row],[Adj Close]]/AO1869-1)</f>
        <v>-8.8236450535413402E-2</v>
      </c>
    </row>
    <row r="1869" spans="1:42" x14ac:dyDescent="0.25">
      <c r="A1869" s="37">
        <v>32013</v>
      </c>
      <c r="B1869" s="39">
        <v>327.040009</v>
      </c>
      <c r="C1869" s="36">
        <f>IF(ISBLANK(B1870), "", GSPC[[#This Row],[Adj Close]]/B1870-1)</f>
        <v>-2.6376853701283509E-2</v>
      </c>
      <c r="D186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6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69" s="11" t="e">
        <f>IF(ISBLANK(GSPC[[#This Row],[Long Exp.]]), "", (GSPC[[#This Row],[Long Exp.]]/D1870-1)+(E1870/GSPC[[#This Row],[Short Exp.]]-1))</f>
        <v>#VALUE!</v>
      </c>
      <c r="G1869" s="37">
        <v>32013</v>
      </c>
      <c r="H1869">
        <v>1.6708259999999999</v>
      </c>
      <c r="I1869" s="36">
        <f>IF(ISBLANK(H1870), "", Long0[[#This Row],[Adj Close]]/H1870-1)</f>
        <v>6.5420846801268473E-2</v>
      </c>
      <c r="P1869" s="29">
        <v>32013</v>
      </c>
      <c r="Q1869">
        <v>1.2676099999999999</v>
      </c>
      <c r="R1869" s="33">
        <f>IF(ISBLANK(Q1870),"",Long3[[#This Row],[Adj Close]]/Q1870-1)</f>
        <v>-1.7006826459957547E-2</v>
      </c>
      <c r="AK1869" s="37">
        <v>32013</v>
      </c>
      <c r="AL1869" s="39">
        <v>0.46084599999999998</v>
      </c>
      <c r="AM1869" s="36">
        <f>IF(ISBLANK(AL1870),"",Short1[[#This Row],[Adj Close]]/AL1870-1)</f>
        <v>5.3333394284042379E-2</v>
      </c>
      <c r="AN1869" s="29">
        <v>32013</v>
      </c>
      <c r="AO1869" s="44">
        <v>1.0936410000000001</v>
      </c>
      <c r="AP1869" s="33">
        <f>IF(ISBLANK(AO1870),"",Short2[[#This Row],[Adj Close]]/AO1870-1)</f>
        <v>-6.4219547631800822E-2</v>
      </c>
    </row>
    <row r="1870" spans="1:42" x14ac:dyDescent="0.25">
      <c r="A1870" s="37">
        <v>32006</v>
      </c>
      <c r="B1870" s="39">
        <v>335.89999399999999</v>
      </c>
      <c r="C1870" s="36">
        <f>IF(ISBLANK(B1871), "", GSPC[[#This Row],[Adj Close]]/B1871-1)</f>
        <v>5.7187462414667323E-3</v>
      </c>
      <c r="D187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7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70" s="11" t="e">
        <f>IF(ISBLANK(GSPC[[#This Row],[Long Exp.]]), "", (GSPC[[#This Row],[Long Exp.]]/D1871-1)+(E1871/GSPC[[#This Row],[Short Exp.]]-1))</f>
        <v>#VALUE!</v>
      </c>
      <c r="G1870" s="37">
        <v>32006</v>
      </c>
      <c r="H1870">
        <v>1.5682309999999999</v>
      </c>
      <c r="I1870" s="36">
        <f>IF(ISBLANK(H1871), "", Long0[[#This Row],[Adj Close]]/H1871-1)</f>
        <v>-1.8350019342166068E-2</v>
      </c>
      <c r="P1870" s="29">
        <v>32006</v>
      </c>
      <c r="Q1870">
        <v>1.289541</v>
      </c>
      <c r="R1870" s="33">
        <f>IF(ISBLANK(Q1871),"",Long3[[#This Row],[Adj Close]]/Q1871-1)</f>
        <v>0</v>
      </c>
      <c r="AK1870" s="37">
        <v>32006</v>
      </c>
      <c r="AL1870" s="39">
        <v>0.43751200000000001</v>
      </c>
      <c r="AM1870" s="36">
        <f>IF(ISBLANK(AL1871),"",Short1[[#This Row],[Adj Close]]/AL1871-1)</f>
        <v>0.10293991600240004</v>
      </c>
      <c r="AN1870" s="29">
        <v>32006</v>
      </c>
      <c r="AO1870" s="44">
        <v>1.1686939999999999</v>
      </c>
      <c r="AP1870" s="33">
        <f>IF(ISBLANK(AO1871),"",Short2[[#This Row],[Adj Close]]/AO1871-1)</f>
        <v>0.13541719291018817</v>
      </c>
    </row>
    <row r="1871" spans="1:42" x14ac:dyDescent="0.25">
      <c r="A1871" s="37">
        <v>31999</v>
      </c>
      <c r="B1871" s="39">
        <v>333.98998999999998</v>
      </c>
      <c r="C1871" s="36">
        <f>IF(ISBLANK(B1872), "", GSPC[[#This Row],[Adj Close]]/B1872-1)</f>
        <v>3.4024736842105163E-2</v>
      </c>
      <c r="D187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7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71" s="11" t="e">
        <f>IF(ISBLANK(GSPC[[#This Row],[Long Exp.]]), "", (GSPC[[#This Row],[Long Exp.]]/D1872-1)+(E1872/GSPC[[#This Row],[Short Exp.]]-1))</f>
        <v>#VALUE!</v>
      </c>
      <c r="G1871" s="37">
        <v>31999</v>
      </c>
      <c r="H1871">
        <v>1.5975459999999999</v>
      </c>
      <c r="I1871" s="36">
        <f>IF(ISBLANK(H1872), "", Long0[[#This Row],[Adj Close]]/H1872-1)</f>
        <v>-2.678502894279311E-2</v>
      </c>
      <c r="P1871" s="29">
        <v>31999</v>
      </c>
      <c r="Q1871">
        <v>1.289541</v>
      </c>
      <c r="R1871" s="33">
        <f>IF(ISBLANK(Q1872),"",Long3[[#This Row],[Adj Close]]/Q1872-1)</f>
        <v>7.6923012682985625E-2</v>
      </c>
      <c r="AK1871" s="37">
        <v>31999</v>
      </c>
      <c r="AL1871" s="39">
        <v>0.39667799999999998</v>
      </c>
      <c r="AM1871" s="36">
        <f>IF(ISBLANK(AL1872),"",Short1[[#This Row],[Adj Close]]/AL1872-1)</f>
        <v>2.2555731991503514E-2</v>
      </c>
      <c r="AN1871" s="29">
        <v>31999</v>
      </c>
      <c r="AO1871" s="44">
        <v>1.0293079999999999</v>
      </c>
      <c r="AP1871" s="33">
        <f>IF(ISBLANK(AO1872),"",Short2[[#This Row],[Adj Close]]/AO1872-1)</f>
        <v>6.3561047082333566E-2</v>
      </c>
    </row>
    <row r="1872" spans="1:42" x14ac:dyDescent="0.25">
      <c r="A1872" s="37">
        <v>31992</v>
      </c>
      <c r="B1872" s="39">
        <v>323</v>
      </c>
      <c r="C1872" s="36">
        <f>IF(ISBLANK(B1873), "", GSPC[[#This Row],[Adj Close]]/B1873-1)</f>
        <v>1.3619519065844132E-2</v>
      </c>
      <c r="D187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7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72" s="11" t="e">
        <f>IF(ISBLANK(GSPC[[#This Row],[Long Exp.]]), "", (GSPC[[#This Row],[Long Exp.]]/D1873-1)+(E1873/GSPC[[#This Row],[Short Exp.]]-1))</f>
        <v>#VALUE!</v>
      </c>
      <c r="G1872" s="37">
        <v>31992</v>
      </c>
      <c r="H1872">
        <v>1.6415139999999999</v>
      </c>
      <c r="I1872" s="36">
        <f>IF(ISBLANK(H1873), "", Long0[[#This Row],[Adj Close]]/H1873-1)</f>
        <v>1.8181976068740724E-2</v>
      </c>
      <c r="P1872" s="29">
        <v>31992</v>
      </c>
      <c r="Q1872">
        <v>1.1974309999999999</v>
      </c>
      <c r="R1872" s="33">
        <f>IF(ISBLANK(Q1873),"",Long3[[#This Row],[Adj Close]]/Q1873-1)</f>
        <v>7.3797447375572034E-3</v>
      </c>
      <c r="AK1872" s="37">
        <v>31992</v>
      </c>
      <c r="AL1872" s="39">
        <v>0.387928</v>
      </c>
      <c r="AM1872" s="36">
        <f>IF(ISBLANK(AL1873),"",Short1[[#This Row],[Adj Close]]/AL1873-1)</f>
        <v>4.7245476166694056E-2</v>
      </c>
      <c r="AN1872" s="29">
        <v>31992</v>
      </c>
      <c r="AO1872" s="44">
        <v>0.96779400000000004</v>
      </c>
      <c r="AP1872" s="33">
        <f>IF(ISBLANK(AO1873),"",Short2[[#This Row],[Adj Close]]/AO1873-1)</f>
        <v>-1.092809613208956E-2</v>
      </c>
    </row>
    <row r="1873" spans="1:42" x14ac:dyDescent="0.25">
      <c r="A1873" s="37">
        <v>31985</v>
      </c>
      <c r="B1873" s="39">
        <v>318.66000400000001</v>
      </c>
      <c r="C1873" s="36">
        <f>IF(ISBLANK(B1874), "", GSPC[[#This Row],[Adj Close]]/B1874-1)</f>
        <v>3.0361869350342907E-2</v>
      </c>
      <c r="D187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7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73" s="11" t="e">
        <f>IF(ISBLANK(GSPC[[#This Row],[Long Exp.]]), "", (GSPC[[#This Row],[Long Exp.]]/D1874-1)+(E1874/GSPC[[#This Row],[Short Exp.]]-1))</f>
        <v>#VALUE!</v>
      </c>
      <c r="G1873" s="37">
        <v>31985</v>
      </c>
      <c r="H1873">
        <v>1.612201</v>
      </c>
      <c r="I1873" s="36">
        <f>IF(ISBLANK(H1874), "", Long0[[#This Row],[Adj Close]]/H1874-1)</f>
        <v>-4.3478905762380449E-2</v>
      </c>
      <c r="P1873" s="29">
        <v>31985</v>
      </c>
      <c r="Q1873">
        <v>1.1886589999999999</v>
      </c>
      <c r="R1873" s="33">
        <f>IF(ISBLANK(Q1874),"",Long3[[#This Row],[Adj Close]]/Q1874-1)</f>
        <v>-1.0948422263955315E-2</v>
      </c>
      <c r="AK1873" s="37">
        <v>31985</v>
      </c>
      <c r="AL1873" s="39">
        <v>0.37042700000000001</v>
      </c>
      <c r="AM1873" s="36">
        <f>IF(ISBLANK(AL1874),"",Short1[[#This Row],[Adj Close]]/AL1874-1)</f>
        <v>4.9588298963522126E-2</v>
      </c>
      <c r="AN1873" s="29">
        <v>31985</v>
      </c>
      <c r="AO1873" s="44">
        <v>0.978487</v>
      </c>
      <c r="AP1873" s="33">
        <f>IF(ISBLANK(AO1874),"",Short2[[#This Row],[Adj Close]]/AO1874-1)</f>
        <v>-1.080996380840693E-2</v>
      </c>
    </row>
    <row r="1874" spans="1:42" x14ac:dyDescent="0.25">
      <c r="A1874" s="37">
        <v>31978</v>
      </c>
      <c r="B1874" s="39">
        <v>309.26998900000001</v>
      </c>
      <c r="C1874" s="36">
        <f>IF(ISBLANK(B1875), "", GSPC[[#This Row],[Adj Close]]/B1875-1)</f>
        <v>-1.6910922367664782E-2</v>
      </c>
      <c r="D187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7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74" s="11" t="e">
        <f>IF(ISBLANK(GSPC[[#This Row],[Long Exp.]]), "", (GSPC[[#This Row],[Long Exp.]]/D1875-1)+(E1875/GSPC[[#This Row],[Short Exp.]]-1))</f>
        <v>#VALUE!</v>
      </c>
      <c r="G1874" s="37">
        <v>31978</v>
      </c>
      <c r="H1874">
        <v>1.685484</v>
      </c>
      <c r="I1874" s="36">
        <f>IF(ISBLANK(H1875), "", Long0[[#This Row],[Adj Close]]/H1875-1)</f>
        <v>-8.6204665498135213E-3</v>
      </c>
      <c r="P1874" s="29">
        <v>31978</v>
      </c>
      <c r="Q1874">
        <v>1.2018169999999999</v>
      </c>
      <c r="R1874" s="33">
        <f>IF(ISBLANK(Q1875),"",Long3[[#This Row],[Adj Close]]/Q1875-1)</f>
        <v>-1.4388672108857081E-2</v>
      </c>
      <c r="AK1874" s="37">
        <v>31978</v>
      </c>
      <c r="AL1874" s="39">
        <v>0.35292600000000002</v>
      </c>
      <c r="AM1874" s="36">
        <f>IF(ISBLANK(AL1875),"",Short1[[#This Row],[Adj Close]]/AL1875-1)</f>
        <v>-9.7015689124049453E-2</v>
      </c>
      <c r="AN1874" s="29">
        <v>31978</v>
      </c>
      <c r="AO1874" s="44">
        <v>0.98917999999999995</v>
      </c>
      <c r="AP1874" s="33">
        <f>IF(ISBLANK(AO1875),"",Short2[[#This Row],[Adj Close]]/AO1875-1)</f>
        <v>-2.1164335304502013E-2</v>
      </c>
    </row>
    <row r="1875" spans="1:42" x14ac:dyDescent="0.25">
      <c r="A1875" s="37">
        <v>31971</v>
      </c>
      <c r="B1875" s="39">
        <v>314.58999599999999</v>
      </c>
      <c r="C1875" s="36">
        <f>IF(ISBLANK(B1876), "", GSPC[[#This Row],[Adj Close]]/B1876-1)</f>
        <v>2.0170577879991214E-2</v>
      </c>
      <c r="D187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7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75" s="11" t="e">
        <f>IF(ISBLANK(GSPC[[#This Row],[Long Exp.]]), "", (GSPC[[#This Row],[Long Exp.]]/D1876-1)+(E1876/GSPC[[#This Row],[Short Exp.]]-1))</f>
        <v>#VALUE!</v>
      </c>
      <c r="G1875" s="37">
        <v>31971</v>
      </c>
      <c r="H1875">
        <v>1.70014</v>
      </c>
      <c r="I1875" s="36">
        <f>IF(ISBLANK(H1876), "", Long0[[#This Row],[Adj Close]]/H1876-1)</f>
        <v>-2.5210006943373386E-2</v>
      </c>
      <c r="P1875" s="29">
        <v>31971</v>
      </c>
      <c r="Q1875">
        <v>1.2193620000000001</v>
      </c>
      <c r="R1875" s="33">
        <f>IF(ISBLANK(Q1876),"",Long3[[#This Row],[Adj Close]]/Q1876-1)</f>
        <v>-2.1126630536438262E-2</v>
      </c>
      <c r="AK1875" s="37">
        <v>31971</v>
      </c>
      <c r="AL1875" s="39">
        <v>0.39084400000000002</v>
      </c>
      <c r="AM1875" s="36">
        <f>IF(ISBLANK(AL1876),"",Short1[[#This Row],[Adj Close]]/AL1876-1)</f>
        <v>6.3492149873472847E-2</v>
      </c>
      <c r="AN1875" s="29">
        <v>31971</v>
      </c>
      <c r="AO1875" s="44">
        <v>1.0105679999999999</v>
      </c>
      <c r="AP1875" s="33">
        <f>IF(ISBLANK(AO1876),"",Short2[[#This Row],[Adj Close]]/AO1876-1)</f>
        <v>5.5865694144492828E-2</v>
      </c>
    </row>
    <row r="1876" spans="1:42" x14ac:dyDescent="0.25">
      <c r="A1876" s="37">
        <v>31964</v>
      </c>
      <c r="B1876" s="39">
        <v>308.36999500000002</v>
      </c>
      <c r="C1876" s="36">
        <f>IF(ISBLANK(B1877), "", GSPC[[#This Row],[Adj Close]]/B1877-1)</f>
        <v>8.9650556397433689E-3</v>
      </c>
      <c r="D187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7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76" s="11" t="e">
        <f>IF(ISBLANK(GSPC[[#This Row],[Long Exp.]]), "", (GSPC[[#This Row],[Long Exp.]]/D1877-1)+(E1877/GSPC[[#This Row],[Short Exp.]]-1))</f>
        <v>#VALUE!</v>
      </c>
      <c r="G1876" s="37">
        <v>31964</v>
      </c>
      <c r="H1876">
        <v>1.7441089999999999</v>
      </c>
      <c r="I1876" s="36">
        <f>IF(ISBLANK(H1877), "", Long0[[#This Row],[Adj Close]]/H1877-1)</f>
        <v>-1.6528506203546733E-2</v>
      </c>
      <c r="P1876" s="29">
        <v>31964</v>
      </c>
      <c r="Q1876">
        <v>1.245679</v>
      </c>
      <c r="R1876" s="33">
        <f>IF(ISBLANK(Q1877),"",Long3[[#This Row],[Adj Close]]/Q1877-1)</f>
        <v>-1.0453291050953273E-2</v>
      </c>
      <c r="AK1876" s="37">
        <v>31964</v>
      </c>
      <c r="AL1876" s="39">
        <v>0.36751</v>
      </c>
      <c r="AM1876" s="36">
        <f>IF(ISBLANK(AL1877),"",Short1[[#This Row],[Adj Close]]/AL1877-1)</f>
        <v>6.7796708660685212E-2</v>
      </c>
      <c r="AN1876" s="29">
        <v>31964</v>
      </c>
      <c r="AO1876" s="44">
        <v>0.95709900000000003</v>
      </c>
      <c r="AP1876" s="33">
        <f>IF(ISBLANK(AO1877),"",Short2[[#This Row],[Adj Close]]/AO1877-1)</f>
        <v>-0.11822650114010647</v>
      </c>
    </row>
    <row r="1877" spans="1:42" x14ac:dyDescent="0.25">
      <c r="A1877" s="37">
        <v>31957</v>
      </c>
      <c r="B1877" s="39">
        <v>305.63000499999998</v>
      </c>
      <c r="C1877" s="36">
        <f>IF(ISBLANK(B1878), "", GSPC[[#This Row],[Adj Close]]/B1878-1)</f>
        <v>-4.9811140124872422E-3</v>
      </c>
      <c r="D187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7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77" s="11" t="e">
        <f>IF(ISBLANK(GSPC[[#This Row],[Long Exp.]]), "", (GSPC[[#This Row],[Long Exp.]]/D1878-1)+(E1878/GSPC[[#This Row],[Short Exp.]]-1))</f>
        <v>#VALUE!</v>
      </c>
      <c r="G1877" s="37">
        <v>31957</v>
      </c>
      <c r="H1877">
        <v>1.7734209999999999</v>
      </c>
      <c r="I1877" s="36">
        <f>IF(ISBLANK(H1878), "", Long0[[#This Row],[Adj Close]]/H1878-1)</f>
        <v>-5.0638251796546463E-3</v>
      </c>
      <c r="P1877" s="29">
        <v>31957</v>
      </c>
      <c r="Q1877">
        <v>1.2588379999999999</v>
      </c>
      <c r="R1877" s="33">
        <f>IF(ISBLANK(Q1878),"",Long3[[#This Row],[Adj Close]]/Q1878-1)</f>
        <v>-2.3809246856052013E-2</v>
      </c>
      <c r="AK1877" s="37">
        <v>31957</v>
      </c>
      <c r="AL1877" s="39">
        <v>0.34417599999999998</v>
      </c>
      <c r="AM1877" s="36">
        <f>IF(ISBLANK(AL1878),"",Short1[[#This Row],[Adj Close]]/AL1878-1)</f>
        <v>5.3569898002914007E-2</v>
      </c>
      <c r="AN1877" s="29">
        <v>31957</v>
      </c>
      <c r="AO1877" s="44">
        <v>1.0854250000000001</v>
      </c>
      <c r="AP1877" s="33">
        <f>IF(ISBLANK(AO1878),"",Short2[[#This Row],[Adj Close]]/AO1878-1)</f>
        <v>-4.694901637113158E-2</v>
      </c>
    </row>
    <row r="1878" spans="1:42" x14ac:dyDescent="0.25">
      <c r="A1878" s="37">
        <v>31950</v>
      </c>
      <c r="B1878" s="39">
        <v>307.16000400000001</v>
      </c>
      <c r="C1878" s="36">
        <f>IF(ISBLANK(B1879), "", GSPC[[#This Row],[Adj Close]]/B1879-1)</f>
        <v>6.1896276307460418E-4</v>
      </c>
      <c r="D187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7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78" s="11" t="e">
        <f>IF(ISBLANK(GSPC[[#This Row],[Long Exp.]]), "", (GSPC[[#This Row],[Long Exp.]]/D1879-1)+(E1879/GSPC[[#This Row],[Short Exp.]]-1))</f>
        <v>#VALUE!</v>
      </c>
      <c r="G1878" s="37">
        <v>31950</v>
      </c>
      <c r="H1878">
        <v>1.7824469999999999</v>
      </c>
      <c r="I1878" s="36">
        <f>IF(ISBLANK(H1879), "", Long0[[#This Row],[Adj Close]]/H1879-1)</f>
        <v>-3.1746092103376311E-2</v>
      </c>
      <c r="P1878" s="29">
        <v>31950</v>
      </c>
      <c r="Q1878">
        <v>1.289541</v>
      </c>
      <c r="R1878" s="33">
        <f>IF(ISBLANK(Q1879),"",Long3[[#This Row],[Adj Close]]/Q1879-1)</f>
        <v>-1.6721681226653073E-2</v>
      </c>
      <c r="AK1878" s="37">
        <v>31950</v>
      </c>
      <c r="AL1878" s="39">
        <v>0.32667600000000002</v>
      </c>
      <c r="AM1878" s="36">
        <f>IF(ISBLANK(AL1879),"",Short1[[#This Row],[Adj Close]]/AL1879-1)</f>
        <v>9.8041061080710534E-2</v>
      </c>
      <c r="AN1878" s="29">
        <v>31950</v>
      </c>
      <c r="AO1878" s="44">
        <v>1.138895</v>
      </c>
      <c r="AP1878" s="33">
        <f>IF(ISBLANK(AO1879),"",Short2[[#This Row],[Adj Close]]/AO1879-1)</f>
        <v>-4.6720926797764184E-3</v>
      </c>
    </row>
    <row r="1879" spans="1:42" x14ac:dyDescent="0.25">
      <c r="A1879" s="37">
        <v>31943</v>
      </c>
      <c r="B1879" s="39">
        <v>306.97000100000002</v>
      </c>
      <c r="C1879" s="36">
        <f>IF(ISBLANK(B1880), "", GSPC[[#This Row],[Adj Close]]/B1880-1)</f>
        <v>1.7737570746926057E-2</v>
      </c>
      <c r="D187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7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79" s="11" t="e">
        <f>IF(ISBLANK(GSPC[[#This Row],[Long Exp.]]), "", (GSPC[[#This Row],[Long Exp.]]/D1880-1)+(E1880/GSPC[[#This Row],[Short Exp.]]-1))</f>
        <v>#VALUE!</v>
      </c>
      <c r="G1879" s="37">
        <v>31943</v>
      </c>
      <c r="H1879">
        <v>1.8408880000000001</v>
      </c>
      <c r="I1879" s="36">
        <f>IF(ISBLANK(H1880), "", Long0[[#This Row],[Adj Close]]/H1880-1)</f>
        <v>-2.3255468457350048E-2</v>
      </c>
      <c r="P1879" s="29">
        <v>31943</v>
      </c>
      <c r="Q1879">
        <v>1.3114710000000001</v>
      </c>
      <c r="R1879" s="33">
        <f>IF(ISBLANK(Q1880),"",Long3[[#This Row],[Adj Close]]/Q1880-1)</f>
        <v>1.3559508039872492E-2</v>
      </c>
      <c r="AK1879" s="37">
        <v>31943</v>
      </c>
      <c r="AL1879" s="39">
        <v>0.29750799999999999</v>
      </c>
      <c r="AM1879" s="36">
        <f>IF(ISBLANK(AL1880),"",Short1[[#This Row],[Adj Close]]/AL1880-1)</f>
        <v>6.2502008878349447E-2</v>
      </c>
      <c r="AN1879" s="29">
        <v>31943</v>
      </c>
      <c r="AO1879" s="44">
        <v>1.1442410000000001</v>
      </c>
      <c r="AP1879" s="33">
        <f>IF(ISBLANK(AO1880),"",Short2[[#This Row],[Adj Close]]/AO1880-1)</f>
        <v>-7.3593336458487646E-2</v>
      </c>
    </row>
    <row r="1880" spans="1:42" x14ac:dyDescent="0.25">
      <c r="A1880" s="37">
        <v>31936</v>
      </c>
      <c r="B1880" s="39">
        <v>301.61999500000002</v>
      </c>
      <c r="C1880" s="36">
        <f>IF(ISBLANK(B1881), "", GSPC[[#This Row],[Adj Close]]/B1881-1)</f>
        <v>2.784114045290953E-2</v>
      </c>
      <c r="D188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8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80" s="11" t="e">
        <f>IF(ISBLANK(GSPC[[#This Row],[Long Exp.]]), "", (GSPC[[#This Row],[Long Exp.]]/D1881-1)+(E1881/GSPC[[#This Row],[Short Exp.]]-1))</f>
        <v>#VALUE!</v>
      </c>
      <c r="G1880" s="37">
        <v>31936</v>
      </c>
      <c r="H1880">
        <v>1.8847179999999999</v>
      </c>
      <c r="I1880" s="36">
        <f>IF(ISBLANK(H1881), "", Long0[[#This Row],[Adj Close]]/H1881-1)</f>
        <v>6.6115861426059741E-2</v>
      </c>
      <c r="P1880" s="29">
        <v>31936</v>
      </c>
      <c r="Q1880">
        <v>1.2939259999999999</v>
      </c>
      <c r="R1880" s="33">
        <f>IF(ISBLANK(Q1881),"",Long3[[#This Row],[Adj Close]]/Q1881-1)</f>
        <v>3.5086975477275129E-2</v>
      </c>
      <c r="AK1880" s="37">
        <v>31936</v>
      </c>
      <c r="AL1880" s="39">
        <v>0.28000700000000001</v>
      </c>
      <c r="AM1880" s="36">
        <f>IF(ISBLANK(AL1881),"",Short1[[#This Row],[Adj Close]]/AL1881-1)</f>
        <v>-5.8825308899256412E-2</v>
      </c>
      <c r="AN1880" s="29">
        <v>31936</v>
      </c>
      <c r="AO1880" s="44">
        <v>1.235139</v>
      </c>
      <c r="AP1880" s="33">
        <f>IF(ISBLANK(AO1881),"",Short2[[#This Row],[Adj Close]]/AO1881-1)</f>
        <v>6.9444600778398646E-2</v>
      </c>
    </row>
    <row r="1881" spans="1:42" x14ac:dyDescent="0.25">
      <c r="A1881" s="37">
        <v>31929</v>
      </c>
      <c r="B1881" s="39">
        <v>293.45001200000002</v>
      </c>
      <c r="C1881" s="36">
        <f>IF(ISBLANK(B1882), "", GSPC[[#This Row],[Adj Close]]/B1882-1)</f>
        <v>1.1547762601562983E-2</v>
      </c>
      <c r="D188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8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81" s="11" t="e">
        <f>IF(ISBLANK(GSPC[[#This Row],[Long Exp.]]), "", (GSPC[[#This Row],[Long Exp.]]/D1882-1)+(E1882/GSPC[[#This Row],[Short Exp.]]-1))</f>
        <v>#VALUE!</v>
      </c>
      <c r="G1881" s="37">
        <v>31929</v>
      </c>
      <c r="H1881">
        <v>1.767836</v>
      </c>
      <c r="I1881" s="36">
        <f>IF(ISBLANK(H1882), "", Long0[[#This Row],[Adj Close]]/H1882-1)</f>
        <v>0</v>
      </c>
      <c r="P1881" s="29">
        <v>31929</v>
      </c>
      <c r="Q1881">
        <v>1.250065</v>
      </c>
      <c r="R1881" s="33">
        <f>IF(ISBLANK(Q1882),"",Long3[[#This Row],[Adj Close]]/Q1882-1)</f>
        <v>-1.3841007880972755E-2</v>
      </c>
      <c r="AK1881" s="37">
        <v>31929</v>
      </c>
      <c r="AL1881" s="39">
        <v>0.29750799999999999</v>
      </c>
      <c r="AM1881" s="36">
        <f>IF(ISBLANK(AL1882),"",Short1[[#This Row],[Adj Close]]/AL1882-1)</f>
        <v>6.2502008878349447E-2</v>
      </c>
      <c r="AN1881" s="29">
        <v>31929</v>
      </c>
      <c r="AO1881" s="44">
        <v>1.154935</v>
      </c>
      <c r="AP1881" s="33">
        <f>IF(ISBLANK(AO1882),"",Short2[[#This Row],[Adj Close]]/AO1882-1)</f>
        <v>-6.2936104061325548E-2</v>
      </c>
    </row>
    <row r="1882" spans="1:42" x14ac:dyDescent="0.25">
      <c r="A1882" s="37">
        <v>31922</v>
      </c>
      <c r="B1882" s="39">
        <v>290.10000600000001</v>
      </c>
      <c r="C1882" s="36">
        <f>IF(ISBLANK(B1883), "", GSPC[[#This Row],[Adj Close]]/B1883-1)</f>
        <v>2.8140069065210271E-2</v>
      </c>
      <c r="D188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8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82" s="11" t="e">
        <f>IF(ISBLANK(GSPC[[#This Row],[Long Exp.]]), "", (GSPC[[#This Row],[Long Exp.]]/D1883-1)+(E1883/GSPC[[#This Row],[Short Exp.]]-1))</f>
        <v>#VALUE!</v>
      </c>
      <c r="G1882" s="37">
        <v>31922</v>
      </c>
      <c r="H1882">
        <v>1.767836</v>
      </c>
      <c r="I1882" s="36">
        <f>IF(ISBLANK(H1883), "", Long0[[#This Row],[Adj Close]]/H1883-1)</f>
        <v>8.3337848821456451E-3</v>
      </c>
      <c r="P1882" s="29">
        <v>31922</v>
      </c>
      <c r="Q1882">
        <v>1.2676099999999999</v>
      </c>
      <c r="R1882" s="33">
        <f>IF(ISBLANK(Q1883),"",Long3[[#This Row],[Adj Close]]/Q1883-1)</f>
        <v>3.9568233223603588E-2</v>
      </c>
      <c r="AK1882" s="37">
        <v>31922</v>
      </c>
      <c r="AL1882" s="39">
        <v>0.28000700000000001</v>
      </c>
      <c r="AM1882" s="36">
        <f>IF(ISBLANK(AL1883),"",Short1[[#This Row],[Adj Close]]/AL1883-1)</f>
        <v>-6.7963718066073042E-2</v>
      </c>
      <c r="AN1882" s="29">
        <v>31922</v>
      </c>
      <c r="AO1882" s="44">
        <v>1.232504</v>
      </c>
      <c r="AP1882" s="33">
        <f>IF(ISBLANK(AO1883),"",Short2[[#This Row],[Adj Close]]/AO1883-1)</f>
        <v>2.6666588920700063E-2</v>
      </c>
    </row>
    <row r="1883" spans="1:42" x14ac:dyDescent="0.25">
      <c r="A1883" s="37">
        <v>31915</v>
      </c>
      <c r="B1883" s="39">
        <v>282.16000400000001</v>
      </c>
      <c r="C1883" s="36">
        <f>IF(ISBLANK(B1884), "", GSPC[[#This Row],[Adj Close]]/B1884-1)</f>
        <v>-1.8334861108249112E-2</v>
      </c>
      <c r="D188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8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83" s="11" t="e">
        <f>IF(ISBLANK(GSPC[[#This Row],[Long Exp.]]), "", (GSPC[[#This Row],[Long Exp.]]/D1884-1)+(E1884/GSPC[[#This Row],[Short Exp.]]-1))</f>
        <v>#VALUE!</v>
      </c>
      <c r="G1883" s="37">
        <v>31915</v>
      </c>
      <c r="H1883">
        <v>1.753225</v>
      </c>
      <c r="I1883" s="36">
        <f>IF(ISBLANK(H1884), "", Long0[[#This Row],[Adj Close]]/H1884-1)</f>
        <v>-8.2649069257555441E-3</v>
      </c>
      <c r="P1883" s="29">
        <v>31915</v>
      </c>
      <c r="Q1883">
        <v>1.2193620000000001</v>
      </c>
      <c r="R1883" s="33">
        <f>IF(ISBLANK(Q1884),"",Long3[[#This Row],[Adj Close]]/Q1884-1)</f>
        <v>-3.1359078769468196E-2</v>
      </c>
      <c r="AK1883" s="37">
        <v>31915</v>
      </c>
      <c r="AL1883" s="39">
        <v>0.300425</v>
      </c>
      <c r="AM1883" s="36">
        <f>IF(ISBLANK(AL1884),"",Short1[[#This Row],[Adj Close]]/AL1884-1)</f>
        <v>2.9999142881631968E-2</v>
      </c>
      <c r="AN1883" s="29">
        <v>31915</v>
      </c>
      <c r="AO1883" s="44">
        <v>1.200491</v>
      </c>
      <c r="AP1883" s="33">
        <f>IF(ISBLANK(AO1884),"",Short2[[#This Row],[Adj Close]]/AO1884-1)</f>
        <v>-7.7868288954692E-2</v>
      </c>
    </row>
    <row r="1884" spans="1:42" x14ac:dyDescent="0.25">
      <c r="A1884" s="37">
        <v>31908</v>
      </c>
      <c r="B1884" s="39">
        <v>287.42999300000002</v>
      </c>
      <c r="C1884" s="36">
        <f>IF(ISBLANK(B1885), "", GSPC[[#This Row],[Adj Close]]/B1885-1)</f>
        <v>-2.0247476228780648E-2</v>
      </c>
      <c r="D188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8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84" s="11" t="e">
        <f>IF(ISBLANK(GSPC[[#This Row],[Long Exp.]]), "", (GSPC[[#This Row],[Long Exp.]]/D1885-1)+(E1885/GSPC[[#This Row],[Short Exp.]]-1))</f>
        <v>#VALUE!</v>
      </c>
      <c r="G1884" s="37">
        <v>31908</v>
      </c>
      <c r="H1884">
        <v>1.767836</v>
      </c>
      <c r="I1884" s="36">
        <f>IF(ISBLANK(H1885), "", Long0[[#This Row],[Adj Close]]/H1885-1)</f>
        <v>-2.4193201175051082E-2</v>
      </c>
      <c r="P1884" s="29">
        <v>31908</v>
      </c>
      <c r="Q1884">
        <v>1.2588379999999999</v>
      </c>
      <c r="R1884" s="33">
        <f>IF(ISBLANK(Q1885),"",Long3[[#This Row],[Adj Close]]/Q1885-1)</f>
        <v>-3.0404840743333938E-2</v>
      </c>
      <c r="AK1884" s="37">
        <v>31908</v>
      </c>
      <c r="AL1884" s="39">
        <v>0.29167500000000002</v>
      </c>
      <c r="AM1884" s="36">
        <f>IF(ISBLANK(AL1885),"",Short1[[#This Row],[Adj Close]]/AL1885-1)</f>
        <v>-9.0907674182307829E-2</v>
      </c>
      <c r="AN1884" s="29">
        <v>31908</v>
      </c>
      <c r="AO1884" s="44">
        <v>1.301865</v>
      </c>
      <c r="AP1884" s="33">
        <f>IF(ISBLANK(AO1885),"",Short2[[#This Row],[Adj Close]]/AO1885-1)</f>
        <v>-6.8702808846094587E-2</v>
      </c>
    </row>
    <row r="1885" spans="1:42" x14ac:dyDescent="0.25">
      <c r="A1885" s="37">
        <v>31901</v>
      </c>
      <c r="B1885" s="39">
        <v>293.36999500000002</v>
      </c>
      <c r="C1885" s="36">
        <f>IF(ISBLANK(B1886), "", GSPC[[#This Row],[Adj Close]]/B1886-1)</f>
        <v>1.8539721621149807E-2</v>
      </c>
      <c r="D188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8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85" s="11" t="e">
        <f>IF(ISBLANK(GSPC[[#This Row],[Long Exp.]]), "", (GSPC[[#This Row],[Long Exp.]]/D1886-1)+(E1886/GSPC[[#This Row],[Short Exp.]]-1))</f>
        <v>#VALUE!</v>
      </c>
      <c r="G1885" s="37">
        <v>31901</v>
      </c>
      <c r="H1885">
        <v>1.811666</v>
      </c>
      <c r="I1885" s="36">
        <f>IF(ISBLANK(H1886), "", Long0[[#This Row],[Adj Close]]/H1886-1)</f>
        <v>2.4793023787274437E-2</v>
      </c>
      <c r="P1885" s="29">
        <v>31901</v>
      </c>
      <c r="Q1885">
        <v>1.2983130000000001</v>
      </c>
      <c r="R1885" s="33">
        <f>IF(ISBLANK(Q1886),"",Long3[[#This Row],[Adj Close]]/Q1886-1)</f>
        <v>2.0689530470221706E-2</v>
      </c>
      <c r="AK1885" s="37">
        <v>31901</v>
      </c>
      <c r="AL1885" s="39">
        <v>0.32084200000000002</v>
      </c>
      <c r="AM1885" s="36">
        <f>IF(ISBLANK(AL1886),"",Short1[[#This Row],[Adj Close]]/AL1886-1)</f>
        <v>0.12244919378255736</v>
      </c>
      <c r="AN1885" s="29">
        <v>31901</v>
      </c>
      <c r="AO1885" s="44">
        <v>1.397905</v>
      </c>
      <c r="AP1885" s="33">
        <f>IF(ISBLANK(AO1886),"",Short2[[#This Row],[Adj Close]]/AO1886-1)</f>
        <v>0.21296327629936007</v>
      </c>
    </row>
    <row r="1886" spans="1:42" x14ac:dyDescent="0.25">
      <c r="A1886" s="37">
        <v>31894</v>
      </c>
      <c r="B1886" s="39">
        <v>288.02999899999998</v>
      </c>
      <c r="C1886" s="36">
        <f>IF(ISBLANK(B1887), "", GSPC[[#This Row],[Adj Close]]/B1887-1)</f>
        <v>2.3124503603187962E-2</v>
      </c>
      <c r="D188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8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86" s="11" t="e">
        <f>IF(ISBLANK(GSPC[[#This Row],[Long Exp.]]), "", (GSPC[[#This Row],[Long Exp.]]/D1887-1)+(E1887/GSPC[[#This Row],[Short Exp.]]-1))</f>
        <v>#VALUE!</v>
      </c>
      <c r="G1886" s="37">
        <v>31894</v>
      </c>
      <c r="H1886">
        <v>1.767836</v>
      </c>
      <c r="I1886" s="36">
        <f>IF(ISBLANK(H1887), "", Long0[[#This Row],[Adj Close]]/H1887-1)</f>
        <v>-8.1971581763721213E-3</v>
      </c>
      <c r="P1886" s="29">
        <v>31894</v>
      </c>
      <c r="Q1886">
        <v>1.2719959999999999</v>
      </c>
      <c r="R1886" s="33">
        <f>IF(ISBLANK(Q1887),"",Long3[[#This Row],[Adj Close]]/Q1887-1)</f>
        <v>3.5714343874528209E-2</v>
      </c>
      <c r="AK1886" s="37">
        <v>31894</v>
      </c>
      <c r="AL1886" s="39">
        <v>0.28584100000000001</v>
      </c>
      <c r="AM1886" s="36">
        <f>IF(ISBLANK(AL1887),"",Short1[[#This Row],[Adj Close]]/AL1887-1)</f>
        <v>-2.0001714236736134E-2</v>
      </c>
      <c r="AN1886" s="29">
        <v>31894</v>
      </c>
      <c r="AO1886" s="44">
        <v>1.152471</v>
      </c>
      <c r="AP1886" s="33">
        <f>IF(ISBLANK(AO1887),"",Short2[[#This Row],[Adj Close]]/AO1887-1)</f>
        <v>1.4084023705085436E-2</v>
      </c>
    </row>
    <row r="1887" spans="1:42" x14ac:dyDescent="0.25">
      <c r="A1887" s="37">
        <v>31887</v>
      </c>
      <c r="B1887" s="39">
        <v>281.51998900000001</v>
      </c>
      <c r="C1887" s="36">
        <f>IF(ISBLANK(B1888), "", GSPC[[#This Row],[Adj Close]]/B1888-1)</f>
        <v>-1.8786431023158023E-2</v>
      </c>
      <c r="D188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8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87" s="11" t="e">
        <f>IF(ISBLANK(GSPC[[#This Row],[Long Exp.]]), "", (GSPC[[#This Row],[Long Exp.]]/D1888-1)+(E1888/GSPC[[#This Row],[Short Exp.]]-1))</f>
        <v>#VALUE!</v>
      </c>
      <c r="G1887" s="37">
        <v>31887</v>
      </c>
      <c r="H1887">
        <v>1.7824469999999999</v>
      </c>
      <c r="I1887" s="36">
        <f>IF(ISBLANK(H1888), "", Long0[[#This Row],[Adj Close]]/H1888-1)</f>
        <v>1.6667569764291512E-2</v>
      </c>
      <c r="P1887" s="29">
        <v>31887</v>
      </c>
      <c r="Q1887">
        <v>1.2281340000000001</v>
      </c>
      <c r="R1887" s="33">
        <f>IF(ISBLANK(Q1888),"",Long3[[#This Row],[Adj Close]]/Q1888-1)</f>
        <v>-4.761926918182513E-2</v>
      </c>
      <c r="AK1887" s="37">
        <v>31887</v>
      </c>
      <c r="AL1887" s="39">
        <v>0.29167500000000002</v>
      </c>
      <c r="AM1887" s="36">
        <f>IF(ISBLANK(AL1888),"",Short1[[#This Row],[Adj Close]]/AL1888-1)</f>
        <v>-0.19354615733418856</v>
      </c>
      <c r="AN1887" s="29">
        <v>31887</v>
      </c>
      <c r="AO1887" s="44">
        <v>1.1364650000000001</v>
      </c>
      <c r="AP1887" s="33">
        <f>IF(ISBLANK(AO1888),"",Short2[[#This Row],[Adj Close]]/AO1888-1)</f>
        <v>-7.3913209997970908E-2</v>
      </c>
    </row>
    <row r="1888" spans="1:42" x14ac:dyDescent="0.25">
      <c r="A1888" s="37">
        <v>31880</v>
      </c>
      <c r="B1888" s="39">
        <v>286.91000400000001</v>
      </c>
      <c r="C1888" s="36">
        <f>IF(ISBLANK(B1889), "", GSPC[[#This Row],[Adj Close]]/B1889-1)</f>
        <v>-1.9077528089080809E-2</v>
      </c>
      <c r="D188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8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88" s="11" t="e">
        <f>IF(ISBLANK(GSPC[[#This Row],[Long Exp.]]), "", (GSPC[[#This Row],[Long Exp.]]/D1889-1)+(E1889/GSPC[[#This Row],[Short Exp.]]-1))</f>
        <v>#VALUE!</v>
      </c>
      <c r="G1888" s="37">
        <v>31880</v>
      </c>
      <c r="H1888">
        <v>1.753225</v>
      </c>
      <c r="I1888" s="36">
        <f>IF(ISBLANK(H1889), "", Long0[[#This Row],[Adj Close]]/H1889-1)</f>
        <v>-6.250066841059454E-2</v>
      </c>
      <c r="P1888" s="29">
        <v>31880</v>
      </c>
      <c r="Q1888">
        <v>1.289541</v>
      </c>
      <c r="R1888" s="33">
        <f>IF(ISBLANK(Q1889),"",Long3[[#This Row],[Adj Close]]/Q1889-1)</f>
        <v>0</v>
      </c>
      <c r="AK1888" s="37">
        <v>31880</v>
      </c>
      <c r="AL1888" s="39">
        <v>0.361676</v>
      </c>
      <c r="AM1888" s="36">
        <f>IF(ISBLANK(AL1889),"",Short1[[#This Row],[Adj Close]]/AL1889-1)</f>
        <v>-5.3434635023410615E-2</v>
      </c>
      <c r="AN1888" s="29">
        <v>31880</v>
      </c>
      <c r="AO1888" s="44">
        <v>1.227169</v>
      </c>
      <c r="AP1888" s="33">
        <f>IF(ISBLANK(AO1889),"",Short2[[#This Row],[Adj Close]]/AO1889-1)</f>
        <v>-0.10852681642612805</v>
      </c>
    </row>
    <row r="1889" spans="1:42" x14ac:dyDescent="0.25">
      <c r="A1889" s="37">
        <v>31873</v>
      </c>
      <c r="B1889" s="39">
        <v>292.48998999999998</v>
      </c>
      <c r="C1889" s="36">
        <f>IF(ISBLANK(B1890), "", GSPC[[#This Row],[Adj Close]]/B1890-1)</f>
        <v>-2.6364015493971493E-2</v>
      </c>
      <c r="D188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8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89" s="11" t="e">
        <f>IF(ISBLANK(GSPC[[#This Row],[Long Exp.]]), "", (GSPC[[#This Row],[Long Exp.]]/D1890-1)+(E1890/GSPC[[#This Row],[Short Exp.]]-1))</f>
        <v>#VALUE!</v>
      </c>
      <c r="G1889" s="37">
        <v>31873</v>
      </c>
      <c r="H1889">
        <v>1.8701080000000001</v>
      </c>
      <c r="I1889" s="36">
        <f>IF(ISBLANK(H1890), "", Long0[[#This Row],[Adj Close]]/H1890-1)</f>
        <v>-5.1852077185937762E-2</v>
      </c>
      <c r="P1889" s="29">
        <v>31873</v>
      </c>
      <c r="Q1889">
        <v>1.289541</v>
      </c>
      <c r="R1889" s="33">
        <f>IF(ISBLANK(Q1890),"",Long3[[#This Row],[Adj Close]]/Q1890-1)</f>
        <v>-4.5454747332983936E-2</v>
      </c>
      <c r="AK1889" s="37">
        <v>31873</v>
      </c>
      <c r="AL1889" s="39">
        <v>0.38209300000000002</v>
      </c>
      <c r="AM1889" s="36">
        <f>IF(ISBLANK(AL1890),"",Short1[[#This Row],[Adj Close]]/AL1890-1)</f>
        <v>-7.7466693064334624E-2</v>
      </c>
      <c r="AN1889" s="29">
        <v>31873</v>
      </c>
      <c r="AO1889" s="44">
        <v>1.376563</v>
      </c>
      <c r="AP1889" s="33">
        <f>IF(ISBLANK(AO1890),"",Short2[[#This Row],[Adj Close]]/AO1890-1)</f>
        <v>-7.6915701976524309E-3</v>
      </c>
    </row>
    <row r="1890" spans="1:42" x14ac:dyDescent="0.25">
      <c r="A1890" s="37">
        <v>31866</v>
      </c>
      <c r="B1890" s="39">
        <v>300.41000400000001</v>
      </c>
      <c r="C1890" s="36">
        <f>IF(ISBLANK(B1891), "", GSPC[[#This Row],[Adj Close]]/B1891-1)</f>
        <v>1.4453108188074548E-2</v>
      </c>
      <c r="D189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9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90" s="11" t="e">
        <f>IF(ISBLANK(GSPC[[#This Row],[Long Exp.]]), "", (GSPC[[#This Row],[Long Exp.]]/D1891-1)+(E1891/GSPC[[#This Row],[Short Exp.]]-1))</f>
        <v>#VALUE!</v>
      </c>
      <c r="G1890" s="37">
        <v>31866</v>
      </c>
      <c r="H1890">
        <v>1.97238</v>
      </c>
      <c r="I1890" s="36">
        <f>IF(ISBLANK(H1891), "", Long0[[#This Row],[Adj Close]]/H1891-1)</f>
        <v>7.4630868095264535E-3</v>
      </c>
      <c r="P1890" s="29">
        <v>31866</v>
      </c>
      <c r="Q1890">
        <v>1.350948</v>
      </c>
      <c r="R1890" s="33">
        <f>IF(ISBLANK(Q1891),"",Long3[[#This Row],[Adj Close]]/Q1891-1)</f>
        <v>-3.7500454194728805E-2</v>
      </c>
      <c r="AK1890" s="37">
        <v>31866</v>
      </c>
      <c r="AL1890" s="39">
        <v>0.41417799999999999</v>
      </c>
      <c r="AM1890" s="36">
        <f>IF(ISBLANK(AL1891),"",Short1[[#This Row],[Adj Close]]/AL1891-1)</f>
        <v>1.4284489830902691E-2</v>
      </c>
      <c r="AN1890" s="29">
        <v>31866</v>
      </c>
      <c r="AO1890" s="44">
        <v>1.3872329999999999</v>
      </c>
      <c r="AP1890" s="33">
        <f>IF(ISBLANK(AO1891),"",Short2[[#This Row],[Adj Close]]/AO1891-1)</f>
        <v>-4.4118214517040455E-2</v>
      </c>
    </row>
    <row r="1891" spans="1:42" x14ac:dyDescent="0.25">
      <c r="A1891" s="37">
        <v>31859</v>
      </c>
      <c r="B1891" s="39">
        <v>296.13000499999998</v>
      </c>
      <c r="C1891" s="36">
        <f>IF(ISBLANK(B1892), "", GSPC[[#This Row],[Adj Close]]/B1892-1)</f>
        <v>-6.8417611129795164E-3</v>
      </c>
      <c r="D189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9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91" s="11" t="e">
        <f>IF(ISBLANK(GSPC[[#This Row],[Long Exp.]]), "", (GSPC[[#This Row],[Long Exp.]]/D1892-1)+(E1892/GSPC[[#This Row],[Short Exp.]]-1))</f>
        <v>#VALUE!</v>
      </c>
      <c r="G1891" s="37">
        <v>31859</v>
      </c>
      <c r="H1891">
        <v>1.9577690000000001</v>
      </c>
      <c r="I1891" s="36">
        <f>IF(ISBLANK(H1892), "", Long0[[#This Row],[Adj Close]]/H1892-1)</f>
        <v>7.20000306634756E-2</v>
      </c>
      <c r="P1891" s="29">
        <v>31859</v>
      </c>
      <c r="Q1891">
        <v>1.403583</v>
      </c>
      <c r="R1891" s="33">
        <f>IF(ISBLANK(Q1892),"",Long3[[#This Row],[Adj Close]]/Q1892-1)</f>
        <v>9.4647456205774194E-3</v>
      </c>
      <c r="AK1891" s="37">
        <v>31859</v>
      </c>
      <c r="AL1891" s="44">
        <v>0.40834500000000001</v>
      </c>
      <c r="AM1891" s="36">
        <f>IF(ISBLANK(AL1892),"",Short1[[#This Row],[Adj Close]]/AL1892-1)</f>
        <v>0</v>
      </c>
      <c r="AN1891" s="29">
        <v>31859</v>
      </c>
      <c r="AO1891" s="44">
        <v>1.45126</v>
      </c>
      <c r="AP1891" s="33">
        <f>IF(ISBLANK(AO1892),"",Short2[[#This Row],[Adj Close]]/AO1892-1)</f>
        <v>-1.0909398221318978E-2</v>
      </c>
    </row>
    <row r="1892" spans="1:42" x14ac:dyDescent="0.25">
      <c r="A1892" s="37">
        <v>31852</v>
      </c>
      <c r="B1892" s="39">
        <v>298.17001299999998</v>
      </c>
      <c r="C1892" s="36">
        <f>IF(ISBLANK(B1893), "", GSPC[[#This Row],[Adj Close]]/B1893-1)</f>
        <v>2.8562549834632911E-2</v>
      </c>
      <c r="D189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9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92" s="11" t="e">
        <f>IF(ISBLANK(GSPC[[#This Row],[Long Exp.]]), "", (GSPC[[#This Row],[Long Exp.]]/D1893-1)+(E1893/GSPC[[#This Row],[Short Exp.]]-1))</f>
        <v>#VALUE!</v>
      </c>
      <c r="G1892" s="37">
        <v>31852</v>
      </c>
      <c r="H1892">
        <v>1.8262769999999999</v>
      </c>
      <c r="I1892" s="36">
        <f>IF(ISBLANK(H1893), "", Long0[[#This Row],[Adj Close]]/H1893-1)</f>
        <v>-3.1007821859821982E-2</v>
      </c>
      <c r="P1892" s="29">
        <v>31852</v>
      </c>
      <c r="Q1892">
        <v>1.390423</v>
      </c>
      <c r="R1892" s="33">
        <f>IF(ISBLANK(Q1893),"",Long3[[#This Row],[Adj Close]]/Q1893-1)</f>
        <v>0</v>
      </c>
      <c r="AK1892" s="37">
        <v>31852</v>
      </c>
      <c r="AL1892" s="44">
        <v>0.40834500000000001</v>
      </c>
      <c r="AM1892" s="36">
        <f>IF(ISBLANK(AL1893),"",Short1[[#This Row],[Adj Close]]/AL1893-1)</f>
        <v>-0.1139230892749421</v>
      </c>
      <c r="AN1892" s="29">
        <v>31852</v>
      </c>
      <c r="AO1892" s="44">
        <v>1.4672670000000001</v>
      </c>
      <c r="AP1892" s="33">
        <f>IF(ISBLANK(AO1893),"",Short2[[#This Row],[Adj Close]]/AO1893-1)</f>
        <v>1.4760803472381845E-2</v>
      </c>
    </row>
    <row r="1893" spans="1:42" x14ac:dyDescent="0.25">
      <c r="A1893" s="37">
        <v>31845</v>
      </c>
      <c r="B1893" s="39">
        <v>289.89001500000001</v>
      </c>
      <c r="C1893" s="36">
        <f>IF(ISBLANK(B1894), "", GSPC[[#This Row],[Adj Close]]/B1894-1)</f>
        <v>-2.6491054476143194E-3</v>
      </c>
      <c r="D189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9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93" s="11" t="e">
        <f>IF(ISBLANK(GSPC[[#This Row],[Long Exp.]]), "", (GSPC[[#This Row],[Long Exp.]]/D1894-1)+(E1894/GSPC[[#This Row],[Short Exp.]]-1))</f>
        <v>#VALUE!</v>
      </c>
      <c r="G1893" s="37">
        <v>31845</v>
      </c>
      <c r="H1893">
        <v>1.8847179999999999</v>
      </c>
      <c r="I1893" s="36">
        <f>IF(ISBLANK(H1894), "", Long0[[#This Row],[Adj Close]]/H1894-1)</f>
        <v>6.6115861426059741E-2</v>
      </c>
      <c r="P1893" s="29">
        <v>31845</v>
      </c>
      <c r="Q1893">
        <v>1.390423</v>
      </c>
      <c r="R1893" s="33">
        <f>IF(ISBLANK(Q1894),"",Long3[[#This Row],[Adj Close]]/Q1894-1)</f>
        <v>-1.8576437048126726E-2</v>
      </c>
      <c r="AK1893" s="37">
        <v>31845</v>
      </c>
      <c r="AL1893" s="44">
        <v>0.46084599999999998</v>
      </c>
      <c r="AM1893" s="36">
        <f>IF(ISBLANK(AL1894),"",Short1[[#This Row],[Adj Close]]/AL1894-1)</f>
        <v>0</v>
      </c>
      <c r="AN1893" s="29">
        <v>31845</v>
      </c>
      <c r="AO1893" s="44">
        <v>1.445924</v>
      </c>
      <c r="AP1893" s="33">
        <f>IF(ISBLANK(AO1894),"",Short2[[#This Row],[Adj Close]]/AO1894-1)</f>
        <v>5.4475338128069373E-2</v>
      </c>
    </row>
    <row r="1894" spans="1:42" x14ac:dyDescent="0.25">
      <c r="A1894" s="37">
        <v>31838</v>
      </c>
      <c r="B1894" s="39">
        <v>290.66000400000001</v>
      </c>
      <c r="C1894" s="36">
        <f>IF(ISBLANK(B1895), "", GSPC[[#This Row],[Adj Close]]/B1895-1)</f>
        <v>2.2730442389988337E-2</v>
      </c>
      <c r="D189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9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94" s="11" t="e">
        <f>IF(ISBLANK(GSPC[[#This Row],[Long Exp.]]), "", (GSPC[[#This Row],[Long Exp.]]/D1895-1)+(E1895/GSPC[[#This Row],[Short Exp.]]-1))</f>
        <v>#VALUE!</v>
      </c>
      <c r="G1894" s="37">
        <v>31838</v>
      </c>
      <c r="H1894">
        <v>1.767836</v>
      </c>
      <c r="I1894" s="36">
        <f>IF(ISBLANK(H1895), "", Long0[[#This Row],[Adj Close]]/H1895-1)</f>
        <v>-4.7244459438921638E-2</v>
      </c>
      <c r="P1894" s="29">
        <v>31838</v>
      </c>
      <c r="Q1894">
        <v>1.416741</v>
      </c>
      <c r="R1894" s="33">
        <f>IF(ISBLANK(Q1895),"",Long3[[#This Row],[Adj Close]]/Q1895-1)</f>
        <v>-1.52432349022118E-2</v>
      </c>
      <c r="AK1894" s="37">
        <v>31838</v>
      </c>
      <c r="AL1894" s="44">
        <v>0.46084599999999998</v>
      </c>
      <c r="AM1894" s="36">
        <f>IF(ISBLANK(AL1895),"",Short1[[#This Row],[Adj Close]]/AL1895-1)</f>
        <v>-0.11235965877025555</v>
      </c>
      <c r="AN1894" s="29">
        <v>31838</v>
      </c>
      <c r="AO1894" s="44">
        <v>1.3712260000000001</v>
      </c>
      <c r="AP1894" s="33">
        <f>IF(ISBLANK(AO1895),"",Short2[[#This Row],[Adj Close]]/AO1895-1)</f>
        <v>5.3278181685505022E-2</v>
      </c>
    </row>
    <row r="1895" spans="1:42" x14ac:dyDescent="0.25">
      <c r="A1895" s="37">
        <v>31831</v>
      </c>
      <c r="B1895" s="39">
        <v>284.20001200000002</v>
      </c>
      <c r="C1895" s="36">
        <f>IF(ISBLANK(B1896), "", GSPC[[#This Row],[Adj Close]]/B1896-1)</f>
        <v>-4.4836729391886099E-3</v>
      </c>
      <c r="D189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9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95" s="11" t="e">
        <f>IF(ISBLANK(GSPC[[#This Row],[Long Exp.]]), "", (GSPC[[#This Row],[Long Exp.]]/D1896-1)+(E1896/GSPC[[#This Row],[Short Exp.]]-1))</f>
        <v>#VALUE!</v>
      </c>
      <c r="G1895" s="37">
        <v>31831</v>
      </c>
      <c r="H1895">
        <v>1.8554980000000001</v>
      </c>
      <c r="I1895" s="36">
        <f>IF(ISBLANK(H1896), "", Long0[[#This Row],[Adj Close]]/H1896-1)</f>
        <v>3.2520393064883413E-2</v>
      </c>
      <c r="P1895" s="29">
        <v>31831</v>
      </c>
      <c r="Q1895">
        <v>1.438671</v>
      </c>
      <c r="R1895" s="33">
        <f>IF(ISBLANK(Q1896),"",Long3[[#This Row],[Adj Close]]/Q1896-1)</f>
        <v>3.144586000960703E-2</v>
      </c>
      <c r="AK1895" s="37">
        <v>31831</v>
      </c>
      <c r="AL1895" s="44">
        <v>0.519181</v>
      </c>
      <c r="AM1895" s="36">
        <f>IF(ISBLANK(AL1896),"",Short1[[#This Row],[Adj Close]]/AL1896-1)</f>
        <v>5.1180090017675539E-2</v>
      </c>
      <c r="AN1895" s="29">
        <v>31831</v>
      </c>
      <c r="AO1895" s="44">
        <v>1.301865</v>
      </c>
      <c r="AP1895" s="33">
        <f>IF(ISBLANK(AO1896),"",Short2[[#This Row],[Adj Close]]/AO1896-1)</f>
        <v>0.12442412632168098</v>
      </c>
    </row>
    <row r="1896" spans="1:42" x14ac:dyDescent="0.25">
      <c r="A1896" s="37">
        <v>31824</v>
      </c>
      <c r="B1896" s="39">
        <v>285.48001099999999</v>
      </c>
      <c r="C1896" s="36">
        <f>IF(ISBLANK(B1897), "", GSPC[[#This Row],[Adj Close]]/B1897-1)</f>
        <v>2.0664993750518557E-2</v>
      </c>
      <c r="D189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9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96" s="11" t="e">
        <f>IF(ISBLANK(GSPC[[#This Row],[Long Exp.]]), "", (GSPC[[#This Row],[Long Exp.]]/D1897-1)+(E1897/GSPC[[#This Row],[Short Exp.]]-1))</f>
        <v>#VALUE!</v>
      </c>
      <c r="G1896" s="37">
        <v>31824</v>
      </c>
      <c r="H1896">
        <v>1.7970569999999999</v>
      </c>
      <c r="I1896" s="36">
        <f>IF(ISBLANK(H1897), "", Long0[[#This Row],[Adj Close]]/H1897-1)</f>
        <v>-2.3809704881557203E-2</v>
      </c>
      <c r="P1896" s="29">
        <v>31824</v>
      </c>
      <c r="Q1896">
        <v>1.3948100000000001</v>
      </c>
      <c r="R1896" s="33">
        <f>IF(ISBLANK(Q1897),"",Long3[[#This Row],[Adj Close]]/Q1897-1)</f>
        <v>-3.1346573317819759E-3</v>
      </c>
      <c r="AK1896" s="37">
        <v>31824</v>
      </c>
      <c r="AL1896" s="44">
        <v>0.49390299999999998</v>
      </c>
      <c r="AM1896" s="36">
        <f>IF(ISBLANK(AL1897),"",Short1[[#This Row],[Adj Close]]/AL1897-1)</f>
        <v>4.9586776859503967E-2</v>
      </c>
      <c r="AN1896" s="29">
        <v>31824</v>
      </c>
      <c r="AO1896" s="44">
        <v>1.1578059999999999</v>
      </c>
      <c r="AP1896" s="33">
        <f>IF(ISBLANK(AO1897),"",Short2[[#This Row],[Adj Close]]/AO1897-1)</f>
        <v>0.11855587436841231</v>
      </c>
    </row>
    <row r="1897" spans="1:42" x14ac:dyDescent="0.25">
      <c r="A1897" s="37">
        <v>31817</v>
      </c>
      <c r="B1897" s="39">
        <v>279.70001200000002</v>
      </c>
      <c r="C1897" s="36">
        <f>IF(ISBLANK(B1898), "", GSPC[[#This Row],[Adj Close]]/B1898-1)</f>
        <v>-1.2141015179012449E-3</v>
      </c>
      <c r="D189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9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97" s="11" t="e">
        <f>IF(ISBLANK(GSPC[[#This Row],[Long Exp.]]), "", (GSPC[[#This Row],[Long Exp.]]/D1898-1)+(E1898/GSPC[[#This Row],[Short Exp.]]-1))</f>
        <v>#VALUE!</v>
      </c>
      <c r="G1897" s="37">
        <v>31817</v>
      </c>
      <c r="H1897">
        <v>1.8408880000000001</v>
      </c>
      <c r="I1897" s="36">
        <f>IF(ISBLANK(H1898), "", Long0[[#This Row],[Adj Close]]/H1898-1)</f>
        <v>6.7797367177009349E-2</v>
      </c>
      <c r="P1897" s="29">
        <v>31817</v>
      </c>
      <c r="Q1897">
        <v>1.3991960000000001</v>
      </c>
      <c r="R1897" s="33">
        <f>IF(ISBLANK(Q1898),"",Long3[[#This Row],[Adj Close]]/Q1898-1)</f>
        <v>-1.2384056083645456E-2</v>
      </c>
      <c r="AK1897" s="37">
        <v>31817</v>
      </c>
      <c r="AL1897" s="44">
        <v>0.47056900000000002</v>
      </c>
      <c r="AM1897" s="36">
        <f>IF(ISBLANK(AL1898),"",Short1[[#This Row],[Adj Close]]/AL1898-1)</f>
        <v>6.1403508771929793E-2</v>
      </c>
      <c r="AN1897" s="29">
        <v>31817</v>
      </c>
      <c r="AO1897" s="44">
        <v>1.0350900000000001</v>
      </c>
      <c r="AP1897" s="33">
        <f>IF(ISBLANK(AO1898),"",Short2[[#This Row],[Adj Close]]/AO1898-1)</f>
        <v>3.1915826916405043E-2</v>
      </c>
    </row>
    <row r="1898" spans="1:42" x14ac:dyDescent="0.25">
      <c r="A1898" s="37">
        <v>31810</v>
      </c>
      <c r="B1898" s="39">
        <v>280.040009</v>
      </c>
      <c r="C1898" s="36">
        <f>IF(ISBLANK(B1899), "", GSPC[[#This Row],[Adj Close]]/B1899-1)</f>
        <v>2.1745557073453714E-2</v>
      </c>
      <c r="D189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9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98" s="11" t="e">
        <f>IF(ISBLANK(GSPC[[#This Row],[Long Exp.]]), "", (GSPC[[#This Row],[Long Exp.]]/D1899-1)+(E1899/GSPC[[#This Row],[Short Exp.]]-1))</f>
        <v>#VALUE!</v>
      </c>
      <c r="G1898" s="37">
        <v>31810</v>
      </c>
      <c r="H1898">
        <v>1.724005</v>
      </c>
      <c r="I1898" s="36">
        <f>IF(ISBLANK(H1899), "", Long0[[#This Row],[Adj Close]]/H1899-1)</f>
        <v>0.12380897128102775</v>
      </c>
      <c r="P1898" s="29">
        <v>31810</v>
      </c>
      <c r="Q1898">
        <v>1.416741</v>
      </c>
      <c r="R1898" s="33">
        <f>IF(ISBLANK(Q1899),"",Long3[[#This Row],[Adj Close]]/Q1899-1)</f>
        <v>-9.2020485362952487E-3</v>
      </c>
      <c r="AK1898" s="37">
        <v>31810</v>
      </c>
      <c r="AL1898" s="44">
        <v>0.44334600000000002</v>
      </c>
      <c r="AM1898" s="36">
        <f>IF(ISBLANK(AL1899),"",Short1[[#This Row],[Adj Close]]/AL1899-1)</f>
        <v>5.555555555555558E-2</v>
      </c>
      <c r="AN1898" s="29">
        <v>31810</v>
      </c>
      <c r="AO1898" s="44">
        <v>1.0030760000000001</v>
      </c>
      <c r="AP1898" s="33">
        <f>IF(ISBLANK(AO1899),"",Short2[[#This Row],[Adj Close]]/AO1899-1)</f>
        <v>6.4579979134539833E-2</v>
      </c>
    </row>
    <row r="1899" spans="1:42" x14ac:dyDescent="0.25">
      <c r="A1899" s="37">
        <v>31803</v>
      </c>
      <c r="B1899" s="39">
        <v>274.07998700000002</v>
      </c>
      <c r="C1899" s="36">
        <f>IF(ISBLANK(B1900), "", GSPC[[#This Row],[Adj Close]]/B1900-1)</f>
        <v>1.4735212556789001E-2</v>
      </c>
      <c r="D189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89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899" s="11" t="e">
        <f>IF(ISBLANK(GSPC[[#This Row],[Long Exp.]]), "", (GSPC[[#This Row],[Long Exp.]]/D1900-1)+(E1900/GSPC[[#This Row],[Short Exp.]]-1))</f>
        <v>#VALUE!</v>
      </c>
      <c r="G1899" s="37">
        <v>31803</v>
      </c>
      <c r="H1899">
        <v>1.534073</v>
      </c>
      <c r="I1899" s="36">
        <f>IF(ISBLANK(H1900), "", Long0[[#This Row],[Adj Close]]/H1900-1)</f>
        <v>7.1428172331090556E-2</v>
      </c>
      <c r="P1899" s="29">
        <v>31803</v>
      </c>
      <c r="Q1899">
        <v>1.429899</v>
      </c>
      <c r="R1899" s="33">
        <f>IF(ISBLANK(Q1900),"",Long3[[#This Row],[Adj Close]]/Q1900-1)</f>
        <v>1.242180613231092E-2</v>
      </c>
      <c r="AK1899" s="37">
        <v>31803</v>
      </c>
      <c r="AL1899" s="44">
        <v>0.420012</v>
      </c>
      <c r="AM1899" s="36">
        <f>IF(ISBLANK(AL1900),"",Short1[[#This Row],[Adj Close]]/AL1900-1)</f>
        <v>-5.2631578947368474E-2</v>
      </c>
      <c r="AN1899" s="29">
        <v>31803</v>
      </c>
      <c r="AO1899" s="44">
        <v>0.94222700000000004</v>
      </c>
      <c r="AP1899" s="33">
        <f>IF(ISBLANK(AO1900),"",Short2[[#This Row],[Adj Close]]/AO1900-1)</f>
        <v>4.7336659845427231E-2</v>
      </c>
    </row>
    <row r="1900" spans="1:42" x14ac:dyDescent="0.25">
      <c r="A1900" s="37">
        <v>31796</v>
      </c>
      <c r="B1900" s="39">
        <v>270.10000600000001</v>
      </c>
      <c r="C1900" s="36">
        <f>IF(ISBLANK(B1901), "", GSPC[[#This Row],[Adj Close]]/B1901-1)</f>
        <v>1.4345827754040252E-2</v>
      </c>
      <c r="D190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0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00" s="11" t="e">
        <f>IF(ISBLANK(GSPC[[#This Row],[Long Exp.]]), "", (GSPC[[#This Row],[Long Exp.]]/D1901-1)+(E1901/GSPC[[#This Row],[Short Exp.]]-1))</f>
        <v>#VALUE!</v>
      </c>
      <c r="G1900" s="37">
        <v>31796</v>
      </c>
      <c r="H1900">
        <v>1.431802</v>
      </c>
      <c r="I1900" s="36">
        <f>IF(ISBLANK(H1901), "", Long0[[#This Row],[Adj Close]]/H1901-1)</f>
        <v>-6.6666319008287123E-2</v>
      </c>
      <c r="P1900" s="29">
        <v>31796</v>
      </c>
      <c r="Q1900">
        <v>1.412355</v>
      </c>
      <c r="R1900" s="33">
        <f>IF(ISBLANK(Q1901),"",Long3[[#This Row],[Adj Close]]/Q1901-1)</f>
        <v>2.8754922141661421E-2</v>
      </c>
      <c r="AK1900" s="37">
        <v>31796</v>
      </c>
      <c r="AL1900" s="44">
        <v>0.44334600000000002</v>
      </c>
      <c r="AM1900" s="36">
        <f>IF(ISBLANK(AL1901),"",Short1[[#This Row],[Adj Close]]/AL1901-1)</f>
        <v>4.4064240905663521E-3</v>
      </c>
      <c r="AN1900" s="29">
        <v>31796</v>
      </c>
      <c r="AO1900" s="44">
        <v>0.89964100000000002</v>
      </c>
      <c r="AP1900" s="33">
        <f>IF(ISBLANK(AO1901),"",Short2[[#This Row],[Adj Close]]/AO1901-1)</f>
        <v>1.1975320446121707E-2</v>
      </c>
    </row>
    <row r="1901" spans="1:42" x14ac:dyDescent="0.25">
      <c r="A1901" s="37">
        <v>31789</v>
      </c>
      <c r="B1901" s="39">
        <v>266.27999899999998</v>
      </c>
      <c r="C1901" s="36">
        <f>IF(ISBLANK(B1902), "", GSPC[[#This Row],[Adj Close]]/B1902-1)</f>
        <v>2.9180951876510264E-2</v>
      </c>
      <c r="D190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0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01" s="11" t="e">
        <f>IF(ISBLANK(GSPC[[#This Row],[Long Exp.]]), "", (GSPC[[#This Row],[Long Exp.]]/D1902-1)+(E1902/GSPC[[#This Row],[Short Exp.]]-1))</f>
        <v>#VALUE!</v>
      </c>
      <c r="G1901" s="37">
        <v>31789</v>
      </c>
      <c r="H1901">
        <v>1.534073</v>
      </c>
      <c r="I1901" s="36">
        <f>IF(ISBLANK(H1902), "", Long0[[#This Row],[Adj Close]]/H1902-1)</f>
        <v>2.9412001540689348E-2</v>
      </c>
      <c r="P1901" s="29">
        <v>31789</v>
      </c>
      <c r="Q1901">
        <v>1.372878</v>
      </c>
      <c r="R1901" s="33">
        <f>IF(ISBLANK(Q1902),"",Long3[[#This Row],[Adj Close]]/Q1902-1)</f>
        <v>-1.2618462151445908E-2</v>
      </c>
      <c r="AK1901" s="37">
        <v>31789</v>
      </c>
      <c r="AL1901" s="44">
        <v>0.44140099999999999</v>
      </c>
      <c r="AM1901" s="36">
        <f>IF(ISBLANK(AL1902),"",Short1[[#This Row],[Adj Close]]/AL1902-1)</f>
        <v>5.0924735483748096E-2</v>
      </c>
      <c r="AN1901" s="29">
        <v>31789</v>
      </c>
      <c r="AO1901" s="44">
        <v>0.88899499999999998</v>
      </c>
      <c r="AP1901" s="33">
        <f>IF(ISBLANK(AO1902),"",Short2[[#This Row],[Adj Close]]/AO1902-1)</f>
        <v>2.4540711604573273E-2</v>
      </c>
    </row>
    <row r="1902" spans="1:42" x14ac:dyDescent="0.25">
      <c r="A1902" s="37">
        <v>31782</v>
      </c>
      <c r="B1902" s="39">
        <v>258.73001099999999</v>
      </c>
      <c r="C1902" s="36">
        <f>IF(ISBLANK(B1903), "", GSPC[[#This Row],[Adj Close]]/B1903-1)</f>
        <v>4.9827608640628185E-2</v>
      </c>
      <c r="D190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0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02" s="11" t="e">
        <f>IF(ISBLANK(GSPC[[#This Row],[Long Exp.]]), "", (GSPC[[#This Row],[Long Exp.]]/D1903-1)+(E1903/GSPC[[#This Row],[Short Exp.]]-1))</f>
        <v>#VALUE!</v>
      </c>
      <c r="G1902" s="37">
        <v>31782</v>
      </c>
      <c r="H1902">
        <v>1.4902420000000001</v>
      </c>
      <c r="I1902" s="36">
        <f>IF(ISBLANK(H1903), "", Long0[[#This Row],[Adj Close]]/H1903-1)</f>
        <v>0.12087964986096589</v>
      </c>
      <c r="P1902" s="29">
        <v>31782</v>
      </c>
      <c r="Q1902">
        <v>1.390423</v>
      </c>
      <c r="R1902" s="33">
        <f>IF(ISBLANK(Q1903),"",Long3[[#This Row],[Adj Close]]/Q1903-1)</f>
        <v>6.3757855259715113E-2</v>
      </c>
      <c r="AK1902" s="37">
        <v>31782</v>
      </c>
      <c r="AL1902" s="44">
        <v>0.420012</v>
      </c>
      <c r="AM1902" s="36">
        <f>IF(ISBLANK(AL1903),"",Short1[[#This Row],[Adj Close]]/AL1903-1)</f>
        <v>9.0911924365600916E-2</v>
      </c>
      <c r="AN1902" s="29">
        <v>31782</v>
      </c>
      <c r="AO1902" s="44">
        <v>0.86770100000000006</v>
      </c>
      <c r="AP1902" s="33">
        <f>IF(ISBLANK(AO1903),"",Short2[[#This Row],[Adj Close]]/AO1903-1)</f>
        <v>7.236907151261085E-2</v>
      </c>
    </row>
    <row r="1903" spans="1:42" x14ac:dyDescent="0.25">
      <c r="A1903" s="37">
        <v>31775</v>
      </c>
      <c r="B1903" s="39">
        <v>246.449997</v>
      </c>
      <c r="C1903" s="36">
        <f>IF(ISBLANK(B1904), "", GSPC[[#This Row],[Adj Close]]/B1904-1)</f>
        <v>-1.9034545755990395E-3</v>
      </c>
      <c r="D190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0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03" s="11" t="e">
        <f>IF(ISBLANK(GSPC[[#This Row],[Long Exp.]]), "", (GSPC[[#This Row],[Long Exp.]]/D1904-1)+(E1904/GSPC[[#This Row],[Short Exp.]]-1))</f>
        <v>#VALUE!</v>
      </c>
      <c r="G1903" s="37">
        <v>31775</v>
      </c>
      <c r="H1903">
        <v>1.329529</v>
      </c>
      <c r="I1903" s="36">
        <f>IF(ISBLANK(H1904), "", Long0[[#This Row],[Adj Close]]/H1904-1)</f>
        <v>4.5659719861033121E-3</v>
      </c>
      <c r="P1903" s="29">
        <v>31775</v>
      </c>
      <c r="Q1903">
        <v>1.307086</v>
      </c>
      <c r="R1903" s="33">
        <f>IF(ISBLANK(Q1904),"",Long3[[#This Row],[Adj Close]]/Q1904-1)</f>
        <v>1.3605616261910258E-2</v>
      </c>
      <c r="AK1903" s="37">
        <v>31775</v>
      </c>
      <c r="AL1903" s="44">
        <v>0.38501000000000002</v>
      </c>
      <c r="AM1903" s="36">
        <f>IF(ISBLANK(AL1904),"",Short1[[#This Row],[Adj Close]]/AL1904-1)</f>
        <v>1.0204108406516754E-2</v>
      </c>
      <c r="AN1903" s="29">
        <v>31775</v>
      </c>
      <c r="AO1903" s="44">
        <v>0.80914399999999997</v>
      </c>
      <c r="AP1903" s="33">
        <f>IF(ISBLANK(AO1904),"",Short2[[#This Row],[Adj Close]]/AO1904-1)</f>
        <v>-1.298745655904987E-2</v>
      </c>
    </row>
    <row r="1904" spans="1:42" x14ac:dyDescent="0.25">
      <c r="A1904" s="37">
        <v>31768</v>
      </c>
      <c r="B1904" s="39">
        <v>246.91999799999999</v>
      </c>
      <c r="C1904" s="36">
        <f>IF(ISBLANK(B1905), "", GSPC[[#This Row],[Adj Close]]/B1905-1)</f>
        <v>-1.1252144496090133E-2</v>
      </c>
      <c r="D190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0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04" s="11" t="e">
        <f>IF(ISBLANK(GSPC[[#This Row],[Long Exp.]]), "", (GSPC[[#This Row],[Long Exp.]]/D1905-1)+(E1905/GSPC[[#This Row],[Short Exp.]]-1))</f>
        <v>#VALUE!</v>
      </c>
      <c r="G1904" s="37">
        <v>31768</v>
      </c>
      <c r="H1904">
        <v>1.3234859999999999</v>
      </c>
      <c r="I1904" s="36">
        <f>IF(ISBLANK(H1905), "", Long0[[#This Row],[Adj Close]]/H1905-1)</f>
        <v>-1.0869711441447549E-2</v>
      </c>
      <c r="P1904" s="29">
        <v>31768</v>
      </c>
      <c r="Q1904">
        <v>1.289541</v>
      </c>
      <c r="R1904" s="33">
        <f>IF(ISBLANK(Q1905),"",Long3[[#This Row],[Adj Close]]/Q1905-1)</f>
        <v>-2.9703156543520404E-2</v>
      </c>
      <c r="AK1904" s="37">
        <v>31768</v>
      </c>
      <c r="AL1904" s="44">
        <v>0.38112099999999999</v>
      </c>
      <c r="AM1904" s="36">
        <f>IF(ISBLANK(AL1905),"",Short1[[#This Row],[Adj Close]]/AL1905-1)</f>
        <v>-5.3141404831172356E-2</v>
      </c>
      <c r="AN1904" s="29">
        <v>31768</v>
      </c>
      <c r="AO1904" s="44">
        <v>0.81979100000000005</v>
      </c>
      <c r="AP1904" s="33">
        <f>IF(ISBLANK(AO1905),"",Short2[[#This Row],[Adj Close]]/AO1905-1)</f>
        <v>-2.5317298489451079E-2</v>
      </c>
    </row>
    <row r="1905" spans="1:42" x14ac:dyDescent="0.25">
      <c r="A1905" s="37">
        <v>31761</v>
      </c>
      <c r="B1905" s="39">
        <v>249.729996</v>
      </c>
      <c r="C1905" s="36">
        <f>IF(ISBLANK(B1906), "", GSPC[[#This Row],[Adj Close]]/B1906-1)</f>
        <v>9.6219524652043642E-3</v>
      </c>
      <c r="D190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0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05" s="11" t="e">
        <f>IF(ISBLANK(GSPC[[#This Row],[Long Exp.]]), "", (GSPC[[#This Row],[Long Exp.]]/D1906-1)+(E1906/GSPC[[#This Row],[Short Exp.]]-1))</f>
        <v>#VALUE!</v>
      </c>
      <c r="G1905" s="37">
        <v>31761</v>
      </c>
      <c r="H1905">
        <v>1.3380300000000001</v>
      </c>
      <c r="I1905" s="36">
        <f>IF(ISBLANK(H1906), "", Long0[[#This Row],[Adj Close]]/H1906-1)</f>
        <v>-1.0753562649021386E-2</v>
      </c>
      <c r="P1905" s="29">
        <v>31761</v>
      </c>
      <c r="Q1905">
        <v>1.3290169999999999</v>
      </c>
      <c r="R1905" s="33">
        <f>IF(ISBLANK(Q1906),"",Long3[[#This Row],[Adj Close]]/Q1906-1)</f>
        <v>-9.8034906029392799E-3</v>
      </c>
      <c r="AK1905" s="37">
        <v>31761</v>
      </c>
      <c r="AL1905" s="44">
        <v>0.40251100000000001</v>
      </c>
      <c r="AM1905" s="36">
        <f>IF(ISBLANK(AL1906),"",Short1[[#This Row],[Adj Close]]/AL1906-1)</f>
        <v>-4.1667857108844464E-2</v>
      </c>
      <c r="AN1905" s="29">
        <v>31761</v>
      </c>
      <c r="AO1905" s="44">
        <v>0.84108499999999997</v>
      </c>
      <c r="AP1905" s="33">
        <f>IF(ISBLANK(AO1906),"",Short2[[#This Row],[Adj Close]]/AO1906-1)</f>
        <v>2.5974913118099519E-2</v>
      </c>
    </row>
    <row r="1906" spans="1:42" x14ac:dyDescent="0.25">
      <c r="A1906" s="37">
        <v>31754</v>
      </c>
      <c r="B1906" s="39">
        <v>247.35000600000001</v>
      </c>
      <c r="C1906" s="36">
        <f>IF(ISBLANK(B1907), "", GSPC[[#This Row],[Adj Close]]/B1907-1)</f>
        <v>-1.5208790979884368E-2</v>
      </c>
      <c r="D190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0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06" s="11" t="e">
        <f>IF(ISBLANK(GSPC[[#This Row],[Long Exp.]]), "", (GSPC[[#This Row],[Long Exp.]]/D1907-1)+(E1907/GSPC[[#This Row],[Short Exp.]]-1))</f>
        <v>#VALUE!</v>
      </c>
      <c r="G1906" s="37">
        <v>31754</v>
      </c>
      <c r="H1906">
        <v>1.3525750000000001</v>
      </c>
      <c r="I1906" s="36">
        <f>IF(ISBLANK(H1907), "", Long0[[#This Row],[Adj Close]]/H1907-1)</f>
        <v>-2.1052182082158977E-2</v>
      </c>
      <c r="P1906" s="29">
        <v>31754</v>
      </c>
      <c r="Q1906">
        <v>1.3421749999999999</v>
      </c>
      <c r="R1906" s="33">
        <f>IF(ISBLANK(Q1907),"",Long3[[#This Row],[Adj Close]]/Q1907-1)</f>
        <v>-9.7090458883198894E-3</v>
      </c>
      <c r="AK1906" s="37">
        <v>31754</v>
      </c>
      <c r="AL1906" s="44">
        <v>0.420012</v>
      </c>
      <c r="AM1906" s="36">
        <f>IF(ISBLANK(AL1907),"",Short1[[#This Row],[Adj Close]]/AL1907-1)</f>
        <v>-8.0850058101747058E-2</v>
      </c>
      <c r="AN1906" s="29">
        <v>31754</v>
      </c>
      <c r="AO1906" s="44">
        <v>0.81979100000000005</v>
      </c>
      <c r="AP1906" s="33">
        <f>IF(ISBLANK(AO1907),"",Short2[[#This Row],[Adj Close]]/AO1907-1)</f>
        <v>0.12408696069491776</v>
      </c>
    </row>
    <row r="1907" spans="1:42" x14ac:dyDescent="0.25">
      <c r="A1907" s="37">
        <v>31747</v>
      </c>
      <c r="B1907" s="39">
        <v>251.16999799999999</v>
      </c>
      <c r="C1907" s="36">
        <f>IF(ISBLANK(B1908), "", GSPC[[#This Row],[Adj Close]]/B1908-1)</f>
        <v>7.8244000970051353E-3</v>
      </c>
      <c r="D190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0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07" s="11" t="e">
        <f>IF(ISBLANK(GSPC[[#This Row],[Long Exp.]]), "", (GSPC[[#This Row],[Long Exp.]]/D1908-1)+(E1908/GSPC[[#This Row],[Short Exp.]]-1))</f>
        <v>#VALUE!</v>
      </c>
      <c r="G1907" s="37">
        <v>31747</v>
      </c>
      <c r="H1907">
        <v>1.3816619999999999</v>
      </c>
      <c r="I1907" s="36">
        <f>IF(ISBLANK(H1908), "", Long0[[#This Row],[Adj Close]]/H1908-1)</f>
        <v>0</v>
      </c>
      <c r="P1907" s="29">
        <v>31747</v>
      </c>
      <c r="Q1907">
        <v>1.355334</v>
      </c>
      <c r="R1907" s="33">
        <f>IF(ISBLANK(Q1908),"",Long3[[#This Row],[Adj Close]]/Q1908-1)</f>
        <v>-9.6156867444699978E-3</v>
      </c>
      <c r="AK1907" s="37">
        <v>31747</v>
      </c>
      <c r="AL1907" s="44">
        <v>0.456957</v>
      </c>
      <c r="AM1907" s="36">
        <f>IF(ISBLANK(AL1908),"",Short1[[#This Row],[Adj Close]]/AL1908-1)</f>
        <v>0.1298092494838734</v>
      </c>
      <c r="AN1907" s="29">
        <v>31747</v>
      </c>
      <c r="AO1907" s="44">
        <v>0.72929500000000003</v>
      </c>
      <c r="AP1907" s="33">
        <f>IF(ISBLANK(AO1908),"",Short2[[#This Row],[Adj Close]]/AO1908-1)</f>
        <v>-1.4388965621629723E-2</v>
      </c>
    </row>
    <row r="1908" spans="1:42" x14ac:dyDescent="0.25">
      <c r="A1908" s="37">
        <v>31740</v>
      </c>
      <c r="B1908" s="39">
        <v>249.220001</v>
      </c>
      <c r="C1908" s="36">
        <f>IF(ISBLANK(B1909), "", GSPC[[#This Row],[Adj Close]]/B1909-1)</f>
        <v>1.3666314106945743E-2</v>
      </c>
      <c r="D190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0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08" s="11" t="e">
        <f>IF(ISBLANK(GSPC[[#This Row],[Long Exp.]]), "", (GSPC[[#This Row],[Long Exp.]]/D1909-1)+(E1909/GSPC[[#This Row],[Short Exp.]]-1))</f>
        <v>#VALUE!</v>
      </c>
      <c r="G1908" s="37">
        <v>31740</v>
      </c>
      <c r="H1908">
        <v>1.3816619999999999</v>
      </c>
      <c r="I1908" s="36">
        <f>IF(ISBLANK(H1909), "", Long0[[#This Row],[Adj Close]]/H1909-1)</f>
        <v>-1.0416800959170858E-2</v>
      </c>
      <c r="P1908" s="29">
        <v>31740</v>
      </c>
      <c r="Q1908">
        <v>1.368493</v>
      </c>
      <c r="R1908" s="33">
        <f>IF(ISBLANK(Q1909),"",Long3[[#This Row],[Adj Close]]/Q1909-1)</f>
        <v>-9.5233890468722215E-3</v>
      </c>
      <c r="AK1908" s="37">
        <v>31740</v>
      </c>
      <c r="AL1908" s="44">
        <v>0.40445500000000001</v>
      </c>
      <c r="AM1908" s="36">
        <f>IF(ISBLANK(AL1909),"",Short1[[#This Row],[Adj Close]]/AL1909-1)</f>
        <v>-9.5262584334325773E-3</v>
      </c>
      <c r="AN1908" s="29">
        <v>31740</v>
      </c>
      <c r="AO1908" s="44">
        <v>0.73994199999999999</v>
      </c>
      <c r="AP1908" s="33">
        <f>IF(ISBLANK(AO1909),"",Short2[[#This Row],[Adj Close]]/AO1909-1)</f>
        <v>0</v>
      </c>
    </row>
    <row r="1909" spans="1:42" x14ac:dyDescent="0.25">
      <c r="A1909" s="37">
        <v>31733</v>
      </c>
      <c r="B1909" s="39">
        <v>245.86000100000001</v>
      </c>
      <c r="C1909" s="36">
        <f>IF(ISBLANK(B1910), "", GSPC[[#This Row],[Adj Close]]/B1910-1)</f>
        <v>5.5623762781187303E-3</v>
      </c>
      <c r="D190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0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09" s="11" t="e">
        <f>IF(ISBLANK(GSPC[[#This Row],[Long Exp.]]), "", (GSPC[[#This Row],[Long Exp.]]/D1910-1)+(E1910/GSPC[[#This Row],[Short Exp.]]-1))</f>
        <v>#VALUE!</v>
      </c>
      <c r="G1909" s="37">
        <v>31733</v>
      </c>
      <c r="H1909">
        <v>1.3962060000000001</v>
      </c>
      <c r="I1909" s="36">
        <f>IF(ISBLANK(H1910), "", Long0[[#This Row],[Adj Close]]/H1910-1)</f>
        <v>0</v>
      </c>
      <c r="P1909" s="29">
        <v>31733</v>
      </c>
      <c r="Q1909">
        <v>1.381651</v>
      </c>
      <c r="R1909" s="33">
        <f>IF(ISBLANK(Q1910),"",Long3[[#This Row],[Adj Close]]/Q1910-1)</f>
        <v>-9.4342598633506691E-3</v>
      </c>
      <c r="AK1909" s="37">
        <v>31733</v>
      </c>
      <c r="AL1909" s="44">
        <v>0.40834500000000001</v>
      </c>
      <c r="AM1909" s="36">
        <f>IF(ISBLANK(AL1910),"",Short1[[#This Row],[Adj Close]]/AL1910-1)</f>
        <v>9.6178808520106518E-3</v>
      </c>
      <c r="AN1909" s="29">
        <v>31733</v>
      </c>
      <c r="AO1909" s="44">
        <v>0.73994199999999999</v>
      </c>
      <c r="AP1909" s="33">
        <f>IF(ISBLANK(AO1910),"",Short2[[#This Row],[Adj Close]]/AO1910-1)</f>
        <v>6.1069326239863608E-2</v>
      </c>
    </row>
    <row r="1910" spans="1:42" x14ac:dyDescent="0.25">
      <c r="A1910" s="37">
        <v>31726</v>
      </c>
      <c r="B1910" s="39">
        <v>244.5</v>
      </c>
      <c r="C1910" s="36">
        <f>IF(ISBLANK(B1911), "", GSPC[[#This Row],[Adj Close]]/B1911-1)</f>
        <v>-5.1674491570582459E-3</v>
      </c>
      <c r="D191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1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10" s="11" t="e">
        <f>IF(ISBLANK(GSPC[[#This Row],[Long Exp.]]), "", (GSPC[[#This Row],[Long Exp.]]/D1911-1)+(E1911/GSPC[[#This Row],[Short Exp.]]-1))</f>
        <v>#VALUE!</v>
      </c>
      <c r="G1910" s="37">
        <v>31726</v>
      </c>
      <c r="H1910">
        <v>1.3962060000000001</v>
      </c>
      <c r="I1910" s="36">
        <f>IF(ISBLANK(H1911), "", Long0[[#This Row],[Adj Close]]/H1911-1)</f>
        <v>-3.030340913352747E-2</v>
      </c>
      <c r="P1910" s="29">
        <v>31726</v>
      </c>
      <c r="Q1910">
        <v>1.3948100000000001</v>
      </c>
      <c r="R1910" s="33">
        <f>IF(ISBLANK(Q1911),"",Long3[[#This Row],[Adj Close]]/Q1911-1)</f>
        <v>-6.2504319302811862E-3</v>
      </c>
      <c r="AK1910" s="37">
        <v>31726</v>
      </c>
      <c r="AL1910" s="44">
        <v>0.40445500000000001</v>
      </c>
      <c r="AM1910" s="36">
        <f>IF(ISBLANK(AL1911),"",Short1[[#This Row],[Adj Close]]/AL1911-1)</f>
        <v>-9.5262584334325773E-3</v>
      </c>
      <c r="AN1910" s="29">
        <v>31726</v>
      </c>
      <c r="AO1910" s="44">
        <v>0.69735499999999995</v>
      </c>
      <c r="AP1910" s="33">
        <f>IF(ISBLANK(AO1911),"",Short2[[#This Row],[Adj Close]]/AO1911-1)</f>
        <v>7.6932969765806103E-3</v>
      </c>
    </row>
    <row r="1911" spans="1:42" x14ac:dyDescent="0.25">
      <c r="A1911" s="37">
        <v>31719</v>
      </c>
      <c r="B1911" s="39">
        <v>245.770004</v>
      </c>
      <c r="C1911" s="36">
        <f>IF(ISBLANK(B1912), "", GSPC[[#This Row],[Adj Close]]/B1912-1)</f>
        <v>7.3366998497697011E-3</v>
      </c>
      <c r="D191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1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11" s="11" t="e">
        <f>IF(ISBLANK(GSPC[[#This Row],[Long Exp.]]), "", (GSPC[[#This Row],[Long Exp.]]/D1912-1)+(E1912/GSPC[[#This Row],[Short Exp.]]-1))</f>
        <v>#VALUE!</v>
      </c>
      <c r="G1911" s="37">
        <v>31719</v>
      </c>
      <c r="H1911">
        <v>1.439838</v>
      </c>
      <c r="I1911" s="36">
        <f>IF(ISBLANK(H1912), "", Long0[[#This Row],[Adj Close]]/H1912-1)</f>
        <v>3.125040287751224E-2</v>
      </c>
      <c r="P1911" s="29">
        <v>31719</v>
      </c>
      <c r="Q1911">
        <v>1.403583</v>
      </c>
      <c r="R1911" s="33">
        <f>IF(ISBLANK(Q1912),"",Long3[[#This Row],[Adj Close]]/Q1912-1)</f>
        <v>1.9108886089459931E-2</v>
      </c>
      <c r="AK1911" s="37">
        <v>31719</v>
      </c>
      <c r="AL1911" s="44">
        <v>0.40834500000000001</v>
      </c>
      <c r="AM1911" s="36">
        <f>IF(ISBLANK(AL1912),"",Short1[[#This Row],[Adj Close]]/AL1912-1)</f>
        <v>-9.4339622641508303E-3</v>
      </c>
      <c r="AN1911" s="29">
        <v>31719</v>
      </c>
      <c r="AO1911" s="44">
        <v>0.69203099999999995</v>
      </c>
      <c r="AP1911" s="33">
        <f>IF(ISBLANK(AO1912),"",Short2[[#This Row],[Adj Close]]/AO1912-1)</f>
        <v>0</v>
      </c>
    </row>
    <row r="1912" spans="1:42" x14ac:dyDescent="0.25">
      <c r="A1912" s="37">
        <v>31712</v>
      </c>
      <c r="B1912" s="39">
        <v>243.979996</v>
      </c>
      <c r="C1912" s="36">
        <f>IF(ISBLANK(B1913), "", GSPC[[#This Row],[Adj Close]]/B1913-1)</f>
        <v>2.400739158917542E-2</v>
      </c>
      <c r="D191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1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12" s="11" t="e">
        <f>IF(ISBLANK(GSPC[[#This Row],[Long Exp.]]), "", (GSPC[[#This Row],[Long Exp.]]/D1913-1)+(E1913/GSPC[[#This Row],[Short Exp.]]-1))</f>
        <v>#VALUE!</v>
      </c>
      <c r="G1912" s="37">
        <v>31712</v>
      </c>
      <c r="H1912">
        <v>1.3962060000000001</v>
      </c>
      <c r="I1912" s="36">
        <f>IF(ISBLANK(H1913), "", Long0[[#This Row],[Adj Close]]/H1913-1)</f>
        <v>2.1276128851987375E-2</v>
      </c>
      <c r="P1912" s="29">
        <v>31712</v>
      </c>
      <c r="Q1912">
        <v>1.377265</v>
      </c>
      <c r="R1912" s="33">
        <f>IF(ISBLANK(Q1913),"",Long3[[#This Row],[Adj Close]]/Q1913-1)</f>
        <v>3.6303523581715069E-2</v>
      </c>
      <c r="AK1912" s="37">
        <v>31712</v>
      </c>
      <c r="AL1912" s="44">
        <v>0.41223399999999999</v>
      </c>
      <c r="AM1912" s="36">
        <f>IF(ISBLANK(AL1913),"",Short1[[#This Row],[Adj Close]]/AL1913-1)</f>
        <v>0.12765957446808507</v>
      </c>
      <c r="AN1912" s="29">
        <v>31712</v>
      </c>
      <c r="AO1912" s="44">
        <v>0.69203099999999995</v>
      </c>
      <c r="AP1912" s="33">
        <f>IF(ISBLANK(AO1913),"",Short2[[#This Row],[Adj Close]]/AO1913-1)</f>
        <v>0</v>
      </c>
    </row>
    <row r="1913" spans="1:42" x14ac:dyDescent="0.25">
      <c r="A1913" s="37">
        <v>31705</v>
      </c>
      <c r="B1913" s="39">
        <v>238.259995</v>
      </c>
      <c r="C1913" s="36">
        <f>IF(ISBLANK(B1914), "", GSPC[[#This Row],[Adj Close]]/B1914-1)</f>
        <v>-2.428408180010222E-3</v>
      </c>
      <c r="D191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1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13" s="11" t="e">
        <f>IF(ISBLANK(GSPC[[#This Row],[Long Exp.]]), "", (GSPC[[#This Row],[Long Exp.]]/D1914-1)+(E1914/GSPC[[#This Row],[Short Exp.]]-1))</f>
        <v>#VALUE!</v>
      </c>
      <c r="G1913" s="37">
        <v>31705</v>
      </c>
      <c r="H1913">
        <v>1.367119</v>
      </c>
      <c r="I1913" s="36">
        <f>IF(ISBLANK(H1914), "", Long0[[#This Row],[Adj Close]]/H1914-1)</f>
        <v>-3.0927520822257693E-2</v>
      </c>
      <c r="P1913" s="29">
        <v>31705</v>
      </c>
      <c r="Q1913">
        <v>1.3290169999999999</v>
      </c>
      <c r="R1913" s="33">
        <f>IF(ISBLANK(Q1914),"",Long3[[#This Row],[Adj Close]]/Q1914-1)</f>
        <v>1.6778544028472453E-2</v>
      </c>
      <c r="AK1913" s="37">
        <v>31705</v>
      </c>
      <c r="AL1913" s="44">
        <v>0.365566</v>
      </c>
      <c r="AM1913" s="36">
        <f>IF(ISBLANK(AL1914),"",Short1[[#This Row],[Adj Close]]/AL1914-1)</f>
        <v>9.3023255813953654E-2</v>
      </c>
      <c r="AN1913" s="29">
        <v>31705</v>
      </c>
      <c r="AO1913" s="44">
        <v>0.69203099999999995</v>
      </c>
      <c r="AP1913" s="33">
        <f>IF(ISBLANK(AO1914),"",Short2[[#This Row],[Adj Close]]/AO1914-1)</f>
        <v>7.7500076451595401E-3</v>
      </c>
    </row>
    <row r="1914" spans="1:42" x14ac:dyDescent="0.25">
      <c r="A1914" s="37">
        <v>31698</v>
      </c>
      <c r="B1914" s="39">
        <v>238.83999600000001</v>
      </c>
      <c r="C1914" s="36">
        <f>IF(ISBLANK(B1915), "", GSPC[[#This Row],[Adj Close]]/B1915-1)</f>
        <v>1.4268727947490012E-2</v>
      </c>
      <c r="D191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1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14" s="11" t="e">
        <f>IF(ISBLANK(GSPC[[#This Row],[Long Exp.]]), "", (GSPC[[#This Row],[Long Exp.]]/D1915-1)+(E1915/GSPC[[#This Row],[Short Exp.]]-1))</f>
        <v>#VALUE!</v>
      </c>
      <c r="G1914" s="37">
        <v>31698</v>
      </c>
      <c r="H1914">
        <v>1.4107499999999999</v>
      </c>
      <c r="I1914" s="36">
        <f>IF(ISBLANK(H1915), "", Long0[[#This Row],[Adj Close]]/H1915-1)</f>
        <v>-2.020227275568498E-2</v>
      </c>
      <c r="P1914" s="29">
        <v>31698</v>
      </c>
      <c r="Q1914">
        <v>1.307086</v>
      </c>
      <c r="R1914" s="33">
        <f>IF(ISBLANK(Q1915),"",Long3[[#This Row],[Adj Close]]/Q1915-1)</f>
        <v>6.7572303443006465E-3</v>
      </c>
      <c r="AK1914" s="37">
        <v>31698</v>
      </c>
      <c r="AL1914" s="44">
        <v>0.33445399999999997</v>
      </c>
      <c r="AM1914" s="36">
        <f>IF(ISBLANK(AL1915),"",Short1[[#This Row],[Adj Close]]/AL1915-1)</f>
        <v>-3.3707865168539408E-2</v>
      </c>
      <c r="AN1914" s="29">
        <v>31698</v>
      </c>
      <c r="AO1914" s="44">
        <v>0.68670900000000001</v>
      </c>
      <c r="AP1914" s="33">
        <f>IF(ISBLANK(AO1915),"",Short2[[#This Row],[Adj Close]]/AO1915-1)</f>
        <v>1.5750058056891225E-2</v>
      </c>
    </row>
    <row r="1915" spans="1:42" x14ac:dyDescent="0.25">
      <c r="A1915" s="37">
        <v>31691</v>
      </c>
      <c r="B1915" s="39">
        <v>235.479996</v>
      </c>
      <c r="C1915" s="36">
        <f>IF(ISBLANK(B1916), "", GSPC[[#This Row],[Adj Close]]/B1916-1)</f>
        <v>7.5734412176882149E-3</v>
      </c>
      <c r="D191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1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15" s="11" t="e">
        <f>IF(ISBLANK(GSPC[[#This Row],[Long Exp.]]), "", (GSPC[[#This Row],[Long Exp.]]/D1916-1)+(E1916/GSPC[[#This Row],[Short Exp.]]-1))</f>
        <v>#VALUE!</v>
      </c>
      <c r="G1915" s="37">
        <v>31691</v>
      </c>
      <c r="H1915">
        <v>1.439838</v>
      </c>
      <c r="I1915" s="36">
        <f>IF(ISBLANK(H1916), "", Long0[[#This Row],[Adj Close]]/H1916-1)</f>
        <v>0</v>
      </c>
      <c r="P1915" s="29">
        <v>31691</v>
      </c>
      <c r="Q1915">
        <v>1.2983130000000001</v>
      </c>
      <c r="R1915" s="33">
        <f>IF(ISBLANK(Q1916),"",Long3[[#This Row],[Adj Close]]/Q1916-1)</f>
        <v>-1.3333505591028749E-2</v>
      </c>
      <c r="AK1915" s="37">
        <v>31691</v>
      </c>
      <c r="AL1915" s="44">
        <v>0.34612100000000001</v>
      </c>
      <c r="AM1915" s="36">
        <f>IF(ISBLANK(AL1916),"",Short1[[#This Row],[Adj Close]]/AL1916-1)</f>
        <v>7.2289156626506035E-2</v>
      </c>
      <c r="AN1915" s="29">
        <v>31691</v>
      </c>
      <c r="AO1915" s="44">
        <v>0.67606100000000002</v>
      </c>
      <c r="AP1915" s="33">
        <f>IF(ISBLANK(AO1916),"",Short2[[#This Row],[Adj Close]]/AO1916-1)</f>
        <v>-6.6176683872696596E-2</v>
      </c>
    </row>
    <row r="1916" spans="1:42" x14ac:dyDescent="0.25">
      <c r="A1916" s="37">
        <v>31684</v>
      </c>
      <c r="B1916" s="39">
        <v>233.71000699999999</v>
      </c>
      <c r="C1916" s="36">
        <f>IF(ISBLANK(B1917), "", GSPC[[#This Row],[Adj Close]]/B1917-1)</f>
        <v>6.3730397687298268E-3</v>
      </c>
      <c r="D191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1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16" s="11" t="e">
        <f>IF(ISBLANK(GSPC[[#This Row],[Long Exp.]]), "", (GSPC[[#This Row],[Long Exp.]]/D1917-1)+(E1917/GSPC[[#This Row],[Short Exp.]]-1))</f>
        <v>#VALUE!</v>
      </c>
      <c r="G1916" s="37">
        <v>31684</v>
      </c>
      <c r="H1916">
        <v>1.439838</v>
      </c>
      <c r="I1916" s="36">
        <f>IF(ISBLANK(H1917), "", Long0[[#This Row],[Adj Close]]/H1917-1)</f>
        <v>7.6087980090132401E-2</v>
      </c>
      <c r="P1916" s="29">
        <v>31684</v>
      </c>
      <c r="Q1916">
        <v>1.315858</v>
      </c>
      <c r="R1916" s="33">
        <f>IF(ISBLANK(Q1917),"",Long3[[#This Row],[Adj Close]]/Q1917-1)</f>
        <v>2.7396821753181033E-2</v>
      </c>
      <c r="AK1916" s="37">
        <v>31684</v>
      </c>
      <c r="AL1916" s="44">
        <v>0.32278699999999999</v>
      </c>
      <c r="AM1916" s="36">
        <f>IF(ISBLANK(AL1917),"",Short1[[#This Row],[Adj Close]]/AL1917-1)</f>
        <v>-6.214553019385427E-2</v>
      </c>
      <c r="AN1916" s="29">
        <v>31684</v>
      </c>
      <c r="AO1916" s="44">
        <v>0.72397100000000003</v>
      </c>
      <c r="AP1916" s="33">
        <f>IF(ISBLANK(AO1917),"",Short2[[#This Row],[Adj Close]]/AO1917-1)</f>
        <v>-7.300200878931018E-3</v>
      </c>
    </row>
    <row r="1917" spans="1:42" x14ac:dyDescent="0.25">
      <c r="A1917" s="37">
        <v>31677</v>
      </c>
      <c r="B1917" s="39">
        <v>232.229996</v>
      </c>
      <c r="C1917" s="36">
        <f>IF(ISBLANK(B1918), "", GSPC[[#This Row],[Adj Close]]/B1918-1)</f>
        <v>8.6081561506468063E-5</v>
      </c>
      <c r="D191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1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17" s="11" t="e">
        <f>IF(ISBLANK(GSPC[[#This Row],[Long Exp.]]), "", (GSPC[[#This Row],[Long Exp.]]/D1918-1)+(E1918/GSPC[[#This Row],[Short Exp.]]-1))</f>
        <v>#VALUE!</v>
      </c>
      <c r="G1917" s="37">
        <v>31677</v>
      </c>
      <c r="H1917">
        <v>1.3380300000000001</v>
      </c>
      <c r="I1917" s="36">
        <f>IF(ISBLANK(H1918), "", Long0[[#This Row],[Adj Close]]/H1918-1)</f>
        <v>3.3707535311754633E-2</v>
      </c>
      <c r="P1917" s="29">
        <v>31677</v>
      </c>
      <c r="Q1917">
        <v>1.280769</v>
      </c>
      <c r="R1917" s="33">
        <f>IF(ISBLANK(Q1918),"",Long3[[#This Row],[Adj Close]]/Q1918-1)</f>
        <v>-6.8024203960944662E-3</v>
      </c>
      <c r="AK1917" s="37">
        <v>31677</v>
      </c>
      <c r="AL1917" s="44">
        <v>0.34417599999999998</v>
      </c>
      <c r="AM1917" s="36">
        <f>IF(ISBLANK(AL1918),"",Short1[[#This Row],[Adj Close]]/AL1918-1)</f>
        <v>-2.7471192264437838E-2</v>
      </c>
      <c r="AN1917" s="29">
        <v>31677</v>
      </c>
      <c r="AO1917" s="44">
        <v>0.72929500000000003</v>
      </c>
      <c r="AP1917" s="33">
        <f>IF(ISBLANK(AO1918),"",Short2[[#This Row],[Adj Close]]/AO1918-1)</f>
        <v>0.13223116117754108</v>
      </c>
    </row>
    <row r="1918" spans="1:42" x14ac:dyDescent="0.25">
      <c r="A1918" s="37">
        <v>31670</v>
      </c>
      <c r="B1918" s="39">
        <v>232.21000699999999</v>
      </c>
      <c r="C1918" s="36">
        <f>IF(ISBLANK(B1919), "", GSPC[[#This Row],[Adj Close]]/B1919-1)</f>
        <v>6.6762431757596552E-3</v>
      </c>
      <c r="D191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1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18" s="11" t="e">
        <f>IF(ISBLANK(GSPC[[#This Row],[Long Exp.]]), "", (GSPC[[#This Row],[Long Exp.]]/D1919-1)+(E1919/GSPC[[#This Row],[Short Exp.]]-1))</f>
        <v>#VALUE!</v>
      </c>
      <c r="G1918" s="37">
        <v>31670</v>
      </c>
      <c r="H1918">
        <v>1.2943990000000001</v>
      </c>
      <c r="I1918" s="36">
        <f>IF(ISBLANK(H1919), "", Long0[[#This Row],[Adj Close]]/H1919-1)</f>
        <v>-7.2916890487506825E-2</v>
      </c>
      <c r="P1918" s="29">
        <v>31670</v>
      </c>
      <c r="Q1918">
        <v>1.289541</v>
      </c>
      <c r="R1918" s="33">
        <f>IF(ISBLANK(Q1919),"",Long3[[#This Row],[Adj Close]]/Q1919-1)</f>
        <v>2.0833201395793699E-2</v>
      </c>
      <c r="AK1918" s="37">
        <v>31670</v>
      </c>
      <c r="AL1918" s="44">
        <v>0.35389799999999999</v>
      </c>
      <c r="AM1918" s="36">
        <f>IF(ISBLANK(AL1919),"",Short1[[#This Row],[Adj Close]]/AL1919-1)</f>
        <v>9.6382444150477031E-2</v>
      </c>
      <c r="AN1918" s="29">
        <v>31670</v>
      </c>
      <c r="AO1918" s="44">
        <v>0.64412199999999997</v>
      </c>
      <c r="AP1918" s="33">
        <f>IF(ISBLANK(AO1919),"",Short2[[#This Row],[Adj Close]]/AO1919-1)</f>
        <v>8.334403050729744E-3</v>
      </c>
    </row>
    <row r="1919" spans="1:42" x14ac:dyDescent="0.25">
      <c r="A1919" s="37">
        <v>31663</v>
      </c>
      <c r="B1919" s="39">
        <v>230.66999799999999</v>
      </c>
      <c r="C1919" s="36">
        <f>IF(ISBLANK(B1920), "", GSPC[[#This Row],[Adj Close]]/B1920-1)</f>
        <v>-7.905139506107961E-2</v>
      </c>
      <c r="D191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1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19" s="11" t="e">
        <f>IF(ISBLANK(GSPC[[#This Row],[Long Exp.]]), "", (GSPC[[#This Row],[Long Exp.]]/D1920-1)+(E1920/GSPC[[#This Row],[Short Exp.]]-1))</f>
        <v>#VALUE!</v>
      </c>
      <c r="G1919" s="37">
        <v>31663</v>
      </c>
      <c r="H1919">
        <v>1.3962060000000001</v>
      </c>
      <c r="I1919" s="36">
        <f>IF(ISBLANK(H1920), "", Long0[[#This Row],[Adj Close]]/H1920-1)</f>
        <v>-7.6922771784978528E-2</v>
      </c>
      <c r="P1919" s="29">
        <v>31663</v>
      </c>
      <c r="Q1919">
        <v>1.2632239999999999</v>
      </c>
      <c r="R1919" s="33">
        <f>IF(ISBLANK(Q1920),"",Long3[[#This Row],[Adj Close]]/Q1920-1)</f>
        <v>-9.1482232385396434E-2</v>
      </c>
      <c r="AK1919" s="37">
        <v>31663</v>
      </c>
      <c r="AL1919" s="44">
        <v>0.32278699999999999</v>
      </c>
      <c r="AM1919" s="36">
        <f>IF(ISBLANK(AL1920),"",Short1[[#This Row],[Adj Close]]/AL1920-1)</f>
        <v>-0.10752441411650204</v>
      </c>
      <c r="AN1919" s="29">
        <v>31663</v>
      </c>
      <c r="AO1919" s="44">
        <v>0.63879799999999998</v>
      </c>
      <c r="AP1919" s="33">
        <f>IF(ISBLANK(AO1920),"",Short2[[#This Row],[Adj Close]]/AO1920-1)</f>
        <v>1.694974615976097E-2</v>
      </c>
    </row>
    <row r="1920" spans="1:42" x14ac:dyDescent="0.25">
      <c r="A1920" s="37">
        <v>31656</v>
      </c>
      <c r="B1920" s="39">
        <v>250.470001</v>
      </c>
      <c r="C1920" s="36">
        <f>IF(ISBLANK(B1921), "", GSPC[[#This Row],[Adj Close]]/B1921-1)</f>
        <v>-9.7259797891979805E-3</v>
      </c>
      <c r="D192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2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20" s="11" t="e">
        <f>IF(ISBLANK(GSPC[[#This Row],[Long Exp.]]), "", (GSPC[[#This Row],[Long Exp.]]/D1921-1)+(E1921/GSPC[[#This Row],[Short Exp.]]-1))</f>
        <v>#VALUE!</v>
      </c>
      <c r="G1920" s="37">
        <v>31656</v>
      </c>
      <c r="H1920">
        <v>1.512556</v>
      </c>
      <c r="I1920" s="36">
        <f>IF(ISBLANK(H1921), "", Long0[[#This Row],[Adj Close]]/H1921-1)</f>
        <v>-1.8868169304975702E-2</v>
      </c>
      <c r="P1920" s="29">
        <v>31656</v>
      </c>
      <c r="Q1920">
        <v>1.390423</v>
      </c>
      <c r="R1920" s="33">
        <f>IF(ISBLANK(Q1921),"",Long3[[#This Row],[Adj Close]]/Q1921-1)</f>
        <v>-4.8047996647957447E-2</v>
      </c>
      <c r="AK1920" s="37">
        <v>31656</v>
      </c>
      <c r="AL1920" s="44">
        <v>0.361676</v>
      </c>
      <c r="AM1920" s="36">
        <f>IF(ISBLANK(AL1921),"",Short1[[#This Row],[Adj Close]]/AL1921-1)</f>
        <v>-1.0641033356493801E-2</v>
      </c>
      <c r="AN1920" s="29">
        <v>31656</v>
      </c>
      <c r="AO1920" s="44">
        <v>0.62815100000000001</v>
      </c>
      <c r="AP1920" s="33">
        <f>IF(ISBLANK(AO1921),"",Short2[[#This Row],[Adj Close]]/AO1921-1)</f>
        <v>-9.2308003543193795E-2</v>
      </c>
    </row>
    <row r="1921" spans="1:42" x14ac:dyDescent="0.25">
      <c r="A1921" s="37">
        <v>31649</v>
      </c>
      <c r="B1921" s="39">
        <v>252.929993</v>
      </c>
      <c r="C1921" s="36">
        <f>IF(ISBLANK(B1922), "", GSPC[[#This Row],[Adj Close]]/B1922-1)</f>
        <v>1.0951640665481044E-2</v>
      </c>
      <c r="D192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2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21" s="11" t="e">
        <f>IF(ISBLANK(GSPC[[#This Row],[Long Exp.]]), "", (GSPC[[#This Row],[Long Exp.]]/D1922-1)+(E1922/GSPC[[#This Row],[Short Exp.]]-1))</f>
        <v>#VALUE!</v>
      </c>
      <c r="G1921" s="37">
        <v>31649</v>
      </c>
      <c r="H1921">
        <v>1.541644</v>
      </c>
      <c r="I1921" s="36">
        <f>IF(ISBLANK(H1922), "", Long0[[#This Row],[Adj Close]]/H1922-1)</f>
        <v>-7.0175163480688085E-2</v>
      </c>
      <c r="P1921" s="29">
        <v>31649</v>
      </c>
      <c r="Q1921">
        <v>1.460602</v>
      </c>
      <c r="R1921" s="33">
        <f>IF(ISBLANK(Q1922),"",Long3[[#This Row],[Adj Close]]/Q1922-1)</f>
        <v>-1.4792925351408748E-2</v>
      </c>
      <c r="AK1921" s="37">
        <v>31649</v>
      </c>
      <c r="AL1921" s="44">
        <v>0.365566</v>
      </c>
      <c r="AM1921" s="36">
        <f>IF(ISBLANK(AL1922),"",Short1[[#This Row],[Adj Close]]/AL1922-1)</f>
        <v>-7.8431372549019551E-2</v>
      </c>
      <c r="AN1921" s="29">
        <v>31649</v>
      </c>
      <c r="AO1921" s="44">
        <v>0.69203099999999995</v>
      </c>
      <c r="AP1921" s="33">
        <f>IF(ISBLANK(AO1922),"",Short2[[#This Row],[Adj Close]]/AO1922-1)</f>
        <v>4.83856795719384E-2</v>
      </c>
    </row>
    <row r="1922" spans="1:42" x14ac:dyDescent="0.25">
      <c r="A1922" s="37">
        <v>31642</v>
      </c>
      <c r="B1922" s="39">
        <v>250.19000199999999</v>
      </c>
      <c r="C1922" s="36">
        <f>IF(ISBLANK(B1923), "", GSPC[[#This Row],[Adj Close]]/B1923-1)</f>
        <v>1.2300255204537924E-2</v>
      </c>
      <c r="D192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2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22" s="11" t="e">
        <f>IF(ISBLANK(GSPC[[#This Row],[Long Exp.]]), "", (GSPC[[#This Row],[Long Exp.]]/D1923-1)+(E1923/GSPC[[#This Row],[Short Exp.]]-1))</f>
        <v>#VALUE!</v>
      </c>
      <c r="G1922" s="37">
        <v>31642</v>
      </c>
      <c r="H1922">
        <v>1.657994</v>
      </c>
      <c r="I1922" s="36">
        <f>IF(ISBLANK(H1923), "", Long0[[#This Row],[Adj Close]]/H1923-1)</f>
        <v>1.7856759164273983E-2</v>
      </c>
      <c r="P1922" s="29">
        <v>31642</v>
      </c>
      <c r="Q1922">
        <v>1.4825330000000001</v>
      </c>
      <c r="R1922" s="33">
        <f>IF(ISBLANK(Q1923),"",Long3[[#This Row],[Adj Close]]/Q1923-1)</f>
        <v>2.7355102844099255E-2</v>
      </c>
      <c r="AK1922" s="37">
        <v>31642</v>
      </c>
      <c r="AL1922" s="44">
        <v>0.39667799999999998</v>
      </c>
      <c r="AM1922" s="36">
        <f>IF(ISBLANK(AL1923),"",Short1[[#This Row],[Adj Close]]/AL1923-1)</f>
        <v>-1.9228344315189605E-2</v>
      </c>
      <c r="AN1922" s="29">
        <v>31642</v>
      </c>
      <c r="AO1922" s="44">
        <v>0.66009200000000001</v>
      </c>
      <c r="AP1922" s="33">
        <f>IF(ISBLANK(AO1923),"",Short2[[#This Row],[Adj Close]]/AO1923-1)</f>
        <v>-6.0605284354996236E-2</v>
      </c>
    </row>
    <row r="1923" spans="1:42" x14ac:dyDescent="0.25">
      <c r="A1923" s="37">
        <v>31635</v>
      </c>
      <c r="B1923" s="39">
        <v>247.14999399999999</v>
      </c>
      <c r="C1923" s="36">
        <f>IF(ISBLANK(B1924), "", GSPC[[#This Row],[Adj Close]]/B1924-1)</f>
        <v>4.3355238024416431E-2</v>
      </c>
      <c r="D192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2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23" s="11" t="e">
        <f>IF(ISBLANK(GSPC[[#This Row],[Long Exp.]]), "", (GSPC[[#This Row],[Long Exp.]]/D1924-1)+(E1924/GSPC[[#This Row],[Short Exp.]]-1))</f>
        <v>#VALUE!</v>
      </c>
      <c r="G1923" s="37">
        <v>31635</v>
      </c>
      <c r="H1923">
        <v>1.6289070000000001</v>
      </c>
      <c r="I1923" s="36">
        <f>IF(ISBLANK(H1924), "", Long0[[#This Row],[Adj Close]]/H1924-1)</f>
        <v>-2.6087284063331162E-2</v>
      </c>
      <c r="P1923" s="29">
        <v>31635</v>
      </c>
      <c r="Q1923">
        <v>1.443058</v>
      </c>
      <c r="R1923" s="33">
        <f>IF(ISBLANK(Q1924),"",Long3[[#This Row],[Adj Close]]/Q1924-1)</f>
        <v>6.8181750889005244E-2</v>
      </c>
      <c r="AK1923" s="37">
        <v>31635</v>
      </c>
      <c r="AL1923" s="44">
        <v>0.40445500000000001</v>
      </c>
      <c r="AM1923" s="36">
        <f>IF(ISBLANK(AL1924),"",Short1[[#This Row],[Adj Close]]/AL1924-1)</f>
        <v>2.9700424400886938E-2</v>
      </c>
      <c r="AN1923" s="29">
        <v>31635</v>
      </c>
      <c r="AO1923" s="44">
        <v>0.70267800000000002</v>
      </c>
      <c r="AP1923" s="33">
        <f>IF(ISBLANK(AO1924),"",Short2[[#This Row],[Adj Close]]/AO1924-1)</f>
        <v>8.1966910207946775E-2</v>
      </c>
    </row>
    <row r="1924" spans="1:42" x14ac:dyDescent="0.25">
      <c r="A1924" s="37">
        <v>31628</v>
      </c>
      <c r="B1924" s="39">
        <v>236.88000500000001</v>
      </c>
      <c r="C1924" s="36">
        <f>IF(ISBLANK(B1925), "", GSPC[[#This Row],[Adj Close]]/B1925-1)</f>
        <v>8.3861945700705043E-3</v>
      </c>
      <c r="D192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2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24" s="11" t="e">
        <f>IF(ISBLANK(GSPC[[#This Row],[Long Exp.]]), "", (GSPC[[#This Row],[Long Exp.]]/D1925-1)+(E1925/GSPC[[#This Row],[Short Exp.]]-1))</f>
        <v>#VALUE!</v>
      </c>
      <c r="G1924" s="37">
        <v>31628</v>
      </c>
      <c r="H1924">
        <v>1.672539</v>
      </c>
      <c r="I1924" s="36">
        <f>IF(ISBLANK(H1925), "", Long0[[#This Row],[Adj Close]]/H1925-1)</f>
        <v>-0.31547610033883655</v>
      </c>
      <c r="P1924" s="29">
        <v>31628</v>
      </c>
      <c r="Q1924">
        <v>1.350948</v>
      </c>
      <c r="R1924" s="33">
        <f>IF(ISBLANK(Q1925),"",Long3[[#This Row],[Adj Close]]/Q1925-1)</f>
        <v>1.3158822320650465E-2</v>
      </c>
      <c r="AK1924" s="37">
        <v>31628</v>
      </c>
      <c r="AL1924" s="44">
        <v>0.392789</v>
      </c>
      <c r="AM1924" s="36">
        <f>IF(ISBLANK(AL1925),"",Short1[[#This Row],[Adj Close]]/AL1925-1)</f>
        <v>-1.9415027735753876E-2</v>
      </c>
      <c r="AN1924" s="29">
        <v>31628</v>
      </c>
      <c r="AO1924" s="44">
        <v>0.64944500000000005</v>
      </c>
      <c r="AP1924" s="33">
        <f>IF(ISBLANK(AO1925),"",Short2[[#This Row],[Adj Close]]/AO1925-1)</f>
        <v>5.1724277536214336E-2</v>
      </c>
    </row>
    <row r="1925" spans="1:42" x14ac:dyDescent="0.25">
      <c r="A1925" s="37">
        <v>31621</v>
      </c>
      <c r="B1925" s="39">
        <v>234.91000399999999</v>
      </c>
      <c r="C1925" s="36">
        <f>IF(ISBLANK(B1926), "", GSPC[[#This Row],[Adj Close]]/B1926-1)</f>
        <v>-2.2104724743548743E-2</v>
      </c>
      <c r="D192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2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25" s="11" t="e">
        <f>IF(ISBLANK(GSPC[[#This Row],[Long Exp.]]), "", (GSPC[[#This Row],[Long Exp.]]/D1926-1)+(E1926/GSPC[[#This Row],[Short Exp.]]-1))</f>
        <v>#VALUE!</v>
      </c>
      <c r="G1925" s="37">
        <v>31621</v>
      </c>
      <c r="H1925">
        <v>2.4433609999999999</v>
      </c>
      <c r="I1925" s="36">
        <f>IF(ISBLANK(H1926), "", Long0[[#This Row],[Adj Close]]/H1926-1)</f>
        <v>-2.8901318281341792E-2</v>
      </c>
      <c r="P1925" s="29">
        <v>31621</v>
      </c>
      <c r="Q1925">
        <v>1.333402</v>
      </c>
      <c r="R1925" s="33">
        <f>IF(ISBLANK(Q1926),"",Long3[[#This Row],[Adj Close]]/Q1926-1)</f>
        <v>-1.9355455534963095E-2</v>
      </c>
      <c r="AK1925" s="37">
        <v>31621</v>
      </c>
      <c r="AL1925" s="44">
        <v>0.40056599999999998</v>
      </c>
      <c r="AM1925" s="36">
        <f>IF(ISBLANK(AL1926),"",Short1[[#This Row],[Adj Close]]/AL1926-1)</f>
        <v>-7.2072239030017804E-2</v>
      </c>
      <c r="AN1925" s="29">
        <v>31621</v>
      </c>
      <c r="AO1925" s="44">
        <v>0.61750499999999997</v>
      </c>
      <c r="AP1925" s="33">
        <f>IF(ISBLANK(AO1926),"",Short2[[#This Row],[Adj Close]]/AO1926-1)</f>
        <v>-0.12121199183694387</v>
      </c>
    </row>
    <row r="1926" spans="1:42" x14ac:dyDescent="0.25">
      <c r="A1926" s="37">
        <v>31614</v>
      </c>
      <c r="B1926" s="39">
        <v>240.220001</v>
      </c>
      <c r="C1926" s="36">
        <f>IF(ISBLANK(B1927), "", GSPC[[#This Row],[Adj Close]]/B1927-1)</f>
        <v>1.6331020408144159E-2</v>
      </c>
      <c r="D192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2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26" s="11" t="e">
        <f>IF(ISBLANK(GSPC[[#This Row],[Long Exp.]]), "", (GSPC[[#This Row],[Long Exp.]]/D1927-1)+(E1927/GSPC[[#This Row],[Short Exp.]]-1))</f>
        <v>#VALUE!</v>
      </c>
      <c r="G1926" s="37">
        <v>31614</v>
      </c>
      <c r="H1926">
        <v>2.516079</v>
      </c>
      <c r="I1926" s="36">
        <f>IF(ISBLANK(H1927), "", Long0[[#This Row],[Adj Close]]/H1927-1)</f>
        <v>-3.8889011973783472E-2</v>
      </c>
      <c r="P1926" s="29">
        <v>31614</v>
      </c>
      <c r="Q1926">
        <v>1.35972</v>
      </c>
      <c r="R1926" s="33">
        <f>IF(ISBLANK(Q1927),"",Long3[[#This Row],[Adj Close]]/Q1927-1)</f>
        <v>8.013898531820618E-2</v>
      </c>
      <c r="AK1926" s="37">
        <v>31614</v>
      </c>
      <c r="AL1926" s="44">
        <v>0.43167800000000001</v>
      </c>
      <c r="AM1926" s="36">
        <f>IF(ISBLANK(AL1927),"",Short1[[#This Row],[Adj Close]]/AL1927-1)</f>
        <v>-8.9308672813429579E-3</v>
      </c>
      <c r="AN1926" s="29">
        <v>31614</v>
      </c>
      <c r="AO1926" s="44">
        <v>0.70267800000000002</v>
      </c>
      <c r="AP1926" s="33">
        <f>IF(ISBLANK(AO1927),"",Short2[[#This Row],[Adj Close]]/AO1927-1)</f>
        <v>-2.2222284066747422E-2</v>
      </c>
    </row>
    <row r="1927" spans="1:42" x14ac:dyDescent="0.25">
      <c r="A1927" s="37">
        <v>31607</v>
      </c>
      <c r="B1927" s="39">
        <v>236.36000100000001</v>
      </c>
      <c r="C1927" s="36">
        <f>IF(ISBLANK(B1928), "", GSPC[[#This Row],[Adj Close]]/B1928-1)</f>
        <v>-2.4192882403629379E-2</v>
      </c>
      <c r="D192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2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27" s="11" t="e">
        <f>IF(ISBLANK(GSPC[[#This Row],[Long Exp.]]), "", (GSPC[[#This Row],[Long Exp.]]/D1928-1)+(E1928/GSPC[[#This Row],[Short Exp.]]-1))</f>
        <v>#VALUE!</v>
      </c>
      <c r="G1927" s="37">
        <v>31607</v>
      </c>
      <c r="H1927">
        <v>2.6178859999999999</v>
      </c>
      <c r="I1927" s="36">
        <f>IF(ISBLANK(H1928), "", Long0[[#This Row],[Adj Close]]/H1928-1)</f>
        <v>-0.11330029572621259</v>
      </c>
      <c r="P1927" s="29">
        <v>31607</v>
      </c>
      <c r="Q1927">
        <v>1.2588379999999999</v>
      </c>
      <c r="R1927" s="33">
        <f>IF(ISBLANK(Q1928),"",Long3[[#This Row],[Adj Close]]/Q1928-1)</f>
        <v>3.6101124631268355E-2</v>
      </c>
      <c r="AK1927" s="37">
        <v>31607</v>
      </c>
      <c r="AL1927" s="44">
        <v>0.43556800000000001</v>
      </c>
      <c r="AM1927" s="36">
        <f>IF(ISBLANK(AL1928),"",Short1[[#This Row],[Adj Close]]/AL1928-1)</f>
        <v>-2.6086956521739091E-2</v>
      </c>
      <c r="AN1927" s="29">
        <v>31607</v>
      </c>
      <c r="AO1927" s="44">
        <v>0.71864799999999995</v>
      </c>
      <c r="AP1927" s="33">
        <f>IF(ISBLANK(AO1928),"",Short2[[#This Row],[Adj Close]]/AO1928-1)</f>
        <v>-6.250016306659123E-2</v>
      </c>
    </row>
    <row r="1928" spans="1:42" x14ac:dyDescent="0.25">
      <c r="A1928" s="37">
        <v>31600</v>
      </c>
      <c r="B1928" s="39">
        <v>242.220001</v>
      </c>
      <c r="C1928" s="36">
        <f>IF(ISBLANK(B1929), "", GSPC[[#This Row],[Adj Close]]/B1929-1)</f>
        <v>-3.8007832980082035E-2</v>
      </c>
      <c r="D192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2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28" s="11" t="e">
        <f>IF(ISBLANK(GSPC[[#This Row],[Long Exp.]]), "", (GSPC[[#This Row],[Long Exp.]]/D1929-1)+(E1929/GSPC[[#This Row],[Short Exp.]]-1))</f>
        <v>#VALUE!</v>
      </c>
      <c r="G1928" s="37">
        <v>31600</v>
      </c>
      <c r="H1928">
        <v>2.9523929999999998</v>
      </c>
      <c r="I1928" s="36">
        <f>IF(ISBLANK(H1929), "", Long0[[#This Row],[Adj Close]]/H1929-1)</f>
        <v>-1.9323596078879568E-2</v>
      </c>
      <c r="P1928" s="29">
        <v>31600</v>
      </c>
      <c r="Q1928">
        <v>1.2149760000000001</v>
      </c>
      <c r="R1928" s="33">
        <f>IF(ISBLANK(Q1929),"",Long3[[#This Row],[Adj Close]]/Q1929-1)</f>
        <v>2.592561005781624E-2</v>
      </c>
      <c r="AK1928" s="37">
        <v>31600</v>
      </c>
      <c r="AL1928" s="44">
        <v>0.44723499999999999</v>
      </c>
      <c r="AM1928" s="36">
        <f>IF(ISBLANK(AL1929),"",Short1[[#This Row],[Adj Close]]/AL1929-1)</f>
        <v>-0.10505747034434187</v>
      </c>
      <c r="AN1928" s="29">
        <v>31600</v>
      </c>
      <c r="AO1928" s="44">
        <v>0.76655799999999996</v>
      </c>
      <c r="AP1928" s="33">
        <f>IF(ISBLANK(AO1929),"",Short2[[#This Row],[Adj Close]]/AO1929-1)</f>
        <v>6.9939072611049369E-3</v>
      </c>
    </row>
    <row r="1929" spans="1:42" x14ac:dyDescent="0.25">
      <c r="A1929" s="37">
        <v>31593</v>
      </c>
      <c r="B1929" s="39">
        <v>251.78999300000001</v>
      </c>
      <c r="C1929" s="36">
        <f>IF(ISBLANK(B1930), "", GSPC[[#This Row],[Adj Close]]/B1930-1)</f>
        <v>8.7739861672919695E-3</v>
      </c>
      <c r="D192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2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29" s="11" t="e">
        <f>IF(ISBLANK(GSPC[[#This Row],[Long Exp.]]), "", (GSPC[[#This Row],[Long Exp.]]/D1930-1)+(E1930/GSPC[[#This Row],[Short Exp.]]-1))</f>
        <v>#VALUE!</v>
      </c>
      <c r="G1929" s="37">
        <v>31593</v>
      </c>
      <c r="H1929">
        <v>3.0105680000000001</v>
      </c>
      <c r="I1929" s="36">
        <f>IF(ISBLANK(H1930), "", Long0[[#This Row],[Adj Close]]/H1930-1)</f>
        <v>3.4999769661457458E-2</v>
      </c>
      <c r="P1929" s="29">
        <v>31593</v>
      </c>
      <c r="Q1929">
        <v>1.1842729999999999</v>
      </c>
      <c r="R1929" s="33">
        <f>IF(ISBLANK(Q1930),"",Long3[[#This Row],[Adj Close]]/Q1930-1)</f>
        <v>3.7181558218335464E-3</v>
      </c>
      <c r="AK1929" s="37">
        <v>31593</v>
      </c>
      <c r="AL1929" s="44">
        <v>0.49973600000000001</v>
      </c>
      <c r="AM1929" s="36">
        <f>IF(ISBLANK(AL1930),"",Short1[[#This Row],[Adj Close]]/AL1930-1)</f>
        <v>3.9072622847742267E-3</v>
      </c>
      <c r="AN1929" s="29">
        <v>31593</v>
      </c>
      <c r="AO1929" s="44">
        <v>0.76123399999999997</v>
      </c>
      <c r="AP1929" s="33">
        <f>IF(ISBLANK(AO1930),"",Short2[[#This Row],[Adj Close]]/AO1930-1)</f>
        <v>7.0418342900155917E-3</v>
      </c>
    </row>
    <row r="1930" spans="1:42" x14ac:dyDescent="0.25">
      <c r="A1930" s="37">
        <v>31586</v>
      </c>
      <c r="B1930" s="39">
        <v>249.60000600000001</v>
      </c>
      <c r="C1930" s="36">
        <f>IF(ISBLANK(B1931), "", GSPC[[#This Row],[Adj Close]]/B1931-1)</f>
        <v>8.1589950063898353E-3</v>
      </c>
      <c r="D193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3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30" s="11" t="e">
        <f>IF(ISBLANK(GSPC[[#This Row],[Long Exp.]]), "", (GSPC[[#This Row],[Long Exp.]]/D1931-1)+(E1931/GSPC[[#This Row],[Short Exp.]]-1))</f>
        <v>#VALUE!</v>
      </c>
      <c r="G1930" s="37">
        <v>31586</v>
      </c>
      <c r="H1930">
        <v>2.9087619999999998</v>
      </c>
      <c r="I1930" s="36">
        <f>IF(ISBLANK(H1931), "", Long0[[#This Row],[Adj Close]]/H1931-1)</f>
        <v>2.5641007558770967E-2</v>
      </c>
      <c r="P1930" s="29">
        <v>31586</v>
      </c>
      <c r="Q1930">
        <v>1.179886</v>
      </c>
      <c r="R1930" s="33">
        <f>IF(ISBLANK(Q1931),"",Long3[[#This Row],[Adj Close]]/Q1931-1)</f>
        <v>4.2636463813042536E-2</v>
      </c>
      <c r="AK1930" s="37">
        <v>31586</v>
      </c>
      <c r="AL1930" s="44">
        <v>0.49779099999999998</v>
      </c>
      <c r="AM1930" s="36">
        <f>IF(ISBLANK(AL1931),"",Short1[[#This Row],[Adj Close]]/AL1931-1)</f>
        <v>0.13274108729636791</v>
      </c>
      <c r="AN1930" s="29">
        <v>31586</v>
      </c>
      <c r="AO1930" s="44">
        <v>0.755911</v>
      </c>
      <c r="AP1930" s="33">
        <f>IF(ISBLANK(AO1931),"",Short2[[#This Row],[Adj Close]]/AO1931-1)</f>
        <v>-1.3889359970152282E-2</v>
      </c>
    </row>
    <row r="1931" spans="1:42" x14ac:dyDescent="0.25">
      <c r="A1931" s="37">
        <v>31579</v>
      </c>
      <c r="B1931" s="39">
        <v>247.58000200000001</v>
      </c>
      <c r="C1931" s="36">
        <f>IF(ISBLANK(B1932), "", GSPC[[#This Row],[Adj Close]]/B1932-1)</f>
        <v>7.5286128275524611E-3</v>
      </c>
      <c r="D193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3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31" s="11" t="e">
        <f>IF(ISBLANK(GSPC[[#This Row],[Long Exp.]]), "", (GSPC[[#This Row],[Long Exp.]]/D1932-1)+(E1932/GSPC[[#This Row],[Short Exp.]]-1))</f>
        <v>#VALUE!</v>
      </c>
      <c r="G1931" s="37">
        <v>31579</v>
      </c>
      <c r="H1931">
        <v>2.8360430000000001</v>
      </c>
      <c r="I1931" s="36">
        <f>IF(ISBLANK(H1932), "", Long0[[#This Row],[Adj Close]]/H1932-1)</f>
        <v>-4.4117552883664257E-2</v>
      </c>
      <c r="P1931" s="29">
        <v>31579</v>
      </c>
      <c r="Q1931">
        <v>1.131637</v>
      </c>
      <c r="R1931" s="33">
        <f>IF(ISBLANK(Q1932),"",Long3[[#This Row],[Adj Close]]/Q1932-1)</f>
        <v>3.8899908804774785E-3</v>
      </c>
      <c r="AK1931" s="37">
        <v>31579</v>
      </c>
      <c r="AL1931" s="44">
        <v>0.43945699999999999</v>
      </c>
      <c r="AM1931" s="36">
        <f>IF(ISBLANK(AL1932),"",Short1[[#This Row],[Adj Close]]/AL1932-1)</f>
        <v>-4.2370794572249793E-2</v>
      </c>
      <c r="AN1931" s="29">
        <v>31579</v>
      </c>
      <c r="AO1931" s="44">
        <v>0.76655799999999996</v>
      </c>
      <c r="AP1931" s="33">
        <f>IF(ISBLANK(AO1932),"",Short2[[#This Row],[Adj Close]]/AO1932-1)</f>
        <v>-7.0967163325310278E-2</v>
      </c>
    </row>
    <row r="1932" spans="1:42" x14ac:dyDescent="0.25">
      <c r="A1932" s="37">
        <v>31572</v>
      </c>
      <c r="B1932" s="39">
        <v>245.729996</v>
      </c>
      <c r="C1932" s="36">
        <f>IF(ISBLANK(B1933), "", GSPC[[#This Row],[Adj Close]]/B1933-1)</f>
        <v>2.4422192570705548E-4</v>
      </c>
      <c r="D193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3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32" s="11" t="e">
        <f>IF(ISBLANK(GSPC[[#This Row],[Long Exp.]]), "", (GSPC[[#This Row],[Long Exp.]]/D1933-1)+(E1933/GSPC[[#This Row],[Short Exp.]]-1))</f>
        <v>#VALUE!</v>
      </c>
      <c r="G1932" s="37">
        <v>31572</v>
      </c>
      <c r="H1932">
        <v>2.9669370000000002</v>
      </c>
      <c r="I1932" s="36">
        <f>IF(ISBLANK(H1933), "", Long0[[#This Row],[Adj Close]]/H1933-1)</f>
        <v>6.2499350919795971E-2</v>
      </c>
      <c r="P1932" s="29">
        <v>31572</v>
      </c>
      <c r="Q1932">
        <v>1.1272519999999999</v>
      </c>
      <c r="R1932" s="33">
        <f>IF(ISBLANK(Q1933),"",Long3[[#This Row],[Adj Close]]/Q1933-1)</f>
        <v>-3.9250892909215018E-3</v>
      </c>
      <c r="AK1932" s="37">
        <v>31572</v>
      </c>
      <c r="AL1932" s="44">
        <v>0.458901</v>
      </c>
      <c r="AM1932" s="36">
        <f>IF(ISBLANK(AL1933),"",Short1[[#This Row],[Adj Close]]/AL1933-1)</f>
        <v>-1.6668809462586753E-2</v>
      </c>
      <c r="AN1932" s="29">
        <v>31572</v>
      </c>
      <c r="AO1932" s="44">
        <v>0.82511400000000001</v>
      </c>
      <c r="AP1932" s="33">
        <f>IF(ISBLANK(AO1933),"",Short2[[#This Row],[Adj Close]]/AO1933-1)</f>
        <v>-2.5156928049980709E-2</v>
      </c>
    </row>
    <row r="1933" spans="1:42" x14ac:dyDescent="0.25">
      <c r="A1933" s="37">
        <v>31565</v>
      </c>
      <c r="B1933" s="39">
        <v>245.66999799999999</v>
      </c>
      <c r="C1933" s="36">
        <f>IF(ISBLANK(B1934), "", GSPC[[#This Row],[Adj Close]]/B1934-1)</f>
        <v>-6.7920273266539599E-3</v>
      </c>
      <c r="D193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3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33" s="11" t="e">
        <f>IF(ISBLANK(GSPC[[#This Row],[Long Exp.]]), "", (GSPC[[#This Row],[Long Exp.]]/D1934-1)+(E1934/GSPC[[#This Row],[Short Exp.]]-1))</f>
        <v>#VALUE!</v>
      </c>
      <c r="G1933" s="37">
        <v>31565</v>
      </c>
      <c r="H1933">
        <v>2.7924129999999998</v>
      </c>
      <c r="I1933" s="36">
        <f>IF(ISBLANK(H1934), "", Long0[[#This Row],[Adj Close]]/H1934-1)</f>
        <v>-3.0303061872238413E-2</v>
      </c>
      <c r="P1933" s="29">
        <v>31565</v>
      </c>
      <c r="Q1933">
        <v>1.131694</v>
      </c>
      <c r="R1933" s="33">
        <f>IF(ISBLANK(Q1934),"",Long3[[#This Row],[Adj Close]]/Q1934-1)</f>
        <v>-2.2304736365584166E-2</v>
      </c>
      <c r="AK1933" s="37">
        <v>31565</v>
      </c>
      <c r="AL1933" s="44">
        <v>0.46667999999999998</v>
      </c>
      <c r="AM1933" s="36">
        <f>IF(ISBLANK(AL1934),"",Short1[[#This Row],[Adj Close]]/AL1934-1)</f>
        <v>0.14285714285714279</v>
      </c>
      <c r="AN1933" s="29">
        <v>31565</v>
      </c>
      <c r="AO1933" s="44">
        <v>0.84640700000000002</v>
      </c>
      <c r="AP1933" s="33">
        <f>IF(ISBLANK(AO1934),"",Short2[[#This Row],[Adj Close]]/AO1934-1)</f>
        <v>-6.4706441361203293E-2</v>
      </c>
    </row>
    <row r="1934" spans="1:42" x14ac:dyDescent="0.25">
      <c r="A1934" s="37">
        <v>31558</v>
      </c>
      <c r="B1934" s="39">
        <v>247.35000600000001</v>
      </c>
      <c r="C1934" s="36">
        <f>IF(ISBLANK(B1935), "", GSPC[[#This Row],[Adj Close]]/B1935-1)</f>
        <v>2.4860160973022793E-2</v>
      </c>
      <c r="D193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3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34" s="11" t="e">
        <f>IF(ISBLANK(GSPC[[#This Row],[Long Exp.]]), "", (GSPC[[#This Row],[Long Exp.]]/D1935-1)+(E1935/GSPC[[#This Row],[Short Exp.]]-1))</f>
        <v>#VALUE!</v>
      </c>
      <c r="G1934" s="37">
        <v>31558</v>
      </c>
      <c r="H1934">
        <v>2.8796759999999999</v>
      </c>
      <c r="I1934" s="36">
        <f>IF(ISBLANK(H1935), "", Long0[[#This Row],[Adj Close]]/H1935-1)</f>
        <v>-1.9801555559337713E-2</v>
      </c>
      <c r="P1934" s="29">
        <v>31558</v>
      </c>
      <c r="Q1934">
        <v>1.1575120000000001</v>
      </c>
      <c r="R1934" s="33">
        <f>IF(ISBLANK(Q1935),"",Long3[[#This Row],[Adj Close]]/Q1935-1)</f>
        <v>3.0651204536064958E-2</v>
      </c>
      <c r="AK1934" s="37">
        <v>31558</v>
      </c>
      <c r="AL1934" s="44">
        <v>0.40834500000000001</v>
      </c>
      <c r="AM1934" s="36">
        <f>IF(ISBLANK(AL1935),"",Short1[[#This Row],[Adj Close]]/AL1935-1)</f>
        <v>9.6178808520106518E-3</v>
      </c>
      <c r="AN1934" s="29">
        <v>31558</v>
      </c>
      <c r="AO1934" s="44">
        <v>0.90496399999999999</v>
      </c>
      <c r="AP1934" s="33">
        <f>IF(ISBLANK(AO1935),"",Short2[[#This Row],[Adj Close]]/AO1935-1)</f>
        <v>0.10389599300309471</v>
      </c>
    </row>
    <row r="1935" spans="1:42" x14ac:dyDescent="0.25">
      <c r="A1935" s="37">
        <v>31551</v>
      </c>
      <c r="B1935" s="39">
        <v>241.35000600000001</v>
      </c>
      <c r="C1935" s="36">
        <f>IF(ISBLANK(B1936), "", GSPC[[#This Row],[Adj Close]]/B1936-1)</f>
        <v>3.6905014540836278E-2</v>
      </c>
      <c r="D193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3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35" s="11" t="e">
        <f>IF(ISBLANK(GSPC[[#This Row],[Long Exp.]]), "", (GSPC[[#This Row],[Long Exp.]]/D1936-1)+(E1936/GSPC[[#This Row],[Short Exp.]]-1))</f>
        <v>#VALUE!</v>
      </c>
      <c r="G1935" s="37">
        <v>31551</v>
      </c>
      <c r="H1935">
        <v>2.9378500000000001</v>
      </c>
      <c r="I1935" s="36">
        <f>IF(ISBLANK(H1936), "", Long0[[#This Row],[Adj Close]]/H1936-1)</f>
        <v>-3.8095082181913376E-2</v>
      </c>
      <c r="P1935" s="29">
        <v>31551</v>
      </c>
      <c r="Q1935">
        <v>1.1230880000000001</v>
      </c>
      <c r="R1935" s="33">
        <f>IF(ISBLANK(Q1936),"",Long3[[#This Row],[Adj Close]]/Q1936-1)</f>
        <v>2.352930454673885E-2</v>
      </c>
      <c r="AK1935" s="37">
        <v>31551</v>
      </c>
      <c r="AL1935" s="44">
        <v>0.40445500000000001</v>
      </c>
      <c r="AM1935" s="36">
        <f>IF(ISBLANK(AL1936),"",Short1[[#This Row],[Adj Close]]/AL1936-1)</f>
        <v>-5.454558205096427E-2</v>
      </c>
      <c r="AN1935" s="29">
        <v>31551</v>
      </c>
      <c r="AO1935" s="44">
        <v>0.81979100000000005</v>
      </c>
      <c r="AP1935" s="33">
        <f>IF(ISBLANK(AO1936),"",Short2[[#This Row],[Adj Close]]/AO1936-1)</f>
        <v>9.2198383134289408E-2</v>
      </c>
    </row>
    <row r="1936" spans="1:42" x14ac:dyDescent="0.25">
      <c r="A1936" s="37">
        <v>31544</v>
      </c>
      <c r="B1936" s="39">
        <v>232.759995</v>
      </c>
      <c r="C1936" s="36">
        <f>IF(ISBLANK(B1937), "", GSPC[[#This Row],[Adj Close]]/B1937-1)</f>
        <v>-2.1400087751101471E-2</v>
      </c>
      <c r="D193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3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36" s="11" t="e">
        <f>IF(ISBLANK(GSPC[[#This Row],[Long Exp.]]), "", (GSPC[[#This Row],[Long Exp.]]/D1937-1)+(E1937/GSPC[[#This Row],[Short Exp.]]-1))</f>
        <v>#VALUE!</v>
      </c>
      <c r="G1936" s="37">
        <v>31544</v>
      </c>
      <c r="H1936">
        <v>3.0541999999999998</v>
      </c>
      <c r="I1936" s="36">
        <f>IF(ISBLANK(H1937), "", Long0[[#This Row],[Adj Close]]/H1937-1)</f>
        <v>0.15384717097391687</v>
      </c>
      <c r="P1936" s="29">
        <v>31544</v>
      </c>
      <c r="Q1936">
        <v>1.09727</v>
      </c>
      <c r="R1936" s="33">
        <f>IF(ISBLANK(Q1937),"",Long3[[#This Row],[Adj Close]]/Q1937-1)</f>
        <v>-7.7820659820813098E-3</v>
      </c>
      <c r="AK1936" s="37">
        <v>31544</v>
      </c>
      <c r="AL1936" s="44">
        <v>0.42778899999999997</v>
      </c>
      <c r="AM1936" s="36">
        <f>IF(ISBLANK(AL1937),"",Short1[[#This Row],[Adj Close]]/AL1937-1)</f>
        <v>7.8428851612643014E-2</v>
      </c>
      <c r="AN1936" s="29">
        <v>31544</v>
      </c>
      <c r="AO1936" s="44">
        <v>0.75058800000000003</v>
      </c>
      <c r="AP1936" s="33">
        <f>IF(ISBLANK(AO1937),"",Short2[[#This Row],[Adj Close]]/AO1937-1)</f>
        <v>4.4444568133495288E-2</v>
      </c>
    </row>
    <row r="1937" spans="1:42" x14ac:dyDescent="0.25">
      <c r="A1937" s="37">
        <v>31537</v>
      </c>
      <c r="B1937" s="39">
        <v>237.85000600000001</v>
      </c>
      <c r="C1937" s="36">
        <f>IF(ISBLANK(B1938), "", GSPC[[#This Row],[Adj Close]]/B1938-1)</f>
        <v>1.3032978794798922E-2</v>
      </c>
      <c r="D193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3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37" s="11" t="e">
        <f>IF(ISBLANK(GSPC[[#This Row],[Long Exp.]]), "", (GSPC[[#This Row],[Long Exp.]]/D1938-1)+(E1938/GSPC[[#This Row],[Short Exp.]]-1))</f>
        <v>#VALUE!</v>
      </c>
      <c r="G1937" s="37">
        <v>31537</v>
      </c>
      <c r="H1937">
        <v>2.6469710000000002</v>
      </c>
      <c r="I1937" s="36">
        <f>IF(ISBLANK(H1938), "", Long0[[#This Row],[Adj Close]]/H1938-1)</f>
        <v>-2.1506393917673283E-2</v>
      </c>
      <c r="P1937" s="29">
        <v>31537</v>
      </c>
      <c r="Q1937">
        <v>1.1058760000000001</v>
      </c>
      <c r="R1937" s="33">
        <f>IF(ISBLANK(Q1938),"",Long3[[#This Row],[Adj Close]]/Q1938-1)</f>
        <v>1.9842118853517388E-2</v>
      </c>
      <c r="AK1937" s="37">
        <v>31537</v>
      </c>
      <c r="AL1937" s="44">
        <v>0.39667799999999998</v>
      </c>
      <c r="AM1937" s="36">
        <f>IF(ISBLANK(AL1938),"",Short1[[#This Row],[Adj Close]]/AL1938-1)</f>
        <v>0.12088228811691493</v>
      </c>
      <c r="AN1937" s="29">
        <v>31537</v>
      </c>
      <c r="AO1937" s="44">
        <v>0.71864799999999995</v>
      </c>
      <c r="AP1937" s="33">
        <f>IF(ISBLANK(AO1938),"",Short2[[#This Row],[Adj Close]]/AO1938-1)</f>
        <v>-4.9295485844233045E-2</v>
      </c>
    </row>
    <row r="1938" spans="1:42" x14ac:dyDescent="0.25">
      <c r="A1938" s="37">
        <v>31530</v>
      </c>
      <c r="B1938" s="39">
        <v>234.78999300000001</v>
      </c>
      <c r="C1938" s="36">
        <f>IF(ISBLANK(B1939), "", GSPC[[#This Row],[Adj Close]]/B1939-1)</f>
        <v>-3.095464202683762E-2</v>
      </c>
      <c r="D193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3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38" s="11" t="e">
        <f>IF(ISBLANK(GSPC[[#This Row],[Long Exp.]]), "", (GSPC[[#This Row],[Long Exp.]]/D1939-1)+(E1939/GSPC[[#This Row],[Short Exp.]]-1))</f>
        <v>#VALUE!</v>
      </c>
      <c r="G1938" s="37">
        <v>31530</v>
      </c>
      <c r="H1938">
        <v>2.705149</v>
      </c>
      <c r="I1938" s="36">
        <f>IF(ISBLANK(H1939), "", Long0[[#This Row],[Adj Close]]/H1939-1)</f>
        <v>-0.13888906573495674</v>
      </c>
      <c r="P1938" s="29">
        <v>31530</v>
      </c>
      <c r="Q1938">
        <v>1.08436</v>
      </c>
      <c r="R1938" s="33">
        <f>IF(ISBLANK(Q1939),"",Long3[[#This Row],[Adj Close]]/Q1939-1)</f>
        <v>-1.9456069215716854E-2</v>
      </c>
      <c r="AK1938" s="37">
        <v>31530</v>
      </c>
      <c r="AL1938" s="44">
        <v>0.35389799999999999</v>
      </c>
      <c r="AM1938" s="36">
        <f>IF(ISBLANK(AL1939),"",Short1[[#This Row],[Adj Close]]/AL1939-1)</f>
        <v>-8.0808290693748286E-2</v>
      </c>
      <c r="AN1938" s="29">
        <v>31530</v>
      </c>
      <c r="AO1938" s="44">
        <v>0.755911</v>
      </c>
      <c r="AP1938" s="33">
        <f>IF(ISBLANK(AO1939),"",Short2[[#This Row],[Adj Close]]/AO1939-1)</f>
        <v>-9.5541668012745218E-2</v>
      </c>
    </row>
    <row r="1939" spans="1:42" x14ac:dyDescent="0.25">
      <c r="A1939" s="37">
        <v>31523</v>
      </c>
      <c r="B1939" s="39">
        <v>242.28999300000001</v>
      </c>
      <c r="C1939" s="36">
        <f>IF(ISBLANK(B1940), "", GSPC[[#This Row],[Adj Close]]/B1940-1)</f>
        <v>-3.7136726686670674E-4</v>
      </c>
      <c r="D193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3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39" s="11" t="e">
        <f>IF(ISBLANK(GSPC[[#This Row],[Long Exp.]]), "", (GSPC[[#This Row],[Long Exp.]]/D1940-1)+(E1940/GSPC[[#This Row],[Short Exp.]]-1))</f>
        <v>#VALUE!</v>
      </c>
      <c r="G1939" s="37">
        <v>31523</v>
      </c>
      <c r="H1939">
        <v>3.141464</v>
      </c>
      <c r="I1939" s="36">
        <f>IF(ISBLANK(H1940), "", Long0[[#This Row],[Adj Close]]/H1940-1)</f>
        <v>0.13684202907728915</v>
      </c>
      <c r="P1939" s="29">
        <v>31523</v>
      </c>
      <c r="Q1939">
        <v>1.1058760000000001</v>
      </c>
      <c r="R1939" s="33">
        <f>IF(ISBLANK(Q1940),"",Long3[[#This Row],[Adj Close]]/Q1940-1)</f>
        <v>-2.6515034810831284E-2</v>
      </c>
      <c r="AK1939" s="37">
        <v>31523</v>
      </c>
      <c r="AL1939" s="44">
        <v>0.38501000000000002</v>
      </c>
      <c r="AM1939" s="36">
        <f>IF(ISBLANK(AL1940),"",Short1[[#This Row],[Adj Close]]/AL1940-1)</f>
        <v>2.0618611358527383E-2</v>
      </c>
      <c r="AN1939" s="29">
        <v>31523</v>
      </c>
      <c r="AO1939" s="44">
        <v>0.83576099999999998</v>
      </c>
      <c r="AP1939" s="33">
        <f>IF(ISBLANK(AO1940),"",Short2[[#This Row],[Adj Close]]/AO1940-1)</f>
        <v>0</v>
      </c>
    </row>
    <row r="1940" spans="1:42" x14ac:dyDescent="0.25">
      <c r="A1940" s="37">
        <v>31516</v>
      </c>
      <c r="B1940" s="39">
        <v>242.38000500000001</v>
      </c>
      <c r="C1940" s="36">
        <f>IF(ISBLANK(B1941), "", GSPC[[#This Row],[Adj Close]]/B1941-1)</f>
        <v>2.7164486895942419E-2</v>
      </c>
      <c r="D194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4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40" s="11" t="e">
        <f>IF(ISBLANK(GSPC[[#This Row],[Long Exp.]]), "", (GSPC[[#This Row],[Long Exp.]]/D1941-1)+(E1941/GSPC[[#This Row],[Short Exp.]]-1))</f>
        <v>#VALUE!</v>
      </c>
      <c r="G1940" s="37">
        <v>31516</v>
      </c>
      <c r="H1940">
        <v>2.763325</v>
      </c>
      <c r="I1940" s="36">
        <f>IF(ISBLANK(H1941), "", Long0[[#This Row],[Adj Close]]/H1941-1)</f>
        <v>-5.9405687832939091E-2</v>
      </c>
      <c r="P1940" s="29">
        <v>31516</v>
      </c>
      <c r="Q1940">
        <v>1.1359969999999999</v>
      </c>
      <c r="R1940" s="33">
        <f>IF(ISBLANK(Q1941),"",Long3[[#This Row],[Adj Close]]/Q1941-1)</f>
        <v>3.8022645697510793E-3</v>
      </c>
      <c r="AK1940" s="37">
        <v>31516</v>
      </c>
      <c r="AL1940" s="44">
        <v>0.37723200000000001</v>
      </c>
      <c r="AM1940" s="36">
        <f>IF(ISBLANK(AL1941),"",Short1[[#This Row],[Adj Close]]/AL1941-1)</f>
        <v>0.1279039867963907</v>
      </c>
      <c r="AN1940" s="29">
        <v>31516</v>
      </c>
      <c r="AO1940" s="44">
        <v>0.83576099999999998</v>
      </c>
      <c r="AP1940" s="33">
        <f>IF(ISBLANK(AO1941),"",Short2[[#This Row],[Adj Close]]/AO1941-1)</f>
        <v>-3.6809914936135946E-2</v>
      </c>
    </row>
    <row r="1941" spans="1:42" x14ac:dyDescent="0.25">
      <c r="A1941" s="37">
        <v>31509</v>
      </c>
      <c r="B1941" s="39">
        <v>235.970001</v>
      </c>
      <c r="C1941" s="36">
        <f>IF(ISBLANK(B1942), "", GSPC[[#This Row],[Adj Close]]/B1942-1)</f>
        <v>3.1833481727810753E-2</v>
      </c>
      <c r="D194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4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41" s="11" t="e">
        <f>IF(ISBLANK(GSPC[[#This Row],[Long Exp.]]), "", (GSPC[[#This Row],[Long Exp.]]/D1942-1)+(E1942/GSPC[[#This Row],[Short Exp.]]-1))</f>
        <v>#VALUE!</v>
      </c>
      <c r="G1941" s="37">
        <v>31509</v>
      </c>
      <c r="H1941">
        <v>2.9378500000000001</v>
      </c>
      <c r="I1941" s="36">
        <f>IF(ISBLANK(H1942), "", Long0[[#This Row],[Adj Close]]/H1942-1)</f>
        <v>0.14772722389363491</v>
      </c>
      <c r="P1941" s="29">
        <v>31509</v>
      </c>
      <c r="Q1941">
        <v>1.131694</v>
      </c>
      <c r="R1941" s="33">
        <f>IF(ISBLANK(Q1942),"",Long3[[#This Row],[Adj Close]]/Q1942-1)</f>
        <v>3.5432908770347105E-2</v>
      </c>
      <c r="AK1941" s="37">
        <v>31509</v>
      </c>
      <c r="AL1941" s="44">
        <v>0.33445399999999997</v>
      </c>
      <c r="AM1941" s="36">
        <f>IF(ISBLANK(AL1942),"",Short1[[#This Row],[Adj Close]]/AL1942-1)</f>
        <v>1.1767766604953822E-2</v>
      </c>
      <c r="AN1941" s="29">
        <v>31509</v>
      </c>
      <c r="AO1941" s="44">
        <v>0.86770100000000006</v>
      </c>
      <c r="AP1941" s="33">
        <f>IF(ISBLANK(AO1942),"",Short2[[#This Row],[Adj Close]]/AO1942-1)</f>
        <v>8.666782718031496E-2</v>
      </c>
    </row>
    <row r="1942" spans="1:42" x14ac:dyDescent="0.25">
      <c r="A1942" s="37">
        <v>31502</v>
      </c>
      <c r="B1942" s="39">
        <v>228.69000199999999</v>
      </c>
      <c r="C1942" s="36">
        <f>IF(ISBLANK(B1943), "", GSPC[[#This Row],[Adj Close]]/B1943-1)</f>
        <v>-4.3017947679549917E-2</v>
      </c>
      <c r="D194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4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42" s="11" t="e">
        <f>IF(ISBLANK(GSPC[[#This Row],[Long Exp.]]), "", (GSPC[[#This Row],[Long Exp.]]/D1943-1)+(E1943/GSPC[[#This Row],[Short Exp.]]-1))</f>
        <v>#VALUE!</v>
      </c>
      <c r="G1942" s="37">
        <v>31502</v>
      </c>
      <c r="H1942">
        <v>2.5597110000000001</v>
      </c>
      <c r="I1942" s="36">
        <f>IF(ISBLANK(H1943), "", Long0[[#This Row],[Adj Close]]/H1943-1)</f>
        <v>-3.8251117689648395E-2</v>
      </c>
      <c r="P1942" s="29">
        <v>31502</v>
      </c>
      <c r="Q1942">
        <v>1.092967</v>
      </c>
      <c r="R1942" s="33">
        <f>IF(ISBLANK(Q1943),"",Long3[[#This Row],[Adj Close]]/Q1943-1)</f>
        <v>7.9374008631820647E-3</v>
      </c>
      <c r="AK1942" s="37">
        <v>31502</v>
      </c>
      <c r="AL1942" s="44">
        <v>0.33056400000000002</v>
      </c>
      <c r="AM1942" s="36">
        <f>IF(ISBLANK(AL1943),"",Short1[[#This Row],[Adj Close]]/AL1943-1)</f>
        <v>0.14864517384445408</v>
      </c>
      <c r="AN1942" s="29">
        <v>31502</v>
      </c>
      <c r="AO1942" s="44">
        <v>0.79849700000000001</v>
      </c>
      <c r="AP1942" s="33">
        <f>IF(ISBLANK(AO1943),"",Short2[[#This Row],[Adj Close]]/AO1943-1)</f>
        <v>-6.8323582878091704E-2</v>
      </c>
    </row>
    <row r="1943" spans="1:42" x14ac:dyDescent="0.25">
      <c r="A1943" s="37">
        <v>31495</v>
      </c>
      <c r="B1943" s="39">
        <v>238.970001</v>
      </c>
      <c r="C1943" s="36">
        <f>IF(ISBLANK(B1944), "", GSPC[[#This Row],[Adj Close]]/B1944-1)</f>
        <v>2.4127903902080972E-2</v>
      </c>
      <c r="D194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4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43" s="11" t="e">
        <f>IF(ISBLANK(GSPC[[#This Row],[Long Exp.]]), "", (GSPC[[#This Row],[Long Exp.]]/D1944-1)+(E1944/GSPC[[#This Row],[Short Exp.]]-1))</f>
        <v>#VALUE!</v>
      </c>
      <c r="G1943" s="37">
        <v>31495</v>
      </c>
      <c r="H1943">
        <v>2.6615169999999999</v>
      </c>
      <c r="I1943" s="36">
        <f>IF(ISBLANK(H1944), "", Long0[[#This Row],[Adj Close]]/H1944-1)</f>
        <v>4.5714092631249592E-2</v>
      </c>
      <c r="P1943" s="29">
        <v>31495</v>
      </c>
      <c r="Q1943">
        <v>1.08436</v>
      </c>
      <c r="R1943" s="33">
        <f>IF(ISBLANK(Q1944),"",Long3[[#This Row],[Adj Close]]/Q1944-1)</f>
        <v>-1.9456069215716854E-2</v>
      </c>
      <c r="AK1943" s="37">
        <v>31495</v>
      </c>
      <c r="AL1943" s="44">
        <v>0.28778599999999999</v>
      </c>
      <c r="AM1943" s="36">
        <f>IF(ISBLANK(AL1944),"",Short1[[#This Row],[Adj Close]]/AL1944-1)</f>
        <v>5.714285714285694E-2</v>
      </c>
      <c r="AN1943" s="29">
        <v>31495</v>
      </c>
      <c r="AO1943" s="44">
        <v>0.85705399999999998</v>
      </c>
      <c r="AP1943" s="33">
        <f>IF(ISBLANK(AO1944),"",Short2[[#This Row],[Adj Close]]/AO1944-1)</f>
        <v>3.2050556453341539E-2</v>
      </c>
    </row>
    <row r="1944" spans="1:42" x14ac:dyDescent="0.25">
      <c r="A1944" s="37">
        <v>31488</v>
      </c>
      <c r="B1944" s="39">
        <v>233.33999600000001</v>
      </c>
      <c r="C1944" s="36">
        <f>IF(ISBLANK(B1945), "", GSPC[[#This Row],[Adj Close]]/B1945-1)</f>
        <v>-1.3570099172647176E-2</v>
      </c>
      <c r="D194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4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44" s="11" t="e">
        <f>IF(ISBLANK(GSPC[[#This Row],[Long Exp.]]), "", (GSPC[[#This Row],[Long Exp.]]/D1945-1)+(E1945/GSPC[[#This Row],[Short Exp.]]-1))</f>
        <v>#VALUE!</v>
      </c>
      <c r="G1944" s="37">
        <v>31488</v>
      </c>
      <c r="H1944">
        <v>2.5451670000000002</v>
      </c>
      <c r="I1944" s="36">
        <f>IF(ISBLANK(H1945), "", Long0[[#This Row],[Adj Close]]/H1945-1)</f>
        <v>0.16666704865438731</v>
      </c>
      <c r="P1944" s="29">
        <v>31488</v>
      </c>
      <c r="Q1944">
        <v>1.1058760000000001</v>
      </c>
      <c r="R1944" s="33">
        <f>IF(ISBLANK(Q1945),"",Long3[[#This Row],[Adj Close]]/Q1945-1)</f>
        <v>-1.1538409971531438E-2</v>
      </c>
      <c r="AK1944" s="37">
        <v>31488</v>
      </c>
      <c r="AL1944" s="44">
        <v>0.27223000000000003</v>
      </c>
      <c r="AM1944" s="36">
        <f>IF(ISBLANK(AL1945),"",Short1[[#This Row],[Adj Close]]/AL1945-1)</f>
        <v>3.3209351753453964E-2</v>
      </c>
      <c r="AN1944" s="29">
        <v>31488</v>
      </c>
      <c r="AO1944" s="44">
        <v>0.83043800000000001</v>
      </c>
      <c r="AP1944" s="33">
        <f>IF(ISBLANK(AO1945),"",Short2[[#This Row],[Adj Close]]/AO1945-1)</f>
        <v>2.631670011765519E-2</v>
      </c>
    </row>
    <row r="1945" spans="1:42" x14ac:dyDescent="0.25">
      <c r="A1945" s="37">
        <v>31481</v>
      </c>
      <c r="B1945" s="39">
        <v>236.550003</v>
      </c>
      <c r="C1945" s="36">
        <f>IF(ISBLANK(B1946), "", GSPC[[#This Row],[Adj Close]]/B1946-1)</f>
        <v>4.8676666486072273E-2</v>
      </c>
      <c r="D194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4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45" s="11" t="e">
        <f>IF(ISBLANK(GSPC[[#This Row],[Long Exp.]]), "", (GSPC[[#This Row],[Long Exp.]]/D1946-1)+(E1946/GSPC[[#This Row],[Short Exp.]]-1))</f>
        <v>#VALUE!</v>
      </c>
      <c r="G1945" s="37">
        <v>31481</v>
      </c>
      <c r="H1945">
        <v>2.1815709999999999</v>
      </c>
      <c r="I1945" s="36">
        <f>IF(ISBLANK(H1946), "", Long0[[#This Row],[Adj Close]]/H1946-1)</f>
        <v>4.1666746247447817E-2</v>
      </c>
      <c r="P1945" s="29">
        <v>31481</v>
      </c>
      <c r="Q1945">
        <v>1.1187849999999999</v>
      </c>
      <c r="R1945" s="33">
        <f>IF(ISBLANK(Q1946),"",Long3[[#This Row],[Adj Close]]/Q1946-1)</f>
        <v>3.5789276826450056E-2</v>
      </c>
      <c r="AK1945" s="37">
        <v>31481</v>
      </c>
      <c r="AL1945" s="44">
        <v>0.26347999999999999</v>
      </c>
      <c r="AM1945" s="36">
        <f>IF(ISBLANK(AL1946),"",Short1[[#This Row],[Adj Close]]/AL1946-1)</f>
        <v>-1.4545440944911503E-2</v>
      </c>
      <c r="AN1945" s="29">
        <v>31481</v>
      </c>
      <c r="AO1945" s="44">
        <v>0.80914399999999997</v>
      </c>
      <c r="AP1945" s="33">
        <f>IF(ISBLANK(AO1946),"",Short2[[#This Row],[Adj Close]]/AO1946-1)</f>
        <v>-6.5367822922447472E-3</v>
      </c>
    </row>
    <row r="1946" spans="1:42" x14ac:dyDescent="0.25">
      <c r="A1946" s="37">
        <v>31474</v>
      </c>
      <c r="B1946" s="39">
        <v>225.570007</v>
      </c>
      <c r="C1946" s="36">
        <f>IF(ISBLANK(B1947), "", GSPC[[#This Row],[Adj Close]]/B1947-1)</f>
        <v>-5.9491936008213564E-3</v>
      </c>
      <c r="D194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4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46" s="11" t="e">
        <f>IF(ISBLANK(GSPC[[#This Row],[Long Exp.]]), "", (GSPC[[#This Row],[Long Exp.]]/D1947-1)+(E1947/GSPC[[#This Row],[Short Exp.]]-1))</f>
        <v>#VALUE!</v>
      </c>
      <c r="G1946" s="37">
        <v>31474</v>
      </c>
      <c r="H1946">
        <v>2.0943079999999998</v>
      </c>
      <c r="I1946" s="36">
        <f>IF(ISBLANK(H1947), "", Long0[[#This Row],[Adj Close]]/H1947-1)</f>
        <v>3.597069633308414E-2</v>
      </c>
      <c r="P1946" s="29">
        <v>31474</v>
      </c>
      <c r="Q1946">
        <v>1.080128</v>
      </c>
      <c r="R1946" s="33">
        <f>IF(ISBLANK(Q1947),"",Long3[[#This Row],[Adj Close]]/Q1947-1)</f>
        <v>-2.6616188878965996E-2</v>
      </c>
      <c r="AK1946" s="37">
        <v>31474</v>
      </c>
      <c r="AL1946" s="44">
        <v>0.26736900000000002</v>
      </c>
      <c r="AM1946" s="36">
        <f>IF(ISBLANK(AL1947),"",Short1[[#This Row],[Adj Close]]/AL1947-1)</f>
        <v>-2.1350502558546314E-2</v>
      </c>
      <c r="AN1946" s="29">
        <v>31474</v>
      </c>
      <c r="AO1946" s="44">
        <v>0.81446799999999997</v>
      </c>
      <c r="AP1946" s="33">
        <f>IF(ISBLANK(AO1947),"",Short2[[#This Row],[Adj Close]]/AO1947-1)</f>
        <v>0.12500086329424787</v>
      </c>
    </row>
    <row r="1947" spans="1:42" x14ac:dyDescent="0.25">
      <c r="A1947" s="37">
        <v>31467</v>
      </c>
      <c r="B1947" s="39">
        <v>226.91999799999999</v>
      </c>
      <c r="C1947" s="36">
        <f>IF(ISBLANK(B1948), "", GSPC[[#This Row],[Adj Close]]/B1948-1)</f>
        <v>1.0239529210211318E-2</v>
      </c>
      <c r="D194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4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47" s="11" t="e">
        <f>IF(ISBLANK(GSPC[[#This Row],[Long Exp.]]), "", (GSPC[[#This Row],[Long Exp.]]/D1948-1)+(E1948/GSPC[[#This Row],[Short Exp.]]-1))</f>
        <v>#VALUE!</v>
      </c>
      <c r="G1947" s="37">
        <v>31467</v>
      </c>
      <c r="H1947">
        <v>2.0215900000000002</v>
      </c>
      <c r="I1947" s="36">
        <f>IF(ISBLANK(H1948), "", Long0[[#This Row],[Adj Close]]/H1948-1)</f>
        <v>2.2059113489770743E-2</v>
      </c>
      <c r="P1947" s="29">
        <v>31467</v>
      </c>
      <c r="Q1947">
        <v>1.1096630000000001</v>
      </c>
      <c r="R1947" s="33">
        <f>IF(ISBLANK(Q1948),"",Long3[[#This Row],[Adj Close]]/Q1948-1)</f>
        <v>-3.7876543475879876E-3</v>
      </c>
      <c r="AK1947" s="37">
        <v>31467</v>
      </c>
      <c r="AL1947" s="44">
        <v>0.273202</v>
      </c>
      <c r="AM1947" s="36">
        <f>IF(ISBLANK(AL1948),"",Short1[[#This Row],[Adj Close]]/AL1948-1)</f>
        <v>0.17083226193537326</v>
      </c>
      <c r="AN1947" s="29">
        <v>31467</v>
      </c>
      <c r="AO1947" s="44">
        <v>0.72397100000000003</v>
      </c>
      <c r="AP1947" s="33">
        <f>IF(ISBLANK(AO1948),"",Short2[[#This Row],[Adj Close]]/AO1948-1)</f>
        <v>1.4925896226679614E-2</v>
      </c>
    </row>
    <row r="1948" spans="1:42" x14ac:dyDescent="0.25">
      <c r="A1948" s="37">
        <v>31460</v>
      </c>
      <c r="B1948" s="39">
        <v>224.61999499999999</v>
      </c>
      <c r="C1948" s="36">
        <f>IF(ISBLANK(B1949), "", GSPC[[#This Row],[Adj Close]]/B1949-1)</f>
        <v>2.2115035086344825E-2</v>
      </c>
      <c r="D194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4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48" s="11" t="e">
        <f>IF(ISBLANK(GSPC[[#This Row],[Long Exp.]]), "", (GSPC[[#This Row],[Long Exp.]]/D1949-1)+(E1949/GSPC[[#This Row],[Short Exp.]]-1))</f>
        <v>#VALUE!</v>
      </c>
      <c r="G1948" s="37">
        <v>31460</v>
      </c>
      <c r="H1948">
        <v>1.9779580000000001</v>
      </c>
      <c r="I1948" s="36">
        <f>IF(ISBLANK(H1949), "", Long0[[#This Row],[Adj Close]]/H1949-1)</f>
        <v>4.6153927524005711E-2</v>
      </c>
      <c r="P1948" s="29">
        <v>31460</v>
      </c>
      <c r="Q1948">
        <v>1.113882</v>
      </c>
      <c r="R1948" s="33">
        <f>IF(ISBLANK(Q1949),"",Long3[[#This Row],[Adj Close]]/Q1949-1)</f>
        <v>6.4516129032258229E-2</v>
      </c>
      <c r="AK1948" s="37">
        <v>31460</v>
      </c>
      <c r="AL1948" s="44">
        <v>0.23333999999999999</v>
      </c>
      <c r="AM1948" s="36">
        <f>IF(ISBLANK(AL1949),"",Short1[[#This Row],[Adj Close]]/AL1949-1)</f>
        <v>6.6667885680849803E-2</v>
      </c>
      <c r="AN1948" s="29">
        <v>31460</v>
      </c>
      <c r="AO1948" s="44">
        <v>0.71332399999999996</v>
      </c>
      <c r="AP1948" s="33">
        <f>IF(ISBLANK(AO1949),"",Short2[[#This Row],[Adj Close]]/AO1949-1)</f>
        <v>7.1998677517038256E-2</v>
      </c>
    </row>
    <row r="1949" spans="1:42" x14ac:dyDescent="0.25">
      <c r="A1949" s="37">
        <v>31453</v>
      </c>
      <c r="B1949" s="39">
        <v>219.759995</v>
      </c>
      <c r="C1949" s="36">
        <f>IF(ISBLANK(B1950), "", GSPC[[#This Row],[Adj Close]]/B1950-1)</f>
        <v>2.4235631284821313E-2</v>
      </c>
      <c r="D194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4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49" s="11" t="e">
        <f>IF(ISBLANK(GSPC[[#This Row],[Long Exp.]]), "", (GSPC[[#This Row],[Long Exp.]]/D1950-1)+(E1950/GSPC[[#This Row],[Short Exp.]]-1))</f>
        <v>#VALUE!</v>
      </c>
      <c r="G1949" s="37">
        <v>31453</v>
      </c>
      <c r="H1949">
        <v>1.890695</v>
      </c>
      <c r="I1949" s="36">
        <f>IF(ISBLANK(H1950), "", Long0[[#This Row],[Adj Close]]/H1950-1)</f>
        <v>-1.5151712459168576E-2</v>
      </c>
      <c r="P1949" s="29">
        <v>31453</v>
      </c>
      <c r="Q1949">
        <v>1.0463739999999999</v>
      </c>
      <c r="R1949" s="33">
        <f>IF(ISBLANK(Q1950),"",Long3[[#This Row],[Adj Close]]/Q1950-1)</f>
        <v>4.6414810177596744E-2</v>
      </c>
      <c r="AK1949" s="37">
        <v>31453</v>
      </c>
      <c r="AL1949" s="44">
        <v>0.21875600000000001</v>
      </c>
      <c r="AM1949" s="36">
        <f>IF(ISBLANK(AL1950),"",Short1[[#This Row],[Adj Close]]/AL1950-1)</f>
        <v>4.4631377878998624E-3</v>
      </c>
      <c r="AN1949" s="29">
        <v>31453</v>
      </c>
      <c r="AO1949" s="44">
        <v>0.66541499999999998</v>
      </c>
      <c r="AP1949" s="33">
        <f>IF(ISBLANK(AO1950),"",Short2[[#This Row],[Adj Close]]/AO1950-1)</f>
        <v>2.4590227040010904E-2</v>
      </c>
    </row>
    <row r="1950" spans="1:42" x14ac:dyDescent="0.25">
      <c r="A1950" s="37">
        <v>31446</v>
      </c>
      <c r="B1950" s="39">
        <v>214.55999800000001</v>
      </c>
      <c r="C1950" s="36">
        <f>IF(ISBLANK(B1951), "", GSPC[[#This Row],[Adj Close]]/B1951-1)</f>
        <v>1.312682506906615E-2</v>
      </c>
      <c r="D195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5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50" s="11" t="e">
        <f>IF(ISBLANK(GSPC[[#This Row],[Long Exp.]]), "", (GSPC[[#This Row],[Long Exp.]]/D1951-1)+(E1951/GSPC[[#This Row],[Short Exp.]]-1))</f>
        <v>#VALUE!</v>
      </c>
      <c r="G1950" s="37">
        <v>31446</v>
      </c>
      <c r="H1950">
        <v>1.919783</v>
      </c>
      <c r="I1950" s="36">
        <f>IF(ISBLANK(H1951), "", Long0[[#This Row],[Adj Close]]/H1951-1)</f>
        <v>-6.3829652353832311E-2</v>
      </c>
      <c r="P1950" s="29">
        <v>31446</v>
      </c>
      <c r="Q1950">
        <v>0.99996099999999999</v>
      </c>
      <c r="R1950" s="33">
        <f>IF(ISBLANK(Q1951),"",Long3[[#This Row],[Adj Close]]/Q1951-1)</f>
        <v>1.7166369133899906E-2</v>
      </c>
      <c r="AK1950" s="37">
        <v>31446</v>
      </c>
      <c r="AL1950" s="44">
        <v>0.21778400000000001</v>
      </c>
      <c r="AM1950" s="36">
        <f>IF(ISBLANK(AL1951),"",Short1[[#This Row],[Adj Close]]/AL1951-1)</f>
        <v>9.0113464202483673E-3</v>
      </c>
      <c r="AN1950" s="29">
        <v>31446</v>
      </c>
      <c r="AO1950" s="44">
        <v>0.64944500000000005</v>
      </c>
      <c r="AP1950" s="33">
        <f>IF(ISBLANK(AO1951),"",Short2[[#This Row],[Adj Close]]/AO1951-1)</f>
        <v>7.9646238373494382E-2</v>
      </c>
    </row>
    <row r="1951" spans="1:42" x14ac:dyDescent="0.25">
      <c r="A1951" s="37">
        <v>31439</v>
      </c>
      <c r="B1951" s="39">
        <v>211.779999</v>
      </c>
      <c r="C1951" s="36">
        <f>IF(ISBLANK(B1952), "", GSPC[[#This Row],[Adj Close]]/B1952-1)</f>
        <v>2.591680560682863E-2</v>
      </c>
      <c r="D195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5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51" s="11" t="e">
        <f>IF(ISBLANK(GSPC[[#This Row],[Long Exp.]]), "", (GSPC[[#This Row],[Long Exp.]]/D1952-1)+(E1952/GSPC[[#This Row],[Short Exp.]]-1))</f>
        <v>#VALUE!</v>
      </c>
      <c r="G1951" s="37">
        <v>31439</v>
      </c>
      <c r="H1951">
        <v>2.0506769999999999</v>
      </c>
      <c r="I1951" s="36">
        <f>IF(ISBLANK(H1952), "", Long0[[#This Row],[Adj Close]]/H1952-1)</f>
        <v>2.1738404730930583E-2</v>
      </c>
      <c r="P1951" s="29">
        <v>31439</v>
      </c>
      <c r="Q1951">
        <v>0.98308499999999999</v>
      </c>
      <c r="R1951" s="33">
        <f>IF(ISBLANK(Q1952),"",Long3[[#This Row],[Adj Close]]/Q1952-1)</f>
        <v>8.6585283272080371E-3</v>
      </c>
      <c r="AK1951" s="37">
        <v>31439</v>
      </c>
      <c r="AL1951" s="44">
        <v>0.215839</v>
      </c>
      <c r="AM1951" s="36">
        <f>IF(ISBLANK(AL1952),"",Short1[[#This Row],[Adj Close]]/AL1952-1)</f>
        <v>-9.3878699081867856E-2</v>
      </c>
      <c r="AN1951" s="29">
        <v>31439</v>
      </c>
      <c r="AO1951" s="44">
        <v>0.60153500000000004</v>
      </c>
      <c r="AP1951" s="33">
        <f>IF(ISBLANK(AO1952),"",Short2[[#This Row],[Adj Close]]/AO1952-1)</f>
        <v>9.7089007680088102E-2</v>
      </c>
    </row>
    <row r="1952" spans="1:42" x14ac:dyDescent="0.25">
      <c r="A1952" s="37">
        <v>31432</v>
      </c>
      <c r="B1952" s="39">
        <v>206.429993</v>
      </c>
      <c r="C1952" s="36">
        <f>IF(ISBLANK(B1953), "", GSPC[[#This Row],[Adj Close]]/B1953-1)</f>
        <v>-9.5955479881438821E-3</v>
      </c>
      <c r="D195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5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52" s="11" t="e">
        <f>IF(ISBLANK(GSPC[[#This Row],[Long Exp.]]), "", (GSPC[[#This Row],[Long Exp.]]/D1953-1)+(E1953/GSPC[[#This Row],[Short Exp.]]-1))</f>
        <v>#VALUE!</v>
      </c>
      <c r="G1952" s="37">
        <v>31432</v>
      </c>
      <c r="H1952">
        <v>2.007047</v>
      </c>
      <c r="I1952" s="36">
        <f>IF(ISBLANK(H1953), "", Long0[[#This Row],[Adj Close]]/H1953-1)</f>
        <v>2.2222505175930829E-2</v>
      </c>
      <c r="P1952" s="29">
        <v>31432</v>
      </c>
      <c r="Q1952">
        <v>0.97464600000000001</v>
      </c>
      <c r="R1952" s="33">
        <f>IF(ISBLANK(Q1953),"",Long3[[#This Row],[Adj Close]]/Q1953-1)</f>
        <v>1.7620096682919639E-2</v>
      </c>
      <c r="AK1952" s="37">
        <v>31432</v>
      </c>
      <c r="AL1952" s="44">
        <v>0.238201</v>
      </c>
      <c r="AM1952" s="36">
        <f>IF(ISBLANK(AL1953),"",Short1[[#This Row],[Adj Close]]/AL1953-1)</f>
        <v>-1.9999012597608834E-2</v>
      </c>
      <c r="AN1952" s="29">
        <v>31432</v>
      </c>
      <c r="AO1952" s="44">
        <v>0.54830100000000004</v>
      </c>
      <c r="AP1952" s="33">
        <f>IF(ISBLANK(AO1953),"",Short2[[#This Row],[Adj Close]]/AO1953-1)</f>
        <v>-3.7384457377610314E-2</v>
      </c>
    </row>
    <row r="1953" spans="1:42" x14ac:dyDescent="0.25">
      <c r="A1953" s="37">
        <v>31425</v>
      </c>
      <c r="B1953" s="39">
        <v>208.429993</v>
      </c>
      <c r="C1953" s="36">
        <f>IF(ISBLANK(B1954), "", GSPC[[#This Row],[Adj Close]]/B1954-1)</f>
        <v>1.199255154424228E-2</v>
      </c>
      <c r="D195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5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53" s="11" t="e">
        <f>IF(ISBLANK(GSPC[[#This Row],[Long Exp.]]), "", (GSPC[[#This Row],[Long Exp.]]/D1954-1)+(E1954/GSPC[[#This Row],[Short Exp.]]-1))</f>
        <v>#VALUE!</v>
      </c>
      <c r="G1953" s="37">
        <v>31425</v>
      </c>
      <c r="H1953">
        <v>1.9634149999999999</v>
      </c>
      <c r="I1953" s="36">
        <f>IF(ISBLANK(H1954), "", Long0[[#This Row],[Adj Close]]/H1954-1)</f>
        <v>3.0534751808040994E-2</v>
      </c>
      <c r="P1953" s="29">
        <v>31425</v>
      </c>
      <c r="Q1953">
        <v>0.95777000000000001</v>
      </c>
      <c r="R1953" s="33">
        <f>IF(ISBLANK(Q1954),"",Long3[[#This Row],[Adj Close]]/Q1954-1)</f>
        <v>-2.1550469165819597E-2</v>
      </c>
      <c r="AK1953" s="37">
        <v>31425</v>
      </c>
      <c r="AL1953" s="44">
        <v>0.243062</v>
      </c>
      <c r="AM1953" s="36">
        <f>IF(ISBLANK(AL1954),"",Short1[[#This Row],[Adj Close]]/AL1954-1)</f>
        <v>3.3057921490624143E-2</v>
      </c>
      <c r="AN1953" s="29">
        <v>31425</v>
      </c>
      <c r="AO1953" s="44">
        <v>0.56959499999999996</v>
      </c>
      <c r="AP1953" s="33">
        <f>IF(ISBLANK(AO1954),"",Short2[[#This Row],[Adj Close]]/AO1954-1)</f>
        <v>5.9406124745422284E-2</v>
      </c>
    </row>
    <row r="1954" spans="1:42" x14ac:dyDescent="0.25">
      <c r="A1954" s="37">
        <v>31418</v>
      </c>
      <c r="B1954" s="39">
        <v>205.96000699999999</v>
      </c>
      <c r="C1954" s="36">
        <f>IF(ISBLANK(B1955), "", GSPC[[#This Row],[Adj Close]]/B1955-1)</f>
        <v>-2.3330794211618211E-2</v>
      </c>
      <c r="D195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5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54" s="11" t="e">
        <f>IF(ISBLANK(GSPC[[#This Row],[Long Exp.]]), "", (GSPC[[#This Row],[Long Exp.]]/D1955-1)+(E1955/GSPC[[#This Row],[Short Exp.]]-1))</f>
        <v>#VALUE!</v>
      </c>
      <c r="G1954" s="37">
        <v>31418</v>
      </c>
      <c r="H1954">
        <v>1.9052389999999999</v>
      </c>
      <c r="I1954" s="36">
        <f>IF(ISBLANK(H1955), "", Long0[[#This Row],[Adj Close]]/H1955-1)</f>
        <v>-5.755420238525133E-2</v>
      </c>
      <c r="P1954" s="29">
        <v>31418</v>
      </c>
      <c r="Q1954">
        <v>0.97886499999999999</v>
      </c>
      <c r="R1954" s="33">
        <f>IF(ISBLANK(Q1955),"",Long3[[#This Row],[Adj Close]]/Q1955-1)</f>
        <v>4.3287511568301795E-3</v>
      </c>
      <c r="AK1954" s="37">
        <v>31418</v>
      </c>
      <c r="AL1954" s="44">
        <v>0.23528399999999999</v>
      </c>
      <c r="AM1954" s="36">
        <f>IF(ISBLANK(AL1955),"",Short1[[#This Row],[Adj Close]]/AL1955-1)</f>
        <v>8.3311905374132689E-3</v>
      </c>
      <c r="AN1954" s="29">
        <v>31418</v>
      </c>
      <c r="AO1954" s="44">
        <v>0.53765499999999999</v>
      </c>
      <c r="AP1954" s="33">
        <f>IF(ISBLANK(AO1955),"",Short2[[#This Row],[Adj Close]]/AO1955-1)</f>
        <v>-5.6074930433026915E-2</v>
      </c>
    </row>
    <row r="1955" spans="1:42" x14ac:dyDescent="0.25">
      <c r="A1955" s="37">
        <v>31411</v>
      </c>
      <c r="B1955" s="39">
        <v>210.88000500000001</v>
      </c>
      <c r="C1955" s="36">
        <f>IF(ISBLANK(B1956), "", GSPC[[#This Row],[Adj Close]]/B1956-1)</f>
        <v>6.0588902912128706E-3</v>
      </c>
      <c r="D195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5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55" s="11" t="e">
        <f>IF(ISBLANK(GSPC[[#This Row],[Long Exp.]]), "", (GSPC[[#This Row],[Long Exp.]]/D1956-1)+(E1956/GSPC[[#This Row],[Short Exp.]]-1))</f>
        <v>#VALUE!</v>
      </c>
      <c r="G1955" s="37">
        <v>31411</v>
      </c>
      <c r="H1955">
        <v>2.0215900000000002</v>
      </c>
      <c r="I1955" s="36">
        <f>IF(ISBLANK(H1956), "", Long0[[#This Row],[Adj Close]]/H1956-1)</f>
        <v>-2.1127026537582694E-2</v>
      </c>
      <c r="P1955" s="29">
        <v>31411</v>
      </c>
      <c r="Q1955">
        <v>0.97464600000000001</v>
      </c>
      <c r="R1955" s="33">
        <f>IF(ISBLANK(Q1956),"",Long3[[#This Row],[Adj Close]]/Q1956-1)</f>
        <v>4.3475707085642856E-3</v>
      </c>
      <c r="AK1955" s="37">
        <v>31411</v>
      </c>
      <c r="AL1955" s="44">
        <v>0.23333999999999999</v>
      </c>
      <c r="AM1955" s="36">
        <f>IF(ISBLANK(AL1956),"",Short1[[#This Row],[Adj Close]]/AL1956-1)</f>
        <v>9.5889124237400258E-2</v>
      </c>
      <c r="AN1955" s="29">
        <v>31411</v>
      </c>
      <c r="AO1955" s="44">
        <v>0.56959499999999996</v>
      </c>
      <c r="AP1955" s="33">
        <f>IF(ISBLANK(AO1956),"",Short2[[#This Row],[Adj Close]]/AO1956-1)</f>
        <v>0.1263162057680709</v>
      </c>
    </row>
    <row r="1956" spans="1:42" x14ac:dyDescent="0.25">
      <c r="A1956" s="37">
        <v>31404</v>
      </c>
      <c r="B1956" s="39">
        <v>209.61000100000001</v>
      </c>
      <c r="C1956" s="36">
        <f>IF(ISBLANK(B1957), "", GSPC[[#This Row],[Adj Close]]/B1957-1)</f>
        <v>-6.3051151388534565E-3</v>
      </c>
      <c r="D195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5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56" s="11" t="e">
        <f>IF(ISBLANK(GSPC[[#This Row],[Long Exp.]]), "", (GSPC[[#This Row],[Long Exp.]]/D1957-1)+(E1957/GSPC[[#This Row],[Short Exp.]]-1))</f>
        <v>#VALUE!</v>
      </c>
      <c r="G1956" s="37">
        <v>31404</v>
      </c>
      <c r="H1956">
        <v>2.0652219999999999</v>
      </c>
      <c r="I1956" s="36">
        <f>IF(ISBLANK(H1957), "", Long0[[#This Row],[Adj Close]]/H1957-1)</f>
        <v>-4.0540138742030107E-2</v>
      </c>
      <c r="P1956" s="29">
        <v>31404</v>
      </c>
      <c r="Q1956">
        <v>0.97042700000000004</v>
      </c>
      <c r="R1956" s="33">
        <f>IF(ISBLANK(Q1957),"",Long3[[#This Row],[Adj Close]]/Q1957-1)</f>
        <v>-8.6201876663277721E-3</v>
      </c>
      <c r="AK1956" s="37">
        <v>31404</v>
      </c>
      <c r="AL1956" s="44">
        <v>0.212923</v>
      </c>
      <c r="AM1956" s="36">
        <f>IF(ISBLANK(AL1957),"",Short1[[#This Row],[Adj Close]]/AL1957-1)</f>
        <v>4.784940944881888E-2</v>
      </c>
      <c r="AN1956" s="29">
        <v>31404</v>
      </c>
      <c r="AO1956" s="44">
        <v>0.50571500000000003</v>
      </c>
      <c r="AP1956" s="33">
        <f>IF(ISBLANK(AO1957),"",Short2[[#This Row],[Adj Close]]/AO1957-1)</f>
        <v>-2.0619255483556032E-2</v>
      </c>
    </row>
    <row r="1957" spans="1:42" x14ac:dyDescent="0.25">
      <c r="A1957" s="37">
        <v>31397</v>
      </c>
      <c r="B1957" s="39">
        <v>210.94000199999999</v>
      </c>
      <c r="C1957" s="36">
        <f>IF(ISBLANK(B1958), "", GSPC[[#This Row],[Adj Close]]/B1958-1)</f>
        <v>4.7632656495830705E-3</v>
      </c>
      <c r="D195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5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57" s="11" t="e">
        <f>IF(ISBLANK(GSPC[[#This Row],[Long Exp.]]), "", (GSPC[[#This Row],[Long Exp.]]/D1958-1)+(E1958/GSPC[[#This Row],[Short Exp.]]-1))</f>
        <v>#VALUE!</v>
      </c>
      <c r="G1957" s="37">
        <v>31397</v>
      </c>
      <c r="H1957">
        <v>2.1524839999999998</v>
      </c>
      <c r="I1957" s="36">
        <f>IF(ISBLANK(H1958), "", Long0[[#This Row],[Adj Close]]/H1958-1)</f>
        <v>5.7142604563353849E-2</v>
      </c>
      <c r="P1957" s="29">
        <v>31397</v>
      </c>
      <c r="Q1957">
        <v>0.97886499999999999</v>
      </c>
      <c r="R1957" s="33">
        <f>IF(ISBLANK(Q1958),"",Long3[[#This Row],[Adj Close]]/Q1958-1)</f>
        <v>5.4544377232058627E-2</v>
      </c>
      <c r="AK1957" s="37">
        <v>31397</v>
      </c>
      <c r="AL1957" s="44">
        <v>0.20319999999999999</v>
      </c>
      <c r="AM1957" s="36">
        <f>IF(ISBLANK(AL1958),"",Short1[[#This Row],[Adj Close]]/AL1958-1)</f>
        <v>-9.1303433996520966E-2</v>
      </c>
      <c r="AN1957" s="29">
        <v>31397</v>
      </c>
      <c r="AO1957" s="44">
        <v>0.51636199999999999</v>
      </c>
      <c r="AP1957" s="33">
        <f>IF(ISBLANK(AO1958),"",Short2[[#This Row],[Adj Close]]/AO1958-1)</f>
        <v>-5.8250851266001824E-2</v>
      </c>
    </row>
    <row r="1958" spans="1:42" x14ac:dyDescent="0.25">
      <c r="A1958" s="37">
        <v>31390</v>
      </c>
      <c r="B1958" s="39">
        <v>209.94000199999999</v>
      </c>
      <c r="C1958" s="36">
        <f>IF(ISBLANK(B1959), "", GSPC[[#This Row],[Adj Close]]/B1959-1)</f>
        <v>3.4238124187444541E-2</v>
      </c>
      <c r="D195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5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58" s="11" t="e">
        <f>IF(ISBLANK(GSPC[[#This Row],[Long Exp.]]), "", (GSPC[[#This Row],[Long Exp.]]/D1959-1)+(E1959/GSPC[[#This Row],[Short Exp.]]-1))</f>
        <v>#VALUE!</v>
      </c>
      <c r="G1958" s="37">
        <v>31390</v>
      </c>
      <c r="H1958">
        <v>2.0361340000000001</v>
      </c>
      <c r="I1958" s="36">
        <f>IF(ISBLANK(H1959), "", Long0[[#This Row],[Adj Close]]/H1959-1)</f>
        <v>-8.4966668194617734E-2</v>
      </c>
      <c r="P1958" s="29">
        <v>31390</v>
      </c>
      <c r="Q1958">
        <v>0.92823500000000003</v>
      </c>
      <c r="R1958" s="33">
        <f>IF(ISBLANK(Q1959),"",Long3[[#This Row],[Adj Close]]/Q1959-1)</f>
        <v>5.2880225495255839E-2</v>
      </c>
      <c r="AK1958" s="37">
        <v>31390</v>
      </c>
      <c r="AL1958" s="44">
        <v>0.22361700000000001</v>
      </c>
      <c r="AM1958" s="36">
        <f>IF(ISBLANK(AL1959),"",Short1[[#This Row],[Adj Close]]/AL1959-1)</f>
        <v>2.678341843294274E-2</v>
      </c>
      <c r="AN1958" s="29">
        <v>31390</v>
      </c>
      <c r="AO1958" s="44">
        <v>0.54830100000000004</v>
      </c>
      <c r="AP1958" s="33">
        <f>IF(ISBLANK(AO1959),"",Short2[[#This Row],[Adj Close]]/AO1959-1)</f>
        <v>9.801484035294239E-3</v>
      </c>
    </row>
    <row r="1959" spans="1:42" x14ac:dyDescent="0.25">
      <c r="A1959" s="37">
        <v>31383</v>
      </c>
      <c r="B1959" s="39">
        <v>202.990005</v>
      </c>
      <c r="C1959" s="36">
        <f>IF(ISBLANK(B1960), "", GSPC[[#This Row],[Adj Close]]/B1960-1)</f>
        <v>4.0560271460259312E-3</v>
      </c>
      <c r="D195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5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59" s="11" t="e">
        <f>IF(ISBLANK(GSPC[[#This Row],[Long Exp.]]), "", (GSPC[[#This Row],[Long Exp.]]/D1960-1)+(E1960/GSPC[[#This Row],[Short Exp.]]-1))</f>
        <v>#VALUE!</v>
      </c>
      <c r="G1959" s="37">
        <v>31383</v>
      </c>
      <c r="H1959">
        <v>2.2252019999999999</v>
      </c>
      <c r="I1959" s="36">
        <f>IF(ISBLANK(H1960), "", Long0[[#This Row],[Adj Close]]/H1960-1)</f>
        <v>2.6845535380962016E-2</v>
      </c>
      <c r="P1959" s="29">
        <v>31383</v>
      </c>
      <c r="Q1959">
        <v>0.88161500000000004</v>
      </c>
      <c r="R1959" s="33">
        <f>IF(ISBLANK(Q1960),"",Long3[[#This Row],[Adj Close]]/Q1960-1)</f>
        <v>-1.8348858805425583E-2</v>
      </c>
      <c r="AK1959" s="37">
        <v>31383</v>
      </c>
      <c r="AL1959" s="44">
        <v>0.21778400000000001</v>
      </c>
      <c r="AM1959" s="36">
        <f>IF(ISBLANK(AL1960),"",Short1[[#This Row],[Adj Close]]/AL1960-1)</f>
        <v>0.15464223607753325</v>
      </c>
      <c r="AN1959" s="29">
        <v>31383</v>
      </c>
      <c r="AO1959" s="44">
        <v>0.54297899999999999</v>
      </c>
      <c r="AP1959" s="33">
        <f>IF(ISBLANK(AO1960),"",Short2[[#This Row],[Adj Close]]/AO1960-1)</f>
        <v>-6.4219756584321774E-2</v>
      </c>
    </row>
    <row r="1960" spans="1:42" x14ac:dyDescent="0.25">
      <c r="A1960" s="37">
        <v>31376</v>
      </c>
      <c r="B1960" s="39">
        <v>202.16999799999999</v>
      </c>
      <c r="C1960" s="36">
        <f>IF(ISBLANK(B1961), "", GSPC[[#This Row],[Adj Close]]/B1961-1)</f>
        <v>3.2254564663465324E-3</v>
      </c>
      <c r="D196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6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60" s="11" t="e">
        <f>IF(ISBLANK(GSPC[[#This Row],[Long Exp.]]), "", (GSPC[[#This Row],[Long Exp.]]/D1961-1)+(E1961/GSPC[[#This Row],[Short Exp.]]-1))</f>
        <v>#VALUE!</v>
      </c>
      <c r="G1960" s="37">
        <v>31376</v>
      </c>
      <c r="H1960">
        <v>2.167027</v>
      </c>
      <c r="I1960" s="36">
        <f>IF(ISBLANK(H1961), "", Long0[[#This Row],[Adj Close]]/H1961-1)</f>
        <v>6.4285061788664111E-2</v>
      </c>
      <c r="P1960" s="29">
        <v>31376</v>
      </c>
      <c r="Q1960">
        <v>0.89809399999999995</v>
      </c>
      <c r="R1960" s="33">
        <f>IF(ISBLANK(Q1961),"",Long3[[#This Row],[Adj Close]]/Q1961-1)</f>
        <v>-1.357456123490175E-2</v>
      </c>
      <c r="AK1960" s="37">
        <v>31376</v>
      </c>
      <c r="AL1960" s="44">
        <v>0.18861600000000001</v>
      </c>
      <c r="AM1960" s="36">
        <f>IF(ISBLANK(AL1961),"",Short1[[#This Row],[Adj Close]]/AL1961-1)</f>
        <v>0</v>
      </c>
      <c r="AN1960" s="29">
        <v>31376</v>
      </c>
      <c r="AO1960" s="44">
        <v>0.58024200000000004</v>
      </c>
      <c r="AP1960" s="33">
        <f>IF(ISBLANK(AO1961),"",Short2[[#This Row],[Adj Close]]/AO1961-1)</f>
        <v>0</v>
      </c>
    </row>
    <row r="1961" spans="1:42" x14ac:dyDescent="0.25">
      <c r="A1961" s="37">
        <v>31369</v>
      </c>
      <c r="B1961" s="39">
        <v>201.520004</v>
      </c>
      <c r="C1961" s="36">
        <f>IF(ISBLANK(B1962), "", GSPC[[#This Row],[Adj Close]]/B1962-1)</f>
        <v>1.7212674689754737E-2</v>
      </c>
      <c r="D196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6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61" s="11" t="e">
        <f>IF(ISBLANK(GSPC[[#This Row],[Long Exp.]]), "", (GSPC[[#This Row],[Long Exp.]]/D1962-1)+(E1962/GSPC[[#This Row],[Short Exp.]]-1))</f>
        <v>#VALUE!</v>
      </c>
      <c r="G1961" s="37">
        <v>31369</v>
      </c>
      <c r="H1961">
        <v>2.0361340000000001</v>
      </c>
      <c r="I1961" s="36">
        <f>IF(ISBLANK(H1962), "", Long0[[#This Row],[Adj Close]]/H1962-1)</f>
        <v>1.4492435902099032E-2</v>
      </c>
      <c r="P1961" s="29">
        <v>31369</v>
      </c>
      <c r="Q1961">
        <v>0.91045299999999996</v>
      </c>
      <c r="R1961" s="33">
        <f>IF(ISBLANK(Q1962),"",Long3[[#This Row],[Adj Close]]/Q1962-1)</f>
        <v>9.1319797741999942E-3</v>
      </c>
      <c r="AK1961" s="37">
        <v>31369</v>
      </c>
      <c r="AL1961" s="44">
        <v>0.18861600000000001</v>
      </c>
      <c r="AM1961" s="36">
        <f>IF(ISBLANK(AL1962),"",Short1[[#This Row],[Adj Close]]/AL1962-1)</f>
        <v>2.645370194008323E-2</v>
      </c>
      <c r="AN1961" s="29">
        <v>31369</v>
      </c>
      <c r="AO1961" s="44">
        <v>0.58024200000000004</v>
      </c>
      <c r="AP1961" s="33">
        <f>IF(ISBLANK(AO1962),"",Short2[[#This Row],[Adj Close]]/AO1962-1)</f>
        <v>0.10100966017658153</v>
      </c>
    </row>
    <row r="1962" spans="1:42" x14ac:dyDescent="0.25">
      <c r="A1962" s="37">
        <v>31362</v>
      </c>
      <c r="B1962" s="39">
        <v>198.11000100000001</v>
      </c>
      <c r="C1962" s="36">
        <f>IF(ISBLANK(B1963), "", GSPC[[#This Row],[Adj Close]]/B1963-1)</f>
        <v>2.266157328793339E-2</v>
      </c>
      <c r="D196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6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62" s="11" t="e">
        <f>IF(ISBLANK(GSPC[[#This Row],[Long Exp.]]), "", (GSPC[[#This Row],[Long Exp.]]/D1963-1)+(E1963/GSPC[[#This Row],[Short Exp.]]-1))</f>
        <v>#VALUE!</v>
      </c>
      <c r="G1962" s="37">
        <v>31362</v>
      </c>
      <c r="H1962">
        <v>2.007047</v>
      </c>
      <c r="I1962" s="36">
        <f>IF(ISBLANK(H1963), "", Long0[[#This Row],[Adj Close]]/H1963-1)</f>
        <v>6.1539275240057201E-2</v>
      </c>
      <c r="P1962" s="29">
        <v>31362</v>
      </c>
      <c r="Q1962">
        <v>0.90221399999999996</v>
      </c>
      <c r="R1962" s="33">
        <f>IF(ISBLANK(Q1963),"",Long3[[#This Row],[Adj Close]]/Q1963-1)</f>
        <v>3.7915182638946332E-2</v>
      </c>
      <c r="AK1962" s="37">
        <v>31362</v>
      </c>
      <c r="AL1962" s="44">
        <v>0.183755</v>
      </c>
      <c r="AM1962" s="36">
        <f>IF(ISBLANK(AL1963),"",Short1[[#This Row],[Adj Close]]/AL1963-1)</f>
        <v>3.278983369023325E-2</v>
      </c>
      <c r="AN1962" s="29">
        <v>31362</v>
      </c>
      <c r="AO1962" s="44">
        <v>0.52700899999999995</v>
      </c>
      <c r="AP1962" s="33">
        <f>IF(ISBLANK(AO1963),"",Short2[[#This Row],[Adj Close]]/AO1963-1)</f>
        <v>0.10000020872512771</v>
      </c>
    </row>
    <row r="1963" spans="1:42" x14ac:dyDescent="0.25">
      <c r="A1963" s="37">
        <v>31355</v>
      </c>
      <c r="B1963" s="39">
        <v>193.720001</v>
      </c>
      <c r="C1963" s="36">
        <f>IF(ISBLANK(B1964), "", GSPC[[#This Row],[Adj Close]]/B1964-1)</f>
        <v>1.1434250568758131E-2</v>
      </c>
      <c r="D196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6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63" s="11" t="e">
        <f>IF(ISBLANK(GSPC[[#This Row],[Long Exp.]]), "", (GSPC[[#This Row],[Long Exp.]]/D1964-1)+(E1964/GSPC[[#This Row],[Short Exp.]]-1))</f>
        <v>#VALUE!</v>
      </c>
      <c r="G1963" s="37">
        <v>31355</v>
      </c>
      <c r="H1963">
        <v>1.890695</v>
      </c>
      <c r="I1963" s="36">
        <f>IF(ISBLANK(H1964), "", Long0[[#This Row],[Adj Close]]/H1964-1)</f>
        <v>3.1745901818261313E-2</v>
      </c>
      <c r="P1963" s="29">
        <v>31355</v>
      </c>
      <c r="Q1963">
        <v>0.86925600000000003</v>
      </c>
      <c r="R1963" s="33">
        <f>IF(ISBLANK(Q1964),"",Long3[[#This Row],[Adj Close]]/Q1964-1)</f>
        <v>1.932273112111238E-2</v>
      </c>
      <c r="AK1963" s="37">
        <v>31355</v>
      </c>
      <c r="AL1963" s="44">
        <v>0.177921</v>
      </c>
      <c r="AM1963" s="36">
        <f>IF(ISBLANK(AL1964),"",Short1[[#This Row],[Adj Close]]/AL1964-1)</f>
        <v>0.12962845388053634</v>
      </c>
      <c r="AN1963" s="29">
        <v>31355</v>
      </c>
      <c r="AO1963" s="44">
        <v>0.479099</v>
      </c>
      <c r="AP1963" s="33">
        <f>IF(ISBLANK(AO1964),"",Short2[[#This Row],[Adj Close]]/AO1964-1)</f>
        <v>-2.1739840652093112E-2</v>
      </c>
    </row>
    <row r="1964" spans="1:42" x14ac:dyDescent="0.25">
      <c r="A1964" s="37">
        <v>31348</v>
      </c>
      <c r="B1964" s="39">
        <v>191.529999</v>
      </c>
      <c r="C1964" s="36">
        <f>IF(ISBLANK(B1965), "", GSPC[[#This Row],[Adj Close]]/B1965-1)</f>
        <v>2.1384358545555537E-2</v>
      </c>
      <c r="D196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6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64" s="11" t="e">
        <f>IF(ISBLANK(GSPC[[#This Row],[Long Exp.]]), "", (GSPC[[#This Row],[Long Exp.]]/D1965-1)+(E1965/GSPC[[#This Row],[Short Exp.]]-1))</f>
        <v>#VALUE!</v>
      </c>
      <c r="G1964" s="37">
        <v>31348</v>
      </c>
      <c r="H1964">
        <v>1.8325199999999999</v>
      </c>
      <c r="I1964" s="36">
        <f>IF(ISBLANK(H1965), "", Long0[[#This Row],[Adj Close]]/H1965-1)</f>
        <v>-7.8741180597965421E-3</v>
      </c>
      <c r="P1964" s="29">
        <v>31348</v>
      </c>
      <c r="Q1964">
        <v>0.85277800000000004</v>
      </c>
      <c r="R1964" s="33">
        <f>IF(ISBLANK(Q1965),"",Long3[[#This Row],[Adj Close]]/Q1965-1)</f>
        <v>0</v>
      </c>
      <c r="AK1964" s="37">
        <v>31348</v>
      </c>
      <c r="AL1964" s="44">
        <v>0.15750400000000001</v>
      </c>
      <c r="AM1964" s="36">
        <f>IF(ISBLANK(AL1965),"",Short1[[#This Row],[Adj Close]]/AL1965-1)</f>
        <v>5.8821947645105288E-2</v>
      </c>
      <c r="AN1964" s="29">
        <v>31348</v>
      </c>
      <c r="AO1964" s="44">
        <v>0.48974600000000001</v>
      </c>
      <c r="AP1964" s="33">
        <f>IF(ISBLANK(AO1965),"",Short2[[#This Row],[Adj Close]]/AO1965-1)</f>
        <v>2.22229643560099E-2</v>
      </c>
    </row>
    <row r="1965" spans="1:42" x14ac:dyDescent="0.25">
      <c r="A1965" s="37">
        <v>31341</v>
      </c>
      <c r="B1965" s="39">
        <v>187.520004</v>
      </c>
      <c r="C1965" s="36">
        <f>IF(ISBLANK(B1966), "", GSPC[[#This Row],[Adj Close]]/B1966-1)</f>
        <v>2.566354886465394E-3</v>
      </c>
      <c r="D196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6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65" s="11" t="e">
        <f>IF(ISBLANK(GSPC[[#This Row],[Long Exp.]]), "", (GSPC[[#This Row],[Long Exp.]]/D1966-1)+(E1966/GSPC[[#This Row],[Short Exp.]]-1))</f>
        <v>#VALUE!</v>
      </c>
      <c r="G1965" s="37">
        <v>31341</v>
      </c>
      <c r="H1965">
        <v>1.847064</v>
      </c>
      <c r="I1965" s="36">
        <f>IF(ISBLANK(H1966), "", Long0[[#This Row],[Adj Close]]/H1966-1)</f>
        <v>6.7226589719618479E-2</v>
      </c>
      <c r="P1965" s="29">
        <v>31341</v>
      </c>
      <c r="Q1965">
        <v>0.85277800000000004</v>
      </c>
      <c r="R1965" s="33">
        <f>IF(ISBLANK(Q1966),"",Long3[[#This Row],[Adj Close]]/Q1966-1)</f>
        <v>2.9851737617730301E-2</v>
      </c>
      <c r="AK1965" s="37">
        <v>31341</v>
      </c>
      <c r="AL1965" s="44">
        <v>0.148754</v>
      </c>
      <c r="AM1965" s="36">
        <f>IF(ISBLANK(AL1966),"",Short1[[#This Row],[Adj Close]]/AL1966-1)</f>
        <v>-4.3751607096940148E-2</v>
      </c>
      <c r="AN1965" s="29">
        <v>31341</v>
      </c>
      <c r="AO1965" s="44">
        <v>0.479099</v>
      </c>
      <c r="AP1965" s="33">
        <f>IF(ISBLANK(AO1966),"",Short2[[#This Row],[Adj Close]]/AO1966-1)</f>
        <v>2.2728048978337245E-2</v>
      </c>
    </row>
    <row r="1966" spans="1:42" x14ac:dyDescent="0.25">
      <c r="A1966" s="37">
        <v>31334</v>
      </c>
      <c r="B1966" s="39">
        <v>187.03999300000001</v>
      </c>
      <c r="C1966" s="36">
        <f>IF(ISBLANK(B1967), "", GSPC[[#This Row],[Adj Close]]/B1967-1)</f>
        <v>1.4977176117740187E-2</v>
      </c>
      <c r="D196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6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66" s="11" t="e">
        <f>IF(ISBLANK(GSPC[[#This Row],[Long Exp.]]), "", (GSPC[[#This Row],[Long Exp.]]/D1967-1)+(E1967/GSPC[[#This Row],[Short Exp.]]-1))</f>
        <v>#VALUE!</v>
      </c>
      <c r="G1966" s="37">
        <v>31334</v>
      </c>
      <c r="H1966">
        <v>1.7307140000000001</v>
      </c>
      <c r="I1966" s="36">
        <f>IF(ISBLANK(H1967), "", Long0[[#This Row],[Adj Close]]/H1967-1)</f>
        <v>8.1818630732601649E-2</v>
      </c>
      <c r="P1966" s="29">
        <v>31334</v>
      </c>
      <c r="Q1966">
        <v>0.82805899999999999</v>
      </c>
      <c r="R1966" s="33">
        <f>IF(ISBLANK(Q1967),"",Long3[[#This Row],[Adj Close]]/Q1967-1)</f>
        <v>4.1450027795175926E-2</v>
      </c>
      <c r="AK1966" s="37">
        <v>31334</v>
      </c>
      <c r="AL1966" s="44">
        <v>0.15556</v>
      </c>
      <c r="AM1966" s="36">
        <f>IF(ISBLANK(AL1967),"",Short1[[#This Row],[Adj Close]]/AL1967-1)</f>
        <v>6.6670323717575197E-2</v>
      </c>
      <c r="AN1966" s="29">
        <v>31334</v>
      </c>
      <c r="AO1966" s="44">
        <v>0.46845199999999998</v>
      </c>
      <c r="AP1966" s="33">
        <f>IF(ISBLANK(AO1967),"",Short2[[#This Row],[Adj Close]]/AO1967-1)</f>
        <v>0</v>
      </c>
    </row>
    <row r="1967" spans="1:42" x14ac:dyDescent="0.25">
      <c r="A1967" s="37">
        <v>31327</v>
      </c>
      <c r="B1967" s="39">
        <v>184.279999</v>
      </c>
      <c r="C1967" s="36">
        <f>IF(ISBLANK(B1968), "", GSPC[[#This Row],[Adj Close]]/B1968-1)</f>
        <v>5.7853836601606812E-3</v>
      </c>
      <c r="D196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6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67" s="11" t="e">
        <f>IF(ISBLANK(GSPC[[#This Row],[Long Exp.]]), "", (GSPC[[#This Row],[Long Exp.]]/D1968-1)+(E1968/GSPC[[#This Row],[Short Exp.]]-1))</f>
        <v>#VALUE!</v>
      </c>
      <c r="G1967" s="37">
        <v>31327</v>
      </c>
      <c r="H1967">
        <v>1.5998190000000001</v>
      </c>
      <c r="I1967" s="36">
        <f>IF(ISBLANK(H1968), "", Long0[[#This Row],[Adj Close]]/H1968-1)</f>
        <v>-9.0909142567824341E-2</v>
      </c>
      <c r="P1967" s="29">
        <v>31327</v>
      </c>
      <c r="Q1967">
        <v>0.79510199999999998</v>
      </c>
      <c r="R1967" s="33">
        <f>IF(ISBLANK(Q1968),"",Long3[[#This Row],[Adj Close]]/Q1968-1)</f>
        <v>-1.0255918719447865E-2</v>
      </c>
      <c r="AK1967" s="37">
        <v>31327</v>
      </c>
      <c r="AL1967" s="44">
        <v>0.14583699999999999</v>
      </c>
      <c r="AM1967" s="36">
        <f>IF(ISBLANK(AL1968),"",Short1[[#This Row],[Adj Close]]/AL1968-1)</f>
        <v>0.11111365073560209</v>
      </c>
      <c r="AN1967" s="29">
        <v>31327</v>
      </c>
      <c r="AO1967" s="44">
        <v>0.46845199999999998</v>
      </c>
      <c r="AP1967" s="33">
        <f>IF(ISBLANK(AO1968),"",Short2[[#This Row],[Adj Close]]/AO1968-1)</f>
        <v>-3.2967123706190149E-2</v>
      </c>
    </row>
    <row r="1968" spans="1:42" x14ac:dyDescent="0.25">
      <c r="A1968" s="37">
        <v>31320</v>
      </c>
      <c r="B1968" s="39">
        <v>183.220001</v>
      </c>
      <c r="C1968" s="36">
        <f>IF(ISBLANK(B1969), "", GSPC[[#This Row],[Adj Close]]/B1969-1)</f>
        <v>1.0645970955495576E-2</v>
      </c>
      <c r="D196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6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68" s="11" t="e">
        <f>IF(ISBLANK(GSPC[[#This Row],[Long Exp.]]), "", (GSPC[[#This Row],[Long Exp.]]/D1969-1)+(E1969/GSPC[[#This Row],[Short Exp.]]-1))</f>
        <v>#VALUE!</v>
      </c>
      <c r="G1968" s="37">
        <v>31320</v>
      </c>
      <c r="H1968">
        <v>1.7598009999999999</v>
      </c>
      <c r="I1968" s="36">
        <f>IF(ISBLANK(H1969), "", Long0[[#This Row],[Adj Close]]/H1969-1)</f>
        <v>2.5423472033656358E-2</v>
      </c>
      <c r="P1968" s="29">
        <v>31320</v>
      </c>
      <c r="Q1968">
        <v>0.80334099999999997</v>
      </c>
      <c r="R1968" s="33">
        <f>IF(ISBLANK(Q1969),"",Long3[[#This Row],[Adj Close]]/Q1969-1)</f>
        <v>5.1537620335775358E-3</v>
      </c>
      <c r="AK1968" s="37">
        <v>31320</v>
      </c>
      <c r="AL1968" s="44">
        <v>0.13125300000000001</v>
      </c>
      <c r="AM1968" s="36">
        <f>IF(ISBLANK(AL1969),"",Short1[[#This Row],[Adj Close]]/AL1969-1)</f>
        <v>7.4607962788126869E-3</v>
      </c>
      <c r="AN1968" s="29">
        <v>31320</v>
      </c>
      <c r="AO1968" s="44">
        <v>0.48442200000000002</v>
      </c>
      <c r="AP1968" s="33">
        <f>IF(ISBLANK(AO1969),"",Short2[[#This Row],[Adj Close]]/AO1969-1)</f>
        <v>7.0588443297191938E-2</v>
      </c>
    </row>
    <row r="1969" spans="1:42" x14ac:dyDescent="0.25">
      <c r="A1969" s="37">
        <v>31313</v>
      </c>
      <c r="B1969" s="39">
        <v>181.28999300000001</v>
      </c>
      <c r="C1969" s="36">
        <f>IF(ISBLANK(B1970), "", GSPC[[#This Row],[Adj Close]]/B1970-1)</f>
        <v>-4.1747321476286459E-3</v>
      </c>
      <c r="D196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6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69" s="11" t="e">
        <f>IF(ISBLANK(GSPC[[#This Row],[Long Exp.]]), "", (GSPC[[#This Row],[Long Exp.]]/D1970-1)+(E1970/GSPC[[#This Row],[Short Exp.]]-1))</f>
        <v>#VALUE!</v>
      </c>
      <c r="G1969" s="37">
        <v>31313</v>
      </c>
      <c r="H1969">
        <v>1.71617</v>
      </c>
      <c r="I1969" s="36">
        <f>IF(ISBLANK(H1970), "", Long0[[#This Row],[Adj Close]]/H1970-1)</f>
        <v>-8.5270367507928491E-2</v>
      </c>
      <c r="P1969" s="29">
        <v>31313</v>
      </c>
      <c r="Q1969">
        <v>0.79922199999999999</v>
      </c>
      <c r="R1969" s="33">
        <f>IF(ISBLANK(Q1970),"",Long3[[#This Row],[Adj Close]]/Q1970-1)</f>
        <v>-1.0203588780139272E-2</v>
      </c>
      <c r="AK1969" s="37">
        <v>31313</v>
      </c>
      <c r="AL1969" s="44">
        <v>0.13028100000000001</v>
      </c>
      <c r="AM1969" s="36">
        <f>IF(ISBLANK(AL1970),"",Short1[[#This Row],[Adj Close]]/AL1970-1)</f>
        <v>1.5147619158933034E-2</v>
      </c>
      <c r="AN1969" s="29">
        <v>31313</v>
      </c>
      <c r="AO1969" s="44">
        <v>0.452482</v>
      </c>
      <c r="AP1969" s="33">
        <f>IF(ISBLANK(AO1970),"",Short2[[#This Row],[Adj Close]]/AO1970-1)</f>
        <v>1.1904043080872784E-2</v>
      </c>
    </row>
    <row r="1970" spans="1:42" x14ac:dyDescent="0.25">
      <c r="A1970" s="37">
        <v>31306</v>
      </c>
      <c r="B1970" s="39">
        <v>182.050003</v>
      </c>
      <c r="C1970" s="36">
        <f>IF(ISBLANK(B1971), "", GSPC[[#This Row],[Adj Close]]/B1971-1)</f>
        <v>-4.7017712601438166E-3</v>
      </c>
      <c r="D197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7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70" s="11" t="e">
        <f>IF(ISBLANK(GSPC[[#This Row],[Long Exp.]]), "", (GSPC[[#This Row],[Long Exp.]]/D1971-1)+(E1971/GSPC[[#This Row],[Short Exp.]]-1))</f>
        <v>#VALUE!</v>
      </c>
      <c r="G1970" s="37">
        <v>31306</v>
      </c>
      <c r="H1970">
        <v>1.87615</v>
      </c>
      <c r="I1970" s="36">
        <f>IF(ISBLANK(H1971), "", Long0[[#This Row],[Adj Close]]/H1971-1)</f>
        <v>-3.0075592221786795E-2</v>
      </c>
      <c r="P1970" s="29">
        <v>31306</v>
      </c>
      <c r="Q1970">
        <v>0.80746099999999998</v>
      </c>
      <c r="R1970" s="33">
        <f>IF(ISBLANK(Q1971),"",Long3[[#This Row],[Adj Close]]/Q1971-1)</f>
        <v>3.1580009760559635E-2</v>
      </c>
      <c r="AK1970" s="37">
        <v>31306</v>
      </c>
      <c r="AL1970" s="44">
        <v>0.12833700000000001</v>
      </c>
      <c r="AM1970" s="36">
        <f>IF(ISBLANK(AL1971),"",Short1[[#This Row],[Adj Close]]/AL1971-1)</f>
        <v>-1.4921592557625485E-2</v>
      </c>
      <c r="AN1970" s="29">
        <v>31306</v>
      </c>
      <c r="AO1970" s="44">
        <v>0.44715899999999997</v>
      </c>
      <c r="AP1970" s="33">
        <f>IF(ISBLANK(AO1971),"",Short2[[#This Row],[Adj Close]]/AO1971-1)</f>
        <v>2.4391082032108935E-2</v>
      </c>
    </row>
    <row r="1971" spans="1:42" x14ac:dyDescent="0.25">
      <c r="A1971" s="37">
        <v>31299</v>
      </c>
      <c r="B1971" s="39">
        <v>182.91000399999999</v>
      </c>
      <c r="C1971" s="36">
        <f>IF(ISBLANK(B1972), "", GSPC[[#This Row],[Adj Close]]/B1972-1)</f>
        <v>-2.8314921687342731E-2</v>
      </c>
      <c r="D197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7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71" s="11" t="e">
        <f>IF(ISBLANK(GSPC[[#This Row],[Long Exp.]]), "", (GSPC[[#This Row],[Long Exp.]]/D1972-1)+(E1972/GSPC[[#This Row],[Short Exp.]]-1))</f>
        <v>#VALUE!</v>
      </c>
      <c r="G1971" s="37">
        <v>31299</v>
      </c>
      <c r="H1971">
        <v>1.934326</v>
      </c>
      <c r="I1971" s="36">
        <f>IF(ISBLANK(H1972), "", Long0[[#This Row],[Adj Close]]/H1972-1)</f>
        <v>-5.6737848037501704E-2</v>
      </c>
      <c r="P1971" s="29">
        <v>31299</v>
      </c>
      <c r="Q1971">
        <v>0.78274200000000005</v>
      </c>
      <c r="R1971" s="33">
        <f>IF(ISBLANK(Q1972),"",Long3[[#This Row],[Adj Close]]/Q1972-1)</f>
        <v>-5.4621742170883558E-2</v>
      </c>
      <c r="AK1971" s="37">
        <v>31299</v>
      </c>
      <c r="AL1971" s="44">
        <v>0.13028100000000001</v>
      </c>
      <c r="AM1971" s="36">
        <f>IF(ISBLANK(AL1972),"",Short1[[#This Row],[Adj Close]]/AL1972-1)</f>
        <v>-5.6338232205071614E-2</v>
      </c>
      <c r="AN1971" s="29">
        <v>31299</v>
      </c>
      <c r="AO1971" s="44">
        <v>0.43651200000000001</v>
      </c>
      <c r="AP1971" s="33">
        <f>IF(ISBLANK(AO1972),"",Short2[[#This Row],[Adj Close]]/AO1972-1)</f>
        <v>-6.81820122445842E-2</v>
      </c>
    </row>
    <row r="1972" spans="1:42" x14ac:dyDescent="0.25">
      <c r="A1972" s="37">
        <v>31292</v>
      </c>
      <c r="B1972" s="39">
        <v>188.240005</v>
      </c>
      <c r="C1972" s="36">
        <f>IF(ISBLANK(B1973), "", GSPC[[#This Row],[Adj Close]]/B1973-1)</f>
        <v>-2.0675395730388457E-3</v>
      </c>
      <c r="D197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7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72" s="11" t="e">
        <f>IF(ISBLANK(GSPC[[#This Row],[Long Exp.]]), "", (GSPC[[#This Row],[Long Exp.]]/D1973-1)+(E1973/GSPC[[#This Row],[Short Exp.]]-1))</f>
        <v>#VALUE!</v>
      </c>
      <c r="G1972" s="37">
        <v>31292</v>
      </c>
      <c r="H1972">
        <v>2.0506769999999999</v>
      </c>
      <c r="I1972" s="36">
        <f>IF(ISBLANK(H1973), "", Long0[[#This Row],[Adj Close]]/H1973-1)</f>
        <v>-9.0322855390009504E-2</v>
      </c>
      <c r="P1972" s="29">
        <v>31292</v>
      </c>
      <c r="Q1972">
        <v>0.82796700000000001</v>
      </c>
      <c r="R1972" s="33">
        <f>IF(ISBLANK(Q1973),"",Long3[[#This Row],[Adj Close]]/Q1973-1)</f>
        <v>-1.4354334692419868E-2</v>
      </c>
      <c r="AK1972" s="37">
        <v>31292</v>
      </c>
      <c r="AL1972" s="44">
        <v>0.13805899999999999</v>
      </c>
      <c r="AM1972" s="36">
        <f>IF(ISBLANK(AL1973),"",Short1[[#This Row],[Adj Close]]/AL1973-1)</f>
        <v>3.6494541960089277E-2</v>
      </c>
      <c r="AN1972" s="29">
        <v>31292</v>
      </c>
      <c r="AO1972" s="44">
        <v>0.46845199999999998</v>
      </c>
      <c r="AP1972" s="33">
        <f>IF(ISBLANK(AO1973),"",Short2[[#This Row],[Adj Close]]/AO1973-1)</f>
        <v>-6.382995731346619E-2</v>
      </c>
    </row>
    <row r="1973" spans="1:42" x14ac:dyDescent="0.25">
      <c r="A1973" s="37">
        <v>31285</v>
      </c>
      <c r="B1973" s="39">
        <v>188.63000500000001</v>
      </c>
      <c r="C1973" s="36">
        <f>IF(ISBLANK(B1974), "", GSPC[[#This Row],[Adj Close]]/B1974-1)</f>
        <v>7.8004328450118621E-3</v>
      </c>
      <c r="D197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7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73" s="11" t="e">
        <f>IF(ISBLANK(GSPC[[#This Row],[Long Exp.]]), "", (GSPC[[#This Row],[Long Exp.]]/D1974-1)+(E1974/GSPC[[#This Row],[Short Exp.]]-1))</f>
        <v>#VALUE!</v>
      </c>
      <c r="G1973" s="37">
        <v>31285</v>
      </c>
      <c r="H1973">
        <v>2.2542909999999998</v>
      </c>
      <c r="I1973" s="36">
        <f>IF(ISBLANK(H1974), "", Long0[[#This Row],[Adj Close]]/H1974-1)</f>
        <v>9.9291112154668904E-2</v>
      </c>
      <c r="P1973" s="29">
        <v>31285</v>
      </c>
      <c r="Q1973">
        <v>0.84002500000000002</v>
      </c>
      <c r="R1973" s="33">
        <f>IF(ISBLANK(Q1974),"",Long3[[#This Row],[Adj Close]]/Q1974-1)</f>
        <v>1.4563382357026367E-2</v>
      </c>
      <c r="AK1973" s="37">
        <v>31285</v>
      </c>
      <c r="AL1973" s="44">
        <v>0.13319800000000001</v>
      </c>
      <c r="AM1973" s="36">
        <f>IF(ISBLANK(AL1974),"",Short1[[#This Row],[Adj Close]]/AL1974-1)</f>
        <v>0.12294397841756965</v>
      </c>
      <c r="AN1973" s="29">
        <v>31285</v>
      </c>
      <c r="AO1973" s="44">
        <v>0.50039199999999995</v>
      </c>
      <c r="AP1973" s="33">
        <f>IF(ISBLANK(AO1974),"",Short2[[#This Row],[Adj Close]]/AO1974-1)</f>
        <v>1.0752036584799285E-2</v>
      </c>
    </row>
    <row r="1974" spans="1:42" x14ac:dyDescent="0.25">
      <c r="A1974" s="37">
        <v>31278</v>
      </c>
      <c r="B1974" s="39">
        <v>187.16999799999999</v>
      </c>
      <c r="C1974" s="36">
        <f>IF(ISBLANK(B1975), "", GSPC[[#This Row],[Adj Close]]/B1975-1)</f>
        <v>5.7495538178542471E-3</v>
      </c>
      <c r="D197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7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74" s="11" t="e">
        <f>IF(ISBLANK(GSPC[[#This Row],[Long Exp.]]), "", (GSPC[[#This Row],[Long Exp.]]/D1975-1)+(E1975/GSPC[[#This Row],[Short Exp.]]-1))</f>
        <v>#VALUE!</v>
      </c>
      <c r="G1974" s="37">
        <v>31278</v>
      </c>
      <c r="H1974">
        <v>2.0506769999999999</v>
      </c>
      <c r="I1974" s="36">
        <f>IF(ISBLANK(H1975), "", Long0[[#This Row],[Adj Close]]/H1975-1)</f>
        <v>-4.0816841998914E-2</v>
      </c>
      <c r="P1974" s="29">
        <v>31278</v>
      </c>
      <c r="Q1974">
        <v>0.82796700000000001</v>
      </c>
      <c r="R1974" s="33">
        <f>IF(ISBLANK(Q1975),"",Long3[[#This Row],[Adj Close]]/Q1975-1)</f>
        <v>9.8045194212175169E-3</v>
      </c>
      <c r="AK1974" s="37">
        <v>31278</v>
      </c>
      <c r="AL1974" s="44">
        <v>0.118615</v>
      </c>
      <c r="AM1974" s="36">
        <f>IF(ISBLANK(AL1975),"",Short1[[#This Row],[Adj Close]]/AL1975-1)</f>
        <v>2.5212190357655206E-2</v>
      </c>
      <c r="AN1974" s="29">
        <v>31278</v>
      </c>
      <c r="AO1974" s="44">
        <v>0.49506899999999998</v>
      </c>
      <c r="AP1974" s="33">
        <f>IF(ISBLANK(AO1975),"",Short2[[#This Row],[Adj Close]]/AO1975-1)</f>
        <v>-1.0637660074501509E-2</v>
      </c>
    </row>
    <row r="1975" spans="1:42" x14ac:dyDescent="0.25">
      <c r="A1975" s="37">
        <v>31271</v>
      </c>
      <c r="B1975" s="39">
        <v>186.10000600000001</v>
      </c>
      <c r="C1975" s="36">
        <f>IF(ISBLANK(B1976), "", GSPC[[#This Row],[Adj Close]]/B1976-1)</f>
        <v>-1.17884500715848E-2</v>
      </c>
      <c r="D197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7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75" s="11" t="e">
        <f>IF(ISBLANK(GSPC[[#This Row],[Long Exp.]]), "", (GSPC[[#This Row],[Long Exp.]]/D1976-1)+(E1976/GSPC[[#This Row],[Short Exp.]]-1))</f>
        <v>#VALUE!</v>
      </c>
      <c r="G1975" s="37">
        <v>31271</v>
      </c>
      <c r="H1975">
        <v>2.1379410000000001</v>
      </c>
      <c r="I1975" s="36">
        <f>IF(ISBLANK(H1976), "", Long0[[#This Row],[Adj Close]]/H1976-1)</f>
        <v>-6.9620261427384533E-2</v>
      </c>
      <c r="P1975" s="29">
        <v>31271</v>
      </c>
      <c r="Q1975">
        <v>0.81992799999999999</v>
      </c>
      <c r="R1975" s="33">
        <f>IF(ISBLANK(Q1976),"",Long3[[#This Row],[Adj Close]]/Q1976-1)</f>
        <v>1.9999975119767255E-2</v>
      </c>
      <c r="AK1975" s="37">
        <v>31271</v>
      </c>
      <c r="AL1975" s="44">
        <v>0.115698</v>
      </c>
      <c r="AM1975" s="36">
        <f>IF(ISBLANK(AL1976),"",Short1[[#This Row],[Adj Close]]/AL1976-1)</f>
        <v>1.7098450150765165E-2</v>
      </c>
      <c r="AN1975" s="29">
        <v>31271</v>
      </c>
      <c r="AO1975" s="44">
        <v>0.50039199999999995</v>
      </c>
      <c r="AP1975" s="33">
        <f>IF(ISBLANK(AO1976),"",Short2[[#This Row],[Adj Close]]/AO1976-1)</f>
        <v>-2.0832110332304143E-2</v>
      </c>
    </row>
    <row r="1976" spans="1:42" x14ac:dyDescent="0.25">
      <c r="A1976" s="37">
        <v>31264</v>
      </c>
      <c r="B1976" s="39">
        <v>188.320007</v>
      </c>
      <c r="C1976" s="36">
        <f>IF(ISBLANK(B1977), "", GSPC[[#This Row],[Adj Close]]/B1977-1)</f>
        <v>-1.6502971934467703E-2</v>
      </c>
      <c r="D197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7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76" s="11" t="e">
        <f>IF(ISBLANK(GSPC[[#This Row],[Long Exp.]]), "", (GSPC[[#This Row],[Long Exp.]]/D1977-1)+(E1977/GSPC[[#This Row],[Short Exp.]]-1))</f>
        <v>#VALUE!</v>
      </c>
      <c r="G1976" s="37">
        <v>31264</v>
      </c>
      <c r="H1976">
        <v>2.2979229999999999</v>
      </c>
      <c r="I1976" s="36">
        <f>IF(ISBLANK(H1977), "", Long0[[#This Row],[Adj Close]]/H1977-1)</f>
        <v>-4.242395703848223E-2</v>
      </c>
      <c r="P1976" s="29">
        <v>31264</v>
      </c>
      <c r="Q1976">
        <v>0.80385099999999998</v>
      </c>
      <c r="R1976" s="33">
        <f>IF(ISBLANK(Q1977),"",Long3[[#This Row],[Adj Close]]/Q1977-1)</f>
        <v>0</v>
      </c>
      <c r="AK1976" s="37">
        <v>31264</v>
      </c>
      <c r="AL1976" s="44">
        <v>0.11375300000000001</v>
      </c>
      <c r="AM1976" s="36">
        <f>IF(ISBLANK(AL1977),"",Short1[[#This Row],[Adj Close]]/AL1977-1)</f>
        <v>-1.6811007969022684E-2</v>
      </c>
      <c r="AN1976" s="29">
        <v>31264</v>
      </c>
      <c r="AO1976" s="44">
        <v>0.51103799999999999</v>
      </c>
      <c r="AP1976" s="33">
        <f>IF(ISBLANK(AO1977),"",Short2[[#This Row],[Adj Close]]/AO1977-1)</f>
        <v>-5.8825479438431305E-2</v>
      </c>
    </row>
    <row r="1977" spans="1:42" x14ac:dyDescent="0.25">
      <c r="A1977" s="37">
        <v>31257</v>
      </c>
      <c r="B1977" s="39">
        <v>191.479996</v>
      </c>
      <c r="C1977" s="36">
        <f>IF(ISBLANK(B1978), "", GSPC[[#This Row],[Adj Close]]/B1978-1)</f>
        <v>-4.7816945358116758E-3</v>
      </c>
      <c r="D197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7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77" s="11" t="e">
        <f>IF(ISBLANK(GSPC[[#This Row],[Long Exp.]]), "", (GSPC[[#This Row],[Long Exp.]]/D1978-1)+(E1978/GSPC[[#This Row],[Short Exp.]]-1))</f>
        <v>#VALUE!</v>
      </c>
      <c r="G1977" s="37">
        <v>31257</v>
      </c>
      <c r="H1977">
        <v>2.3997289999999998</v>
      </c>
      <c r="I1977" s="36">
        <f>IF(ISBLANK(H1978), "", Long0[[#This Row],[Adj Close]]/H1978-1)</f>
        <v>-0.11290320791941599</v>
      </c>
      <c r="P1977" s="29">
        <v>31257</v>
      </c>
      <c r="Q1977">
        <v>0.80385099999999998</v>
      </c>
      <c r="R1977" s="33">
        <f>IF(ISBLANK(Q1978),"",Long3[[#This Row],[Adj Close]]/Q1978-1)</f>
        <v>-2.9126764714052622E-2</v>
      </c>
      <c r="AK1977" s="37">
        <v>31257</v>
      </c>
      <c r="AL1977" s="44">
        <v>0.115698</v>
      </c>
      <c r="AM1977" s="36">
        <f>IF(ISBLANK(AL1978),"",Short1[[#This Row],[Adj Close]]/AL1978-1)</f>
        <v>2.5864285650951668E-2</v>
      </c>
      <c r="AN1977" s="29">
        <v>31257</v>
      </c>
      <c r="AO1977" s="44">
        <v>0.54297899999999999</v>
      </c>
      <c r="AP1977" s="33">
        <f>IF(ISBLANK(AO1978),"",Short2[[#This Row],[Adj Close]]/AO1978-1)</f>
        <v>-9.7063474259577731E-3</v>
      </c>
    </row>
    <row r="1978" spans="1:42" x14ac:dyDescent="0.25">
      <c r="A1978" s="37">
        <v>31250</v>
      </c>
      <c r="B1978" s="39">
        <v>192.39999399999999</v>
      </c>
      <c r="C1978" s="36">
        <f>IF(ISBLANK(B1979), "", GSPC[[#This Row],[Adj Close]]/B1979-1)</f>
        <v>-1.3990728898920612E-2</v>
      </c>
      <c r="D197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7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78" s="11" t="e">
        <f>IF(ISBLANK(GSPC[[#This Row],[Long Exp.]]), "", (GSPC[[#This Row],[Long Exp.]]/D1979-1)+(E1979/GSPC[[#This Row],[Short Exp.]]-1))</f>
        <v>#VALUE!</v>
      </c>
      <c r="G1978" s="37">
        <v>31250</v>
      </c>
      <c r="H1978">
        <v>2.705149</v>
      </c>
      <c r="I1978" s="36">
        <f>IF(ISBLANK(H1979), "", Long0[[#This Row],[Adj Close]]/H1979-1)</f>
        <v>-8.3743593755980283E-2</v>
      </c>
      <c r="P1978" s="29">
        <v>31250</v>
      </c>
      <c r="Q1978">
        <v>0.82796700000000001</v>
      </c>
      <c r="R1978" s="33">
        <f>IF(ISBLANK(Q1979),"",Long3[[#This Row],[Adj Close]]/Q1979-1)</f>
        <v>-7.2071950911994698E-2</v>
      </c>
      <c r="AK1978" s="37">
        <v>31250</v>
      </c>
      <c r="AL1978" s="44">
        <v>0.11278100000000001</v>
      </c>
      <c r="AM1978" s="36">
        <f>IF(ISBLANK(AL1979),"",Short1[[#This Row],[Adj Close]]/AL1979-1)</f>
        <v>-8.5448295869120505E-3</v>
      </c>
      <c r="AN1978" s="29">
        <v>31250</v>
      </c>
      <c r="AO1978" s="44">
        <v>0.54830100000000004</v>
      </c>
      <c r="AP1978" s="33">
        <f>IF(ISBLANK(AO1979),"",Short2[[#This Row],[Adj Close]]/AO1979-1)</f>
        <v>-8.035745734312183E-2</v>
      </c>
    </row>
    <row r="1979" spans="1:42" x14ac:dyDescent="0.25">
      <c r="A1979" s="37">
        <v>31243</v>
      </c>
      <c r="B1979" s="39">
        <v>195.13000500000001</v>
      </c>
      <c r="C1979" s="36">
        <f>IF(ISBLANK(B1980), "", GSPC[[#This Row],[Adj Close]]/B1980-1)</f>
        <v>9.5194374599620879E-3</v>
      </c>
      <c r="D197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7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79" s="11" t="e">
        <f>IF(ISBLANK(GSPC[[#This Row],[Long Exp.]]), "", (GSPC[[#This Row],[Long Exp.]]/D1980-1)+(E1980/GSPC[[#This Row],[Short Exp.]]-1))</f>
        <v>#VALUE!</v>
      </c>
      <c r="G1979" s="37">
        <v>31243</v>
      </c>
      <c r="H1979">
        <v>2.9523929999999998</v>
      </c>
      <c r="I1979" s="36">
        <f>IF(ISBLANK(H1980), "", Long0[[#This Row],[Adj Close]]/H1980-1)</f>
        <v>-4.902025219949202E-3</v>
      </c>
      <c r="P1979" s="29">
        <v>31243</v>
      </c>
      <c r="Q1979">
        <v>0.89227500000000004</v>
      </c>
      <c r="R1979" s="33">
        <f>IF(ISBLANK(Q1980),"",Long3[[#This Row],[Adj Close]]/Q1980-1)</f>
        <v>9.0914642697199621E-3</v>
      </c>
      <c r="AK1979" s="37">
        <v>31243</v>
      </c>
      <c r="AL1979" s="44">
        <v>0.11375300000000001</v>
      </c>
      <c r="AM1979" s="36">
        <f>IF(ISBLANK(AL1980),"",Short1[[#This Row],[Adj Close]]/AL1980-1)</f>
        <v>0</v>
      </c>
      <c r="AN1979" s="29">
        <v>31243</v>
      </c>
      <c r="AO1979" s="44">
        <v>0.59621100000000005</v>
      </c>
      <c r="AP1979" s="33">
        <f>IF(ISBLANK(AO1980),"",Short2[[#This Row],[Adj Close]]/AO1980-1)</f>
        <v>6.6666308851628608E-2</v>
      </c>
    </row>
    <row r="1980" spans="1:42" x14ac:dyDescent="0.25">
      <c r="A1980" s="37">
        <v>31236</v>
      </c>
      <c r="B1980" s="39">
        <v>193.28999300000001</v>
      </c>
      <c r="C1980" s="36">
        <f>IF(ISBLANK(B1981), "", GSPC[[#This Row],[Adj Close]]/B1981-1)</f>
        <v>3.9995272387383096E-3</v>
      </c>
      <c r="D198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8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80" s="11" t="e">
        <f>IF(ISBLANK(GSPC[[#This Row],[Long Exp.]]), "", (GSPC[[#This Row],[Long Exp.]]/D1981-1)+(E1981/GSPC[[#This Row],[Short Exp.]]-1))</f>
        <v>#VALUE!</v>
      </c>
      <c r="G1980" s="37">
        <v>31236</v>
      </c>
      <c r="H1980">
        <v>2.9669370000000002</v>
      </c>
      <c r="I1980" s="36">
        <f>IF(ISBLANK(H1981), "", Long0[[#This Row],[Adj Close]]/H1981-1)</f>
        <v>5.6994480853992835E-2</v>
      </c>
      <c r="P1980" s="29">
        <v>31236</v>
      </c>
      <c r="Q1980">
        <v>0.88423600000000002</v>
      </c>
      <c r="R1980" s="33">
        <f>IF(ISBLANK(Q1981),"",Long3[[#This Row],[Adj Close]]/Q1981-1)</f>
        <v>3.773580476996341E-2</v>
      </c>
      <c r="AK1980" s="37">
        <v>31236</v>
      </c>
      <c r="AL1980" s="44">
        <v>0.11375300000000001</v>
      </c>
      <c r="AM1980" s="36">
        <f>IF(ISBLANK(AL1981),"",Short1[[#This Row],[Adj Close]]/AL1981-1)</f>
        <v>0.12499752754316917</v>
      </c>
      <c r="AN1980" s="29">
        <v>31236</v>
      </c>
      <c r="AO1980" s="44">
        <v>0.558948</v>
      </c>
      <c r="AP1980" s="33">
        <f>IF(ISBLANK(AO1981),"",Short2[[#This Row],[Adj Close]]/AO1981-1)</f>
        <v>-5.4054237012767126E-2</v>
      </c>
    </row>
    <row r="1981" spans="1:42" x14ac:dyDescent="0.25">
      <c r="A1981" s="37">
        <v>31229</v>
      </c>
      <c r="B1981" s="39">
        <v>192.520004</v>
      </c>
      <c r="C1981" s="36">
        <f>IF(ISBLANK(B1982), "", GSPC[[#This Row],[Adj Close]]/B1982-1)</f>
        <v>3.4923011678196225E-3</v>
      </c>
      <c r="D198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8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81" s="11" t="e">
        <f>IF(ISBLANK(GSPC[[#This Row],[Long Exp.]]), "", (GSPC[[#This Row],[Long Exp.]]/D1982-1)+(E1982/GSPC[[#This Row],[Short Exp.]]-1))</f>
        <v>#VALUE!</v>
      </c>
      <c r="G1981" s="37">
        <v>31229</v>
      </c>
      <c r="H1981">
        <v>2.806956</v>
      </c>
      <c r="I1981" s="36">
        <f>IF(ISBLANK(H1982), "", Long0[[#This Row],[Adj Close]]/H1982-1)</f>
        <v>5.2080405011722952E-3</v>
      </c>
      <c r="P1981" s="29">
        <v>31229</v>
      </c>
      <c r="Q1981">
        <v>0.85208200000000001</v>
      </c>
      <c r="R1981" s="33">
        <f>IF(ISBLANK(Q1982),"",Long3[[#This Row],[Adj Close]]/Q1982-1)</f>
        <v>-1.3953757492998875E-2</v>
      </c>
      <c r="AK1981" s="37">
        <v>31229</v>
      </c>
      <c r="AL1981" s="44">
        <v>0.101114</v>
      </c>
      <c r="AM1981" s="36">
        <f>IF(ISBLANK(AL1982),"",Short1[[#This Row],[Adj Close]]/AL1982-1)</f>
        <v>2.9705591820524013E-2</v>
      </c>
      <c r="AN1981" s="29">
        <v>31229</v>
      </c>
      <c r="AO1981" s="44">
        <v>0.59088799999999997</v>
      </c>
      <c r="AP1981" s="33">
        <f>IF(ISBLANK(AO1982),"",Short2[[#This Row],[Adj Close]]/AO1982-1)</f>
        <v>9.0903657151639727E-3</v>
      </c>
    </row>
    <row r="1982" spans="1:42" x14ac:dyDescent="0.25">
      <c r="A1982" s="37">
        <v>31222</v>
      </c>
      <c r="B1982" s="39">
        <v>191.85000600000001</v>
      </c>
      <c r="C1982" s="36">
        <f>IF(ISBLANK(B1983), "", GSPC[[#This Row],[Adj Close]]/B1983-1)</f>
        <v>1.1813749212521651E-2</v>
      </c>
      <c r="D198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8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82" s="11" t="e">
        <f>IF(ISBLANK(GSPC[[#This Row],[Long Exp.]]), "", (GSPC[[#This Row],[Long Exp.]]/D1983-1)+(E1983/GSPC[[#This Row],[Short Exp.]]-1))</f>
        <v>#VALUE!</v>
      </c>
      <c r="G1982" s="37">
        <v>31222</v>
      </c>
      <c r="H1982">
        <v>2.7924129999999998</v>
      </c>
      <c r="I1982" s="36">
        <f>IF(ISBLANK(H1983), "", Long0[[#This Row],[Adj Close]]/H1983-1)</f>
        <v>-1.0309055466950268E-2</v>
      </c>
      <c r="P1982" s="29">
        <v>31222</v>
      </c>
      <c r="Q1982">
        <v>0.86414000000000002</v>
      </c>
      <c r="R1982" s="33">
        <f>IF(ISBLANK(Q1983),"",Long3[[#This Row],[Adj Close]]/Q1983-1)</f>
        <v>1.4151220187728519E-2</v>
      </c>
      <c r="AK1982" s="37">
        <v>31222</v>
      </c>
      <c r="AL1982" s="44">
        <v>9.8197000000000007E-2</v>
      </c>
      <c r="AM1982" s="36">
        <f>IF(ISBLANK(AL1983),"",Short1[[#This Row],[Adj Close]]/AL1983-1)</f>
        <v>-2.8848626302984681E-2</v>
      </c>
      <c r="AN1982" s="29">
        <v>31222</v>
      </c>
      <c r="AO1982" s="44">
        <v>0.585565</v>
      </c>
      <c r="AP1982" s="33">
        <f>IF(ISBLANK(AO1983),"",Short2[[#This Row],[Adj Close]]/AO1983-1)</f>
        <v>8.9109187118133315E-2</v>
      </c>
    </row>
    <row r="1983" spans="1:42" x14ac:dyDescent="0.25">
      <c r="A1983" s="37">
        <v>31215</v>
      </c>
      <c r="B1983" s="39">
        <v>189.61000100000001</v>
      </c>
      <c r="C1983" s="36">
        <f>IF(ISBLANK(B1984), "", GSPC[[#This Row],[Adj Close]]/B1984-1)</f>
        <v>1.3415258789462481E-2</v>
      </c>
      <c r="D198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8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83" s="11" t="e">
        <f>IF(ISBLANK(GSPC[[#This Row],[Long Exp.]]), "", (GSPC[[#This Row],[Long Exp.]]/D1984-1)+(E1984/GSPC[[#This Row],[Short Exp.]]-1))</f>
        <v>#VALUE!</v>
      </c>
      <c r="G1983" s="37">
        <v>31215</v>
      </c>
      <c r="H1983">
        <v>2.8214999999999999</v>
      </c>
      <c r="I1983" s="36">
        <f>IF(ISBLANK(H1984), "", Long0[[#This Row],[Adj Close]]/H1984-1)</f>
        <v>-2.020227275568498E-2</v>
      </c>
      <c r="P1983" s="29">
        <v>31215</v>
      </c>
      <c r="Q1983">
        <v>0.85208200000000001</v>
      </c>
      <c r="R1983" s="33">
        <f>IF(ISBLANK(Q1984),"",Long3[[#This Row],[Adj Close]]/Q1984-1)</f>
        <v>4.739034717939683E-3</v>
      </c>
      <c r="AK1983" s="37">
        <v>31215</v>
      </c>
      <c r="AL1983" s="44">
        <v>0.101114</v>
      </c>
      <c r="AM1983" s="36">
        <f>IF(ISBLANK(AL1984),"",Short1[[#This Row],[Adj Close]]/AL1984-1)</f>
        <v>-8.7715182792594493E-2</v>
      </c>
      <c r="AN1983" s="29">
        <v>31215</v>
      </c>
      <c r="AO1983" s="44">
        <v>0.53765499999999999</v>
      </c>
      <c r="AP1983" s="33">
        <f>IF(ISBLANK(AO1984),"",Short2[[#This Row],[Adj Close]]/AO1984-1)</f>
        <v>-9.8051674189977289E-3</v>
      </c>
    </row>
    <row r="1984" spans="1:42" x14ac:dyDescent="0.25">
      <c r="A1984" s="37">
        <v>31208</v>
      </c>
      <c r="B1984" s="39">
        <v>187.10000600000001</v>
      </c>
      <c r="C1984" s="36">
        <f>IF(ISBLANK(B1985), "", GSPC[[#This Row],[Adj Close]]/B1985-1)</f>
        <v>-1.3601787722545833E-2</v>
      </c>
      <c r="D198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8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84" s="11" t="e">
        <f>IF(ISBLANK(GSPC[[#This Row],[Long Exp.]]), "", (GSPC[[#This Row],[Long Exp.]]/D1985-1)+(E1985/GSPC[[#This Row],[Short Exp.]]-1))</f>
        <v>#VALUE!</v>
      </c>
      <c r="G1984" s="37">
        <v>31208</v>
      </c>
      <c r="H1984">
        <v>2.8796759999999999</v>
      </c>
      <c r="I1984" s="36">
        <f>IF(ISBLANK(H1985), "", Long0[[#This Row],[Adj Close]]/H1985-1)</f>
        <v>6.4516594095186619E-2</v>
      </c>
      <c r="P1984" s="29">
        <v>31208</v>
      </c>
      <c r="Q1984">
        <v>0.84806300000000001</v>
      </c>
      <c r="R1984" s="33">
        <f>IF(ISBLANK(Q1985),"",Long3[[#This Row],[Adj Close]]/Q1985-1)</f>
        <v>2.4395222904162184E-2</v>
      </c>
      <c r="AK1984" s="37">
        <v>31208</v>
      </c>
      <c r="AL1984" s="44">
        <v>0.110836</v>
      </c>
      <c r="AM1984" s="36">
        <f>IF(ISBLANK(AL1985),"",Short1[[#This Row],[Adj Close]]/AL1985-1)</f>
        <v>-6.5581924714412154E-2</v>
      </c>
      <c r="AN1984" s="29">
        <v>31208</v>
      </c>
      <c r="AO1984" s="44">
        <v>0.54297899999999999</v>
      </c>
      <c r="AP1984" s="33">
        <f>IF(ISBLANK(AO1985),"",Short2[[#This Row],[Adj Close]]/AO1985-1)</f>
        <v>-0.12068890130444287</v>
      </c>
    </row>
    <row r="1985" spans="1:42" x14ac:dyDescent="0.25">
      <c r="A1985" s="37">
        <v>31201</v>
      </c>
      <c r="B1985" s="39">
        <v>189.679993</v>
      </c>
      <c r="C1985" s="36">
        <f>IF(ISBLANK(B1986), "", GSPC[[#This Row],[Adj Close]]/B1986-1)</f>
        <v>6.8578210468284162E-4</v>
      </c>
      <c r="D198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8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85" s="11" t="e">
        <f>IF(ISBLANK(GSPC[[#This Row],[Long Exp.]]), "", (GSPC[[#This Row],[Long Exp.]]/D1986-1)+(E1986/GSPC[[#This Row],[Short Exp.]]-1))</f>
        <v>#VALUE!</v>
      </c>
      <c r="G1985" s="37">
        <v>31201</v>
      </c>
      <c r="H1985">
        <v>2.705149</v>
      </c>
      <c r="I1985" s="36">
        <f>IF(ISBLANK(H1986), "", Long0[[#This Row],[Adj Close]]/H1986-1)</f>
        <v>2.1979084772745905E-2</v>
      </c>
      <c r="P1985" s="29">
        <v>31201</v>
      </c>
      <c r="Q1985">
        <v>0.82786700000000002</v>
      </c>
      <c r="R1985" s="33">
        <f>IF(ISBLANK(Q1986),"",Long3[[#This Row],[Adj Close]]/Q1986-1)</f>
        <v>-1.4019136818485989E-2</v>
      </c>
      <c r="AK1985" s="37">
        <v>31201</v>
      </c>
      <c r="AL1985" s="44">
        <v>0.118615</v>
      </c>
      <c r="AM1985" s="36">
        <f>IF(ISBLANK(AL1986),"",Short1[[#This Row],[Adj Close]]/AL1986-1)</f>
        <v>5.1728571301903559E-2</v>
      </c>
      <c r="AN1985" s="29">
        <v>31201</v>
      </c>
      <c r="AO1985" s="44">
        <v>0.61750499999999997</v>
      </c>
      <c r="AP1985" s="33">
        <f>IF(ISBLANK(AO1986),"",Short2[[#This Row],[Adj Close]]/AO1986-1)</f>
        <v>5.454560979566736E-2</v>
      </c>
    </row>
    <row r="1986" spans="1:42" x14ac:dyDescent="0.25">
      <c r="A1986" s="37">
        <v>31194</v>
      </c>
      <c r="B1986" s="39">
        <v>189.550003</v>
      </c>
      <c r="C1986" s="36">
        <f>IF(ISBLANK(B1987), "", GSPC[[#This Row],[Adj Close]]/B1987-1)</f>
        <v>6.6918585524615715E-3</v>
      </c>
      <c r="D198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8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86" s="11" t="e">
        <f>IF(ISBLANK(GSPC[[#This Row],[Long Exp.]]), "", (GSPC[[#This Row],[Long Exp.]]/D1987-1)+(E1987/GSPC[[#This Row],[Short Exp.]]-1))</f>
        <v>#VALUE!</v>
      </c>
      <c r="G1986" s="37">
        <v>31194</v>
      </c>
      <c r="H1986">
        <v>2.6469710000000002</v>
      </c>
      <c r="I1986" s="36">
        <f>IF(ISBLANK(H1987), "", Long0[[#This Row],[Adj Close]]/H1987-1)</f>
        <v>1.6758843056348338E-2</v>
      </c>
      <c r="P1986" s="29">
        <v>31194</v>
      </c>
      <c r="Q1986">
        <v>0.839638</v>
      </c>
      <c r="R1986" s="33">
        <f>IF(ISBLANK(Q1987),"",Long3[[#This Row],[Adj Close]]/Q1987-1)</f>
        <v>3.8834519022579617E-2</v>
      </c>
      <c r="AK1986" s="37">
        <v>31194</v>
      </c>
      <c r="AL1986" s="44">
        <v>0.11278100000000001</v>
      </c>
      <c r="AM1986" s="36">
        <f>IF(ISBLANK(AL1987),"",Short1[[#This Row],[Adj Close]]/AL1987-1)</f>
        <v>6.4222694031611294E-2</v>
      </c>
      <c r="AN1986" s="29">
        <v>31194</v>
      </c>
      <c r="AO1986" s="44">
        <v>0.585565</v>
      </c>
      <c r="AP1986" s="33">
        <f>IF(ISBLANK(AO1987),"",Short2[[#This Row],[Adj Close]]/AO1987-1)</f>
        <v>-5.9828716756472167E-2</v>
      </c>
    </row>
    <row r="1987" spans="1:42" x14ac:dyDescent="0.25">
      <c r="A1987" s="37">
        <v>31187</v>
      </c>
      <c r="B1987" s="39">
        <v>188.28999300000001</v>
      </c>
      <c r="C1987" s="36">
        <f>IF(ISBLANK(B1988), "", GSPC[[#This Row],[Adj Close]]/B1988-1)</f>
        <v>4.6419539498661067E-3</v>
      </c>
      <c r="D198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8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87" s="11" t="e">
        <f>IF(ISBLANK(GSPC[[#This Row],[Long Exp.]]), "", (GSPC[[#This Row],[Long Exp.]]/D1988-1)+(E1988/GSPC[[#This Row],[Short Exp.]]-1))</f>
        <v>#VALUE!</v>
      </c>
      <c r="G1987" s="37">
        <v>31187</v>
      </c>
      <c r="H1987">
        <v>2.603342</v>
      </c>
      <c r="I1987" s="36">
        <f>IF(ISBLANK(H1988), "", Long0[[#This Row],[Adj Close]]/H1988-1)</f>
        <v>-6.7708823873832369E-2</v>
      </c>
      <c r="P1987" s="29">
        <v>31187</v>
      </c>
      <c r="Q1987">
        <v>0.80825000000000002</v>
      </c>
      <c r="R1987" s="33">
        <f>IF(ISBLANK(Q1988),"",Long3[[#This Row],[Adj Close]]/Q1988-1)</f>
        <v>0</v>
      </c>
      <c r="AK1987" s="37">
        <v>31187</v>
      </c>
      <c r="AL1987" s="44">
        <v>0.105975</v>
      </c>
      <c r="AM1987" s="36">
        <f>IF(ISBLANK(AL1988),"",Short1[[#This Row],[Adj Close]]/AL1988-1)</f>
        <v>-6.0347044271641503E-2</v>
      </c>
      <c r="AN1987" s="29">
        <v>31187</v>
      </c>
      <c r="AO1987" s="44">
        <v>0.62282800000000005</v>
      </c>
      <c r="AP1987" s="33">
        <f>IF(ISBLANK(AO1988),"",Short2[[#This Row],[Adj Close]]/AO1988-1)</f>
        <v>5.4054237012767459E-2</v>
      </c>
    </row>
    <row r="1988" spans="1:42" x14ac:dyDescent="0.25">
      <c r="A1988" s="37">
        <v>31180</v>
      </c>
      <c r="B1988" s="39">
        <v>187.41999799999999</v>
      </c>
      <c r="C1988" s="36">
        <f>IF(ISBLANK(B1989), "", GSPC[[#This Row],[Adj Close]]/B1989-1)</f>
        <v>1.7039282705878289E-2</v>
      </c>
      <c r="D198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8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88" s="11" t="e">
        <f>IF(ISBLANK(GSPC[[#This Row],[Long Exp.]]), "", (GSPC[[#This Row],[Long Exp.]]/D1989-1)+(E1989/GSPC[[#This Row],[Short Exp.]]-1))</f>
        <v>#VALUE!</v>
      </c>
      <c r="G1988" s="37">
        <v>31180</v>
      </c>
      <c r="H1988">
        <v>2.7924129999999998</v>
      </c>
      <c r="I1988" s="36">
        <f>IF(ISBLANK(H1989), "", Long0[[#This Row],[Adj Close]]/H1989-1)</f>
        <v>5.4946578560928661E-2</v>
      </c>
      <c r="P1988" s="29">
        <v>31180</v>
      </c>
      <c r="Q1988">
        <v>0.80825000000000002</v>
      </c>
      <c r="R1988" s="33">
        <f>IF(ISBLANK(Q1989),"",Long3[[#This Row],[Adj Close]]/Q1989-1)</f>
        <v>-4.8302516828311326E-3</v>
      </c>
      <c r="AK1988" s="37">
        <v>31180</v>
      </c>
      <c r="AL1988" s="44">
        <v>0.11278100000000001</v>
      </c>
      <c r="AM1988" s="36">
        <f>IF(ISBLANK(AL1989),"",Short1[[#This Row],[Adj Close]]/AL1989-1)</f>
        <v>0.11538461538461542</v>
      </c>
      <c r="AN1988" s="29">
        <v>31180</v>
      </c>
      <c r="AO1988" s="44">
        <v>0.59088799999999997</v>
      </c>
      <c r="AP1988" s="33">
        <f>IF(ISBLANK(AO1989),"",Short2[[#This Row],[Adj Close]]/AO1989-1)</f>
        <v>0</v>
      </c>
    </row>
    <row r="1989" spans="1:42" x14ac:dyDescent="0.25">
      <c r="A1989" s="37">
        <v>31173</v>
      </c>
      <c r="B1989" s="39">
        <v>184.279999</v>
      </c>
      <c r="C1989" s="36">
        <f>IF(ISBLANK(B1990), "", GSPC[[#This Row],[Adj Close]]/B1990-1)</f>
        <v>2.3322950651677665E-2</v>
      </c>
      <c r="D198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8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89" s="11" t="e">
        <f>IF(ISBLANK(GSPC[[#This Row],[Long Exp.]]), "", (GSPC[[#This Row],[Long Exp.]]/D1990-1)+(E1990/GSPC[[#This Row],[Short Exp.]]-1))</f>
        <v>#VALUE!</v>
      </c>
      <c r="G1989" s="37">
        <v>31173</v>
      </c>
      <c r="H1989">
        <v>2.6469710000000002</v>
      </c>
      <c r="I1989" s="36">
        <f>IF(ISBLANK(H1990), "", Long0[[#This Row],[Adj Close]]/H1990-1)</f>
        <v>7.6922044148184821E-2</v>
      </c>
      <c r="P1989" s="29">
        <v>31173</v>
      </c>
      <c r="Q1989">
        <v>0.81217300000000003</v>
      </c>
      <c r="R1989" s="33">
        <f>IF(ISBLANK(Q1990),"",Long3[[#This Row],[Adj Close]]/Q1990-1)</f>
        <v>5.61225153248186E-2</v>
      </c>
      <c r="AK1989" s="37">
        <v>31173</v>
      </c>
      <c r="AL1989" s="44">
        <v>0.101114</v>
      </c>
      <c r="AM1989" s="36">
        <f>IF(ISBLANK(AL1990),"",Short1[[#This Row],[Adj Close]]/AL1990-1)</f>
        <v>0.11828266182992508</v>
      </c>
      <c r="AN1989" s="29">
        <v>31173</v>
      </c>
      <c r="AO1989" s="44">
        <v>0.59088799999999997</v>
      </c>
      <c r="AP1989" s="33">
        <f>IF(ISBLANK(AO1990),"",Short2[[#This Row],[Adj Close]]/AO1990-1)</f>
        <v>0.13265284606611272</v>
      </c>
    </row>
    <row r="1990" spans="1:42" x14ac:dyDescent="0.25">
      <c r="A1990" s="37">
        <v>31166</v>
      </c>
      <c r="B1990" s="39">
        <v>180.08000200000001</v>
      </c>
      <c r="C1990" s="36">
        <f>IF(ISBLANK(B1991), "", GSPC[[#This Row],[Adj Close]]/B1991-1)</f>
        <v>-1.1527012189532782E-2</v>
      </c>
      <c r="D199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9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90" s="11" t="e">
        <f>IF(ISBLANK(GSPC[[#This Row],[Long Exp.]]), "", (GSPC[[#This Row],[Long Exp.]]/D1991-1)+(E1991/GSPC[[#This Row],[Short Exp.]]-1))</f>
        <v>#VALUE!</v>
      </c>
      <c r="G1990" s="37">
        <v>31166</v>
      </c>
      <c r="H1990">
        <v>2.4579040000000001</v>
      </c>
      <c r="I1990" s="36">
        <f>IF(ISBLANK(H1991), "", Long0[[#This Row],[Adj Close]]/H1991-1)</f>
        <v>-6.1111140821258014E-2</v>
      </c>
      <c r="P1990" s="29">
        <v>31166</v>
      </c>
      <c r="Q1990">
        <v>0.76901399999999998</v>
      </c>
      <c r="R1990" s="33">
        <f>IF(ISBLANK(Q1991),"",Long3[[#This Row],[Adj Close]]/Q1991-1)</f>
        <v>5.1274946378927488E-3</v>
      </c>
      <c r="AK1990" s="37">
        <v>31166</v>
      </c>
      <c r="AL1990" s="44">
        <v>9.0418999999999999E-2</v>
      </c>
      <c r="AM1990" s="36">
        <f>IF(ISBLANK(AL1991),"",Short1[[#This Row],[Adj Close]]/AL1991-1)</f>
        <v>-6.0611097835911676E-2</v>
      </c>
      <c r="AN1990" s="29">
        <v>31166</v>
      </c>
      <c r="AO1990" s="44">
        <v>0.52168499999999995</v>
      </c>
      <c r="AP1990" s="33">
        <f>IF(ISBLANK(AO1991),"",Short2[[#This Row],[Adj Close]]/AO1991-1)</f>
        <v>-5.7692481372770499E-2</v>
      </c>
    </row>
    <row r="1991" spans="1:42" x14ac:dyDescent="0.25">
      <c r="A1991" s="37">
        <v>31159</v>
      </c>
      <c r="B1991" s="39">
        <v>182.179993</v>
      </c>
      <c r="C1991" s="36">
        <f>IF(ISBLANK(B1992), "", GSPC[[#This Row],[Adj Close]]/B1992-1)</f>
        <v>5.9079675009221511E-3</v>
      </c>
      <c r="D199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9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91" s="11" t="e">
        <f>IF(ISBLANK(GSPC[[#This Row],[Long Exp.]]), "", (GSPC[[#This Row],[Long Exp.]]/D1992-1)+(E1992/GSPC[[#This Row],[Short Exp.]]-1))</f>
        <v>#VALUE!</v>
      </c>
      <c r="G1991" s="37">
        <v>31159</v>
      </c>
      <c r="H1991">
        <v>2.6178859999999999</v>
      </c>
      <c r="I1991" s="36">
        <f>IF(ISBLANK(H1992), "", Long0[[#This Row],[Adj Close]]/H1992-1)</f>
        <v>8.4337189704726701E-2</v>
      </c>
      <c r="P1991" s="29">
        <v>31159</v>
      </c>
      <c r="Q1991">
        <v>0.76509099999999997</v>
      </c>
      <c r="R1991" s="33">
        <f>IF(ISBLANK(Q1992),"",Long3[[#This Row],[Adj Close]]/Q1992-1)</f>
        <v>-2.0100283688851639E-2</v>
      </c>
      <c r="AK1991" s="37">
        <v>31159</v>
      </c>
      <c r="AL1991" s="44">
        <v>9.6253000000000005E-2</v>
      </c>
      <c r="AM1991" s="36">
        <f>IF(ISBLANK(AL1992),"",Short1[[#This Row],[Adj Close]]/AL1992-1)</f>
        <v>-9.1738617598490113E-2</v>
      </c>
      <c r="AN1991" s="29">
        <v>31159</v>
      </c>
      <c r="AO1991" s="44">
        <v>0.55362500000000003</v>
      </c>
      <c r="AP1991" s="33">
        <f>IF(ISBLANK(AO1992),"",Short2[[#This Row],[Adj Close]]/AO1992-1)</f>
        <v>-9.5232472430351045E-3</v>
      </c>
    </row>
    <row r="1992" spans="1:42" x14ac:dyDescent="0.25">
      <c r="A1992" s="37">
        <v>31152</v>
      </c>
      <c r="B1992" s="39">
        <v>181.11000100000001</v>
      </c>
      <c r="C1992" s="36">
        <f>IF(ISBLANK(B1993), "", GSPC[[#This Row],[Adj Close]]/B1993-1)</f>
        <v>3.1572395153465216E-3</v>
      </c>
      <c r="D199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9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92" s="11" t="e">
        <f>IF(ISBLANK(GSPC[[#This Row],[Long Exp.]]), "", (GSPC[[#This Row],[Long Exp.]]/D1993-1)+(E1993/GSPC[[#This Row],[Short Exp.]]-1))</f>
        <v>#VALUE!</v>
      </c>
      <c r="G1992" s="37">
        <v>31152</v>
      </c>
      <c r="H1992">
        <v>2.4142730000000001</v>
      </c>
      <c r="I1992" s="36">
        <f>IF(ISBLANK(H1993), "", Long0[[#This Row],[Adj Close]]/H1993-1)</f>
        <v>-5.1428452435537619E-2</v>
      </c>
      <c r="P1992" s="29">
        <v>31152</v>
      </c>
      <c r="Q1992">
        <v>0.78078499999999995</v>
      </c>
      <c r="R1992" s="33">
        <f>IF(ISBLANK(Q1993),"",Long3[[#This Row],[Adj Close]]/Q1993-1)</f>
        <v>-1.485070436752034E-2</v>
      </c>
      <c r="AK1992" s="37">
        <v>31152</v>
      </c>
      <c r="AL1992" s="44">
        <v>0.105975</v>
      </c>
      <c r="AM1992" s="36" t="str">
        <f>IF(ISBLANK(AL1993),"",Short1[[#This Row],[Adj Close]]/AL1993-1)</f>
        <v/>
      </c>
      <c r="AN1992" s="29">
        <v>31152</v>
      </c>
      <c r="AO1992" s="44">
        <v>0.558948</v>
      </c>
      <c r="AP1992" s="33">
        <f>IF(ISBLANK(AO1993),"",Short2[[#This Row],[Adj Close]]/AO1993-1)</f>
        <v>9.6148114698577647E-3</v>
      </c>
    </row>
    <row r="1993" spans="1:42" x14ac:dyDescent="0.25">
      <c r="A1993" s="37">
        <v>31145</v>
      </c>
      <c r="B1993" s="39">
        <v>180.53999300000001</v>
      </c>
      <c r="C1993" s="36">
        <f>IF(ISBLANK(B1994), "", GSPC[[#This Row],[Adj Close]]/B1994-1)</f>
        <v>8.4343071464800801E-3</v>
      </c>
      <c r="D199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9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93" s="11" t="e">
        <f>IF(ISBLANK(GSPC[[#This Row],[Long Exp.]]), "", (GSPC[[#This Row],[Long Exp.]]/D1994-1)+(E1994/GSPC[[#This Row],[Short Exp.]]-1))</f>
        <v>#VALUE!</v>
      </c>
      <c r="G1993" s="37">
        <v>31145</v>
      </c>
      <c r="H1993">
        <v>2.5451670000000002</v>
      </c>
      <c r="I1993" s="36">
        <f>IF(ISBLANK(H1994), "", Long0[[#This Row],[Adj Close]]/H1994-1)</f>
        <v>-5.6818914322749325E-3</v>
      </c>
      <c r="P1993" s="29">
        <v>31145</v>
      </c>
      <c r="Q1993">
        <v>0.79255500000000001</v>
      </c>
      <c r="R1993" s="33">
        <f>IF(ISBLANK(Q1994),"",Long3[[#This Row],[Adj Close]]/Q1994-1)</f>
        <v>-4.9266835660450869E-3</v>
      </c>
      <c r="AN1993" s="29">
        <v>31145</v>
      </c>
      <c r="AO1993" s="44">
        <v>0.55362500000000003</v>
      </c>
      <c r="AP1993" s="33">
        <f>IF(ISBLANK(AO1994),"",Short2[[#This Row],[Adj Close]]/AO1994-1)</f>
        <v>-1.886682108419524E-2</v>
      </c>
    </row>
    <row r="1994" spans="1:42" x14ac:dyDescent="0.25">
      <c r="A1994" s="37">
        <v>31138</v>
      </c>
      <c r="B1994" s="39">
        <v>179.029999</v>
      </c>
      <c r="C1994" s="36">
        <f>IF(ISBLANK(B1995), "", GSPC[[#This Row],[Adj Close]]/B1995-1)</f>
        <v>-9.0225006305213462E-3</v>
      </c>
      <c r="D199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9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94" s="11" t="e">
        <f>IF(ISBLANK(GSPC[[#This Row],[Long Exp.]]), "", (GSPC[[#This Row],[Long Exp.]]/D1995-1)+(E1995/GSPC[[#This Row],[Short Exp.]]-1))</f>
        <v>#VALUE!</v>
      </c>
      <c r="G1994" s="37">
        <v>31138</v>
      </c>
      <c r="H1994">
        <v>2.5597110000000001</v>
      </c>
      <c r="I1994" s="36">
        <f>IF(ISBLANK(H1995), "", Long0[[#This Row],[Adj Close]]/H1995-1)</f>
        <v>6.6666694447581554E-2</v>
      </c>
      <c r="P1994" s="29">
        <v>31138</v>
      </c>
      <c r="Q1994">
        <v>0.79647900000000005</v>
      </c>
      <c r="R1994" s="33">
        <f>IF(ISBLANK(Q1995),"",Long3[[#This Row],[Adj Close]]/Q1995-1)</f>
        <v>-7.3058638006179732E-2</v>
      </c>
      <c r="AN1994" s="29">
        <v>31138</v>
      </c>
      <c r="AO1994" s="44">
        <v>0.56427099999999997</v>
      </c>
      <c r="AP1994" s="33">
        <f>IF(ISBLANK(AO1995),"",Short2[[#This Row],[Adj Close]]/AO1995-1)</f>
        <v>-9.346992161096912E-3</v>
      </c>
    </row>
    <row r="1995" spans="1:42" x14ac:dyDescent="0.25">
      <c r="A1995" s="37">
        <v>31131</v>
      </c>
      <c r="B1995" s="39">
        <v>180.66000399999999</v>
      </c>
      <c r="C1995" s="36">
        <f>IF(ISBLANK(B1996), "", GSPC[[#This Row],[Adj Close]]/B1996-1)</f>
        <v>9.0483191652044326E-3</v>
      </c>
      <c r="D199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9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95" s="11" t="e">
        <f>IF(ISBLANK(GSPC[[#This Row],[Long Exp.]]), "", (GSPC[[#This Row],[Long Exp.]]/D1996-1)+(E1996/GSPC[[#This Row],[Short Exp.]]-1))</f>
        <v>#VALUE!</v>
      </c>
      <c r="G1995" s="37">
        <v>31131</v>
      </c>
      <c r="H1995">
        <v>2.3997289999999998</v>
      </c>
      <c r="I1995" s="36">
        <f>IF(ISBLANK(H1996), "", Long0[[#This Row],[Adj Close]]/H1996-1)</f>
        <v>0.12244865503772062</v>
      </c>
      <c r="P1995" s="29">
        <v>31131</v>
      </c>
      <c r="Q1995">
        <v>0.85925499999999999</v>
      </c>
      <c r="R1995" s="33">
        <f>IF(ISBLANK(Q1996),"",Long3[[#This Row],[Adj Close]]/Q1996-1)</f>
        <v>5.288470964200287E-2</v>
      </c>
      <c r="AN1995" s="29">
        <v>31131</v>
      </c>
      <c r="AO1995" s="44">
        <v>0.56959499999999996</v>
      </c>
      <c r="AP1995" s="33">
        <f>IF(ISBLANK(AO1996),"",Short2[[#This Row],[Adj Close]]/AO1996-1)</f>
        <v>4.9018470327581776E-2</v>
      </c>
    </row>
    <row r="1996" spans="1:42" x14ac:dyDescent="0.25">
      <c r="A1996" s="37">
        <v>31124</v>
      </c>
      <c r="B1996" s="39">
        <v>179.03999300000001</v>
      </c>
      <c r="C1996" s="36">
        <f>IF(ISBLANK(B1997), "", GSPC[[#This Row],[Adj Close]]/B1997-1)</f>
        <v>1.4218512514691639E-2</v>
      </c>
      <c r="D199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9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96" s="11" t="e">
        <f>IF(ISBLANK(GSPC[[#This Row],[Long Exp.]]), "", (GSPC[[#This Row],[Long Exp.]]/D1997-1)+(E1997/GSPC[[#This Row],[Short Exp.]]-1))</f>
        <v>#VALUE!</v>
      </c>
      <c r="G1996" s="37">
        <v>31124</v>
      </c>
      <c r="H1996">
        <v>2.1379410000000001</v>
      </c>
      <c r="I1996" s="36">
        <f>IF(ISBLANK(H1997), "", Long0[[#This Row],[Adj Close]]/H1997-1)</f>
        <v>1.3793280043701506E-2</v>
      </c>
      <c r="P1996" s="29">
        <v>31124</v>
      </c>
      <c r="Q1996">
        <v>0.81609600000000004</v>
      </c>
      <c r="R1996" s="33">
        <f>IF(ISBLANK(Q1997),"",Long3[[#This Row],[Adj Close]]/Q1997-1)</f>
        <v>2.4629651252575435E-2</v>
      </c>
      <c r="AN1996" s="29">
        <v>31124</v>
      </c>
      <c r="AO1996" s="44">
        <v>0.54297899999999999</v>
      </c>
      <c r="AP1996" s="33">
        <f>IF(ISBLANK(AO1997),"",Short2[[#This Row],[Adj Close]]/AO1997-1)</f>
        <v>2.000067626969626E-2</v>
      </c>
    </row>
    <row r="1997" spans="1:42" x14ac:dyDescent="0.25">
      <c r="A1997" s="37">
        <v>31117</v>
      </c>
      <c r="B1997" s="39">
        <v>176.529999</v>
      </c>
      <c r="C1997" s="36">
        <f>IF(ISBLANK(B1998), "", GSPC[[#This Row],[Adj Close]]/B1998-1)</f>
        <v>-1.4349564008389826E-2</v>
      </c>
      <c r="D199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9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97" s="11" t="e">
        <f>IF(ISBLANK(GSPC[[#This Row],[Long Exp.]]), "", (GSPC[[#This Row],[Long Exp.]]/D1998-1)+(E1998/GSPC[[#This Row],[Short Exp.]]-1))</f>
        <v>#VALUE!</v>
      </c>
      <c r="G1997" s="37">
        <v>31117</v>
      </c>
      <c r="H1997">
        <v>2.1088529999999999</v>
      </c>
      <c r="I1997" s="36">
        <f>IF(ISBLANK(H1998), "", Long0[[#This Row],[Adj Close]]/H1998-1)</f>
        <v>1.3986195555747871E-2</v>
      </c>
      <c r="P1997" s="29">
        <v>31117</v>
      </c>
      <c r="Q1997">
        <v>0.79647900000000005</v>
      </c>
      <c r="R1997" s="33">
        <f>IF(ISBLANK(Q1998),"",Long3[[#This Row],[Adj Close]]/Q1998-1)</f>
        <v>0</v>
      </c>
      <c r="AN1997" s="29">
        <v>31117</v>
      </c>
      <c r="AO1997" s="44">
        <v>0.53233200000000003</v>
      </c>
      <c r="AP1997" s="33">
        <f>IF(ISBLANK(AO1998),"",Short2[[#This Row],[Adj Close]]/AO1998-1)</f>
        <v>-4.761802529036685E-2</v>
      </c>
    </row>
    <row r="1998" spans="1:42" x14ac:dyDescent="0.25">
      <c r="A1998" s="37">
        <v>31110</v>
      </c>
      <c r="B1998" s="39">
        <v>179.10000600000001</v>
      </c>
      <c r="C1998" s="36">
        <f>IF(ISBLANK(B1999), "", GSPC[[#This Row],[Adj Close]]/B1999-1)</f>
        <v>-2.2539922993831119E-2</v>
      </c>
      <c r="D199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9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98" s="11" t="e">
        <f>IF(ISBLANK(GSPC[[#This Row],[Long Exp.]]), "", (GSPC[[#This Row],[Long Exp.]]/D1999-1)+(E1999/GSPC[[#This Row],[Short Exp.]]-1))</f>
        <v>#VALUE!</v>
      </c>
      <c r="G1998" s="37">
        <v>31110</v>
      </c>
      <c r="H1998">
        <v>2.0797650000000001</v>
      </c>
      <c r="I1998" s="36">
        <f>IF(ISBLANK(H1999), "", Long0[[#This Row],[Adj Close]]/H1999-1)</f>
        <v>-2.7211227999275889E-2</v>
      </c>
      <c r="P1998" s="29">
        <v>31110</v>
      </c>
      <c r="Q1998">
        <v>0.79647900000000005</v>
      </c>
      <c r="R1998" s="33">
        <f>IF(ISBLANK(Q1999),"",Long3[[#This Row],[Adj Close]]/Q1999-1)</f>
        <v>4.9510759505650981E-3</v>
      </c>
      <c r="AN1998" s="29">
        <v>31110</v>
      </c>
      <c r="AO1998" s="44">
        <v>0.558948</v>
      </c>
      <c r="AP1998" s="33">
        <f>IF(ISBLANK(AO1999),"",Short2[[#This Row],[Adj Close]]/AO1999-1)</f>
        <v>-7.894762860504434E-2</v>
      </c>
    </row>
    <row r="1999" spans="1:42" x14ac:dyDescent="0.25">
      <c r="A1999" s="37">
        <v>31103</v>
      </c>
      <c r="B1999" s="39">
        <v>183.229996</v>
      </c>
      <c r="C1999" s="36">
        <f>IF(ISBLANK(B2000), "", GSPC[[#This Row],[Adj Close]]/B2000-1)</f>
        <v>2.1576689219576783E-2</v>
      </c>
      <c r="D199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199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1999" s="11" t="e">
        <f>IF(ISBLANK(GSPC[[#This Row],[Long Exp.]]), "", (GSPC[[#This Row],[Long Exp.]]/D2000-1)+(E2000/GSPC[[#This Row],[Short Exp.]]-1))</f>
        <v>#VALUE!</v>
      </c>
      <c r="G1999" s="37">
        <v>31103</v>
      </c>
      <c r="H1999">
        <v>2.1379410000000001</v>
      </c>
      <c r="I1999" s="36">
        <f>IF(ISBLANK(H2000), "", Long0[[#This Row],[Adj Close]]/H2000-1)</f>
        <v>5.0000147338043588E-2</v>
      </c>
      <c r="P1999" s="29">
        <v>31103</v>
      </c>
      <c r="Q1999">
        <v>0.79255500000000001</v>
      </c>
      <c r="R1999" s="33">
        <f>IF(ISBLANK(Q2000),"",Long3[[#This Row],[Adj Close]]/Q2000-1)</f>
        <v>2.020049893031195E-2</v>
      </c>
      <c r="AN1999" s="29">
        <v>31103</v>
      </c>
      <c r="AO1999" s="44">
        <v>0.60685800000000001</v>
      </c>
      <c r="AP1999" s="33">
        <f>IF(ISBLANK(AO2000),"",Short2[[#This Row],[Adj Close]]/AO2000-1)</f>
        <v>-2.5641107978446764E-2</v>
      </c>
    </row>
    <row r="2000" spans="1:42" x14ac:dyDescent="0.25">
      <c r="A2000" s="37">
        <v>31096</v>
      </c>
      <c r="B2000" s="39">
        <v>179.36000100000001</v>
      </c>
      <c r="C2000" s="36">
        <f>IF(ISBLANK(B2001), "", GSPC[[#This Row],[Adj Close]]/B2001-1)</f>
        <v>-1.2334828887615723E-2</v>
      </c>
      <c r="D200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0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00" s="11" t="e">
        <f>IF(ISBLANK(GSPC[[#This Row],[Long Exp.]]), "", (GSPC[[#This Row],[Long Exp.]]/D2001-1)+(E2001/GSPC[[#This Row],[Short Exp.]]-1))</f>
        <v>#VALUE!</v>
      </c>
      <c r="G2000" s="37">
        <v>31096</v>
      </c>
      <c r="H2000">
        <v>2.0361340000000001</v>
      </c>
      <c r="I2000" s="36">
        <f>IF(ISBLANK(H2001), "", Long0[[#This Row],[Adj Close]]/H2001-1)</f>
        <v>-0.51048940625503358</v>
      </c>
      <c r="P2000" s="29">
        <v>31096</v>
      </c>
      <c r="Q2000">
        <v>0.77686200000000005</v>
      </c>
      <c r="R2000" s="33">
        <f>IF(ISBLANK(Q2001),"",Long3[[#This Row],[Adj Close]]/Q2001-1)</f>
        <v>1.0205275846733697E-2</v>
      </c>
      <c r="AN2000" s="29">
        <v>31096</v>
      </c>
      <c r="AO2000" s="44">
        <v>0.62282800000000005</v>
      </c>
      <c r="AP2000" s="33">
        <f>IF(ISBLANK(AO2001),"",Short2[[#This Row],[Adj Close]]/AO2001-1)</f>
        <v>8.6201731160073791E-3</v>
      </c>
    </row>
    <row r="2001" spans="1:42" x14ac:dyDescent="0.25">
      <c r="A2001" s="37">
        <v>31089</v>
      </c>
      <c r="B2001" s="39">
        <v>181.60000600000001</v>
      </c>
      <c r="C2001" s="36">
        <f>IF(ISBLANK(B2002), "", GSPC[[#This Row],[Adj Close]]/B2002-1)</f>
        <v>-3.2383555273246545E-3</v>
      </c>
      <c r="D200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0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01" s="11" t="e">
        <f>IF(ISBLANK(GSPC[[#This Row],[Long Exp.]]), "", (GSPC[[#This Row],[Long Exp.]]/D2002-1)+(E2002/GSPC[[#This Row],[Short Exp.]]-1))</f>
        <v>#VALUE!</v>
      </c>
      <c r="G2001" s="37">
        <v>31089</v>
      </c>
      <c r="H2001">
        <v>4.1595300000000002</v>
      </c>
      <c r="I2001" s="36">
        <f>IF(ISBLANK(H2002), "", Long0[[#This Row],[Adj Close]]/H2002-1)</f>
        <v>2.877659941516364E-2</v>
      </c>
      <c r="P2001" s="29">
        <v>31089</v>
      </c>
      <c r="Q2001">
        <v>0.76901399999999998</v>
      </c>
      <c r="R2001" s="33">
        <f>IF(ISBLANK(Q2002),"",Long3[[#This Row],[Adj Close]]/Q2002-1)</f>
        <v>-1.5075853147793583E-2</v>
      </c>
      <c r="AN2001" s="29">
        <v>31089</v>
      </c>
      <c r="AO2001" s="44">
        <v>0.61750499999999997</v>
      </c>
      <c r="AP2001" s="33">
        <f>IF(ISBLANK(AO2002),"",Short2[[#This Row],[Adj Close]]/AO2002-1)</f>
        <v>2.6548746124497979E-2</v>
      </c>
    </row>
    <row r="2002" spans="1:42" x14ac:dyDescent="0.25">
      <c r="A2002" s="37">
        <v>31082</v>
      </c>
      <c r="B2002" s="39">
        <v>182.19000199999999</v>
      </c>
      <c r="C2002" s="36">
        <f>IF(ISBLANK(B2003), "", GSPC[[#This Row],[Adj Close]]/B2003-1)</f>
        <v>1.9929445783758437E-2</v>
      </c>
      <c r="D200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0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02" s="11" t="e">
        <f>IF(ISBLANK(GSPC[[#This Row],[Long Exp.]]), "", (GSPC[[#This Row],[Long Exp.]]/D2003-1)+(E2003/GSPC[[#This Row],[Short Exp.]]-1))</f>
        <v>#VALUE!</v>
      </c>
      <c r="G2002" s="37">
        <v>31082</v>
      </c>
      <c r="H2002">
        <v>4.0431809999999997</v>
      </c>
      <c r="I2002" s="36">
        <f>IF(ISBLANK(H2003), "", Long0[[#This Row],[Adj Close]]/H2003-1)</f>
        <v>8.5937802158134291E-2</v>
      </c>
      <c r="P2002" s="29">
        <v>31082</v>
      </c>
      <c r="Q2002">
        <v>0.78078499999999995</v>
      </c>
      <c r="R2002" s="33">
        <f>IF(ISBLANK(Q2003),"",Long3[[#This Row],[Adj Close]]/Q2003-1)</f>
        <v>-4.9993118459350505E-3</v>
      </c>
      <c r="AN2002" s="29">
        <v>31082</v>
      </c>
      <c r="AO2002" s="44">
        <v>0.60153500000000004</v>
      </c>
      <c r="AP2002" s="33">
        <f>IF(ISBLANK(AO2003),"",Short2[[#This Row],[Adj Close]]/AO2003-1)</f>
        <v>-1.7391886726496275E-2</v>
      </c>
    </row>
    <row r="2003" spans="1:42" x14ac:dyDescent="0.25">
      <c r="A2003" s="37">
        <v>31075</v>
      </c>
      <c r="B2003" s="39">
        <v>178.63000500000001</v>
      </c>
      <c r="C2003" s="36">
        <f>IF(ISBLANK(B2004), "", GSPC[[#This Row],[Adj Close]]/B2004-1)</f>
        <v>7.2173609060943722E-3</v>
      </c>
      <c r="D200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0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03" s="11" t="e">
        <f>IF(ISBLANK(GSPC[[#This Row],[Long Exp.]]), "", (GSPC[[#This Row],[Long Exp.]]/D2004-1)+(E2004/GSPC[[#This Row],[Short Exp.]]-1))</f>
        <v>#VALUE!</v>
      </c>
      <c r="G2003" s="37">
        <v>31075</v>
      </c>
      <c r="H2003">
        <v>3.7232159999999999</v>
      </c>
      <c r="I2003" s="36">
        <f>IF(ISBLANK(H2004), "", Long0[[#This Row],[Adj Close]]/H2004-1)</f>
        <v>3.2257921419869717E-2</v>
      </c>
      <c r="P2003" s="29">
        <v>31075</v>
      </c>
      <c r="Q2003">
        <v>0.78470799999999996</v>
      </c>
      <c r="R2003" s="33">
        <f>IF(ISBLANK(Q2004),"",Long3[[#This Row],[Adj Close]]/Q2004-1)</f>
        <v>-1.4778795172252002E-2</v>
      </c>
      <c r="AN2003" s="29">
        <v>31075</v>
      </c>
      <c r="AO2003" s="44">
        <v>0.612182</v>
      </c>
      <c r="AP2003" s="33">
        <f>IF(ISBLANK(AO2004),"",Short2[[#This Row],[Adj Close]]/AO2004-1)</f>
        <v>-4.9586879504193271E-2</v>
      </c>
    </row>
    <row r="2004" spans="1:42" x14ac:dyDescent="0.25">
      <c r="A2004" s="37">
        <v>31068</v>
      </c>
      <c r="B2004" s="39">
        <v>177.35000600000001</v>
      </c>
      <c r="C2004" s="36">
        <f>IF(ISBLANK(B2005), "", GSPC[[#This Row],[Adj Close]]/B2005-1)</f>
        <v>3.5197284342861401E-2</v>
      </c>
      <c r="D200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0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04" s="11" t="e">
        <f>IF(ISBLANK(GSPC[[#This Row],[Long Exp.]]), "", (GSPC[[#This Row],[Long Exp.]]/D2005-1)+(E2005/GSPC[[#This Row],[Short Exp.]]-1))</f>
        <v>#VALUE!</v>
      </c>
      <c r="G2004" s="37">
        <v>31068</v>
      </c>
      <c r="H2004">
        <v>3.6068660000000001</v>
      </c>
      <c r="I2004" s="36">
        <f>IF(ISBLANK(H2005), "", Long0[[#This Row],[Adj Close]]/H2005-1)</f>
        <v>0.12217229764835968</v>
      </c>
      <c r="P2004" s="29">
        <v>31068</v>
      </c>
      <c r="Q2004">
        <v>0.79647900000000005</v>
      </c>
      <c r="R2004" s="33">
        <f>IF(ISBLANK(Q2005),"",Long3[[#This Row],[Adj Close]]/Q2005-1)</f>
        <v>1.5000484256564306E-2</v>
      </c>
      <c r="AN2004" s="29">
        <v>31068</v>
      </c>
      <c r="AO2004" s="44">
        <v>0.64412199999999997</v>
      </c>
      <c r="AP2004" s="33">
        <f>IF(ISBLANK(AO2005),"",Short2[[#This Row],[Adj Close]]/AO2005-1)</f>
        <v>3.4189214357735809E-2</v>
      </c>
    </row>
    <row r="2005" spans="1:42" x14ac:dyDescent="0.25">
      <c r="A2005" s="37">
        <v>31061</v>
      </c>
      <c r="B2005" s="39">
        <v>171.320007</v>
      </c>
      <c r="C2005" s="36">
        <f>IF(ISBLANK(B2006), "", GSPC[[#This Row],[Adj Close]]/B2006-1)</f>
        <v>2.0308515983359809E-2</v>
      </c>
      <c r="D200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0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05" s="11" t="e">
        <f>IF(ISBLANK(GSPC[[#This Row],[Long Exp.]]), "", (GSPC[[#This Row],[Long Exp.]]/D2006-1)+(E2006/GSPC[[#This Row],[Short Exp.]]-1))</f>
        <v>#VALUE!</v>
      </c>
      <c r="G2005" s="37">
        <v>31061</v>
      </c>
      <c r="H2005">
        <v>3.2141820000000001</v>
      </c>
      <c r="I2005" s="36">
        <f>IF(ISBLANK(H2006), "", Long0[[#This Row],[Adj Close]]/H2006-1)</f>
        <v>0.11055283326964327</v>
      </c>
      <c r="P2005" s="29">
        <v>31061</v>
      </c>
      <c r="Q2005">
        <v>0.78470799999999996</v>
      </c>
      <c r="R2005" s="33">
        <f>IF(ISBLANK(Q2006),"",Long3[[#This Row],[Adj Close]]/Q2006-1)</f>
        <v>-9.9008901590426079E-3</v>
      </c>
      <c r="AN2005" s="29">
        <v>31061</v>
      </c>
      <c r="AO2005" s="44">
        <v>0.62282800000000005</v>
      </c>
      <c r="AP2005" s="33">
        <f>IF(ISBLANK(AO2006),"",Short2[[#This Row],[Adj Close]]/AO2006-1)</f>
        <v>5.4054237012767459E-2</v>
      </c>
    </row>
    <row r="2006" spans="1:42" x14ac:dyDescent="0.25">
      <c r="A2006" s="37">
        <v>31054</v>
      </c>
      <c r="B2006" s="39">
        <v>167.91000399999999</v>
      </c>
      <c r="C2006" s="36">
        <f>IF(ISBLANK(B2007), "", GSPC[[#This Row],[Adj Close]]/B2007-1)</f>
        <v>2.58431768139189E-2</v>
      </c>
      <c r="D200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0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06" s="11" t="e">
        <f>IF(ISBLANK(GSPC[[#This Row],[Long Exp.]]), "", (GSPC[[#This Row],[Long Exp.]]/D2007-1)+(E2007/GSPC[[#This Row],[Short Exp.]]-1))</f>
        <v>#VALUE!</v>
      </c>
      <c r="G2006" s="37">
        <v>31054</v>
      </c>
      <c r="H2006">
        <v>2.894218</v>
      </c>
      <c r="I2006" s="36">
        <f>IF(ISBLANK(H2007), "", Long0[[#This Row],[Adj Close]]/H2007-1)</f>
        <v>1.5306326488658817E-2</v>
      </c>
      <c r="P2006" s="29">
        <v>31054</v>
      </c>
      <c r="Q2006">
        <v>0.79255500000000001</v>
      </c>
      <c r="R2006" s="33">
        <f>IF(ISBLANK(Q2007),"",Long3[[#This Row],[Adj Close]]/Q2007-1)</f>
        <v>1.5074572385483931E-2</v>
      </c>
      <c r="AN2006" s="29">
        <v>31054</v>
      </c>
      <c r="AO2006" s="44">
        <v>0.59088799999999997</v>
      </c>
      <c r="AP2006" s="33">
        <f>IF(ISBLANK(AO2007),"",Short2[[#This Row],[Adj Close]]/AO2007-1)</f>
        <v>8.8233614928017401E-2</v>
      </c>
    </row>
    <row r="2007" spans="1:42" x14ac:dyDescent="0.25">
      <c r="A2007" s="37">
        <v>31047</v>
      </c>
      <c r="B2007" s="39">
        <v>163.679993</v>
      </c>
      <c r="C2007" s="36">
        <f>IF(ISBLANK(B2008), "", GSPC[[#This Row],[Adj Close]]/B2008-1)</f>
        <v>-1.5517876083179338E-2</v>
      </c>
      <c r="D200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0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07" s="11" t="e">
        <f>IF(ISBLANK(GSPC[[#This Row],[Long Exp.]]), "", (GSPC[[#This Row],[Long Exp.]]/D2008-1)+(E2008/GSPC[[#This Row],[Short Exp.]]-1))</f>
        <v>#VALUE!</v>
      </c>
      <c r="G2007" s="37">
        <v>31047</v>
      </c>
      <c r="H2007">
        <v>2.8505859999999998</v>
      </c>
      <c r="I2007" s="36">
        <f>IF(ISBLANK(H2008), "", Long0[[#This Row],[Adj Close]]/H2008-1)</f>
        <v>-3.4482875416653513E-2</v>
      </c>
      <c r="P2007" s="29">
        <v>31047</v>
      </c>
      <c r="Q2007">
        <v>0.78078499999999995</v>
      </c>
      <c r="R2007" s="33">
        <f>IF(ISBLANK(Q2008),"",Long3[[#This Row],[Adj Close]]/Q2008-1)</f>
        <v>-1.485070436752034E-2</v>
      </c>
      <c r="AN2007" s="29">
        <v>31047</v>
      </c>
      <c r="AO2007" s="44">
        <v>0.54297899999999999</v>
      </c>
      <c r="AP2007" s="33">
        <f>IF(ISBLANK(AO2008),"",Short2[[#This Row],[Adj Close]]/AO2008-1)</f>
        <v>-9.7063474259577731E-3</v>
      </c>
    </row>
    <row r="2008" spans="1:42" x14ac:dyDescent="0.25">
      <c r="A2008" s="37">
        <v>31040</v>
      </c>
      <c r="B2008" s="39">
        <v>166.259995</v>
      </c>
      <c r="C2008" s="36">
        <f>IF(ISBLANK(B2009), "", GSPC[[#This Row],[Adj Close]]/B2009-1)</f>
        <v>4.5314483877545442E-3</v>
      </c>
      <c r="D200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0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08" s="11" t="e">
        <f>IF(ISBLANK(GSPC[[#This Row],[Long Exp.]]), "", (GSPC[[#This Row],[Long Exp.]]/D2009-1)+(E2009/GSPC[[#This Row],[Short Exp.]]-1))</f>
        <v>#VALUE!</v>
      </c>
      <c r="G2008" s="37">
        <v>31040</v>
      </c>
      <c r="H2008">
        <v>2.9523929999999998</v>
      </c>
      <c r="I2008" s="36">
        <f>IF(ISBLANK(H2009), "", Long0[[#This Row],[Adj Close]]/H2009-1)</f>
        <v>4.9502186973466866E-3</v>
      </c>
      <c r="P2008" s="29">
        <v>31040</v>
      </c>
      <c r="Q2008">
        <v>0.79255500000000001</v>
      </c>
      <c r="R2008" s="33">
        <f>IF(ISBLANK(Q2009),"",Long3[[#This Row],[Adj Close]]/Q2009-1)</f>
        <v>-4.9266835660450869E-3</v>
      </c>
      <c r="AN2008" s="29">
        <v>31040</v>
      </c>
      <c r="AO2008" s="44">
        <v>0.54830100000000004</v>
      </c>
      <c r="AP2008" s="33">
        <f>IF(ISBLANK(AO2009),"",Short2[[#This Row],[Adj Close]]/AO2009-1)</f>
        <v>-9.6166177466696645E-3</v>
      </c>
    </row>
    <row r="2009" spans="1:42" x14ac:dyDescent="0.25">
      <c r="A2009" s="37">
        <v>31033</v>
      </c>
      <c r="B2009" s="39">
        <v>165.509995</v>
      </c>
      <c r="C2009" s="36">
        <f>IF(ISBLANK(B2010), "", GSPC[[#This Row],[Adj Close]]/B2010-1)</f>
        <v>1.733353596000331E-2</v>
      </c>
      <c r="D200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0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09" s="11" t="e">
        <f>IF(ISBLANK(GSPC[[#This Row],[Long Exp.]]), "", (GSPC[[#This Row],[Long Exp.]]/D2010-1)+(E2010/GSPC[[#This Row],[Short Exp.]]-1))</f>
        <v>#VALUE!</v>
      </c>
      <c r="G2009" s="37">
        <v>31033</v>
      </c>
      <c r="H2009">
        <v>2.9378500000000001</v>
      </c>
      <c r="I2009" s="36">
        <f>IF(ISBLANK(H2010), "", Long0[[#This Row],[Adj Close]]/H2010-1)</f>
        <v>8.6021509351240866E-2</v>
      </c>
      <c r="P2009" s="29">
        <v>31033</v>
      </c>
      <c r="Q2009">
        <v>0.79647900000000005</v>
      </c>
      <c r="R2009" s="33">
        <f>IF(ISBLANK(Q2010),"",Long3[[#This Row],[Adj Close]]/Q2010-1)</f>
        <v>3.0457851027962279E-2</v>
      </c>
      <c r="AN2009" s="29">
        <v>31033</v>
      </c>
      <c r="AO2009" s="44">
        <v>0.55362500000000003</v>
      </c>
      <c r="AP2009" s="33">
        <f>IF(ISBLANK(AO2010),"",Short2[[#This Row],[Adj Close]]/AO2010-1)</f>
        <v>1.9606651454292079E-2</v>
      </c>
    </row>
    <row r="2010" spans="1:42" x14ac:dyDescent="0.25">
      <c r="A2010" s="37">
        <v>31026</v>
      </c>
      <c r="B2010" s="39">
        <v>162.69000199999999</v>
      </c>
      <c r="C2010" s="36">
        <f>IF(ISBLANK(B2011), "", GSPC[[#This Row],[Adj Close]]/B2011-1)</f>
        <v>2.6501110147327811E-3</v>
      </c>
      <c r="D201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1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10" s="11" t="e">
        <f>IF(ISBLANK(GSPC[[#This Row],[Long Exp.]]), "", (GSPC[[#This Row],[Long Exp.]]/D2011-1)+(E2011/GSPC[[#This Row],[Short Exp.]]-1))</f>
        <v>#VALUE!</v>
      </c>
      <c r="G2010" s="37">
        <v>31026</v>
      </c>
      <c r="H2010">
        <v>2.705149</v>
      </c>
      <c r="I2010" s="36">
        <f>IF(ISBLANK(H2011), "", Long0[[#This Row],[Adj Close]]/H2011-1)</f>
        <v>-4.1237285132021961E-2</v>
      </c>
      <c r="P2010" s="29">
        <v>31026</v>
      </c>
      <c r="Q2010">
        <v>0.77293699999999999</v>
      </c>
      <c r="R2010" s="33">
        <f>IF(ISBLANK(Q2011),"",Long3[[#This Row],[Adj Close]]/Q2011-1)</f>
        <v>-5.0523773849152631E-3</v>
      </c>
      <c r="AN2010" s="29">
        <v>31026</v>
      </c>
      <c r="AO2010" s="44">
        <v>0.54297899999999999</v>
      </c>
      <c r="AP2010" s="33">
        <f>IF(ISBLANK(AO2011),"",Short2[[#This Row],[Adj Close]]/AO2011-1)</f>
        <v>2.000067626969626E-2</v>
      </c>
    </row>
    <row r="2011" spans="1:42" x14ac:dyDescent="0.25">
      <c r="A2011" s="37">
        <v>31019</v>
      </c>
      <c r="B2011" s="39">
        <v>162.259995</v>
      </c>
      <c r="C2011" s="36">
        <f>IF(ISBLANK(B2012), "", GSPC[[#This Row],[Adj Close]]/B2012-1)</f>
        <v>-8.0694888364165607E-3</v>
      </c>
      <c r="D201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1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11" s="11" t="e">
        <f>IF(ISBLANK(GSPC[[#This Row],[Long Exp.]]), "", (GSPC[[#This Row],[Long Exp.]]/D2012-1)+(E2012/GSPC[[#This Row],[Short Exp.]]-1))</f>
        <v>#VALUE!</v>
      </c>
      <c r="G2011" s="37">
        <v>31019</v>
      </c>
      <c r="H2011">
        <v>2.8214999999999999</v>
      </c>
      <c r="I2011" s="36">
        <f>IF(ISBLANK(H2012), "", Long0[[#This Row],[Adj Close]]/H2012-1)</f>
        <v>-2.9999704341572064E-2</v>
      </c>
      <c r="P2011" s="29">
        <v>31019</v>
      </c>
      <c r="Q2011">
        <v>0.77686200000000005</v>
      </c>
      <c r="R2011" s="33">
        <f>IF(ISBLANK(Q2012),"",Long3[[#This Row],[Adj Close]]/Q2012-1)</f>
        <v>-1.980051857599785E-2</v>
      </c>
      <c r="AN2011" s="29">
        <v>31019</v>
      </c>
      <c r="AO2011" s="44">
        <v>0.53233200000000003</v>
      </c>
      <c r="AP2011" s="33">
        <f>IF(ISBLANK(AO2012),"",Short2[[#This Row],[Adj Close]]/AO2012-1)</f>
        <v>4.1668134267901946E-2</v>
      </c>
    </row>
    <row r="2012" spans="1:42" x14ac:dyDescent="0.25">
      <c r="A2012" s="37">
        <v>31012</v>
      </c>
      <c r="B2012" s="39">
        <v>163.58000200000001</v>
      </c>
      <c r="C2012" s="36">
        <f>IF(ISBLANK(B2013), "", GSPC[[#This Row],[Adj Close]]/B2013-1)</f>
        <v>-2.0009561706321066E-2</v>
      </c>
      <c r="D201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1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12" s="11" t="e">
        <f>IF(ISBLANK(GSPC[[#This Row],[Long Exp.]]), "", (GSPC[[#This Row],[Long Exp.]]/D2013-1)+(E2013/GSPC[[#This Row],[Short Exp.]]-1))</f>
        <v>#VALUE!</v>
      </c>
      <c r="G2012" s="37">
        <v>31012</v>
      </c>
      <c r="H2012">
        <v>2.9087619999999998</v>
      </c>
      <c r="I2012" s="36">
        <f>IF(ISBLANK(H2013), "", Long0[[#This Row],[Adj Close]]/H2013-1)</f>
        <v>-2.9126258959788376E-2</v>
      </c>
      <c r="P2012" s="29">
        <v>31012</v>
      </c>
      <c r="Q2012">
        <v>0.79255500000000001</v>
      </c>
      <c r="R2012" s="33">
        <f>IF(ISBLANK(Q2013),"",Long3[[#This Row],[Adj Close]]/Q2013-1)</f>
        <v>2.020049893031195E-2</v>
      </c>
      <c r="AN2012" s="29">
        <v>31012</v>
      </c>
      <c r="AO2012" s="44">
        <v>0.51103799999999999</v>
      </c>
      <c r="AP2012" s="33">
        <f>IF(ISBLANK(AO2013),"",Short2[[#This Row],[Adj Close]]/AO2013-1)</f>
        <v>-7.6923910589297928E-2</v>
      </c>
    </row>
    <row r="2013" spans="1:42" x14ac:dyDescent="0.25">
      <c r="A2013" s="37">
        <v>31005</v>
      </c>
      <c r="B2013" s="39">
        <v>166.91999799999999</v>
      </c>
      <c r="C2013" s="36">
        <f>IF(ISBLANK(B2014), "", GSPC[[#This Row],[Adj Close]]/B2014-1)</f>
        <v>1.7184594130971398E-2</v>
      </c>
      <c r="D201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1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13" s="11" t="e">
        <f>IF(ISBLANK(GSPC[[#This Row],[Long Exp.]]), "", (GSPC[[#This Row],[Long Exp.]]/D2014-1)+(E2014/GSPC[[#This Row],[Short Exp.]]-1))</f>
        <v>#VALUE!</v>
      </c>
      <c r="G2013" s="37">
        <v>31005</v>
      </c>
      <c r="H2013">
        <v>2.9960249999999999</v>
      </c>
      <c r="I2013" s="36">
        <f>IF(ISBLANK(H2014), "", Long0[[#This Row],[Adj Close]]/H2014-1)</f>
        <v>9.80405043989796E-3</v>
      </c>
      <c r="P2013" s="29">
        <v>31005</v>
      </c>
      <c r="Q2013">
        <v>0.77686200000000005</v>
      </c>
      <c r="R2013" s="33">
        <f>IF(ISBLANK(Q2014),"",Long3[[#This Row],[Adj Close]]/Q2014-1)</f>
        <v>2.0619653768489732E-2</v>
      </c>
      <c r="AN2013" s="29">
        <v>31005</v>
      </c>
      <c r="AO2013" s="44">
        <v>0.55362500000000003</v>
      </c>
      <c r="AP2013" s="33">
        <f>IF(ISBLANK(AO2014),"",Short2[[#This Row],[Adj Close]]/AO2014-1)</f>
        <v>0</v>
      </c>
    </row>
    <row r="2014" spans="1:42" x14ac:dyDescent="0.25">
      <c r="A2014" s="37">
        <v>30998</v>
      </c>
      <c r="B2014" s="39">
        <v>164.10000600000001</v>
      </c>
      <c r="C2014" s="36">
        <f>IF(ISBLANK(B2015), "", GSPC[[#This Row],[Adj Close]]/B2015-1)</f>
        <v>-2.0883054144998026E-2</v>
      </c>
      <c r="D201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1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14" s="11" t="e">
        <f>IF(ISBLANK(GSPC[[#This Row],[Long Exp.]]), "", (GSPC[[#This Row],[Long Exp.]]/D2015-1)+(E2015/GSPC[[#This Row],[Short Exp.]]-1))</f>
        <v>#VALUE!</v>
      </c>
      <c r="G2014" s="37">
        <v>30998</v>
      </c>
      <c r="H2014">
        <v>2.9669370000000002</v>
      </c>
      <c r="I2014" s="36">
        <f>IF(ISBLANK(H2015), "", Long0[[#This Row],[Adj Close]]/H2015-1)</f>
        <v>-8.1081206643115578E-2</v>
      </c>
      <c r="P2014" s="29">
        <v>30998</v>
      </c>
      <c r="Q2014">
        <v>0.76116700000000004</v>
      </c>
      <c r="R2014" s="33">
        <f>IF(ISBLANK(Q2015),"",Long3[[#This Row],[Adj Close]]/Q2015-1)</f>
        <v>-1.5227631747477433E-2</v>
      </c>
      <c r="AN2014" s="29">
        <v>30998</v>
      </c>
      <c r="AO2014" s="44">
        <v>0.55362500000000003</v>
      </c>
      <c r="AP2014" s="33">
        <f>IF(ISBLANK(AO2015),"",Short2[[#This Row],[Adj Close]]/AO2015-1)</f>
        <v>-1.886682108419524E-2</v>
      </c>
    </row>
    <row r="2015" spans="1:42" x14ac:dyDescent="0.25">
      <c r="A2015" s="37">
        <v>30991</v>
      </c>
      <c r="B2015" s="39">
        <v>167.60000600000001</v>
      </c>
      <c r="C2015" s="36">
        <f>IF(ISBLANK(B2016), "", GSPC[[#This Row],[Adj Close]]/B2016-1)</f>
        <v>1.0751881624082582E-3</v>
      </c>
      <c r="D201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1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15" s="11" t="e">
        <f>IF(ISBLANK(GSPC[[#This Row],[Long Exp.]]), "", (GSPC[[#This Row],[Long Exp.]]/D2016-1)+(E2016/GSPC[[#This Row],[Short Exp.]]-1))</f>
        <v>#VALUE!</v>
      </c>
      <c r="G2015" s="37">
        <v>30991</v>
      </c>
      <c r="H2015">
        <v>3.228726</v>
      </c>
      <c r="I2015" s="36">
        <f>IF(ISBLANK(H2016), "", Long0[[#This Row],[Adj Close]]/H2016-1)</f>
        <v>7.2464066581455766E-2</v>
      </c>
      <c r="P2015" s="29">
        <v>30991</v>
      </c>
      <c r="Q2015">
        <v>0.77293699999999999</v>
      </c>
      <c r="R2015" s="33">
        <f>IF(ISBLANK(Q2016),"",Long3[[#This Row],[Adj Close]]/Q2016-1)</f>
        <v>1.0254989275785498E-2</v>
      </c>
      <c r="AN2015" s="29">
        <v>30991</v>
      </c>
      <c r="AO2015" s="44">
        <v>0.56427099999999997</v>
      </c>
      <c r="AP2015" s="33">
        <f>IF(ISBLANK(AO2016),"",Short2[[#This Row],[Adj Close]]/AO2016-1)</f>
        <v>2.9126337540876124E-2</v>
      </c>
    </row>
    <row r="2016" spans="1:42" x14ac:dyDescent="0.25">
      <c r="A2016" s="37">
        <v>30984</v>
      </c>
      <c r="B2016" s="39">
        <v>167.41999799999999</v>
      </c>
      <c r="C2016" s="36">
        <f>IF(ISBLANK(B2017), "", GSPC[[#This Row],[Adj Close]]/B2017-1)</f>
        <v>1.288647280661448E-2</v>
      </c>
      <c r="D201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1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16" s="11" t="e">
        <f>IF(ISBLANK(GSPC[[#This Row],[Long Exp.]]), "", (GSPC[[#This Row],[Long Exp.]]/D2017-1)+(E2017/GSPC[[#This Row],[Short Exp.]]-1))</f>
        <v>#VALUE!</v>
      </c>
      <c r="G2016" s="37">
        <v>30984</v>
      </c>
      <c r="H2016">
        <v>3.0105680000000001</v>
      </c>
      <c r="I2016" s="36">
        <f>IF(ISBLANK(H2017), "", Long0[[#This Row],[Adj Close]]/H2017-1)</f>
        <v>-4.608353337507376E-2</v>
      </c>
      <c r="P2016" s="29">
        <v>30984</v>
      </c>
      <c r="Q2016">
        <v>0.76509099999999997</v>
      </c>
      <c r="R2016" s="33">
        <f>IF(ISBLANK(Q2017),"",Long3[[#This Row],[Adj Close]]/Q2017-1)</f>
        <v>0</v>
      </c>
      <c r="AN2016" s="29">
        <v>30984</v>
      </c>
      <c r="AO2016" s="44">
        <v>0.54830100000000004</v>
      </c>
      <c r="AP2016" s="33">
        <f>IF(ISBLANK(AO2017),"",Short2[[#This Row],[Adj Close]]/AO2017-1)</f>
        <v>7.2916299766357939E-2</v>
      </c>
    </row>
    <row r="2017" spans="1:42" x14ac:dyDescent="0.25">
      <c r="A2017" s="37">
        <v>30977</v>
      </c>
      <c r="B2017" s="39">
        <v>165.28999300000001</v>
      </c>
      <c r="C2017" s="36">
        <f>IF(ISBLANK(B2018), "", GSPC[[#This Row],[Adj Close]]/B2018-1)</f>
        <v>-1.5896724748290736E-2</v>
      </c>
      <c r="D201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1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17" s="11" t="e">
        <f>IF(ISBLANK(GSPC[[#This Row],[Long Exp.]]), "", (GSPC[[#This Row],[Long Exp.]]/D2018-1)+(E2018/GSPC[[#This Row],[Short Exp.]]-1))</f>
        <v>#VALUE!</v>
      </c>
      <c r="G2017" s="37">
        <v>30977</v>
      </c>
      <c r="H2017">
        <v>3.1560079999999999</v>
      </c>
      <c r="I2017" s="36">
        <f>IF(ISBLANK(H2018), "", Long0[[#This Row],[Adj Close]]/H2018-1)</f>
        <v>1.4019197558134744E-2</v>
      </c>
      <c r="P2017" s="29">
        <v>30977</v>
      </c>
      <c r="Q2017">
        <v>0.76509099999999997</v>
      </c>
      <c r="R2017" s="33">
        <f>IF(ISBLANK(Q2018),"",Long3[[#This Row],[Adj Close]]/Q2018-1)</f>
        <v>-1.5151983235117794E-2</v>
      </c>
      <c r="AN2017" s="29">
        <v>30977</v>
      </c>
      <c r="AO2017" s="44">
        <v>0.51103799999999999</v>
      </c>
      <c r="AP2017" s="33">
        <f>IF(ISBLANK(AO2018),"",Short2[[#This Row],[Adj Close]]/AO2018-1)</f>
        <v>-7.6923910589297928E-2</v>
      </c>
    </row>
    <row r="2018" spans="1:42" x14ac:dyDescent="0.25">
      <c r="A2018" s="37">
        <v>30970</v>
      </c>
      <c r="B2018" s="39">
        <v>167.96000699999999</v>
      </c>
      <c r="C2018" s="36">
        <f>IF(ISBLANK(B2019), "", GSPC[[#This Row],[Adj Close]]/B2019-1)</f>
        <v>2.3023597034749432E-2</v>
      </c>
      <c r="D201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1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18" s="11" t="e">
        <f>IF(ISBLANK(GSPC[[#This Row],[Long Exp.]]), "", (GSPC[[#This Row],[Long Exp.]]/D2019-1)+(E2019/GSPC[[#This Row],[Short Exp.]]-1))</f>
        <v>#VALUE!</v>
      </c>
      <c r="G2018" s="37">
        <v>30970</v>
      </c>
      <c r="H2018">
        <v>3.1123750000000001</v>
      </c>
      <c r="I2018" s="36">
        <f>IF(ISBLANK(H2019), "", Long0[[#This Row],[Adj Close]]/H2019-1)</f>
        <v>9.4340877122369715E-3</v>
      </c>
      <c r="P2018" s="29">
        <v>30970</v>
      </c>
      <c r="Q2018">
        <v>0.77686200000000005</v>
      </c>
      <c r="R2018" s="33">
        <f>IF(ISBLANK(Q2019),"",Long3[[#This Row],[Adj Close]]/Q2019-1)</f>
        <v>1.5385097981808871E-2</v>
      </c>
      <c r="AN2018" s="29">
        <v>30970</v>
      </c>
      <c r="AO2018" s="44">
        <v>0.55362500000000003</v>
      </c>
      <c r="AP2018" s="33">
        <f>IF(ISBLANK(AO2019),"",Short2[[#This Row],[Adj Close]]/AO2019-1)</f>
        <v>0.15555448873823585</v>
      </c>
    </row>
    <row r="2019" spans="1:42" x14ac:dyDescent="0.25">
      <c r="A2019" s="37">
        <v>30963</v>
      </c>
      <c r="B2019" s="39">
        <v>164.179993</v>
      </c>
      <c r="C2019" s="36">
        <f>IF(ISBLANK(B2020), "", GSPC[[#This Row],[Adj Close]]/B2020-1)</f>
        <v>9.2205560889100369E-3</v>
      </c>
      <c r="D201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1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19" s="11" t="e">
        <f>IF(ISBLANK(GSPC[[#This Row],[Long Exp.]]), "", (GSPC[[#This Row],[Long Exp.]]/D2020-1)+(E2020/GSPC[[#This Row],[Short Exp.]]-1))</f>
        <v>#VALUE!</v>
      </c>
      <c r="G2019" s="37">
        <v>30963</v>
      </c>
      <c r="H2019">
        <v>3.0832869999999999</v>
      </c>
      <c r="I2019" s="36">
        <f>IF(ISBLANK(H2020), "", Long0[[#This Row],[Adj Close]]/H2020-1)</f>
        <v>8.1632688857659508E-2</v>
      </c>
      <c r="P2019" s="29">
        <v>30963</v>
      </c>
      <c r="Q2019">
        <v>0.76509099999999997</v>
      </c>
      <c r="R2019" s="33">
        <f>IF(ISBLANK(Q2020),"",Long3[[#This Row],[Adj Close]]/Q2020-1)</f>
        <v>5.4054873218480237E-2</v>
      </c>
      <c r="AN2019" s="29">
        <v>30963</v>
      </c>
      <c r="AO2019" s="44">
        <v>0.479099</v>
      </c>
      <c r="AP2019" s="33">
        <f>IF(ISBLANK(AO2020),"",Short2[[#This Row],[Adj Close]]/AO2020-1)</f>
        <v>-1.0988353130122142E-2</v>
      </c>
    </row>
    <row r="2020" spans="1:42" x14ac:dyDescent="0.25">
      <c r="A2020" s="37">
        <v>30956</v>
      </c>
      <c r="B2020" s="39">
        <v>162.679993</v>
      </c>
      <c r="C2020" s="36">
        <f>IF(ISBLANK(B2021), "", GSPC[[#This Row],[Adj Close]]/B2021-1)</f>
        <v>-2.0590083542802562E-2</v>
      </c>
      <c r="D202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2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20" s="11" t="e">
        <f>IF(ISBLANK(GSPC[[#This Row],[Long Exp.]]), "", (GSPC[[#This Row],[Long Exp.]]/D2021-1)+(E2021/GSPC[[#This Row],[Short Exp.]]-1))</f>
        <v>#VALUE!</v>
      </c>
      <c r="G2020" s="37">
        <v>30956</v>
      </c>
      <c r="H2020">
        <v>2.8505859999999998</v>
      </c>
      <c r="I2020" s="36">
        <f>IF(ISBLANK(H2021), "", Long0[[#This Row],[Adj Close]]/H2021-1)</f>
        <v>2.0832520117905151E-2</v>
      </c>
      <c r="P2020" s="29">
        <v>30956</v>
      </c>
      <c r="Q2020">
        <v>0.72585500000000003</v>
      </c>
      <c r="R2020" s="33">
        <f>IF(ISBLANK(Q2021),"",Long3[[#This Row],[Adj Close]]/Q2021-1)</f>
        <v>-2.6316177782428118E-2</v>
      </c>
      <c r="AN2020" s="29">
        <v>30956</v>
      </c>
      <c r="AO2020" s="44">
        <v>0.48442200000000002</v>
      </c>
      <c r="AP2020" s="33">
        <f>IF(ISBLANK(AO2021),"",Short2[[#This Row],[Adj Close]]/AO2021-1)</f>
        <v>-1.0870941263430467E-2</v>
      </c>
    </row>
    <row r="2021" spans="1:42" x14ac:dyDescent="0.25">
      <c r="A2021" s="37">
        <v>30949</v>
      </c>
      <c r="B2021" s="39">
        <v>166.10000600000001</v>
      </c>
      <c r="C2021" s="36">
        <f>IF(ISBLANK(B2022), "", GSPC[[#This Row],[Adj Close]]/B2022-1)</f>
        <v>2.5955695369781484E-3</v>
      </c>
      <c r="D202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2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21" s="11" t="e">
        <f>IF(ISBLANK(GSPC[[#This Row],[Long Exp.]]), "", (GSPC[[#This Row],[Long Exp.]]/D2022-1)+(E2022/GSPC[[#This Row],[Short Exp.]]-1))</f>
        <v>#VALUE!</v>
      </c>
      <c r="G2021" s="37">
        <v>30949</v>
      </c>
      <c r="H2021">
        <v>2.7924129999999998</v>
      </c>
      <c r="I2021" s="36">
        <f>IF(ISBLANK(H2022), "", Long0[[#This Row],[Adj Close]]/H2022-1)</f>
        <v>-3.0303061872238413E-2</v>
      </c>
      <c r="P2021" s="29">
        <v>30949</v>
      </c>
      <c r="Q2021">
        <v>0.74547300000000005</v>
      </c>
      <c r="R2021" s="33">
        <f>IF(ISBLANK(Q2022),"",Long3[[#This Row],[Adj Close]]/Q2022-1)</f>
        <v>3.825021691928665E-2</v>
      </c>
      <c r="AN2021" s="29">
        <v>30949</v>
      </c>
      <c r="AO2021" s="44">
        <v>0.48974600000000001</v>
      </c>
      <c r="AP2021" s="33">
        <f>IF(ISBLANK(AO2022),"",Short2[[#This Row],[Adj Close]]/AO2022-1)</f>
        <v>-0.11538315646872888</v>
      </c>
    </row>
    <row r="2022" spans="1:42" x14ac:dyDescent="0.25">
      <c r="A2022" s="37">
        <v>30942</v>
      </c>
      <c r="B2022" s="39">
        <v>165.66999799999999</v>
      </c>
      <c r="C2022" s="36">
        <f>IF(ISBLANK(B2023), "", GSPC[[#This Row],[Adj Close]]/B2023-1)</f>
        <v>-1.8426359867439124E-2</v>
      </c>
      <c r="D202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2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22" s="11" t="e">
        <f>IF(ISBLANK(GSPC[[#This Row],[Long Exp.]]), "", (GSPC[[#This Row],[Long Exp.]]/D2023-1)+(E2023/GSPC[[#This Row],[Short Exp.]]-1))</f>
        <v>#VALUE!</v>
      </c>
      <c r="G2022" s="37">
        <v>30942</v>
      </c>
      <c r="H2022">
        <v>2.8796759999999999</v>
      </c>
      <c r="I2022" s="36">
        <f>IF(ISBLANK(H2023), "", Long0[[#This Row],[Adj Close]]/H2023-1)</f>
        <v>4.2105434576099388E-2</v>
      </c>
      <c r="P2022" s="29">
        <v>30942</v>
      </c>
      <c r="Q2022">
        <v>0.71800900000000001</v>
      </c>
      <c r="R2022" s="33">
        <f>IF(ISBLANK(Q2023),"",Long3[[#This Row],[Adj Close]]/Q2023-1)</f>
        <v>1.1051015192329539E-2</v>
      </c>
      <c r="AN2022" s="29">
        <v>30942</v>
      </c>
      <c r="AO2022" s="44">
        <v>0.55362500000000003</v>
      </c>
      <c r="AP2022" s="33">
        <f>IF(ISBLANK(AO2023),"",Short2[[#This Row],[Adj Close]]/AO2023-1)</f>
        <v>-5.454560979566736E-2</v>
      </c>
    </row>
    <row r="2023" spans="1:42" x14ac:dyDescent="0.25">
      <c r="A2023" s="37">
        <v>30935</v>
      </c>
      <c r="B2023" s="39">
        <v>168.779999</v>
      </c>
      <c r="C2023" s="36">
        <f>IF(ISBLANK(B2024), "", GSPC[[#This Row],[Adj Close]]/B2024-1)</f>
        <v>2.6829738602839326E-2</v>
      </c>
      <c r="D202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2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23" s="11" t="e">
        <f>IF(ISBLANK(GSPC[[#This Row],[Long Exp.]]), "", (GSPC[[#This Row],[Long Exp.]]/D2024-1)+(E2024/GSPC[[#This Row],[Short Exp.]]-1))</f>
        <v>#VALUE!</v>
      </c>
      <c r="G2023" s="37">
        <v>30935</v>
      </c>
      <c r="H2023">
        <v>2.763325</v>
      </c>
      <c r="I2023" s="36">
        <f>IF(ISBLANK(H2024), "", Long0[[#This Row],[Adj Close]]/H2024-1)</f>
        <v>-0.10798100090644036</v>
      </c>
      <c r="P2023" s="29">
        <v>30935</v>
      </c>
      <c r="Q2023">
        <v>0.71016100000000004</v>
      </c>
      <c r="R2023" s="33">
        <f>IF(ISBLANK(Q2024),"",Long3[[#This Row],[Adj Close]]/Q2024-1)</f>
        <v>5.5562084682621027E-3</v>
      </c>
      <c r="AN2023" s="29">
        <v>30935</v>
      </c>
      <c r="AO2023" s="44">
        <v>0.585565</v>
      </c>
      <c r="AP2023" s="33">
        <f>IF(ISBLANK(AO2024),"",Short2[[#This Row],[Adj Close]]/AO2024-1)</f>
        <v>6.7962670139211756E-2</v>
      </c>
    </row>
    <row r="2024" spans="1:42" x14ac:dyDescent="0.25">
      <c r="A2024" s="37">
        <v>30928</v>
      </c>
      <c r="B2024" s="39">
        <v>164.36999499999999</v>
      </c>
      <c r="C2024" s="36">
        <f>IF(ISBLANK(B2025), "", GSPC[[#This Row],[Adj Close]]/B2025-1)</f>
        <v>-1.3858879871683216E-2</v>
      </c>
      <c r="D202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2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24" s="11" t="e">
        <f>IF(ISBLANK(GSPC[[#This Row],[Long Exp.]]), "", (GSPC[[#This Row],[Long Exp.]]/D2025-1)+(E2025/GSPC[[#This Row],[Short Exp.]]-1))</f>
        <v>#VALUE!</v>
      </c>
      <c r="G2024" s="37">
        <v>30928</v>
      </c>
      <c r="H2024">
        <v>3.0978319999999999</v>
      </c>
      <c r="I2024" s="36">
        <f>IF(ISBLANK(H2025), "", Long0[[#This Row],[Adj Close]]/H2025-1)</f>
        <v>-3.6198945797095594E-2</v>
      </c>
      <c r="P2024" s="29">
        <v>30928</v>
      </c>
      <c r="Q2024">
        <v>0.706237</v>
      </c>
      <c r="R2024" s="33">
        <f>IF(ISBLANK(Q2025),"",Long3[[#This Row],[Adj Close]]/Q2025-1)</f>
        <v>-1.0990288271004123E-2</v>
      </c>
      <c r="AN2024" s="29">
        <v>30928</v>
      </c>
      <c r="AO2024" s="44">
        <v>0.54830100000000004</v>
      </c>
      <c r="AP2024" s="33">
        <f>IF(ISBLANK(AO2025),"",Short2[[#This Row],[Adj Close]]/AO2025-1)</f>
        <v>9.801484035294239E-3</v>
      </c>
    </row>
    <row r="2025" spans="1:42" x14ac:dyDescent="0.25">
      <c r="A2025" s="37">
        <v>30921</v>
      </c>
      <c r="B2025" s="39">
        <v>166.679993</v>
      </c>
      <c r="C2025" s="36">
        <f>IF(ISBLANK(B2026), "", GSPC[[#This Row],[Adj Close]]/B2026-1)</f>
        <v>-4.9549401514817903E-3</v>
      </c>
      <c r="D202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2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25" s="11" t="e">
        <f>IF(ISBLANK(GSPC[[#This Row],[Long Exp.]]), "", (GSPC[[#This Row],[Long Exp.]]/D2026-1)+(E2026/GSPC[[#This Row],[Short Exp.]]-1))</f>
        <v>#VALUE!</v>
      </c>
      <c r="G2025" s="37">
        <v>30921</v>
      </c>
      <c r="H2025">
        <v>3.2141820000000001</v>
      </c>
      <c r="I2025" s="36">
        <f>IF(ISBLANK(H2026), "", Long0[[#This Row],[Adj Close]]/H2026-1)</f>
        <v>7.2815480511678077E-2</v>
      </c>
      <c r="P2025" s="29">
        <v>30921</v>
      </c>
      <c r="Q2025">
        <v>0.71408499999999997</v>
      </c>
      <c r="R2025" s="33">
        <f>IF(ISBLANK(Q2026),"",Long3[[#This Row],[Adj Close]]/Q2026-1)</f>
        <v>1.1112416936523983E-2</v>
      </c>
      <c r="AN2025" s="29">
        <v>30921</v>
      </c>
      <c r="AO2025" s="44">
        <v>0.54297899999999999</v>
      </c>
      <c r="AP2025" s="33">
        <f>IF(ISBLANK(AO2026),"",Short2[[#This Row],[Adj Close]]/AO2026-1)</f>
        <v>2.000067626969626E-2</v>
      </c>
    </row>
    <row r="2026" spans="1:42" x14ac:dyDescent="0.25">
      <c r="A2026" s="37">
        <v>30914</v>
      </c>
      <c r="B2026" s="39">
        <v>167.509995</v>
      </c>
      <c r="C2026" s="36">
        <f>IF(ISBLANK(B2027), "", GSPC[[#This Row],[Adj Close]]/B2027-1)</f>
        <v>2.053122956336817E-2</v>
      </c>
      <c r="D202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2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26" s="11" t="e">
        <f>IF(ISBLANK(GSPC[[#This Row],[Long Exp.]]), "", (GSPC[[#This Row],[Long Exp.]]/D2027-1)+(E2027/GSPC[[#This Row],[Short Exp.]]-1))</f>
        <v>#VALUE!</v>
      </c>
      <c r="G2026" s="37">
        <v>30914</v>
      </c>
      <c r="H2026">
        <v>2.9960249999999999</v>
      </c>
      <c r="I2026" s="36">
        <f>IF(ISBLANK(H2027), "", Long0[[#This Row],[Adj Close]]/H2027-1)</f>
        <v>-0.18253984061842699</v>
      </c>
      <c r="P2026" s="29">
        <v>30914</v>
      </c>
      <c r="Q2026">
        <v>0.706237</v>
      </c>
      <c r="R2026" s="33">
        <f>IF(ISBLANK(Q2027),"",Long3[[#This Row],[Adj Close]]/Q2027-1)</f>
        <v>-5.5255075961648803E-3</v>
      </c>
      <c r="AN2026" s="29">
        <v>30914</v>
      </c>
      <c r="AO2026" s="44">
        <v>0.53233200000000003</v>
      </c>
      <c r="AP2026" s="33">
        <f>IF(ISBLANK(AO2027),"",Short2[[#This Row],[Adj Close]]/AO2027-1)</f>
        <v>-9.9004008146487132E-3</v>
      </c>
    </row>
    <row r="2027" spans="1:42" x14ac:dyDescent="0.25">
      <c r="A2027" s="37">
        <v>30907</v>
      </c>
      <c r="B2027" s="39">
        <v>164.13999899999999</v>
      </c>
      <c r="C2027" s="36">
        <f>IF(ISBLANK(B2028), "", GSPC[[#This Row],[Adj Close]]/B2028-1)</f>
        <v>-7.7378733857801363E-3</v>
      </c>
      <c r="D202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2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27" s="11" t="e">
        <f>IF(ISBLANK(GSPC[[#This Row],[Long Exp.]]), "", (GSPC[[#This Row],[Long Exp.]]/D2028-1)+(E2028/GSPC[[#This Row],[Short Exp.]]-1))</f>
        <v>#VALUE!</v>
      </c>
      <c r="G2027" s="37">
        <v>30907</v>
      </c>
      <c r="H2027">
        <v>3.665041</v>
      </c>
      <c r="I2027" s="36">
        <f>IF(ISBLANK(H2028), "", Long0[[#This Row],[Adj Close]]/H2028-1)</f>
        <v>0.11504453587132679</v>
      </c>
      <c r="P2027" s="29">
        <v>30907</v>
      </c>
      <c r="Q2027">
        <v>0.71016100000000004</v>
      </c>
      <c r="R2027" s="33">
        <f>IF(ISBLANK(Q2028),"",Long3[[#This Row],[Adj Close]]/Q2028-1)</f>
        <v>-1.0930225108598868E-2</v>
      </c>
      <c r="AN2027" s="29">
        <v>30907</v>
      </c>
      <c r="AO2027" s="44">
        <v>0.53765499999999999</v>
      </c>
      <c r="AP2027" s="33">
        <f>IF(ISBLANK(AO2028),"",Short2[[#This Row],[Adj Close]]/AO2028-1)</f>
        <v>-2.8846240686385305E-2</v>
      </c>
    </row>
    <row r="2028" spans="1:42" x14ac:dyDescent="0.25">
      <c r="A2028" s="37">
        <v>30900</v>
      </c>
      <c r="B2028" s="39">
        <v>165.41999799999999</v>
      </c>
      <c r="C2028" s="36">
        <f>IF(ISBLANK(B2029), "", GSPC[[#This Row],[Adj Close]]/B2029-1)</f>
        <v>1.8909712882917873E-2</v>
      </c>
      <c r="D202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2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28" s="11" t="e">
        <f>IF(ISBLANK(GSPC[[#This Row],[Long Exp.]]), "", (GSPC[[#This Row],[Long Exp.]]/D2029-1)+(E2029/GSPC[[#This Row],[Short Exp.]]-1))</f>
        <v>#VALUE!</v>
      </c>
      <c r="G2028" s="37">
        <v>30900</v>
      </c>
      <c r="H2028">
        <v>3.2869009999999999</v>
      </c>
      <c r="I2028" s="36">
        <f>IF(ISBLANK(H2029), "", Long0[[#This Row],[Adj Close]]/H2029-1)</f>
        <v>0.33727802224985171</v>
      </c>
      <c r="P2028" s="29">
        <v>30900</v>
      </c>
      <c r="Q2028">
        <v>0.71800900000000001</v>
      </c>
      <c r="R2028" s="33">
        <f>IF(ISBLANK(Q2029),"",Long3[[#This Row],[Adj Close]]/Q2029-1)</f>
        <v>1.6668625404786308E-2</v>
      </c>
      <c r="AN2028" s="29">
        <v>30900</v>
      </c>
      <c r="AO2028" s="44">
        <v>0.55362500000000003</v>
      </c>
      <c r="AP2028" s="33">
        <f>IF(ISBLANK(AO2029),"",Short2[[#This Row],[Adj Close]]/AO2029-1)</f>
        <v>8.333431173415673E-2</v>
      </c>
    </row>
    <row r="2029" spans="1:42" x14ac:dyDescent="0.25">
      <c r="A2029" s="37">
        <v>30893</v>
      </c>
      <c r="B2029" s="39">
        <v>162.35000600000001</v>
      </c>
      <c r="C2029" s="36">
        <f>IF(ISBLANK(B2030), "", GSPC[[#This Row],[Adj Close]]/B2030-1)</f>
        <v>7.3814431194993979E-2</v>
      </c>
      <c r="D202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2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29" s="11" t="e">
        <f>IF(ISBLANK(GSPC[[#This Row],[Long Exp.]]), "", (GSPC[[#This Row],[Long Exp.]]/D2030-1)+(E2030/GSPC[[#This Row],[Short Exp.]]-1))</f>
        <v>#VALUE!</v>
      </c>
      <c r="G2029" s="37">
        <v>30893</v>
      </c>
      <c r="H2029">
        <v>2.4579040000000001</v>
      </c>
      <c r="I2029" s="36">
        <f>IF(ISBLANK(H2030), "", Long0[[#This Row],[Adj Close]]/H2030-1)</f>
        <v>-0.28085116841379643</v>
      </c>
      <c r="P2029" s="29">
        <v>30893</v>
      </c>
      <c r="Q2029">
        <v>0.706237</v>
      </c>
      <c r="R2029" s="33">
        <f>IF(ISBLANK(Q2030),"",Long3[[#This Row],[Adj Close]]/Q2030-1)</f>
        <v>1.1235842437606669E-2</v>
      </c>
      <c r="AN2029" s="29">
        <v>30893</v>
      </c>
      <c r="AO2029" s="44">
        <v>0.51103799999999999</v>
      </c>
      <c r="AP2029" s="33">
        <f>IF(ISBLANK(AO2030),"",Short2[[#This Row],[Adj Close]]/AO2030-1)</f>
        <v>0.15662634241289175</v>
      </c>
    </row>
    <row r="2030" spans="1:42" x14ac:dyDescent="0.25">
      <c r="A2030" s="37">
        <v>30886</v>
      </c>
      <c r="B2030" s="39">
        <v>151.19000199999999</v>
      </c>
      <c r="C2030" s="36">
        <f>IF(ISBLANK(B2031), "", GSPC[[#This Row],[Adj Close]]/B2031-1)</f>
        <v>1.0966225122710282E-2</v>
      </c>
      <c r="D203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3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30" s="11" t="e">
        <f>IF(ISBLANK(GSPC[[#This Row],[Long Exp.]]), "", (GSPC[[#This Row],[Long Exp.]]/D2031-1)+(E2031/GSPC[[#This Row],[Short Exp.]]-1))</f>
        <v>#VALUE!</v>
      </c>
      <c r="G2030" s="37">
        <v>30886</v>
      </c>
      <c r="H2030">
        <v>3.4177960000000001</v>
      </c>
      <c r="I2030" s="36">
        <f>IF(ISBLANK(H2031), "", Long0[[#This Row],[Adj Close]]/H2031-1)</f>
        <v>3.5242446867962407E-2</v>
      </c>
      <c r="P2030" s="29">
        <v>30886</v>
      </c>
      <c r="Q2030">
        <v>0.69838999999999996</v>
      </c>
      <c r="R2030" s="33">
        <f>IF(ISBLANK(Q2031),"",Long3[[#This Row],[Adj Close]]/Q2031-1)</f>
        <v>2.2988270035271929E-2</v>
      </c>
      <c r="AN2030" s="29">
        <v>30886</v>
      </c>
      <c r="AO2030" s="44">
        <v>0.44183499999999998</v>
      </c>
      <c r="AP2030" s="33">
        <f>IF(ISBLANK(AO2031),"",Short2[[#This Row],[Adj Close]]/AO2031-1)</f>
        <v>5.0632279296716876E-2</v>
      </c>
    </row>
    <row r="2031" spans="1:42" x14ac:dyDescent="0.25">
      <c r="A2031" s="37">
        <v>30879</v>
      </c>
      <c r="B2031" s="39">
        <v>149.550003</v>
      </c>
      <c r="C2031" s="36">
        <f>IF(ISBLANK(B2032), "", GSPC[[#This Row],[Adj Close]]/B2032-1)</f>
        <v>-8.8149652434065251E-3</v>
      </c>
      <c r="D203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3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31" s="11" t="e">
        <f>IF(ISBLANK(GSPC[[#This Row],[Long Exp.]]), "", (GSPC[[#This Row],[Long Exp.]]/D2032-1)+(E2032/GSPC[[#This Row],[Short Exp.]]-1))</f>
        <v>#VALUE!</v>
      </c>
      <c r="G2031" s="37">
        <v>30879</v>
      </c>
      <c r="H2031">
        <v>3.3014450000000002</v>
      </c>
      <c r="I2031" s="36">
        <f>IF(ISBLANK(H2032), "", Long0[[#This Row],[Adj Close]]/H2032-1)</f>
        <v>-3.4042698862073673E-2</v>
      </c>
      <c r="P2031" s="29">
        <v>30879</v>
      </c>
      <c r="Q2031">
        <v>0.68269599999999997</v>
      </c>
      <c r="R2031" s="33">
        <f>IF(ISBLANK(Q2032),"",Long3[[#This Row],[Adj Close]]/Q2032-1)</f>
        <v>2.3529164830090377E-2</v>
      </c>
      <c r="AN2031" s="29">
        <v>30879</v>
      </c>
      <c r="AO2031" s="44">
        <v>0.42054200000000003</v>
      </c>
      <c r="AP2031" s="33">
        <f>IF(ISBLANK(AO2032),"",Short2[[#This Row],[Adj Close]]/AO2032-1)</f>
        <v>-3.6585477604281214E-2</v>
      </c>
    </row>
    <row r="2032" spans="1:42" x14ac:dyDescent="0.25">
      <c r="A2032" s="37">
        <v>30872</v>
      </c>
      <c r="B2032" s="39">
        <v>150.88000500000001</v>
      </c>
      <c r="C2032" s="36">
        <f>IF(ISBLANK(B2033), "", GSPC[[#This Row],[Adj Close]]/B2033-1)</f>
        <v>-8.933262975129197E-3</v>
      </c>
      <c r="D203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3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32" s="11" t="e">
        <f>IF(ISBLANK(GSPC[[#This Row],[Long Exp.]]), "", (GSPC[[#This Row],[Long Exp.]]/D2033-1)+(E2033/GSPC[[#This Row],[Short Exp.]]-1))</f>
        <v>#VALUE!</v>
      </c>
      <c r="G2032" s="37">
        <v>30872</v>
      </c>
      <c r="H2032">
        <v>3.4177960000000001</v>
      </c>
      <c r="I2032" s="36">
        <f>IF(ISBLANK(H2033), "", Long0[[#This Row],[Adj Close]]/H2033-1)</f>
        <v>2.1739416383962595E-2</v>
      </c>
      <c r="P2032" s="29">
        <v>30872</v>
      </c>
      <c r="Q2032">
        <v>0.66700199999999998</v>
      </c>
      <c r="R2032" s="33">
        <f>IF(ISBLANK(Q2033),"",Long3[[#This Row],[Adj Close]]/Q2033-1)</f>
        <v>0</v>
      </c>
      <c r="AN2032" s="29">
        <v>30872</v>
      </c>
      <c r="AO2032" s="44">
        <v>0.43651200000000001</v>
      </c>
      <c r="AP2032" s="33">
        <f>IF(ISBLANK(AO2033),"",Short2[[#This Row],[Adj Close]]/AO2033-1)</f>
        <v>1.2344934587849021E-2</v>
      </c>
    </row>
    <row r="2033" spans="1:42" x14ac:dyDescent="0.25">
      <c r="A2033" s="37">
        <v>30865</v>
      </c>
      <c r="B2033" s="39">
        <v>152.240005</v>
      </c>
      <c r="C2033" s="36">
        <f>IF(ISBLANK(B2034), "", GSPC[[#This Row],[Adj Close]]/B2034-1)</f>
        <v>-6.1364932951785134E-3</v>
      </c>
      <c r="D203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3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33" s="11" t="e">
        <f>IF(ISBLANK(GSPC[[#This Row],[Long Exp.]]), "", (GSPC[[#This Row],[Long Exp.]]/D2034-1)+(E2034/GSPC[[#This Row],[Short Exp.]]-1))</f>
        <v>#VALUE!</v>
      </c>
      <c r="G2033" s="37">
        <v>30865</v>
      </c>
      <c r="H2033">
        <v>3.3450760000000002</v>
      </c>
      <c r="I2033" s="36">
        <f>IF(ISBLANK(H2034), "", Long0[[#This Row],[Adj Close]]/H2034-1)</f>
        <v>6.481436680477648E-2</v>
      </c>
      <c r="P2033" s="29">
        <v>30865</v>
      </c>
      <c r="Q2033">
        <v>0.66700199999999998</v>
      </c>
      <c r="R2033" s="33">
        <f>IF(ISBLANK(Q2034),"",Long3[[#This Row],[Adj Close]]/Q2034-1)</f>
        <v>-5.8471513209374937E-3</v>
      </c>
      <c r="AN2033" s="29">
        <v>30865</v>
      </c>
      <c r="AO2033" s="44">
        <v>0.43118899999999999</v>
      </c>
      <c r="AP2033" s="33">
        <f>IF(ISBLANK(AO2034),"",Short2[[#This Row],[Adj Close]]/AO2034-1)</f>
        <v>-3.5714365583606744E-2</v>
      </c>
    </row>
    <row r="2034" spans="1:42" x14ac:dyDescent="0.25">
      <c r="A2034" s="37">
        <v>30858</v>
      </c>
      <c r="B2034" s="39">
        <v>153.179993</v>
      </c>
      <c r="C2034" s="36">
        <f>IF(ISBLANK(B2035), "", GSPC[[#This Row],[Adj Close]]/B2035-1)</f>
        <v>-8.2870253916277337E-3</v>
      </c>
      <c r="D203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3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34" s="11" t="e">
        <f>IF(ISBLANK(GSPC[[#This Row],[Long Exp.]]), "", (GSPC[[#This Row],[Long Exp.]]/D2035-1)+(E2035/GSPC[[#This Row],[Short Exp.]]-1))</f>
        <v>#VALUE!</v>
      </c>
      <c r="G2034" s="37">
        <v>30858</v>
      </c>
      <c r="H2034">
        <v>3.141464</v>
      </c>
      <c r="I2034" s="36">
        <f>IF(ISBLANK(H2035), "", Long0[[#This Row],[Adj Close]]/H2035-1)</f>
        <v>7.4627151587962404E-2</v>
      </c>
      <c r="P2034" s="29">
        <v>30858</v>
      </c>
      <c r="Q2034">
        <v>0.67092499999999999</v>
      </c>
      <c r="R2034" s="33">
        <f>IF(ISBLANK(Q2035),"",Long3[[#This Row],[Adj Close]]/Q2035-1)</f>
        <v>5.8815415845829833E-3</v>
      </c>
      <c r="AN2034" s="29">
        <v>30858</v>
      </c>
      <c r="AO2034" s="44">
        <v>0.44715899999999997</v>
      </c>
      <c r="AP2034" s="33">
        <f>IF(ISBLANK(AO2035),"",Short2[[#This Row],[Adj Close]]/AO2035-1)</f>
        <v>-5.6178565774893219E-2</v>
      </c>
    </row>
    <row r="2035" spans="1:42" x14ac:dyDescent="0.25">
      <c r="A2035" s="37">
        <v>30851</v>
      </c>
      <c r="B2035" s="39">
        <v>154.46000699999999</v>
      </c>
      <c r="C2035" s="36">
        <f>IF(ISBLANK(B2036), "", GSPC[[#This Row],[Adj Close]]/B2036-1)</f>
        <v>3.643567091482014E-2</v>
      </c>
      <c r="D203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3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35" s="11" t="e">
        <f>IF(ISBLANK(GSPC[[#This Row],[Long Exp.]]), "", (GSPC[[#This Row],[Long Exp.]]/D2036-1)+(E2036/GSPC[[#This Row],[Short Exp.]]-1))</f>
        <v>#VALUE!</v>
      </c>
      <c r="G2035" s="37">
        <v>30851</v>
      </c>
      <c r="H2035">
        <v>2.9233060000000002</v>
      </c>
      <c r="I2035" s="36">
        <f>IF(ISBLANK(H2036), "", Long0[[#This Row],[Adj Close]]/H2036-1)</f>
        <v>4.6874513189847145E-2</v>
      </c>
      <c r="P2035" s="29">
        <v>30851</v>
      </c>
      <c r="Q2035">
        <v>0.66700199999999998</v>
      </c>
      <c r="R2035" s="33">
        <f>IF(ISBLANK(Q2036),"",Long3[[#This Row],[Adj Close]]/Q2036-1)</f>
        <v>1.1904635480273873E-2</v>
      </c>
      <c r="AN2035" s="29">
        <v>30851</v>
      </c>
      <c r="AO2035" s="44">
        <v>0.473775</v>
      </c>
      <c r="AP2035" s="33">
        <f>IF(ISBLANK(AO2036),"",Short2[[#This Row],[Adj Close]]/AO2036-1)</f>
        <v>-2.1978770576068007E-2</v>
      </c>
    </row>
    <row r="2036" spans="1:42" x14ac:dyDescent="0.25">
      <c r="A2036" s="37">
        <v>30844</v>
      </c>
      <c r="B2036" s="39">
        <v>149.029999</v>
      </c>
      <c r="C2036" s="36">
        <f>IF(ISBLANK(B2037), "", GSPC[[#This Row],[Adj Close]]/B2037-1)</f>
        <v>-3.9569498479983145E-2</v>
      </c>
      <c r="D203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3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36" s="11" t="e">
        <f>IF(ISBLANK(GSPC[[#This Row],[Long Exp.]]), "", (GSPC[[#This Row],[Long Exp.]]/D2037-1)+(E2037/GSPC[[#This Row],[Short Exp.]]-1))</f>
        <v>#VALUE!</v>
      </c>
      <c r="G2036" s="37">
        <v>30844</v>
      </c>
      <c r="H2036">
        <v>2.7924129999999998</v>
      </c>
      <c r="I2036" s="36">
        <f>IF(ISBLANK(H2037), "", Long0[[#This Row],[Adj Close]]/H2037-1)</f>
        <v>0.12280693994715697</v>
      </c>
      <c r="P2036" s="29">
        <v>30844</v>
      </c>
      <c r="Q2036">
        <v>0.65915500000000005</v>
      </c>
      <c r="R2036" s="33">
        <f>IF(ISBLANK(Q2037),"",Long3[[#This Row],[Adj Close]]/Q2037-1)</f>
        <v>-5.9178468930548567E-3</v>
      </c>
      <c r="AN2036" s="29">
        <v>30844</v>
      </c>
      <c r="AO2036" s="44">
        <v>0.48442200000000002</v>
      </c>
      <c r="AP2036" s="33">
        <f>IF(ISBLANK(AO2037),"",Short2[[#This Row],[Adj Close]]/AO2037-1)</f>
        <v>-7.1428160671669572E-2</v>
      </c>
    </row>
    <row r="2037" spans="1:42" x14ac:dyDescent="0.25">
      <c r="A2037" s="37">
        <v>30837</v>
      </c>
      <c r="B2037" s="39">
        <v>155.16999799999999</v>
      </c>
      <c r="C2037" s="36">
        <f>IF(ISBLANK(B2038), "", GSPC[[#This Row],[Adj Close]]/B2038-1)</f>
        <v>1.2594576722964712E-2</v>
      </c>
      <c r="D203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3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37" s="11" t="e">
        <f>IF(ISBLANK(GSPC[[#This Row],[Long Exp.]]), "", (GSPC[[#This Row],[Long Exp.]]/D2038-1)+(E2038/GSPC[[#This Row],[Short Exp.]]-1))</f>
        <v>#VALUE!</v>
      </c>
      <c r="G2037" s="37">
        <v>30837</v>
      </c>
      <c r="H2037">
        <v>2.486993</v>
      </c>
      <c r="I2037" s="36">
        <f>IF(ISBLANK(H2038), "", Long0[[#This Row],[Adj Close]]/H2038-1)</f>
        <v>4.9080396399117321E-2</v>
      </c>
      <c r="P2037" s="29">
        <v>30837</v>
      </c>
      <c r="Q2037">
        <v>0.66307899999999997</v>
      </c>
      <c r="R2037" s="33">
        <f>IF(ISBLANK(Q2038),"",Long3[[#This Row],[Adj Close]]/Q2038-1)</f>
        <v>-3.428393330216617E-2</v>
      </c>
      <c r="AN2037" s="29">
        <v>30837</v>
      </c>
      <c r="AO2037" s="44">
        <v>0.52168499999999995</v>
      </c>
      <c r="AP2037" s="33">
        <f>IF(ISBLANK(AO2038),"",Short2[[#This Row],[Adj Close]]/AO2038-1)</f>
        <v>0.11363597551083138</v>
      </c>
    </row>
    <row r="2038" spans="1:42" x14ac:dyDescent="0.25">
      <c r="A2038" s="37">
        <v>30830</v>
      </c>
      <c r="B2038" s="39">
        <v>153.240005</v>
      </c>
      <c r="C2038" s="36">
        <f>IF(ISBLANK(B2039), "", GSPC[[#This Row],[Adj Close]]/B2039-1)</f>
        <v>1.0684672559183372E-2</v>
      </c>
      <c r="D203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3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38" s="11" t="e">
        <f>IF(ISBLANK(GSPC[[#This Row],[Long Exp.]]), "", (GSPC[[#This Row],[Long Exp.]]/D2039-1)+(E2039/GSPC[[#This Row],[Short Exp.]]-1))</f>
        <v>#VALUE!</v>
      </c>
      <c r="G2038" s="37">
        <v>30830</v>
      </c>
      <c r="H2038">
        <v>2.370641</v>
      </c>
      <c r="I2038" s="36">
        <f>IF(ISBLANK(H2039), "", Long0[[#This Row],[Adj Close]]/H2039-1)</f>
        <v>1.8750249784164952E-2</v>
      </c>
      <c r="P2038" s="29">
        <v>30830</v>
      </c>
      <c r="Q2038">
        <v>0.68661899999999998</v>
      </c>
      <c r="R2038" s="33">
        <f>IF(ISBLANK(Q2039),"",Long3[[#This Row],[Adj Close]]/Q2039-1)</f>
        <v>1.15605829350649E-2</v>
      </c>
      <c r="AN2038" s="29">
        <v>30830</v>
      </c>
      <c r="AO2038" s="44">
        <v>0.46845199999999998</v>
      </c>
      <c r="AP2038" s="33">
        <f>IF(ISBLANK(AO2039),"",Short2[[#This Row],[Adj Close]]/AO2039-1)</f>
        <v>-4.3479681304186335E-2</v>
      </c>
    </row>
    <row r="2039" spans="1:42" x14ac:dyDescent="0.25">
      <c r="A2039" s="37">
        <v>30823</v>
      </c>
      <c r="B2039" s="39">
        <v>151.61999499999999</v>
      </c>
      <c r="C2039" s="36">
        <f>IF(ISBLANK(B2040), "", GSPC[[#This Row],[Adj Close]]/B2040-1)</f>
        <v>-2.6704352463116976E-2</v>
      </c>
      <c r="D203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3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39" s="11" t="e">
        <f>IF(ISBLANK(GSPC[[#This Row],[Long Exp.]]), "", (GSPC[[#This Row],[Long Exp.]]/D2040-1)+(E2040/GSPC[[#This Row],[Short Exp.]]-1))</f>
        <v>#VALUE!</v>
      </c>
      <c r="G2039" s="37">
        <v>30823</v>
      </c>
      <c r="H2039">
        <v>2.3270089999999999</v>
      </c>
      <c r="I2039" s="36">
        <f>IF(ISBLANK(H2040), "", Long0[[#This Row],[Adj Close]]/H2040-1)</f>
        <v>2.5640471872128145E-2</v>
      </c>
      <c r="P2039" s="29">
        <v>30823</v>
      </c>
      <c r="Q2039">
        <v>0.67877200000000004</v>
      </c>
      <c r="R2039" s="33">
        <f>IF(ISBLANK(Q2040),"",Long3[[#This Row],[Adj Close]]/Q2040-1)</f>
        <v>-3.3520618982392447E-2</v>
      </c>
      <c r="AN2039" s="29">
        <v>30823</v>
      </c>
      <c r="AO2039" s="44">
        <v>0.48974600000000001</v>
      </c>
      <c r="AP2039" s="33">
        <f>IF(ISBLANK(AO2040),"",Short2[[#This Row],[Adj Close]]/AO2040-1)</f>
        <v>5.7472108203113992E-2</v>
      </c>
    </row>
    <row r="2040" spans="1:42" x14ac:dyDescent="0.25">
      <c r="A2040" s="37">
        <v>30816</v>
      </c>
      <c r="B2040" s="39">
        <v>155.779999</v>
      </c>
      <c r="C2040" s="36">
        <f>IF(ISBLANK(B2041), "", GSPC[[#This Row],[Adj Close]]/B2041-1)</f>
        <v>-1.7098907909050776E-2</v>
      </c>
      <c r="D204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4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40" s="11" t="e">
        <f>IF(ISBLANK(GSPC[[#This Row],[Long Exp.]]), "", (GSPC[[#This Row],[Long Exp.]]/D2041-1)+(E2041/GSPC[[#This Row],[Short Exp.]]-1))</f>
        <v>#VALUE!</v>
      </c>
      <c r="G2040" s="37">
        <v>30816</v>
      </c>
      <c r="H2040">
        <v>2.2688350000000002</v>
      </c>
      <c r="I2040" s="36">
        <f>IF(ISBLANK(H2041), "", Long0[[#This Row],[Adj Close]]/H2041-1)</f>
        <v>6.8493582920943652E-2</v>
      </c>
      <c r="P2040" s="29">
        <v>30816</v>
      </c>
      <c r="Q2040">
        <v>0.70231399999999999</v>
      </c>
      <c r="R2040" s="33">
        <f>IF(ISBLANK(Q2041),"",Long3[[#This Row],[Adj Close]]/Q2041-1)</f>
        <v>5.6186371511619537E-3</v>
      </c>
      <c r="AN2040" s="29">
        <v>30816</v>
      </c>
      <c r="AO2040" s="44">
        <v>0.46312900000000001</v>
      </c>
      <c r="AP2040" s="33">
        <f>IF(ISBLANK(AO2041),"",Short2[[#This Row],[Adj Close]]/AO2041-1)</f>
        <v>-0.10309240416606946</v>
      </c>
    </row>
    <row r="2041" spans="1:42" x14ac:dyDescent="0.25">
      <c r="A2041" s="37">
        <v>30809</v>
      </c>
      <c r="B2041" s="39">
        <v>158.490005</v>
      </c>
      <c r="C2041" s="36">
        <f>IF(ISBLANK(B2042), "", GSPC[[#This Row],[Adj Close]]/B2042-1)</f>
        <v>-3.8966500917815283E-3</v>
      </c>
      <c r="D204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4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41" s="11" t="e">
        <f>IF(ISBLANK(GSPC[[#This Row],[Long Exp.]]), "", (GSPC[[#This Row],[Long Exp.]]/D2042-1)+(E2042/GSPC[[#This Row],[Short Exp.]]-1))</f>
        <v>#VALUE!</v>
      </c>
      <c r="G2041" s="37">
        <v>30809</v>
      </c>
      <c r="H2041">
        <v>2.1233960000000001</v>
      </c>
      <c r="I2041" s="36">
        <f>IF(ISBLANK(H2042), "", Long0[[#This Row],[Adj Close]]/H2042-1)</f>
        <v>-6.8032747395742055E-3</v>
      </c>
      <c r="P2041" s="29">
        <v>30809</v>
      </c>
      <c r="Q2041">
        <v>0.69838999999999996</v>
      </c>
      <c r="R2041" s="33">
        <f>IF(ISBLANK(Q2042),"",Long3[[#This Row],[Adj Close]]/Q2042-1)</f>
        <v>4.7058329660180975E-2</v>
      </c>
      <c r="AN2041" s="29">
        <v>30809</v>
      </c>
      <c r="AO2041" s="44">
        <v>0.51636199999999999</v>
      </c>
      <c r="AP2041" s="33">
        <f>IF(ISBLANK(AO2042),"",Short2[[#This Row],[Adj Close]]/AO2042-1)</f>
        <v>-6.7307292842628264E-2</v>
      </c>
    </row>
    <row r="2042" spans="1:42" x14ac:dyDescent="0.25">
      <c r="A2042" s="37">
        <v>30802</v>
      </c>
      <c r="B2042" s="39">
        <v>159.11000100000001</v>
      </c>
      <c r="C2042" s="36">
        <f>IF(ISBLANK(B2043), "", GSPC[[#This Row],[Adj Close]]/B2043-1)</f>
        <v>-4.8783413901952732E-3</v>
      </c>
      <c r="D204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4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42" s="11" t="e">
        <f>IF(ISBLANK(GSPC[[#This Row],[Long Exp.]]), "", (GSPC[[#This Row],[Long Exp.]]/D2043-1)+(E2043/GSPC[[#This Row],[Short Exp.]]-1))</f>
        <v>#VALUE!</v>
      </c>
      <c r="G2042" s="37">
        <v>30802</v>
      </c>
      <c r="H2042">
        <v>2.1379410000000001</v>
      </c>
      <c r="I2042" s="36">
        <f>IF(ISBLANK(H2043), "", Long0[[#This Row],[Adj Close]]/H2043-1)</f>
        <v>-0.15028860381569886</v>
      </c>
      <c r="P2042" s="29">
        <v>30802</v>
      </c>
      <c r="Q2042">
        <v>0.66700199999999998</v>
      </c>
      <c r="R2042" s="33">
        <f>IF(ISBLANK(Q2043),"",Long3[[#This Row],[Adj Close]]/Q2043-1)</f>
        <v>2.4097698934603784E-2</v>
      </c>
      <c r="AN2042" s="29">
        <v>30802</v>
      </c>
      <c r="AO2042" s="44">
        <v>0.55362500000000003</v>
      </c>
      <c r="AP2042" s="33">
        <f>IF(ISBLANK(AO2043),"",Short2[[#This Row],[Adj Close]]/AO2043-1)</f>
        <v>-3.7036586087059398E-2</v>
      </c>
    </row>
    <row r="2043" spans="1:42" x14ac:dyDescent="0.25">
      <c r="A2043" s="37">
        <v>30795</v>
      </c>
      <c r="B2043" s="39">
        <v>159.88999899999999</v>
      </c>
      <c r="C2043" s="36">
        <f>IF(ISBLANK(B2044), "", GSPC[[#This Row],[Adj Close]]/B2044-1)</f>
        <v>1.1833913129124962E-2</v>
      </c>
      <c r="D204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4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43" s="11" t="e">
        <f>IF(ISBLANK(GSPC[[#This Row],[Long Exp.]]), "", (GSPC[[#This Row],[Long Exp.]]/D2044-1)+(E2044/GSPC[[#This Row],[Short Exp.]]-1))</f>
        <v>#VALUE!</v>
      </c>
      <c r="G2043" s="37">
        <v>30795</v>
      </c>
      <c r="H2043">
        <v>2.516079</v>
      </c>
      <c r="I2043" s="36">
        <f>IF(ISBLANK(H2044), "", Long0[[#This Row],[Adj Close]]/H2044-1)</f>
        <v>0.13071936839891385</v>
      </c>
      <c r="P2043" s="29">
        <v>30795</v>
      </c>
      <c r="Q2043">
        <v>0.65130699999999997</v>
      </c>
      <c r="R2043" s="33">
        <f>IF(ISBLANK(Q2044),"",Long3[[#This Row],[Adj Close]]/Q2044-1)</f>
        <v>-1.7753540679164903E-2</v>
      </c>
      <c r="AN2043" s="29">
        <v>30795</v>
      </c>
      <c r="AO2043" s="44">
        <v>0.57491800000000004</v>
      </c>
      <c r="AP2043" s="33">
        <f>IF(ISBLANK(AO2044),"",Short2[[#This Row],[Adj Close]]/AO2044-1)</f>
        <v>0</v>
      </c>
    </row>
    <row r="2044" spans="1:42" x14ac:dyDescent="0.25">
      <c r="A2044" s="37">
        <v>30788</v>
      </c>
      <c r="B2044" s="39">
        <v>158.020004</v>
      </c>
      <c r="C2044" s="36">
        <f>IF(ISBLANK(B2045), "", GSPC[[#This Row],[Adj Close]]/B2045-1)</f>
        <v>4.5134194204234923E-3</v>
      </c>
      <c r="D204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4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44" s="11" t="e">
        <f>IF(ISBLANK(GSPC[[#This Row],[Long Exp.]]), "", (GSPC[[#This Row],[Long Exp.]]/D2045-1)+(E2045/GSPC[[#This Row],[Short Exp.]]-1))</f>
        <v>#VALUE!</v>
      </c>
      <c r="G2044" s="37">
        <v>30788</v>
      </c>
      <c r="H2044">
        <v>2.2252019999999999</v>
      </c>
      <c r="I2044" s="36">
        <f>IF(ISBLANK(H2045), "", Long0[[#This Row],[Adj Close]]/H2045-1)</f>
        <v>6.9929535308075552E-2</v>
      </c>
      <c r="P2044" s="29">
        <v>30788</v>
      </c>
      <c r="Q2044">
        <v>0.66307899999999997</v>
      </c>
      <c r="R2044" s="33">
        <f>IF(ISBLANK(Q2045),"",Long3[[#This Row],[Adj Close]]/Q2045-1)</f>
        <v>1.8074425731644306E-2</v>
      </c>
      <c r="AN2044" s="29">
        <v>30788</v>
      </c>
      <c r="AO2044" s="44">
        <v>0.57491800000000004</v>
      </c>
      <c r="AP2044" s="33">
        <f>IF(ISBLANK(AO2045),"",Short2[[#This Row],[Adj Close]]/AO2045-1)</f>
        <v>0</v>
      </c>
    </row>
    <row r="2045" spans="1:42" x14ac:dyDescent="0.25">
      <c r="A2045" s="37">
        <v>30781</v>
      </c>
      <c r="B2045" s="39">
        <v>157.30999800000001</v>
      </c>
      <c r="C2045" s="36">
        <f>IF(ISBLANK(B2046), "", GSPC[[#This Row],[Adj Close]]/B2046-1)</f>
        <v>1.1770015738873596E-2</v>
      </c>
      <c r="D204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4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45" s="11" t="e">
        <f>IF(ISBLANK(GSPC[[#This Row],[Long Exp.]]), "", (GSPC[[#This Row],[Long Exp.]]/D2046-1)+(E2046/GSPC[[#This Row],[Short Exp.]]-1))</f>
        <v>#VALUE!</v>
      </c>
      <c r="G2045" s="37">
        <v>30781</v>
      </c>
      <c r="H2045">
        <v>2.0797650000000001</v>
      </c>
      <c r="I2045" s="36">
        <f>IF(ISBLANK(H2046), "", Long0[[#This Row],[Adj Close]]/H2046-1)</f>
        <v>7.041857969748655E-3</v>
      </c>
      <c r="P2045" s="29">
        <v>30781</v>
      </c>
      <c r="Q2045">
        <v>0.65130699999999997</v>
      </c>
      <c r="R2045" s="33">
        <f>IF(ISBLANK(Q2046),"",Long3[[#This Row],[Adj Close]]/Q2046-1)</f>
        <v>5.7323424178079119E-2</v>
      </c>
      <c r="AN2045" s="29">
        <v>30781</v>
      </c>
      <c r="AO2045" s="44">
        <v>0.57491800000000004</v>
      </c>
      <c r="AP2045" s="33">
        <f>IF(ISBLANK(AO2046),"",Short2[[#This Row],[Adj Close]]/AO2046-1)</f>
        <v>-9.1754819540812438E-3</v>
      </c>
    </row>
    <row r="2046" spans="1:42" x14ac:dyDescent="0.25">
      <c r="A2046" s="37">
        <v>30774</v>
      </c>
      <c r="B2046" s="39">
        <v>155.479996</v>
      </c>
      <c r="C2046" s="36">
        <f>IF(ISBLANK(B2047), "", GSPC[[#This Row],[Adj Close]]/B2047-1)</f>
        <v>-2.3244108322080348E-2</v>
      </c>
      <c r="D204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4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46" s="11" t="e">
        <f>IF(ISBLANK(GSPC[[#This Row],[Long Exp.]]), "", (GSPC[[#This Row],[Long Exp.]]/D2047-1)+(E2047/GSPC[[#This Row],[Short Exp.]]-1))</f>
        <v>#VALUE!</v>
      </c>
      <c r="G2046" s="37">
        <v>30774</v>
      </c>
      <c r="H2046">
        <v>2.0652219999999999</v>
      </c>
      <c r="I2046" s="36">
        <f>IF(ISBLANK(H2047), "", Long0[[#This Row],[Adj Close]]/H2047-1)</f>
        <v>0</v>
      </c>
      <c r="P2046" s="29">
        <v>30774</v>
      </c>
      <c r="Q2046">
        <v>0.61599599999999999</v>
      </c>
      <c r="R2046" s="33">
        <f>IF(ISBLANK(Q2047),"",Long3[[#This Row],[Adj Close]]/Q2047-1)</f>
        <v>-3.680944183057433E-2</v>
      </c>
      <c r="AN2046" s="29">
        <v>30774</v>
      </c>
      <c r="AO2046" s="44">
        <v>0.58024200000000004</v>
      </c>
      <c r="AP2046" s="33">
        <f>IF(ISBLANK(AO2047),"",Short2[[#This Row],[Adj Close]]/AO2047-1)</f>
        <v>-5.2174026678340701E-2</v>
      </c>
    </row>
    <row r="2047" spans="1:42" x14ac:dyDescent="0.25">
      <c r="A2047" s="37">
        <v>30767</v>
      </c>
      <c r="B2047" s="39">
        <v>159.179993</v>
      </c>
      <c r="C2047" s="36">
        <f>IF(ISBLANK(B2048), "", GSPC[[#This Row],[Adj Close]]/B2048-1)</f>
        <v>1.4790207734347582E-2</v>
      </c>
      <c r="D204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4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47" s="11" t="e">
        <f>IF(ISBLANK(GSPC[[#This Row],[Long Exp.]]), "", (GSPC[[#This Row],[Long Exp.]]/D2048-1)+(E2048/GSPC[[#This Row],[Short Exp.]]-1))</f>
        <v>#VALUE!</v>
      </c>
      <c r="G2047" s="37">
        <v>30767</v>
      </c>
      <c r="H2047">
        <v>2.0652219999999999</v>
      </c>
      <c r="I2047" s="36">
        <f>IF(ISBLANK(H2048), "", Long0[[#This Row],[Adj Close]]/H2048-1)</f>
        <v>2.8985370048633552E-2</v>
      </c>
      <c r="P2047" s="29">
        <v>30767</v>
      </c>
      <c r="Q2047">
        <v>0.63953700000000002</v>
      </c>
      <c r="R2047" s="33">
        <f>IF(ISBLANK(Q2048),"",Long3[[#This Row],[Adj Close]]/Q2048-1)</f>
        <v>0</v>
      </c>
      <c r="AN2047" s="29">
        <v>30767</v>
      </c>
      <c r="AO2047" s="44">
        <v>0.612182</v>
      </c>
      <c r="AP2047" s="33">
        <f>IF(ISBLANK(AO2048),"",Short2[[#This Row],[Adj Close]]/AO2048-1)</f>
        <v>8.4907783671321013E-2</v>
      </c>
    </row>
    <row r="2048" spans="1:42" x14ac:dyDescent="0.25">
      <c r="A2048" s="37">
        <v>30760</v>
      </c>
      <c r="B2048" s="39">
        <v>156.86000100000001</v>
      </c>
      <c r="C2048" s="36">
        <f>IF(ISBLANK(B2049), "", GSPC[[#This Row],[Adj Close]]/B2049-1)</f>
        <v>-1.5131556096400822E-2</v>
      </c>
      <c r="D204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4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48" s="11" t="e">
        <f>IF(ISBLANK(GSPC[[#This Row],[Long Exp.]]), "", (GSPC[[#This Row],[Long Exp.]]/D2049-1)+(E2049/GSPC[[#This Row],[Short Exp.]]-1))</f>
        <v>#VALUE!</v>
      </c>
      <c r="G2048" s="37">
        <v>30760</v>
      </c>
      <c r="H2048">
        <v>2.007047</v>
      </c>
      <c r="I2048" s="36">
        <f>IF(ISBLANK(H2049), "", Long0[[#This Row],[Adj Close]]/H2049-1)</f>
        <v>2.9851129192234982E-2</v>
      </c>
      <c r="P2048" s="29">
        <v>30760</v>
      </c>
      <c r="Q2048">
        <v>0.63953700000000002</v>
      </c>
      <c r="R2048" s="33">
        <f>IF(ISBLANK(Q2049),"",Long3[[#This Row],[Adj Close]]/Q2049-1)</f>
        <v>-4.1176788075597881E-2</v>
      </c>
      <c r="AN2048" s="29">
        <v>30760</v>
      </c>
      <c r="AO2048" s="44">
        <v>0.56427099999999997</v>
      </c>
      <c r="AP2048" s="33">
        <f>IF(ISBLANK(AO2049),"",Short2[[#This Row],[Adj Close]]/AO2049-1)</f>
        <v>-1.8519162732772432E-2</v>
      </c>
    </row>
    <row r="2049" spans="1:42" x14ac:dyDescent="0.25">
      <c r="A2049" s="37">
        <v>30753</v>
      </c>
      <c r="B2049" s="39">
        <v>159.270004</v>
      </c>
      <c r="C2049" s="36">
        <f>IF(ISBLANK(B2050), "", GSPC[[#This Row],[Adj Close]]/B2050-1)</f>
        <v>3.1875593189157225E-2</v>
      </c>
      <c r="D204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4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49" s="11" t="e">
        <f>IF(ISBLANK(GSPC[[#This Row],[Long Exp.]]), "", (GSPC[[#This Row],[Long Exp.]]/D2050-1)+(E2050/GSPC[[#This Row],[Short Exp.]]-1))</f>
        <v>#VALUE!</v>
      </c>
      <c r="G2049" s="37">
        <v>30753</v>
      </c>
      <c r="H2049">
        <v>1.948871</v>
      </c>
      <c r="I2049" s="36">
        <f>IF(ISBLANK(H2050), "", Long0[[#This Row],[Adj Close]]/H2050-1)</f>
        <v>-4.2857198985921441E-2</v>
      </c>
      <c r="P2049" s="29">
        <v>30753</v>
      </c>
      <c r="Q2049">
        <v>0.66700199999999998</v>
      </c>
      <c r="R2049" s="33">
        <f>IF(ISBLANK(Q2050),"",Long3[[#This Row],[Adj Close]]/Q2050-1)</f>
        <v>1.1904635480273873E-2</v>
      </c>
      <c r="AN2049" s="29">
        <v>30753</v>
      </c>
      <c r="AO2049" s="44">
        <v>0.57491800000000004</v>
      </c>
      <c r="AP2049" s="33">
        <f>IF(ISBLANK(AO2050),"",Short2[[#This Row],[Adj Close]]/AO2050-1)</f>
        <v>3.8461052156242959E-2</v>
      </c>
    </row>
    <row r="2050" spans="1:42" x14ac:dyDescent="0.25">
      <c r="A2050" s="37">
        <v>30746</v>
      </c>
      <c r="B2050" s="39">
        <v>154.35000600000001</v>
      </c>
      <c r="C2050" s="36">
        <f>IF(ISBLANK(B2051), "", GSPC[[#This Row],[Adj Close]]/B2051-1)</f>
        <v>-3.0708357488433813E-2</v>
      </c>
      <c r="D205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5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50" s="11" t="e">
        <f>IF(ISBLANK(GSPC[[#This Row],[Long Exp.]]), "", (GSPC[[#This Row],[Long Exp.]]/D2051-1)+(E2051/GSPC[[#This Row],[Short Exp.]]-1))</f>
        <v>#VALUE!</v>
      </c>
      <c r="G2050" s="37">
        <v>30746</v>
      </c>
      <c r="H2050">
        <v>2.0361340000000001</v>
      </c>
      <c r="I2050" s="36">
        <f>IF(ISBLANK(H2051), "", Long0[[#This Row],[Adj Close]]/H2051-1)</f>
        <v>0.26126156261014422</v>
      </c>
      <c r="P2050" s="29">
        <v>30746</v>
      </c>
      <c r="Q2050">
        <v>0.65915500000000005</v>
      </c>
      <c r="R2050" s="33">
        <f>IF(ISBLANK(Q2051),"",Long3[[#This Row],[Adj Close]]/Q2051-1)</f>
        <v>-3.4482405052907783E-2</v>
      </c>
      <c r="AN2050" s="29">
        <v>30746</v>
      </c>
      <c r="AO2050" s="44">
        <v>0.55362500000000003</v>
      </c>
      <c r="AP2050" s="33">
        <f>IF(ISBLANK(AO2051),"",Short2[[#This Row],[Adj Close]]/AO2051-1)</f>
        <v>-3.7036586087059398E-2</v>
      </c>
    </row>
    <row r="2051" spans="1:42" x14ac:dyDescent="0.25">
      <c r="A2051" s="37">
        <v>30739</v>
      </c>
      <c r="B2051" s="39">
        <v>159.240005</v>
      </c>
      <c r="C2051" s="36">
        <f>IF(ISBLANK(B2052), "", GSPC[[#This Row],[Adj Close]]/B2052-1)</f>
        <v>1.098349346020866E-2</v>
      </c>
      <c r="D205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5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51" s="11" t="e">
        <f>IF(ISBLANK(GSPC[[#This Row],[Long Exp.]]), "", (GSPC[[#This Row],[Long Exp.]]/D2052-1)+(E2052/GSPC[[#This Row],[Short Exp.]]-1))</f>
        <v>#VALUE!</v>
      </c>
      <c r="G2051" s="37">
        <v>30739</v>
      </c>
      <c r="H2051">
        <v>1.614363</v>
      </c>
      <c r="I2051" s="36">
        <f>IF(ISBLANK(H2052), "", Long0[[#This Row],[Adj Close]]/H2052-1)</f>
        <v>-0.34705860226730845</v>
      </c>
      <c r="P2051" s="29">
        <v>30739</v>
      </c>
      <c r="Q2051">
        <v>0.68269599999999997</v>
      </c>
      <c r="R2051" s="33">
        <f>IF(ISBLANK(Q2052),"",Long3[[#This Row],[Adj Close]]/Q2052-1)</f>
        <v>1.1627786364060588E-2</v>
      </c>
      <c r="AN2051" s="29">
        <v>30739</v>
      </c>
      <c r="AO2051" s="44">
        <v>0.57491800000000004</v>
      </c>
      <c r="AP2051" s="33">
        <f>IF(ISBLANK(AO2052),"",Short2[[#This Row],[Adj Close]]/AO2052-1)</f>
        <v>-1.8182439182669707E-2</v>
      </c>
    </row>
    <row r="2052" spans="1:42" x14ac:dyDescent="0.25">
      <c r="A2052" s="37">
        <v>30732</v>
      </c>
      <c r="B2052" s="39">
        <v>157.509995</v>
      </c>
      <c r="C2052" s="36">
        <f>IF(ISBLANK(B2053), "", GSPC[[#This Row],[Adj Close]]/B2053-1)</f>
        <v>1.1365031097822387E-2</v>
      </c>
      <c r="D205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5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52" s="11" t="e">
        <f>IF(ISBLANK(GSPC[[#This Row],[Long Exp.]]), "", (GSPC[[#This Row],[Long Exp.]]/D2053-1)+(E2053/GSPC[[#This Row],[Short Exp.]]-1))</f>
        <v>#VALUE!</v>
      </c>
      <c r="G2052" s="37">
        <v>30732</v>
      </c>
      <c r="H2052">
        <v>2.4724469999999998</v>
      </c>
      <c r="I2052" s="36">
        <f>IF(ISBLANK(H2053), "", Long0[[#This Row],[Adj Close]]/H2053-1)</f>
        <v>4.9382071543713435E-2</v>
      </c>
      <c r="P2052" s="29">
        <v>30732</v>
      </c>
      <c r="Q2052">
        <v>0.67484900000000003</v>
      </c>
      <c r="R2052" s="33">
        <f>IF(ISBLANK(Q2053),"",Long3[[#This Row],[Adj Close]]/Q2053-1)</f>
        <v>1.176458241504541E-2</v>
      </c>
      <c r="AN2052" s="29">
        <v>30732</v>
      </c>
      <c r="AO2052" s="44">
        <v>0.585565</v>
      </c>
      <c r="AP2052" s="33">
        <f>IF(ISBLANK(AO2053),"",Short2[[#This Row],[Adj Close]]/AO2053-1)</f>
        <v>-8.3333072426651222E-2</v>
      </c>
    </row>
    <row r="2053" spans="1:42" x14ac:dyDescent="0.25">
      <c r="A2053" s="37">
        <v>30725</v>
      </c>
      <c r="B2053" s="39">
        <v>155.740005</v>
      </c>
      <c r="C2053" s="36">
        <f>IF(ISBLANK(B2054), "", GSPC[[#This Row],[Adj Close]]/B2054-1)</f>
        <v>-3.5828406222103704E-3</v>
      </c>
      <c r="D205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5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53" s="11" t="e">
        <f>IF(ISBLANK(GSPC[[#This Row],[Long Exp.]]), "", (GSPC[[#This Row],[Long Exp.]]/D2054-1)+(E2054/GSPC[[#This Row],[Short Exp.]]-1))</f>
        <v>#VALUE!</v>
      </c>
      <c r="G2053" s="37">
        <v>30725</v>
      </c>
      <c r="H2053">
        <v>2.3560979999999998</v>
      </c>
      <c r="I2053" s="36">
        <f>IF(ISBLANK(H2054), "", Long0[[#This Row],[Adj Close]]/H2054-1)</f>
        <v>-8.4745683702663555E-2</v>
      </c>
      <c r="P2053" s="29">
        <v>30725</v>
      </c>
      <c r="Q2053">
        <v>0.66700199999999998</v>
      </c>
      <c r="R2053" s="33">
        <f>IF(ISBLANK(Q2054),"",Long3[[#This Row],[Adj Close]]/Q2054-1)</f>
        <v>-2.2988270035271929E-2</v>
      </c>
      <c r="AN2053" s="29">
        <v>30725</v>
      </c>
      <c r="AO2053" s="44">
        <v>0.63879799999999998</v>
      </c>
      <c r="AP2053" s="33">
        <f>IF(ISBLANK(AO2054),"",Short2[[#This Row],[Adj Close]]/AO2054-1)</f>
        <v>-3.2259139635081202E-2</v>
      </c>
    </row>
    <row r="2054" spans="1:42" x14ac:dyDescent="0.25">
      <c r="A2054" s="37">
        <v>30718</v>
      </c>
      <c r="B2054" s="39">
        <v>156.300003</v>
      </c>
      <c r="C2054" s="36">
        <f>IF(ISBLANK(B2055), "", GSPC[[#This Row],[Adj Close]]/B2055-1)</f>
        <v>-2.8649561154693526E-2</v>
      </c>
      <c r="D205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5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54" s="11" t="e">
        <f>IF(ISBLANK(GSPC[[#This Row],[Long Exp.]]), "", (GSPC[[#This Row],[Long Exp.]]/D2055-1)+(E2055/GSPC[[#This Row],[Short Exp.]]-1))</f>
        <v>#VALUE!</v>
      </c>
      <c r="G2054" s="37">
        <v>30718</v>
      </c>
      <c r="H2054">
        <v>2.574255</v>
      </c>
      <c r="I2054" s="36">
        <f>IF(ISBLANK(H2055), "", Long0[[#This Row],[Adj Close]]/H2055-1)</f>
        <v>-6.3491803636522404E-2</v>
      </c>
      <c r="P2054" s="29">
        <v>30718</v>
      </c>
      <c r="Q2054">
        <v>0.68269599999999997</v>
      </c>
      <c r="R2054" s="33">
        <f>IF(ISBLANK(Q2055),"",Long3[[#This Row],[Adj Close]]/Q2055-1)</f>
        <v>-5.713503413101062E-3</v>
      </c>
      <c r="AN2054" s="29">
        <v>30718</v>
      </c>
      <c r="AO2054" s="44">
        <v>0.66009200000000001</v>
      </c>
      <c r="AP2054" s="33">
        <f>IF(ISBLANK(AO2055),"",Short2[[#This Row],[Adj Close]]/AO2055-1)</f>
        <v>-3.1248165498456104E-2</v>
      </c>
    </row>
    <row r="2055" spans="1:42" x14ac:dyDescent="0.25">
      <c r="A2055" s="37">
        <v>30711</v>
      </c>
      <c r="B2055" s="39">
        <v>160.91000399999999</v>
      </c>
      <c r="C2055" s="36">
        <f>IF(ISBLANK(B2056), "", GSPC[[#This Row],[Adj Close]]/B2056-1)</f>
        <v>-1.8482359174303298E-2</v>
      </c>
      <c r="D205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5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55" s="11" t="e">
        <f>IF(ISBLANK(GSPC[[#This Row],[Long Exp.]]), "", (GSPC[[#This Row],[Long Exp.]]/D2056-1)+(E2056/GSPC[[#This Row],[Short Exp.]]-1))</f>
        <v>#VALUE!</v>
      </c>
      <c r="G2055" s="37">
        <v>30711</v>
      </c>
      <c r="H2055">
        <v>2.74878</v>
      </c>
      <c r="I2055" s="36">
        <f>IF(ISBLANK(H2056), "", Long0[[#This Row],[Adj Close]]/H2056-1)</f>
        <v>1.6128871274743162E-2</v>
      </c>
      <c r="P2055" s="29">
        <v>30711</v>
      </c>
      <c r="Q2055">
        <v>0.68661899999999998</v>
      </c>
      <c r="R2055" s="33">
        <f>IF(ISBLANK(Q2056),"",Long3[[#This Row],[Adj Close]]/Q2056-1)</f>
        <v>2.3391586242873519E-2</v>
      </c>
      <c r="AN2055" s="29">
        <v>30711</v>
      </c>
      <c r="AO2055" s="44">
        <v>0.68138399999999999</v>
      </c>
      <c r="AP2055" s="33">
        <f>IF(ISBLANK(AO2056),"",Short2[[#This Row],[Adj Close]]/AO2056-1)</f>
        <v>-5.8824179421551492E-2</v>
      </c>
    </row>
    <row r="2056" spans="1:42" x14ac:dyDescent="0.25">
      <c r="A2056" s="37">
        <v>30704</v>
      </c>
      <c r="B2056" s="39">
        <v>163.94000199999999</v>
      </c>
      <c r="C2056" s="36">
        <f>IF(ISBLANK(B2057), "", GSPC[[#This Row],[Adj Close]]/B2057-1)</f>
        <v>-1.3657450841693342E-2</v>
      </c>
      <c r="D205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5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56" s="11" t="e">
        <f>IF(ISBLANK(GSPC[[#This Row],[Long Exp.]]), "", (GSPC[[#This Row],[Long Exp.]]/D2057-1)+(E2057/GSPC[[#This Row],[Short Exp.]]-1))</f>
        <v>#VALUE!</v>
      </c>
      <c r="G2056" s="37">
        <v>30704</v>
      </c>
      <c r="H2056">
        <v>2.705149</v>
      </c>
      <c r="I2056" s="36">
        <f>IF(ISBLANK(H2057), "", Long0[[#This Row],[Adj Close]]/H2057-1)</f>
        <v>0.12048181792199975</v>
      </c>
      <c r="P2056" s="29">
        <v>30704</v>
      </c>
      <c r="Q2056">
        <v>0.67092499999999999</v>
      </c>
      <c r="R2056" s="33">
        <f>IF(ISBLANK(Q2057),"",Long3[[#This Row],[Adj Close]]/Q2057-1)</f>
        <v>-1.1560582935065122E-2</v>
      </c>
      <c r="AN2056" s="29">
        <v>30704</v>
      </c>
      <c r="AO2056" s="44">
        <v>0.72397100000000003</v>
      </c>
      <c r="AP2056" s="33">
        <f>IF(ISBLANK(AO2057),"",Short2[[#This Row],[Adj Close]]/AO2057-1)</f>
        <v>-4.2253651554217342E-2</v>
      </c>
    </row>
    <row r="2057" spans="1:42" x14ac:dyDescent="0.25">
      <c r="A2057" s="37">
        <v>30697</v>
      </c>
      <c r="B2057" s="39">
        <v>166.21000699999999</v>
      </c>
      <c r="C2057" s="36">
        <f>IF(ISBLANK(B2058), "", GSPC[[#This Row],[Adj Close]]/B2058-1)</f>
        <v>-4.8497005185079711E-3</v>
      </c>
      <c r="D205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5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57" s="11" t="e">
        <f>IF(ISBLANK(GSPC[[#This Row],[Long Exp.]]), "", (GSPC[[#This Row],[Long Exp.]]/D2058-1)+(E2058/GSPC[[#This Row],[Short Exp.]]-1))</f>
        <v>#VALUE!</v>
      </c>
      <c r="G2057" s="37">
        <v>30697</v>
      </c>
      <c r="H2057">
        <v>2.4142730000000001</v>
      </c>
      <c r="I2057" s="36">
        <f>IF(ISBLANK(H2058), "", Long0[[#This Row],[Adj Close]]/H2058-1)</f>
        <v>5.0632680033230182E-2</v>
      </c>
      <c r="P2057" s="29">
        <v>30697</v>
      </c>
      <c r="Q2057">
        <v>0.67877200000000004</v>
      </c>
      <c r="R2057" s="33">
        <f>IF(ISBLANK(Q2058),"",Long3[[#This Row],[Adj Close]]/Q2058-1)</f>
        <v>-1.7046005824401966E-2</v>
      </c>
      <c r="AN2057" s="29">
        <v>30697</v>
      </c>
      <c r="AO2057" s="44">
        <v>0.755911</v>
      </c>
      <c r="AP2057" s="33">
        <f>IF(ISBLANK(AO2058),"",Short2[[#This Row],[Adj Close]]/AO2058-1)</f>
        <v>-6.5789278546216745E-2</v>
      </c>
    </row>
    <row r="2058" spans="1:42" x14ac:dyDescent="0.25">
      <c r="A2058" s="37">
        <v>30690</v>
      </c>
      <c r="B2058" s="39">
        <v>167.020004</v>
      </c>
      <c r="C2058" s="36">
        <f>IF(ISBLANK(B2059), "", GSPC[[#This Row],[Adj Close]]/B2059-1)</f>
        <v>-1.3350632167714038E-2</v>
      </c>
      <c r="D205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5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58" s="11" t="e">
        <f>IF(ISBLANK(GSPC[[#This Row],[Long Exp.]]), "", (GSPC[[#This Row],[Long Exp.]]/D2059-1)+(E2059/GSPC[[#This Row],[Short Exp.]]-1))</f>
        <v>#VALUE!</v>
      </c>
      <c r="G2058" s="37">
        <v>30690</v>
      </c>
      <c r="H2058">
        <v>2.2979229999999999</v>
      </c>
      <c r="I2058" s="36">
        <f>IF(ISBLANK(H2059), "", Long0[[#This Row],[Adj Close]]/H2059-1)</f>
        <v>-6.2889573295348278E-3</v>
      </c>
      <c r="P2058" s="29">
        <v>30690</v>
      </c>
      <c r="Q2058">
        <v>0.69054300000000002</v>
      </c>
      <c r="R2058" s="33">
        <f>IF(ISBLANK(Q2059),"",Long3[[#This Row],[Adj Close]]/Q2059-1)</f>
        <v>1.1494135017636076E-2</v>
      </c>
      <c r="AN2058" s="29">
        <v>30690</v>
      </c>
      <c r="AO2058" s="44">
        <v>0.80914399999999997</v>
      </c>
      <c r="AP2058" s="33">
        <f>IF(ISBLANK(AO2059),"",Short2[[#This Row],[Adj Close]]/AO2059-1)</f>
        <v>2.7026683979584964E-2</v>
      </c>
    </row>
    <row r="2059" spans="1:42" x14ac:dyDescent="0.25">
      <c r="A2059" s="37">
        <v>30683</v>
      </c>
      <c r="B2059" s="39">
        <v>169.279999</v>
      </c>
      <c r="C2059" s="36">
        <f>IF(ISBLANK(B2060), "", GSPC[[#This Row],[Adj Close]]/B2060-1)</f>
        <v>2.6374863182101693E-2</v>
      </c>
      <c r="D205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5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59" s="11" t="e">
        <f>IF(ISBLANK(GSPC[[#This Row],[Long Exp.]]), "", (GSPC[[#This Row],[Long Exp.]]/D2060-1)+(E2060/GSPC[[#This Row],[Short Exp.]]-1))</f>
        <v>#VALUE!</v>
      </c>
      <c r="G2059" s="37">
        <v>30683</v>
      </c>
      <c r="H2059">
        <v>2.3124660000000001</v>
      </c>
      <c r="I2059" s="36">
        <f>IF(ISBLANK(H2060), "", Long0[[#This Row],[Adj Close]]/H2060-1)</f>
        <v>0</v>
      </c>
      <c r="P2059" s="29">
        <v>30683</v>
      </c>
      <c r="Q2059">
        <v>0.68269599999999997</v>
      </c>
      <c r="R2059" s="33">
        <f>IF(ISBLANK(Q2060),"",Long3[[#This Row],[Adj Close]]/Q2060-1)</f>
        <v>5.4545679225930899E-2</v>
      </c>
      <c r="AN2059" s="29">
        <v>30683</v>
      </c>
      <c r="AO2059" s="44">
        <v>0.78785099999999997</v>
      </c>
      <c r="AP2059" s="33">
        <f>IF(ISBLANK(AO2060),"",Short2[[#This Row],[Adj Close]]/AO2060-1)</f>
        <v>7.2463511648230838E-2</v>
      </c>
    </row>
    <row r="2060" spans="1:42" x14ac:dyDescent="0.25">
      <c r="A2060" s="37">
        <v>30676</v>
      </c>
      <c r="B2060" s="39">
        <v>164.929993</v>
      </c>
      <c r="C2060" s="36">
        <f>IF(ISBLANK(B2061), "", GSPC[[#This Row],[Adj Close]]/B2061-1)</f>
        <v>1.0476608194604831E-2</v>
      </c>
      <c r="D206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6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60" s="11" t="e">
        <f>IF(ISBLANK(GSPC[[#This Row],[Long Exp.]]), "", (GSPC[[#This Row],[Long Exp.]]/D2061-1)+(E2061/GSPC[[#This Row],[Short Exp.]]-1))</f>
        <v>#VALUE!</v>
      </c>
      <c r="G2060" s="37">
        <v>30676</v>
      </c>
      <c r="H2060">
        <v>2.3124660000000001</v>
      </c>
      <c r="I2060" s="36">
        <f>IF(ISBLANK(H2061), "", Long0[[#This Row],[Adj Close]]/H2061-1)</f>
        <v>-3.6363689399927956E-2</v>
      </c>
      <c r="P2060" s="29">
        <v>30676</v>
      </c>
      <c r="Q2060">
        <v>0.64738399999999996</v>
      </c>
      <c r="R2060" s="33">
        <f>IF(ISBLANK(Q2061),"",Long3[[#This Row],[Adj Close]]/Q2061-1)</f>
        <v>-3.50873793643105E-2</v>
      </c>
      <c r="AN2060" s="29">
        <v>30676</v>
      </c>
      <c r="AO2060" s="44">
        <v>0.73461799999999999</v>
      </c>
      <c r="AP2060" s="33">
        <f>IF(ISBLANK(AO2061),"",Short2[[#This Row],[Adj Close]]/AO2061-1)</f>
        <v>7.2988296916884909E-3</v>
      </c>
    </row>
    <row r="2061" spans="1:42" x14ac:dyDescent="0.25">
      <c r="A2061" s="37">
        <v>30669</v>
      </c>
      <c r="B2061" s="39">
        <v>163.220001</v>
      </c>
      <c r="C2061" s="36">
        <f>IF(ISBLANK(B2062), "", GSPC[[#This Row],[Adj Close]]/B2062-1)</f>
        <v>5.1111645120460736E-3</v>
      </c>
      <c r="D206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6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61" s="11" t="e">
        <f>IF(ISBLANK(GSPC[[#This Row],[Long Exp.]]), "", (GSPC[[#This Row],[Long Exp.]]/D2062-1)+(E2062/GSPC[[#This Row],[Short Exp.]]-1))</f>
        <v>#VALUE!</v>
      </c>
      <c r="G2061" s="37">
        <v>30669</v>
      </c>
      <c r="H2061">
        <v>2.3997289999999998</v>
      </c>
      <c r="I2061" s="36">
        <f>IF(ISBLANK(H2062), "", Long0[[#This Row],[Adj Close]]/H2062-1)</f>
        <v>3.7735906171160849E-2</v>
      </c>
      <c r="P2061" s="29">
        <v>30669</v>
      </c>
      <c r="Q2061">
        <v>0.67092499999999999</v>
      </c>
      <c r="R2061" s="33">
        <f>IF(ISBLANK(Q2062),"",Long3[[#This Row],[Adj Close]]/Q2062-1)</f>
        <v>-2.2856926475964046E-2</v>
      </c>
      <c r="AN2061" s="29">
        <v>30669</v>
      </c>
      <c r="AO2061" s="44">
        <v>0.72929500000000003</v>
      </c>
      <c r="AP2061" s="33">
        <f>IF(ISBLANK(AO2062),"",Short2[[#This Row],[Adj Close]]/AO2062-1)</f>
        <v>7.0314242776466696E-2</v>
      </c>
    </row>
    <row r="2062" spans="1:42" x14ac:dyDescent="0.25">
      <c r="A2062" s="37">
        <v>30662</v>
      </c>
      <c r="B2062" s="39">
        <v>162.38999899999999</v>
      </c>
      <c r="C2062" s="36">
        <f>IF(ISBLANK(B2063), "", GSPC[[#This Row],[Adj Close]]/B2063-1)</f>
        <v>-1.6295147609702743E-2</v>
      </c>
      <c r="D206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6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62" s="11" t="e">
        <f>IF(ISBLANK(GSPC[[#This Row],[Long Exp.]]), "", (GSPC[[#This Row],[Long Exp.]]/D2063-1)+(E2063/GSPC[[#This Row],[Short Exp.]]-1))</f>
        <v>#VALUE!</v>
      </c>
      <c r="G2062" s="37">
        <v>30662</v>
      </c>
      <c r="H2062">
        <v>2.3124660000000001</v>
      </c>
      <c r="I2062" s="36">
        <f>IF(ISBLANK(H2063), "", Long0[[#This Row],[Adj Close]]/H2063-1)</f>
        <v>-5.3571698983490235E-2</v>
      </c>
      <c r="P2062" s="29">
        <v>30662</v>
      </c>
      <c r="Q2062">
        <v>0.68661899999999998</v>
      </c>
      <c r="R2062" s="33">
        <f>IF(ISBLANK(Q2063),"",Long3[[#This Row],[Adj Close]]/Q2063-1)</f>
        <v>-1.6854479588768401E-2</v>
      </c>
      <c r="AN2062" s="29">
        <v>30662</v>
      </c>
      <c r="AO2062" s="44">
        <v>0.68138399999999999</v>
      </c>
      <c r="AP2062" s="33">
        <f>IF(ISBLANK(AO2063),"",Short2[[#This Row],[Adj Close]]/AO2063-1)</f>
        <v>-4.4776286792537423E-2</v>
      </c>
    </row>
    <row r="2063" spans="1:42" x14ac:dyDescent="0.25">
      <c r="A2063" s="37">
        <v>30655</v>
      </c>
      <c r="B2063" s="39">
        <v>165.08000200000001</v>
      </c>
      <c r="C2063" s="36">
        <f>IF(ISBLANK(B2064), "", GSPC[[#This Row],[Adj Close]]/B2064-1)</f>
        <v>-2.1760154475819471E-3</v>
      </c>
      <c r="D206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6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63" s="11" t="e">
        <f>IF(ISBLANK(GSPC[[#This Row],[Long Exp.]]), "", (GSPC[[#This Row],[Long Exp.]]/D2064-1)+(E2064/GSPC[[#This Row],[Short Exp.]]-1))</f>
        <v>#VALUE!</v>
      </c>
      <c r="G2063" s="37">
        <v>30655</v>
      </c>
      <c r="H2063">
        <v>2.4433609999999999</v>
      </c>
      <c r="I2063" s="36">
        <f>IF(ISBLANK(H2064), "", Long0[[#This Row],[Adj Close]]/H2064-1)</f>
        <v>0.10526363405663175</v>
      </c>
      <c r="P2063" s="29">
        <v>30655</v>
      </c>
      <c r="Q2063">
        <v>0.69838999999999996</v>
      </c>
      <c r="R2063" s="33">
        <f>IF(ISBLANK(Q2064),"",Long3[[#This Row],[Adj Close]]/Q2064-1)</f>
        <v>-4.3011651472569135E-2</v>
      </c>
      <c r="AN2063" s="29">
        <v>30655</v>
      </c>
      <c r="AO2063" s="44">
        <v>0.71332399999999996</v>
      </c>
      <c r="AP2063" s="33">
        <f>IF(ISBLANK(AO2064),"",Short2[[#This Row],[Adj Close]]/AO2064-1)</f>
        <v>-6.2937283410882894E-2</v>
      </c>
    </row>
    <row r="2064" spans="1:42" x14ac:dyDescent="0.25">
      <c r="A2064" s="37">
        <v>30648</v>
      </c>
      <c r="B2064" s="39">
        <v>165.44000199999999</v>
      </c>
      <c r="C2064" s="36">
        <f>IF(ISBLANK(B2065), "", GSPC[[#This Row],[Adj Close]]/B2065-1)</f>
        <v>-1.040789013551402E-2</v>
      </c>
      <c r="D206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6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64" s="11" t="e">
        <f>IF(ISBLANK(GSPC[[#This Row],[Long Exp.]]), "", (GSPC[[#This Row],[Long Exp.]]/D2065-1)+(E2065/GSPC[[#This Row],[Short Exp.]]-1))</f>
        <v>#VALUE!</v>
      </c>
      <c r="G2064" s="37">
        <v>30648</v>
      </c>
      <c r="H2064">
        <v>2.2106590000000002</v>
      </c>
      <c r="I2064" s="36">
        <f>IF(ISBLANK(H2065), "", Long0[[#This Row],[Adj Close]]/H2065-1)</f>
        <v>-0.1827958459959137</v>
      </c>
      <c r="P2064" s="29">
        <v>30648</v>
      </c>
      <c r="Q2064">
        <v>0.72977899999999996</v>
      </c>
      <c r="R2064" s="33">
        <f>IF(ISBLANK(Q2065),"",Long3[[#This Row],[Adj Close]]/Q2065-1)</f>
        <v>-4.1236679992695535E-2</v>
      </c>
      <c r="AN2064" s="29">
        <v>30648</v>
      </c>
      <c r="AO2064" s="44">
        <v>0.76123399999999997</v>
      </c>
      <c r="AP2064" s="33">
        <f>IF(ISBLANK(AO2065),"",Short2[[#This Row],[Adj Close]]/AO2065-1)</f>
        <v>-6.5360456150517887E-2</v>
      </c>
    </row>
    <row r="2065" spans="1:42" x14ac:dyDescent="0.25">
      <c r="A2065" s="37">
        <v>30641</v>
      </c>
      <c r="B2065" s="39">
        <v>167.179993</v>
      </c>
      <c r="C2065" s="36">
        <f>IF(ISBLANK(B2066), "", GSPC[[#This Row],[Adj Close]]/B2066-1)</f>
        <v>1.2659743477127394E-2</v>
      </c>
      <c r="D206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6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65" s="11" t="e">
        <f>IF(ISBLANK(GSPC[[#This Row],[Long Exp.]]), "", (GSPC[[#This Row],[Long Exp.]]/D2066-1)+(E2066/GSPC[[#This Row],[Short Exp.]]-1))</f>
        <v>#VALUE!</v>
      </c>
      <c r="G2065" s="37">
        <v>30641</v>
      </c>
      <c r="H2065">
        <v>2.705149</v>
      </c>
      <c r="I2065" s="36">
        <f>IF(ISBLANK(H2066), "", Long0[[#This Row],[Adj Close]]/H2066-1)</f>
        <v>3.9106271861322872E-2</v>
      </c>
      <c r="P2065" s="29">
        <v>30641</v>
      </c>
      <c r="Q2065">
        <v>0.76116700000000004</v>
      </c>
      <c r="R2065" s="33">
        <f>IF(ISBLANK(Q2066),"",Long3[[#This Row],[Adj Close]]/Q2066-1)</f>
        <v>2.645404895152037E-2</v>
      </c>
      <c r="AN2065" s="29">
        <v>30641</v>
      </c>
      <c r="AO2065" s="44">
        <v>0.81446799999999997</v>
      </c>
      <c r="AP2065" s="33">
        <f>IF(ISBLANK(AO2066),"",Short2[[#This Row],[Adj Close]]/AO2066-1)</f>
        <v>1.3245486246316052E-2</v>
      </c>
    </row>
    <row r="2066" spans="1:42" x14ac:dyDescent="0.25">
      <c r="A2066" s="37">
        <v>30634</v>
      </c>
      <c r="B2066" s="39">
        <v>165.08999600000001</v>
      </c>
      <c r="C2066" s="36">
        <f>IF(ISBLANK(B2067), "", GSPC[[#This Row],[Adj Close]]/B2067-1)</f>
        <v>-7.2162911210177372E-3</v>
      </c>
      <c r="D206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6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66" s="11" t="e">
        <f>IF(ISBLANK(GSPC[[#This Row],[Long Exp.]]), "", (GSPC[[#This Row],[Long Exp.]]/D2067-1)+(E2067/GSPC[[#This Row],[Short Exp.]]-1))</f>
        <v>#VALUE!</v>
      </c>
      <c r="G2066" s="37">
        <v>30634</v>
      </c>
      <c r="H2066">
        <v>2.603342</v>
      </c>
      <c r="I2066" s="36">
        <f>IF(ISBLANK(H2067), "", Long0[[#This Row],[Adj Close]]/H2067-1)</f>
        <v>9.8159527317716933E-2</v>
      </c>
      <c r="P2066" s="29">
        <v>30634</v>
      </c>
      <c r="Q2066">
        <v>0.74155000000000004</v>
      </c>
      <c r="R2066" s="33">
        <f>IF(ISBLANK(Q2067),"",Long3[[#This Row],[Adj Close]]/Q2067-1)</f>
        <v>2.162277589876771E-2</v>
      </c>
      <c r="AN2066" s="29">
        <v>30634</v>
      </c>
      <c r="AO2066" s="44">
        <v>0.80382100000000001</v>
      </c>
      <c r="AP2066" s="33">
        <f>IF(ISBLANK(AO2067),"",Short2[[#This Row],[Adj Close]]/AO2067-1)</f>
        <v>-1.9480574927024152E-2</v>
      </c>
    </row>
    <row r="2067" spans="1:42" x14ac:dyDescent="0.25">
      <c r="A2067" s="37">
        <v>30627</v>
      </c>
      <c r="B2067" s="39">
        <v>166.28999300000001</v>
      </c>
      <c r="C2067" s="36">
        <f>IF(ISBLANK(B2068), "", GSPC[[#This Row],[Adj Close]]/B2068-1)</f>
        <v>2.3701003155614409E-2</v>
      </c>
      <c r="D206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6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67" s="11" t="e">
        <f>IF(ISBLANK(GSPC[[#This Row],[Long Exp.]]), "", (GSPC[[#This Row],[Long Exp.]]/D2068-1)+(E2068/GSPC[[#This Row],[Short Exp.]]-1))</f>
        <v>#VALUE!</v>
      </c>
      <c r="G2067" s="37">
        <v>30627</v>
      </c>
      <c r="H2067">
        <v>2.370641</v>
      </c>
      <c r="I2067" s="36">
        <f>IF(ISBLANK(H2068), "", Long0[[#This Row],[Adj Close]]/H2068-1)</f>
        <v>5.1612679995617361E-2</v>
      </c>
      <c r="P2067" s="29">
        <v>30627</v>
      </c>
      <c r="Q2067">
        <v>0.72585500000000003</v>
      </c>
      <c r="R2067" s="33">
        <f>IF(ISBLANK(Q2068),"",Long3[[#This Row],[Adj Close]]/Q2068-1)</f>
        <v>-4.6391921877853348E-2</v>
      </c>
      <c r="AN2067" s="29">
        <v>30627</v>
      </c>
      <c r="AO2067" s="44">
        <v>0.81979100000000005</v>
      </c>
      <c r="AP2067" s="33">
        <f>IF(ISBLANK(AO2068),"",Short2[[#This Row],[Adj Close]]/AO2068-1)</f>
        <v>6.5355544969232238E-3</v>
      </c>
    </row>
    <row r="2068" spans="1:42" x14ac:dyDescent="0.25">
      <c r="A2068" s="37">
        <v>30620</v>
      </c>
      <c r="B2068" s="39">
        <v>162.44000199999999</v>
      </c>
      <c r="C2068" s="36">
        <f>IF(ISBLANK(B2069), "", GSPC[[#This Row],[Adj Close]]/B2069-1)</f>
        <v>-5.6925569471921733E-3</v>
      </c>
      <c r="D206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6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68" s="11" t="e">
        <f>IF(ISBLANK(GSPC[[#This Row],[Long Exp.]]), "", (GSPC[[#This Row],[Long Exp.]]/D2069-1)+(E2069/GSPC[[#This Row],[Short Exp.]]-1))</f>
        <v>#VALUE!</v>
      </c>
      <c r="G2068" s="37">
        <v>30620</v>
      </c>
      <c r="H2068">
        <v>2.2542909999999998</v>
      </c>
      <c r="I2068" s="36">
        <f>IF(ISBLANK(H2069), "", Long0[[#This Row],[Adj Close]]/H2069-1)</f>
        <v>2.6489948618378945E-2</v>
      </c>
      <c r="P2068" s="29">
        <v>30620</v>
      </c>
      <c r="Q2068">
        <v>0.76116700000000004</v>
      </c>
      <c r="R2068" s="33">
        <f>IF(ISBLANK(Q2069),"",Long3[[#This Row],[Adj Close]]/Q2069-1)</f>
        <v>1.5705960925917806E-2</v>
      </c>
      <c r="AN2068" s="29">
        <v>30620</v>
      </c>
      <c r="AO2068" s="44">
        <v>0.81446799999999997</v>
      </c>
      <c r="AP2068" s="33">
        <f>IF(ISBLANK(AO2069),"",Short2[[#This Row],[Adj Close]]/AO2069-1)</f>
        <v>0.16793885467229752</v>
      </c>
    </row>
    <row r="2069" spans="1:42" x14ac:dyDescent="0.25">
      <c r="A2069" s="37">
        <v>30613</v>
      </c>
      <c r="B2069" s="39">
        <v>163.36999499999999</v>
      </c>
      <c r="C2069" s="36">
        <f>IF(ISBLANK(B2070), "", GSPC[[#This Row],[Adj Close]]/B2070-1)</f>
        <v>-1.5546863794158483E-2</v>
      </c>
      <c r="D206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6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69" s="11" t="e">
        <f>IF(ISBLANK(GSPC[[#This Row],[Long Exp.]]), "", (GSPC[[#This Row],[Long Exp.]]/D2070-1)+(E2070/GSPC[[#This Row],[Short Exp.]]-1))</f>
        <v>#VALUE!</v>
      </c>
      <c r="G2069" s="37">
        <v>30613</v>
      </c>
      <c r="H2069">
        <v>2.196116</v>
      </c>
      <c r="I2069" s="36">
        <f>IF(ISBLANK(H2070), "", Long0[[#This Row],[Adj Close]]/H2070-1)</f>
        <v>2.7210760259520628E-2</v>
      </c>
      <c r="P2069" s="29">
        <v>30613</v>
      </c>
      <c r="Q2069">
        <v>0.74939699999999998</v>
      </c>
      <c r="R2069" s="33">
        <f>IF(ISBLANK(Q2070),"",Long3[[#This Row],[Adj Close]]/Q2070-1)</f>
        <v>1.0581889285955048E-2</v>
      </c>
      <c r="AN2069" s="29">
        <v>30613</v>
      </c>
      <c r="AO2069" s="44">
        <v>0.69735499999999995</v>
      </c>
      <c r="AP2069" s="33">
        <f>IF(ISBLANK(AO2070),"",Short2[[#This Row],[Adj Close]]/AO2070-1)</f>
        <v>-0.11486435886988788</v>
      </c>
    </row>
    <row r="2070" spans="1:42" x14ac:dyDescent="0.25">
      <c r="A2070" s="37">
        <v>30606</v>
      </c>
      <c r="B2070" s="39">
        <v>165.949997</v>
      </c>
      <c r="C2070" s="36">
        <f>IF(ISBLANK(B2071), "", GSPC[[#This Row],[Adj Close]]/B2071-1)</f>
        <v>-2.301898020123061E-2</v>
      </c>
      <c r="D207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7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70" s="11" t="e">
        <f>IF(ISBLANK(GSPC[[#This Row],[Long Exp.]]), "", (GSPC[[#This Row],[Long Exp.]]/D2071-1)+(E2071/GSPC[[#This Row],[Short Exp.]]-1))</f>
        <v>#VALUE!</v>
      </c>
      <c r="G2070" s="37">
        <v>30606</v>
      </c>
      <c r="H2070">
        <v>2.1379410000000001</v>
      </c>
      <c r="I2070" s="36">
        <f>IF(ISBLANK(H2071), "", Long0[[#This Row],[Adj Close]]/H2071-1)</f>
        <v>-3.2894263656221945E-2</v>
      </c>
      <c r="P2070" s="29">
        <v>30606</v>
      </c>
      <c r="Q2070">
        <v>0.74155000000000004</v>
      </c>
      <c r="R2070" s="33">
        <f>IF(ISBLANK(Q2071),"",Long3[[#This Row],[Adj Close]]/Q2071-1)</f>
        <v>1.0696440789312422E-2</v>
      </c>
      <c r="AN2070" s="29">
        <v>30606</v>
      </c>
      <c r="AO2070" s="44">
        <v>0.78785099999999997</v>
      </c>
      <c r="AP2070" s="33">
        <f>IF(ISBLANK(AO2071),"",Short2[[#This Row],[Adj Close]]/AO2071-1)</f>
        <v>-6.9181847503624216E-2</v>
      </c>
    </row>
    <row r="2071" spans="1:42" x14ac:dyDescent="0.25">
      <c r="A2071" s="37">
        <v>30599</v>
      </c>
      <c r="B2071" s="39">
        <v>169.86000100000001</v>
      </c>
      <c r="C2071" s="36">
        <f>IF(ISBLANK(B2072), "", GSPC[[#This Row],[Adj Close]]/B2072-1)</f>
        <v>-5.5035244934977801E-3</v>
      </c>
      <c r="D207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7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71" s="11" t="e">
        <f>IF(ISBLANK(GSPC[[#This Row],[Long Exp.]]), "", (GSPC[[#This Row],[Long Exp.]]/D2072-1)+(E2072/GSPC[[#This Row],[Short Exp.]]-1))</f>
        <v>#VALUE!</v>
      </c>
      <c r="G2071" s="37">
        <v>30599</v>
      </c>
      <c r="H2071">
        <v>2.2106590000000002</v>
      </c>
      <c r="I2071" s="36">
        <f>IF(ISBLANK(H2072), "", Long0[[#This Row],[Adj Close]]/H2072-1)</f>
        <v>0.13432802889467799</v>
      </c>
      <c r="P2071" s="29">
        <v>30599</v>
      </c>
      <c r="Q2071">
        <v>0.73370199999999997</v>
      </c>
      <c r="R2071" s="33">
        <f>IF(ISBLANK(Q2072),"",Long3[[#This Row],[Adj Close]]/Q2072-1)</f>
        <v>-1.0583237812689772E-2</v>
      </c>
      <c r="AN2071" s="29">
        <v>30599</v>
      </c>
      <c r="AO2071" s="44">
        <v>0.84640700000000002</v>
      </c>
      <c r="AP2071" s="33">
        <f>IF(ISBLANK(AO2072),"",Short2[[#This Row],[Adj Close]]/AO2072-1)</f>
        <v>-6.2507998417340449E-3</v>
      </c>
    </row>
    <row r="2072" spans="1:42" x14ac:dyDescent="0.25">
      <c r="A2072" s="37">
        <v>30592</v>
      </c>
      <c r="B2072" s="39">
        <v>170.800003</v>
      </c>
      <c r="C2072" s="36">
        <f>IF(ISBLANK(B2073), "", GSPC[[#This Row],[Adj Close]]/B2073-1)</f>
        <v>2.848194014949379E-2</v>
      </c>
      <c r="D207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7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72" s="11" t="e">
        <f>IF(ISBLANK(GSPC[[#This Row],[Long Exp.]]), "", (GSPC[[#This Row],[Long Exp.]]/D2073-1)+(E2073/GSPC[[#This Row],[Short Exp.]]-1))</f>
        <v>#VALUE!</v>
      </c>
      <c r="G2072" s="37">
        <v>30592</v>
      </c>
      <c r="H2072">
        <v>1.948871</v>
      </c>
      <c r="I2072" s="36">
        <f>IF(ISBLANK(H2073), "", Long0[[#This Row],[Adj Close]]/H2073-1)</f>
        <v>-1.4705570087939268E-2</v>
      </c>
      <c r="P2072" s="29">
        <v>30592</v>
      </c>
      <c r="Q2072">
        <v>0.74155000000000004</v>
      </c>
      <c r="R2072" s="33">
        <f>IF(ISBLANK(Q2073),"",Long3[[#This Row],[Adj Close]]/Q2073-1)</f>
        <v>3.8461807767982803E-2</v>
      </c>
      <c r="AN2072" s="29">
        <v>30592</v>
      </c>
      <c r="AO2072" s="44">
        <v>0.85173100000000002</v>
      </c>
      <c r="AP2072" s="33">
        <f>IF(ISBLANK(AO2073),"",Short2[[#This Row],[Adj Close]]/AO2073-1)</f>
        <v>6.2901181110268656E-3</v>
      </c>
    </row>
    <row r="2073" spans="1:42" x14ac:dyDescent="0.25">
      <c r="A2073" s="37">
        <v>30585</v>
      </c>
      <c r="B2073" s="39">
        <v>166.070007</v>
      </c>
      <c r="C2073" s="36">
        <f>IF(ISBLANK(B2074), "", GSPC[[#This Row],[Adj Close]]/B2074-1)</f>
        <v>-2.0293717783426257E-2</v>
      </c>
      <c r="D207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7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73" s="11" t="e">
        <f>IF(ISBLANK(GSPC[[#This Row],[Long Exp.]]), "", (GSPC[[#This Row],[Long Exp.]]/D2074-1)+(E2074/GSPC[[#This Row],[Short Exp.]]-1))</f>
        <v>#VALUE!</v>
      </c>
      <c r="G2073" s="37">
        <v>30585</v>
      </c>
      <c r="H2073">
        <v>1.9779580000000001</v>
      </c>
      <c r="I2073" s="36">
        <f>IF(ISBLANK(H2074), "", Long0[[#This Row],[Adj Close]]/H2074-1)</f>
        <v>0.23636361363379232</v>
      </c>
      <c r="P2073" s="29">
        <v>30585</v>
      </c>
      <c r="Q2073">
        <v>0.71408499999999997</v>
      </c>
      <c r="R2073" s="33">
        <f>IF(ISBLANK(Q2074),"",Long3[[#This Row],[Adj Close]]/Q2074-1)</f>
        <v>-5.4651125542994894E-3</v>
      </c>
      <c r="AN2073" s="29">
        <v>30585</v>
      </c>
      <c r="AO2073" s="44">
        <v>0.84640700000000002</v>
      </c>
      <c r="AP2073" s="33">
        <f>IF(ISBLANK(AO2074),"",Short2[[#This Row],[Adj Close]]/AO2074-1)</f>
        <v>-6.2507998417340449E-3</v>
      </c>
    </row>
    <row r="2074" spans="1:42" x14ac:dyDescent="0.25">
      <c r="A2074" s="37">
        <v>30578</v>
      </c>
      <c r="B2074" s="39">
        <v>169.509995</v>
      </c>
      <c r="C2074" s="36">
        <f>IF(ISBLANK(B2075), "", GSPC[[#This Row],[Adj Close]]/B2075-1)</f>
        <v>1.9608992481203069E-2</v>
      </c>
      <c r="D207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7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74" s="11" t="e">
        <f>IF(ISBLANK(GSPC[[#This Row],[Long Exp.]]), "", (GSPC[[#This Row],[Long Exp.]]/D2075-1)+(E2075/GSPC[[#This Row],[Short Exp.]]-1))</f>
        <v>#VALUE!</v>
      </c>
      <c r="G2074" s="37">
        <v>30578</v>
      </c>
      <c r="H2074">
        <v>1.5998190000000001</v>
      </c>
      <c r="I2074" s="36">
        <f>IF(ISBLANK(H2075), "", Long0[[#This Row],[Adj Close]]/H2075-1)</f>
        <v>-1.7857373072864169E-2</v>
      </c>
      <c r="P2074" s="29">
        <v>30578</v>
      </c>
      <c r="Q2074">
        <v>0.71800900000000001</v>
      </c>
      <c r="R2074" s="33">
        <f>IF(ISBLANK(Q2075),"",Long3[[#This Row],[Adj Close]]/Q2075-1)</f>
        <v>2.809175389109253E-2</v>
      </c>
      <c r="AN2074" s="29">
        <v>30578</v>
      </c>
      <c r="AO2074" s="44">
        <v>0.85173100000000002</v>
      </c>
      <c r="AP2074" s="33">
        <f>IF(ISBLANK(AO2075),"",Short2[[#This Row],[Adj Close]]/AO2075-1)</f>
        <v>1.9108333602549044E-2</v>
      </c>
    </row>
    <row r="2075" spans="1:42" x14ac:dyDescent="0.25">
      <c r="A2075" s="37">
        <v>30571</v>
      </c>
      <c r="B2075" s="39">
        <v>166.25</v>
      </c>
      <c r="C2075" s="36">
        <f>IF(ISBLANK(B2076), "", GSPC[[#This Row],[Adj Close]]/B2076-1)</f>
        <v>-4.0138869400178079E-3</v>
      </c>
      <c r="D207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7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75" s="11" t="e">
        <f>IF(ISBLANK(GSPC[[#This Row],[Long Exp.]]), "", (GSPC[[#This Row],[Long Exp.]]/D2076-1)+(E2076/GSPC[[#This Row],[Short Exp.]]-1))</f>
        <v>#VALUE!</v>
      </c>
      <c r="G2075" s="37">
        <v>30571</v>
      </c>
      <c r="H2075">
        <v>1.6289070000000001</v>
      </c>
      <c r="I2075" s="36">
        <f>IF(ISBLANK(H2076), "", Long0[[#This Row],[Adj Close]]/H2076-1)</f>
        <v>-4.2735007575107509E-2</v>
      </c>
      <c r="P2075" s="29">
        <v>30571</v>
      </c>
      <c r="Q2075">
        <v>0.69838999999999996</v>
      </c>
      <c r="R2075" s="33">
        <f>IF(ISBLANK(Q2076),"",Long3[[#This Row],[Adj Close]]/Q2076-1)</f>
        <v>5.6503846120614654E-3</v>
      </c>
      <c r="AN2075" s="29">
        <v>30571</v>
      </c>
      <c r="AO2075" s="44">
        <v>0.83576099999999998</v>
      </c>
      <c r="AP2075" s="33">
        <f>IF(ISBLANK(AO2076),"",Short2[[#This Row],[Adj Close]]/AO2076-1)</f>
        <v>-5.4217010629521667E-2</v>
      </c>
    </row>
    <row r="2076" spans="1:42" x14ac:dyDescent="0.25">
      <c r="A2076" s="37">
        <v>30564</v>
      </c>
      <c r="B2076" s="39">
        <v>166.91999799999999</v>
      </c>
      <c r="C2076" s="36">
        <f>IF(ISBLANK(B2077), "", GSPC[[#This Row],[Adj Close]]/B2077-1)</f>
        <v>1.1636351515151411E-2</v>
      </c>
      <c r="D207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7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76" s="11" t="e">
        <f>IF(ISBLANK(GSPC[[#This Row],[Long Exp.]]), "", (GSPC[[#This Row],[Long Exp.]]/D2077-1)+(E2077/GSPC[[#This Row],[Short Exp.]]-1))</f>
        <v>#VALUE!</v>
      </c>
      <c r="G2076" s="37">
        <v>30564</v>
      </c>
      <c r="H2076">
        <v>1.7016260000000001</v>
      </c>
      <c r="I2076" s="36">
        <f>IF(ISBLANK(H2077), "", Long0[[#This Row],[Adj Close]]/H2077-1)</f>
        <v>-8.4746849088376264E-3</v>
      </c>
      <c r="P2076" s="29">
        <v>30564</v>
      </c>
      <c r="Q2076">
        <v>0.69446600000000003</v>
      </c>
      <c r="R2076" s="33">
        <f>IF(ISBLANK(Q2077),"",Long3[[#This Row],[Adj Close]]/Q2077-1)</f>
        <v>1.1428463237982189E-2</v>
      </c>
      <c r="AN2076" s="29">
        <v>30564</v>
      </c>
      <c r="AO2076" s="44">
        <v>0.88367099999999998</v>
      </c>
      <c r="AP2076" s="33">
        <f>IF(ISBLANK(AO2077),"",Short2[[#This Row],[Adj Close]]/AO2077-1)</f>
        <v>0.17730499288557766</v>
      </c>
    </row>
    <row r="2077" spans="1:42" x14ac:dyDescent="0.25">
      <c r="A2077" s="37">
        <v>30557</v>
      </c>
      <c r="B2077" s="39">
        <v>165</v>
      </c>
      <c r="C2077" s="36">
        <f>IF(ISBLANK(B2078), "", GSPC[[#This Row],[Adj Close]]/B2078-1)</f>
        <v>1.7639083616868723E-2</v>
      </c>
      <c r="D207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7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77" s="11" t="e">
        <f>IF(ISBLANK(GSPC[[#This Row],[Long Exp.]]), "", (GSPC[[#This Row],[Long Exp.]]/D2078-1)+(E2078/GSPC[[#This Row],[Short Exp.]]-1))</f>
        <v>#VALUE!</v>
      </c>
      <c r="G2077" s="37">
        <v>30557</v>
      </c>
      <c r="H2077">
        <v>1.71617</v>
      </c>
      <c r="I2077" s="36">
        <f>IF(ISBLANK(H2078), "", Long0[[#This Row],[Adj Close]]/H2078-1)</f>
        <v>-1.6666313328065785E-2</v>
      </c>
      <c r="P2077" s="29">
        <v>30557</v>
      </c>
      <c r="Q2077">
        <v>0.68661899999999998</v>
      </c>
      <c r="R2077" s="33">
        <f>IF(ISBLANK(Q2078),"",Long3[[#This Row],[Adj Close]]/Q2078-1)</f>
        <v>-3.8463208161493401E-2</v>
      </c>
      <c r="AN2077" s="29">
        <v>30557</v>
      </c>
      <c r="AO2077" s="44">
        <v>0.75058800000000003</v>
      </c>
      <c r="AP2077" s="33">
        <f>IF(ISBLANK(AO2078),"",Short2[[#This Row],[Adj Close]]/AO2078-1)</f>
        <v>-7.0418342900155917E-3</v>
      </c>
    </row>
    <row r="2078" spans="1:42" x14ac:dyDescent="0.25">
      <c r="A2078" s="37">
        <v>30550</v>
      </c>
      <c r="B2078" s="39">
        <v>162.13999899999999</v>
      </c>
      <c r="C2078" s="36">
        <f>IF(ISBLANK(B2079), "", GSPC[[#This Row],[Adj Close]]/B2079-1)</f>
        <v>-1.1220862573993573E-2</v>
      </c>
      <c r="D207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7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78" s="11" t="e">
        <f>IF(ISBLANK(GSPC[[#This Row],[Long Exp.]]), "", (GSPC[[#This Row],[Long Exp.]]/D2079-1)+(E2079/GSPC[[#This Row],[Short Exp.]]-1))</f>
        <v>#VALUE!</v>
      </c>
      <c r="G2078" s="37">
        <v>30550</v>
      </c>
      <c r="H2078">
        <v>1.7452570000000001</v>
      </c>
      <c r="I2078" s="36">
        <f>IF(ISBLANK(H2079), "", Long0[[#This Row],[Adj Close]]/H2079-1)</f>
        <v>1.6948787124818621E-2</v>
      </c>
      <c r="P2078" s="29">
        <v>30550</v>
      </c>
      <c r="Q2078">
        <v>0.71408499999999997</v>
      </c>
      <c r="R2078" s="33">
        <f>IF(ISBLANK(Q2079),"",Long3[[#This Row],[Adj Close]]/Q2079-1)</f>
        <v>-1.0868074649793447E-2</v>
      </c>
      <c r="AN2078" s="29">
        <v>30550</v>
      </c>
      <c r="AO2078" s="44">
        <v>0.755911</v>
      </c>
      <c r="AP2078" s="33">
        <f>IF(ISBLANK(AO2079),"",Short2[[#This Row],[Adj Close]]/AO2079-1)</f>
        <v>-6.5789278546216745E-2</v>
      </c>
    </row>
    <row r="2079" spans="1:42" x14ac:dyDescent="0.25">
      <c r="A2079" s="37">
        <v>30543</v>
      </c>
      <c r="B2079" s="39">
        <v>163.979996</v>
      </c>
      <c r="C2079" s="36">
        <f>IF(ISBLANK(B2080), "", GSPC[[#This Row],[Adj Close]]/B2080-1)</f>
        <v>1.1223433368933611E-2</v>
      </c>
      <c r="D207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7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79" s="11" t="e">
        <f>IF(ISBLANK(GSPC[[#This Row],[Long Exp.]]), "", (GSPC[[#This Row],[Long Exp.]]/D2080-1)+(E2080/GSPC[[#This Row],[Short Exp.]]-1))</f>
        <v>#VALUE!</v>
      </c>
      <c r="G2079" s="37">
        <v>30543</v>
      </c>
      <c r="H2079">
        <v>1.71617</v>
      </c>
      <c r="I2079" s="36">
        <f>IF(ISBLANK(H2080), "", Long0[[#This Row],[Adj Close]]/H2080-1)</f>
        <v>-6.3491803636522404E-2</v>
      </c>
      <c r="P2079" s="29">
        <v>30543</v>
      </c>
      <c r="Q2079">
        <v>0.72193099999999999</v>
      </c>
      <c r="R2079" s="33">
        <f>IF(ISBLANK(Q2080),"",Long3[[#This Row],[Adj Close]]/Q2080-1)</f>
        <v>3.3707527312819563E-2</v>
      </c>
      <c r="AN2079" s="29">
        <v>30543</v>
      </c>
      <c r="AO2079" s="44">
        <v>0.80914399999999997</v>
      </c>
      <c r="AP2079" s="33">
        <f>IF(ISBLANK(AO2080),"",Short2[[#This Row],[Adj Close]]/AO2080-1)</f>
        <v>1.3333800878400304E-2</v>
      </c>
    </row>
    <row r="2080" spans="1:42" x14ac:dyDescent="0.25">
      <c r="A2080" s="37">
        <v>30536</v>
      </c>
      <c r="B2080" s="39">
        <v>162.16000399999999</v>
      </c>
      <c r="C2080" s="36">
        <f>IF(ISBLANK(B2081), "", GSPC[[#This Row],[Adj Close]]/B2081-1)</f>
        <v>2.5967539694338182E-3</v>
      </c>
      <c r="D208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8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80" s="11" t="e">
        <f>IF(ISBLANK(GSPC[[#This Row],[Long Exp.]]), "", (GSPC[[#This Row],[Long Exp.]]/D2081-1)+(E2081/GSPC[[#This Row],[Short Exp.]]-1))</f>
        <v>#VALUE!</v>
      </c>
      <c r="G2080" s="37">
        <v>30536</v>
      </c>
      <c r="H2080">
        <v>1.8325199999999999</v>
      </c>
      <c r="I2080" s="36">
        <f>IF(ISBLANK(H2081), "", Long0[[#This Row],[Adj Close]]/H2081-1)</f>
        <v>4.1322285872095854E-2</v>
      </c>
      <c r="P2080" s="29">
        <v>30536</v>
      </c>
      <c r="Q2080">
        <v>0.69838999999999996</v>
      </c>
      <c r="R2080" s="33">
        <f>IF(ISBLANK(Q2081),"",Long3[[#This Row],[Adj Close]]/Q2081-1)</f>
        <v>-1.1111000981257058E-2</v>
      </c>
      <c r="AN2080" s="29">
        <v>30536</v>
      </c>
      <c r="AO2080" s="44">
        <v>0.79849700000000001</v>
      </c>
      <c r="AP2080" s="33">
        <f>IF(ISBLANK(AO2081),"",Short2[[#This Row],[Adj Close]]/AO2081-1)</f>
        <v>-6.6233651521918624E-3</v>
      </c>
    </row>
    <row r="2081" spans="1:42" x14ac:dyDescent="0.25">
      <c r="A2081" s="37">
        <v>30529</v>
      </c>
      <c r="B2081" s="39">
        <v>161.740005</v>
      </c>
      <c r="C2081" s="36">
        <f>IF(ISBLANK(B2082), "", GSPC[[#This Row],[Adj Close]]/B2082-1)</f>
        <v>-5.0442483396192506E-3</v>
      </c>
      <c r="D208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8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81" s="11" t="e">
        <f>IF(ISBLANK(GSPC[[#This Row],[Long Exp.]]), "", (GSPC[[#This Row],[Long Exp.]]/D2082-1)+(E2082/GSPC[[#This Row],[Short Exp.]]-1))</f>
        <v>#VALUE!</v>
      </c>
      <c r="G2081" s="37">
        <v>30529</v>
      </c>
      <c r="H2081">
        <v>1.7598009999999999</v>
      </c>
      <c r="I2081" s="36">
        <f>IF(ISBLANK(H2082), "", Long0[[#This Row],[Adj Close]]/H2082-1)</f>
        <v>-0.10370400552099279</v>
      </c>
      <c r="P2081" s="29">
        <v>30529</v>
      </c>
      <c r="Q2081">
        <v>0.706237</v>
      </c>
      <c r="R2081" s="33">
        <f>IF(ISBLANK(Q2082),"",Long3[[#This Row],[Adj Close]]/Q2082-1)</f>
        <v>-1.0990288271004123E-2</v>
      </c>
      <c r="AN2081" s="29">
        <v>30529</v>
      </c>
      <c r="AO2081" s="44">
        <v>0.80382100000000001</v>
      </c>
      <c r="AP2081" s="33">
        <f>IF(ISBLANK(AO2082),"",Short2[[#This Row],[Adj Close]]/AO2082-1)</f>
        <v>-5.0313856099961418E-2</v>
      </c>
    </row>
    <row r="2082" spans="1:42" x14ac:dyDescent="0.25">
      <c r="A2082" s="37">
        <v>30522</v>
      </c>
      <c r="B2082" s="39">
        <v>162.55999800000001</v>
      </c>
      <c r="C2082" s="36">
        <f>IF(ISBLANK(B2083), "", GSPC[[#This Row],[Adj Close]]/B2083-1)</f>
        <v>-3.7480022721771644E-2</v>
      </c>
      <c r="D208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8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82" s="11" t="e">
        <f>IF(ISBLANK(GSPC[[#This Row],[Long Exp.]]), "", (GSPC[[#This Row],[Long Exp.]]/D2083-1)+(E2083/GSPC[[#This Row],[Short Exp.]]-1))</f>
        <v>#VALUE!</v>
      </c>
      <c r="G2082" s="37">
        <v>30522</v>
      </c>
      <c r="H2082">
        <v>1.9634149999999999</v>
      </c>
      <c r="I2082" s="36">
        <f>IF(ISBLANK(H2083), "", Long0[[#This Row],[Adj Close]]/H2083-1)</f>
        <v>0.11570285503872313</v>
      </c>
      <c r="P2082" s="29">
        <v>30522</v>
      </c>
      <c r="Q2082">
        <v>0.71408499999999997</v>
      </c>
      <c r="R2082" s="33">
        <f>IF(ISBLANK(Q2083),"",Long3[[#This Row],[Adj Close]]/Q2083-1)</f>
        <v>1.1112416936523983E-2</v>
      </c>
      <c r="AN2082" s="29">
        <v>30522</v>
      </c>
      <c r="AO2082" s="44">
        <v>0.84640700000000002</v>
      </c>
      <c r="AP2082" s="33">
        <f>IF(ISBLANK(AO2083),"",Short2[[#This Row],[Adj Close]]/AO2083-1)</f>
        <v>-0.10674253945170231</v>
      </c>
    </row>
    <row r="2083" spans="1:42" x14ac:dyDescent="0.25">
      <c r="A2083" s="37">
        <v>30515</v>
      </c>
      <c r="B2083" s="39">
        <v>168.88999899999999</v>
      </c>
      <c r="C2083" s="36">
        <f>IF(ISBLANK(B2084), "", GSPC[[#This Row],[Adj Close]]/B2084-1)</f>
        <v>2.7999307298040899E-2</v>
      </c>
      <c r="D208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8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83" s="11" t="e">
        <f>IF(ISBLANK(GSPC[[#This Row],[Long Exp.]]), "", (GSPC[[#This Row],[Long Exp.]]/D2084-1)+(E2084/GSPC[[#This Row],[Short Exp.]]-1))</f>
        <v>#VALUE!</v>
      </c>
      <c r="G2083" s="37">
        <v>30515</v>
      </c>
      <c r="H2083">
        <v>1.7598009999999999</v>
      </c>
      <c r="I2083" s="36">
        <f>IF(ISBLANK(H2084), "", Long0[[#This Row],[Adj Close]]/H2084-1)</f>
        <v>-6.9230626832989972E-2</v>
      </c>
      <c r="P2083" s="29">
        <v>30515</v>
      </c>
      <c r="Q2083">
        <v>0.706237</v>
      </c>
      <c r="R2083" s="33">
        <f>IF(ISBLANK(Q2084),"",Long3[[#This Row],[Adj Close]]/Q2084-1)</f>
        <v>4.6511145456242797E-2</v>
      </c>
      <c r="AN2083" s="29">
        <v>30515</v>
      </c>
      <c r="AO2083" s="44">
        <v>0.94755100000000003</v>
      </c>
      <c r="AP2083" s="33">
        <f>IF(ISBLANK(AO2084),"",Short2[[#This Row],[Adj Close]]/AO2084-1)</f>
        <v>-1.657462577359492E-2</v>
      </c>
    </row>
    <row r="2084" spans="1:42" x14ac:dyDescent="0.25">
      <c r="A2084" s="37">
        <v>30508</v>
      </c>
      <c r="B2084" s="39">
        <v>164.28999300000001</v>
      </c>
      <c r="C2084" s="36">
        <f>IF(ISBLANK(B2085), "", GSPC[[#This Row],[Adj Close]]/B2085-1)</f>
        <v>-1.6698641169515915E-2</v>
      </c>
      <c r="D208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8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84" s="11" t="e">
        <f>IF(ISBLANK(GSPC[[#This Row],[Long Exp.]]), "", (GSPC[[#This Row],[Long Exp.]]/D2085-1)+(E2085/GSPC[[#This Row],[Short Exp.]]-1))</f>
        <v>#VALUE!</v>
      </c>
      <c r="G2084" s="37">
        <v>30508</v>
      </c>
      <c r="H2084">
        <v>1.890695</v>
      </c>
      <c r="I2084" s="36">
        <f>IF(ISBLANK(H2085), "", Long0[[#This Row],[Adj Close]]/H2085-1)</f>
        <v>-7.6336879520101375E-3</v>
      </c>
      <c r="P2084" s="29">
        <v>30508</v>
      </c>
      <c r="Q2084">
        <v>0.67484900000000003</v>
      </c>
      <c r="R2084" s="33">
        <f>IF(ISBLANK(Q2085),"",Long3[[#This Row],[Adj Close]]/Q2085-1)</f>
        <v>1.7750524447313287E-2</v>
      </c>
      <c r="AN2084" s="29">
        <v>30508</v>
      </c>
      <c r="AO2084" s="44">
        <v>0.96352099999999996</v>
      </c>
      <c r="AP2084" s="33">
        <f>IF(ISBLANK(AO2085),"",Short2[[#This Row],[Adj Close]]/AO2085-1)</f>
        <v>-4.736853032980004E-2</v>
      </c>
    </row>
    <row r="2085" spans="1:42" x14ac:dyDescent="0.25">
      <c r="A2085" s="37">
        <v>30501</v>
      </c>
      <c r="B2085" s="39">
        <v>167.08000200000001</v>
      </c>
      <c r="C2085" s="36">
        <f>IF(ISBLANK(B2086), "", GSPC[[#This Row],[Adj Close]]/B2086-1)</f>
        <v>-9.2504566487811024E-3</v>
      </c>
      <c r="D208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8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85" s="11" t="e">
        <f>IF(ISBLANK(GSPC[[#This Row],[Long Exp.]]), "", (GSPC[[#This Row],[Long Exp.]]/D2086-1)+(E2086/GSPC[[#This Row],[Short Exp.]]-1))</f>
        <v>#VALUE!</v>
      </c>
      <c r="G2085" s="37">
        <v>30501</v>
      </c>
      <c r="H2085">
        <v>1.9052389999999999</v>
      </c>
      <c r="I2085" s="36">
        <f>IF(ISBLANK(H2086), "", Long0[[#This Row],[Adj Close]]/H2086-1)</f>
        <v>7.6924094050070391E-3</v>
      </c>
      <c r="P2085" s="29">
        <v>30501</v>
      </c>
      <c r="Q2085">
        <v>0.66307899999999997</v>
      </c>
      <c r="R2085" s="33">
        <f>IF(ISBLANK(Q2086),"",Long3[[#This Row],[Adj Close]]/Q2086-1)</f>
        <v>5.9530762870643184E-3</v>
      </c>
      <c r="AN2085" s="29">
        <v>30501</v>
      </c>
      <c r="AO2085" s="44">
        <v>1.011431</v>
      </c>
      <c r="AP2085" s="33">
        <f>IF(ISBLANK(AO2086),"",Short2[[#This Row],[Adj Close]]/AO2086-1)</f>
        <v>-4.0403522903330824E-2</v>
      </c>
    </row>
    <row r="2086" spans="1:42" x14ac:dyDescent="0.25">
      <c r="A2086" s="37">
        <v>30494</v>
      </c>
      <c r="B2086" s="39">
        <v>168.63999899999999</v>
      </c>
      <c r="C2086" s="36">
        <f>IF(ISBLANK(B2087), "", GSPC[[#This Row],[Adj Close]]/B2087-1)</f>
        <v>-1.0386743491890282E-2</v>
      </c>
      <c r="D208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8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86" s="11" t="e">
        <f>IF(ISBLANK(GSPC[[#This Row],[Long Exp.]]), "", (GSPC[[#This Row],[Long Exp.]]/D2087-1)+(E2087/GSPC[[#This Row],[Short Exp.]]-1))</f>
        <v>#VALUE!</v>
      </c>
      <c r="G2086" s="37">
        <v>30494</v>
      </c>
      <c r="H2086">
        <v>1.890695</v>
      </c>
      <c r="I2086" s="36">
        <f>IF(ISBLANK(H2087), "", Long0[[#This Row],[Adj Close]]/H2087-1)</f>
        <v>-0.40909096591551919</v>
      </c>
      <c r="P2086" s="29">
        <v>30494</v>
      </c>
      <c r="Q2086">
        <v>0.65915500000000005</v>
      </c>
      <c r="R2086" s="33">
        <f>IF(ISBLANK(Q2087),"",Long3[[#This Row],[Adj Close]]/Q2087-1)</f>
        <v>-3.9998893127047075E-2</v>
      </c>
      <c r="AN2086" s="29">
        <v>30494</v>
      </c>
      <c r="AO2086" s="44">
        <v>1.054017</v>
      </c>
      <c r="AP2086" s="33">
        <f>IF(ISBLANK(AO2087),"",Short2[[#This Row],[Adj Close]]/AO2087-1)</f>
        <v>-0.12389387151204845</v>
      </c>
    </row>
    <row r="2087" spans="1:42" x14ac:dyDescent="0.25">
      <c r="A2087" s="37">
        <v>30487</v>
      </c>
      <c r="B2087" s="39">
        <v>170.41000399999999</v>
      </c>
      <c r="C2087" s="36">
        <f>IF(ISBLANK(B2088), "", GSPC[[#This Row],[Adj Close]]/B2088-1)</f>
        <v>7.5681367123472398E-3</v>
      </c>
      <c r="D208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8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87" s="11" t="e">
        <f>IF(ISBLANK(GSPC[[#This Row],[Long Exp.]]), "", (GSPC[[#This Row],[Long Exp.]]/D2088-1)+(E2088/GSPC[[#This Row],[Short Exp.]]-1))</f>
        <v>#VALUE!</v>
      </c>
      <c r="G2087" s="37">
        <v>30487</v>
      </c>
      <c r="H2087">
        <v>3.1996380000000002</v>
      </c>
      <c r="I2087" s="36">
        <f>IF(ISBLANK(H2088), "", Long0[[#This Row],[Adj Close]]/H2088-1)</f>
        <v>-6.7796624983720855E-2</v>
      </c>
      <c r="P2087" s="29">
        <v>30487</v>
      </c>
      <c r="Q2087">
        <v>0.68661899999999998</v>
      </c>
      <c r="R2087" s="33">
        <f>IF(ISBLANK(Q2088),"",Long3[[#This Row],[Adj Close]]/Q2088-1)</f>
        <v>-1.1299329268819602E-2</v>
      </c>
      <c r="AN2087" s="29">
        <v>30487</v>
      </c>
      <c r="AO2087" s="44">
        <v>1.2030700000000001</v>
      </c>
      <c r="AP2087" s="33">
        <f>IF(ISBLANK(AO2088),"",Short2[[#This Row],[Adj Close]]/AO2088-1)</f>
        <v>-3.4188384121792703E-2</v>
      </c>
    </row>
    <row r="2088" spans="1:42" x14ac:dyDescent="0.25">
      <c r="A2088" s="37">
        <v>30480</v>
      </c>
      <c r="B2088" s="39">
        <v>169.13000500000001</v>
      </c>
      <c r="C2088" s="36">
        <f>IF(ISBLANK(B2089), "", GSPC[[#This Row],[Adj Close]]/B2089-1)</f>
        <v>3.9648464946762108E-2</v>
      </c>
      <c r="D208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8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88" s="11" t="e">
        <f>IF(ISBLANK(GSPC[[#This Row],[Long Exp.]]), "", (GSPC[[#This Row],[Long Exp.]]/D2089-1)+(E2089/GSPC[[#This Row],[Short Exp.]]-1))</f>
        <v>#VALUE!</v>
      </c>
      <c r="G2088" s="37">
        <v>30480</v>
      </c>
      <c r="H2088">
        <v>3.4323389999999998</v>
      </c>
      <c r="I2088" s="36">
        <f>IF(ISBLANK(H2089), "", Long0[[#This Row],[Adj Close]]/H2089-1)</f>
        <v>-8.4034705917531705E-3</v>
      </c>
      <c r="P2088" s="29">
        <v>30480</v>
      </c>
      <c r="Q2088">
        <v>0.69446600000000003</v>
      </c>
      <c r="R2088" s="33">
        <f>IF(ISBLANK(Q2089),"",Long3[[#This Row],[Adj Close]]/Q2089-1)</f>
        <v>-5.6186371511618427E-3</v>
      </c>
      <c r="AN2088" s="29">
        <v>30480</v>
      </c>
      <c r="AO2088" s="44">
        <v>1.245657</v>
      </c>
      <c r="AP2088" s="33">
        <f>IF(ISBLANK(AO2089),"",Short2[[#This Row],[Adj Close]]/AO2089-1)</f>
        <v>6.8494243467609683E-2</v>
      </c>
    </row>
    <row r="2089" spans="1:42" x14ac:dyDescent="0.25">
      <c r="A2089" s="37">
        <v>30473</v>
      </c>
      <c r="B2089" s="39">
        <v>162.679993</v>
      </c>
      <c r="C2089" s="36">
        <f>IF(ISBLANK(B2090), "", GSPC[[#This Row],[Adj Close]]/B2090-1)</f>
        <v>-1.0582684716977098E-2</v>
      </c>
      <c r="D208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8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89" s="11" t="e">
        <f>IF(ISBLANK(GSPC[[#This Row],[Long Exp.]]), "", (GSPC[[#This Row],[Long Exp.]]/D2090-1)+(E2090/GSPC[[#This Row],[Short Exp.]]-1))</f>
        <v>#VALUE!</v>
      </c>
      <c r="G2089" s="37">
        <v>30473</v>
      </c>
      <c r="H2089">
        <v>3.461427</v>
      </c>
      <c r="I2089" s="36">
        <f>IF(ISBLANK(H2090), "", Long0[[#This Row],[Adj Close]]/H2090-1)</f>
        <v>5.3097431288621211E-2</v>
      </c>
      <c r="P2089" s="29">
        <v>30473</v>
      </c>
      <c r="Q2089">
        <v>0.69838999999999996</v>
      </c>
      <c r="R2089" s="33">
        <f>IF(ISBLANK(Q2090),"",Long3[[#This Row],[Adj Close]]/Q2090-1)</f>
        <v>-6.3158558391786301E-2</v>
      </c>
      <c r="AN2089" s="29">
        <v>30473</v>
      </c>
      <c r="AO2089" s="44">
        <v>1.1658059999999999</v>
      </c>
      <c r="AP2089" s="33">
        <f>IF(ISBLANK(AO2090),"",Short2[[#This Row],[Adj Close]]/AO2090-1)</f>
        <v>-3.0974091283134109E-2</v>
      </c>
    </row>
    <row r="2090" spans="1:42" x14ac:dyDescent="0.25">
      <c r="A2090" s="37">
        <v>30466</v>
      </c>
      <c r="B2090" s="39">
        <v>164.41999799999999</v>
      </c>
      <c r="C2090" s="36">
        <f>IF(ISBLANK(B2091), "", GSPC[[#This Row],[Adj Close]]/B2091-1)</f>
        <v>-2.4327495012210765E-4</v>
      </c>
      <c r="D209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9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90" s="11" t="e">
        <f>IF(ISBLANK(GSPC[[#This Row],[Long Exp.]]), "", (GSPC[[#This Row],[Long Exp.]]/D2091-1)+(E2091/GSPC[[#This Row],[Short Exp.]]-1))</f>
        <v>#VALUE!</v>
      </c>
      <c r="G2090" s="37">
        <v>30466</v>
      </c>
      <c r="H2090">
        <v>3.2869009999999999</v>
      </c>
      <c r="I2090" s="36">
        <f>IF(ISBLANK(H2091), "", Long0[[#This Row],[Adj Close]]/H2091-1)</f>
        <v>0.10243865299203536</v>
      </c>
      <c r="P2090" s="29">
        <v>30466</v>
      </c>
      <c r="Q2090">
        <v>0.74547300000000005</v>
      </c>
      <c r="R2090" s="33">
        <f>IF(ISBLANK(Q2091),"",Long3[[#This Row],[Adj Close]]/Q2091-1)</f>
        <v>-1.5543227207118426E-2</v>
      </c>
      <c r="AN2090" s="29">
        <v>30466</v>
      </c>
      <c r="AO2090" s="44">
        <v>1.2030700000000001</v>
      </c>
      <c r="AP2090" s="33">
        <f>IF(ISBLANK(AO2091),"",Short2[[#This Row],[Adj Close]]/AO2091-1)</f>
        <v>-1.3099662931210454E-2</v>
      </c>
    </row>
    <row r="2091" spans="1:42" x14ac:dyDescent="0.25">
      <c r="A2091" s="37">
        <v>30459</v>
      </c>
      <c r="B2091" s="39">
        <v>164.46000699999999</v>
      </c>
      <c r="C2091" s="36">
        <f>IF(ISBLANK(B2092), "", GSPC[[#This Row],[Adj Close]]/B2092-1)</f>
        <v>1.4308671606689805E-2</v>
      </c>
      <c r="D209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9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91" s="11" t="e">
        <f>IF(ISBLANK(GSPC[[#This Row],[Long Exp.]]), "", (GSPC[[#This Row],[Long Exp.]]/D2092-1)+(E2092/GSPC[[#This Row],[Short Exp.]]-1))</f>
        <v>#VALUE!</v>
      </c>
      <c r="G2091" s="37">
        <v>30459</v>
      </c>
      <c r="H2091">
        <v>2.9814820000000002</v>
      </c>
      <c r="I2091" s="36">
        <f>IF(ISBLANK(H2092), "", Long0[[#This Row],[Adj Close]]/H2092-1)</f>
        <v>-9.2920048398171917E-2</v>
      </c>
      <c r="P2091" s="29">
        <v>30459</v>
      </c>
      <c r="Q2091">
        <v>0.757243</v>
      </c>
      <c r="R2091" s="33">
        <f>IF(ISBLANK(Q2092),"",Long3[[#This Row],[Adj Close]]/Q2092-1)</f>
        <v>0</v>
      </c>
      <c r="AN2091" s="29">
        <v>30459</v>
      </c>
      <c r="AO2091" s="44">
        <v>1.219039</v>
      </c>
      <c r="AP2091" s="33">
        <f>IF(ISBLANK(AO2092),"",Short2[[#This Row],[Adj Close]]/AO2092-1)</f>
        <v>2.2321795471737182E-2</v>
      </c>
    </row>
    <row r="2092" spans="1:42" x14ac:dyDescent="0.25">
      <c r="A2092" s="37">
        <v>30452</v>
      </c>
      <c r="B2092" s="39">
        <v>162.13999899999999</v>
      </c>
      <c r="C2092" s="36">
        <f>IF(ISBLANK(B2093), "", GSPC[[#This Row],[Adj Close]]/B2093-1)</f>
        <v>-1.6797070722283203E-2</v>
      </c>
      <c r="D209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9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92" s="11" t="e">
        <f>IF(ISBLANK(GSPC[[#This Row],[Long Exp.]]), "", (GSPC[[#This Row],[Long Exp.]]/D2093-1)+(E2093/GSPC[[#This Row],[Short Exp.]]-1))</f>
        <v>#VALUE!</v>
      </c>
      <c r="G2092" s="37">
        <v>30452</v>
      </c>
      <c r="H2092">
        <v>3.2869009999999999</v>
      </c>
      <c r="I2092" s="36">
        <f>IF(ISBLANK(H2093), "", Long0[[#This Row],[Adj Close]]/H2093-1)</f>
        <v>0.19576721309089851</v>
      </c>
      <c r="P2092" s="29">
        <v>30452</v>
      </c>
      <c r="Q2092">
        <v>0.757243</v>
      </c>
      <c r="R2092" s="33">
        <f>IF(ISBLANK(Q2093),"",Long3[[#This Row],[Adj Close]]/Q2093-1)</f>
        <v>-1.02576033439159E-2</v>
      </c>
      <c r="AN2092" s="29">
        <v>30452</v>
      </c>
      <c r="AO2092" s="44">
        <v>1.1924220000000001</v>
      </c>
      <c r="AP2092" s="33">
        <f>IF(ISBLANK(AO2093),"",Short2[[#This Row],[Adj Close]]/AO2093-1)</f>
        <v>-1.3216726677496404E-2</v>
      </c>
    </row>
    <row r="2093" spans="1:42" x14ac:dyDescent="0.25">
      <c r="A2093" s="37">
        <v>30445</v>
      </c>
      <c r="B2093" s="39">
        <v>164.91000399999999</v>
      </c>
      <c r="C2093" s="36">
        <f>IF(ISBLANK(B2094), "", GSPC[[#This Row],[Adj Close]]/B2094-1)</f>
        <v>-7.1643706021300435E-3</v>
      </c>
      <c r="D209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9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93" s="11" t="e">
        <f>IF(ISBLANK(GSPC[[#This Row],[Long Exp.]]), "", (GSPC[[#This Row],[Long Exp.]]/D2094-1)+(E2094/GSPC[[#This Row],[Short Exp.]]-1))</f>
        <v>#VALUE!</v>
      </c>
      <c r="G2093" s="37">
        <v>30445</v>
      </c>
      <c r="H2093">
        <v>2.74878</v>
      </c>
      <c r="I2093" s="36">
        <f>IF(ISBLANK(H2094), "", Long0[[#This Row],[Adj Close]]/H2094-1)</f>
        <v>0.12499953956865162</v>
      </c>
      <c r="P2093" s="29">
        <v>30445</v>
      </c>
      <c r="Q2093">
        <v>0.76509099999999997</v>
      </c>
      <c r="R2093" s="33">
        <f>IF(ISBLANK(Q2094),"",Long3[[#This Row],[Adj Close]]/Q2094-1)</f>
        <v>5.155241885157924E-3</v>
      </c>
      <c r="AN2093" s="29">
        <v>30445</v>
      </c>
      <c r="AO2093" s="44">
        <v>1.2083930000000001</v>
      </c>
      <c r="AP2093" s="33">
        <f>IF(ISBLANK(AO2094),"",Short2[[#This Row],[Adj Close]]/AO2094-1)</f>
        <v>0.13500046493585316</v>
      </c>
    </row>
    <row r="2094" spans="1:42" x14ac:dyDescent="0.25">
      <c r="A2094" s="37">
        <v>30438</v>
      </c>
      <c r="B2094" s="39">
        <v>166.10000600000001</v>
      </c>
      <c r="C2094" s="36">
        <f>IF(ISBLANK(B2095), "", GSPC[[#This Row],[Adj Close]]/B2095-1)</f>
        <v>1.015637700598826E-2</v>
      </c>
      <c r="D209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9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94" s="11" t="e">
        <f>IF(ISBLANK(GSPC[[#This Row],[Long Exp.]]), "", (GSPC[[#This Row],[Long Exp.]]/D2095-1)+(E2095/GSPC[[#This Row],[Short Exp.]]-1))</f>
        <v>#VALUE!</v>
      </c>
      <c r="G2094" s="37">
        <v>30438</v>
      </c>
      <c r="H2094">
        <v>2.4433609999999999</v>
      </c>
      <c r="I2094" s="36">
        <f>IF(ISBLANK(H2095), "", Long0[[#This Row],[Adj Close]]/H2095-1)</f>
        <v>7.6923178635731393E-2</v>
      </c>
      <c r="P2094" s="29">
        <v>30438</v>
      </c>
      <c r="Q2094">
        <v>0.76116700000000004</v>
      </c>
      <c r="R2094" s="33">
        <f>IF(ISBLANK(Q2095),"",Long3[[#This Row],[Adj Close]]/Q2095-1)</f>
        <v>2.645404895152037E-2</v>
      </c>
      <c r="AN2094" s="29">
        <v>30438</v>
      </c>
      <c r="AO2094" s="44">
        <v>1.0646629999999999</v>
      </c>
      <c r="AP2094" s="33">
        <f>IF(ISBLANK(AO2095),"",Short2[[#This Row],[Adj Close]]/AO2095-1)</f>
        <v>-4.9757613877552398E-3</v>
      </c>
    </row>
    <row r="2095" spans="1:42" x14ac:dyDescent="0.25">
      <c r="A2095" s="37">
        <v>30431</v>
      </c>
      <c r="B2095" s="39">
        <v>164.429993</v>
      </c>
      <c r="C2095" s="36">
        <f>IF(ISBLANK(B2096), "", GSPC[[#This Row],[Adj Close]]/B2096-1)</f>
        <v>2.4996852325107177E-2</v>
      </c>
      <c r="D209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9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95" s="11" t="e">
        <f>IF(ISBLANK(GSPC[[#This Row],[Long Exp.]]), "", (GSPC[[#This Row],[Long Exp.]]/D2096-1)+(E2096/GSPC[[#This Row],[Short Exp.]]-1))</f>
        <v>#VALUE!</v>
      </c>
      <c r="G2095" s="37">
        <v>30431</v>
      </c>
      <c r="H2095">
        <v>2.2688350000000002</v>
      </c>
      <c r="I2095" s="36">
        <f>IF(ISBLANK(H2096), "", Long0[[#This Row],[Adj Close]]/H2096-1)</f>
        <v>-6.3690724882169425E-3</v>
      </c>
      <c r="P2095" s="29">
        <v>30431</v>
      </c>
      <c r="Q2095">
        <v>0.74155000000000004</v>
      </c>
      <c r="R2095" s="33">
        <f>IF(ISBLANK(Q2096),"",Long3[[#This Row],[Adj Close]]/Q2096-1)</f>
        <v>5.3197690970763212E-3</v>
      </c>
      <c r="AN2095" s="29">
        <v>30431</v>
      </c>
      <c r="AO2095" s="44">
        <v>1.069987</v>
      </c>
      <c r="AP2095" s="33">
        <f>IF(ISBLANK(AO2096),"",Short2[[#This Row],[Adj Close]]/AO2096-1)</f>
        <v>-4.9511257673360287E-3</v>
      </c>
    </row>
    <row r="2096" spans="1:42" x14ac:dyDescent="0.25">
      <c r="A2096" s="37">
        <v>30424</v>
      </c>
      <c r="B2096" s="39">
        <v>160.41999799999999</v>
      </c>
      <c r="C2096" s="36">
        <f>IF(ISBLANK(B2097), "", GSPC[[#This Row],[Adj Close]]/B2097-1)</f>
        <v>1.0519672440944872E-2</v>
      </c>
      <c r="D209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9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96" s="11" t="e">
        <f>IF(ISBLANK(GSPC[[#This Row],[Long Exp.]]), "", (GSPC[[#This Row],[Long Exp.]]/D2097-1)+(E2097/GSPC[[#This Row],[Short Exp.]]-1))</f>
        <v>#VALUE!</v>
      </c>
      <c r="G2096" s="37">
        <v>30424</v>
      </c>
      <c r="H2096">
        <v>2.2833779999999999</v>
      </c>
      <c r="I2096" s="36">
        <f>IF(ISBLANK(H2097), "", Long0[[#This Row],[Adj Close]]/H2097-1)</f>
        <v>1.2902948199677855E-2</v>
      </c>
      <c r="P2096" s="29">
        <v>30424</v>
      </c>
      <c r="Q2096">
        <v>0.737626</v>
      </c>
      <c r="R2096" s="33">
        <f>IF(ISBLANK(Q2097),"",Long3[[#This Row],[Adj Close]]/Q2097-1)</f>
        <v>3.2966663632480797E-2</v>
      </c>
      <c r="AN2096" s="29">
        <v>30424</v>
      </c>
      <c r="AO2096" s="44">
        <v>1.0753109999999999</v>
      </c>
      <c r="AP2096" s="33">
        <f>IF(ISBLANK(AO2097),"",Short2[[#This Row],[Adj Close]]/AO2097-1)</f>
        <v>0</v>
      </c>
    </row>
    <row r="2097" spans="1:42" x14ac:dyDescent="0.25">
      <c r="A2097" s="37">
        <v>30417</v>
      </c>
      <c r="B2097" s="39">
        <v>158.75</v>
      </c>
      <c r="C2097" s="36">
        <f>IF(ISBLANK(B2098), "", GSPC[[#This Row],[Adj Close]]/B2098-1)</f>
        <v>3.8599893807004459E-2</v>
      </c>
      <c r="D209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9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97" s="11" t="e">
        <f>IF(ISBLANK(GSPC[[#This Row],[Long Exp.]]), "", (GSPC[[#This Row],[Long Exp.]]/D2098-1)+(E2098/GSPC[[#This Row],[Short Exp.]]-1))</f>
        <v>#VALUE!</v>
      </c>
      <c r="G2097" s="37">
        <v>30417</v>
      </c>
      <c r="H2097">
        <v>2.2542909999999998</v>
      </c>
      <c r="I2097" s="36">
        <f>IF(ISBLANK(H2098), "", Long0[[#This Row],[Adj Close]]/H2098-1)</f>
        <v>2.6489948618378945E-2</v>
      </c>
      <c r="P2097" s="29">
        <v>30417</v>
      </c>
      <c r="Q2097">
        <v>0.71408499999999997</v>
      </c>
      <c r="R2097" s="33">
        <f>IF(ISBLANK(Q2098),"",Long3[[#This Row],[Adj Close]]/Q2098-1)</f>
        <v>1.6760309491196113E-2</v>
      </c>
      <c r="AN2097" s="29">
        <v>30417</v>
      </c>
      <c r="AO2097" s="44">
        <v>1.0753109999999999</v>
      </c>
      <c r="AP2097" s="33">
        <f>IF(ISBLANK(AO2098),"",Short2[[#This Row],[Adj Close]]/AO2098-1)</f>
        <v>7.4468616604582039E-2</v>
      </c>
    </row>
    <row r="2098" spans="1:42" x14ac:dyDescent="0.25">
      <c r="A2098" s="37">
        <v>30410</v>
      </c>
      <c r="B2098" s="39">
        <v>152.85000600000001</v>
      </c>
      <c r="C2098" s="36">
        <f>IF(ISBLANK(B2099), "", GSPC[[#This Row],[Adj Close]]/B2099-1)</f>
        <v>-7.1914876416012685E-4</v>
      </c>
      <c r="D209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9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98" s="11" t="e">
        <f>IF(ISBLANK(GSPC[[#This Row],[Long Exp.]]), "", (GSPC[[#This Row],[Long Exp.]]/D2099-1)+(E2099/GSPC[[#This Row],[Short Exp.]]-1))</f>
        <v>#VALUE!</v>
      </c>
      <c r="G2098" s="37">
        <v>30410</v>
      </c>
      <c r="H2098">
        <v>2.196116</v>
      </c>
      <c r="I2098" s="36">
        <f>IF(ISBLANK(H2099), "", Long0[[#This Row],[Adj Close]]/H2099-1)</f>
        <v>-3.8216186719851053E-2</v>
      </c>
      <c r="P2098" s="29">
        <v>30410</v>
      </c>
      <c r="Q2098">
        <v>0.70231399999999999</v>
      </c>
      <c r="R2098" s="33">
        <f>IF(ISBLANK(Q2099),"",Long3[[#This Row],[Adj Close]]/Q2099-1)</f>
        <v>-1.6484032012995642E-2</v>
      </c>
      <c r="AN2098" s="29">
        <v>30410</v>
      </c>
      <c r="AO2098" s="44">
        <v>1.0007839999999999</v>
      </c>
      <c r="AP2098" s="33">
        <f>IF(ISBLANK(AO2099),"",Short2[[#This Row],[Adj Close]]/AO2099-1)</f>
        <v>-5.0504878004814069E-2</v>
      </c>
    </row>
    <row r="2099" spans="1:42" x14ac:dyDescent="0.25">
      <c r="A2099" s="37">
        <v>30403</v>
      </c>
      <c r="B2099" s="39">
        <v>152.96000699999999</v>
      </c>
      <c r="C2099" s="36">
        <f>IF(ISBLANK(B2100), "", GSPC[[#This Row],[Adj Close]]/B2100-1)</f>
        <v>1.8995808200639175E-3</v>
      </c>
      <c r="D209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09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099" s="11" t="e">
        <f>IF(ISBLANK(GSPC[[#This Row],[Long Exp.]]), "", (GSPC[[#This Row],[Long Exp.]]/D2100-1)+(E2100/GSPC[[#This Row],[Short Exp.]]-1))</f>
        <v>#VALUE!</v>
      </c>
      <c r="G2099" s="37">
        <v>30403</v>
      </c>
      <c r="H2099">
        <v>2.2833779999999999</v>
      </c>
      <c r="I2099" s="36">
        <f>IF(ISBLANK(H2100), "", Long0[[#This Row],[Adj Close]]/H2100-1)</f>
        <v>-6.3296289736427536E-3</v>
      </c>
      <c r="P2099" s="29">
        <v>30403</v>
      </c>
      <c r="Q2099">
        <v>0.71408499999999997</v>
      </c>
      <c r="R2099" s="33">
        <f>IF(ISBLANK(Q2100),"",Long3[[#This Row],[Adj Close]]/Q2100-1)</f>
        <v>-3.7037286764210142E-2</v>
      </c>
      <c r="AN2099" s="29">
        <v>30403</v>
      </c>
      <c r="AO2099" s="44">
        <v>1.054017</v>
      </c>
      <c r="AP2099" s="33">
        <f>IF(ISBLANK(AO2100),"",Short2[[#This Row],[Adj Close]]/AO2100-1)</f>
        <v>-4.8076766764506784E-2</v>
      </c>
    </row>
    <row r="2100" spans="1:42" x14ac:dyDescent="0.25">
      <c r="A2100" s="37">
        <v>30396</v>
      </c>
      <c r="B2100" s="39">
        <v>152.66999799999999</v>
      </c>
      <c r="C2100" s="36">
        <f>IF(ISBLANK(B2101), "", GSPC[[#This Row],[Adj Close]]/B2101-1)</f>
        <v>1.8479013414770318E-2</v>
      </c>
      <c r="D210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0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00" s="11" t="e">
        <f>IF(ISBLANK(GSPC[[#This Row],[Long Exp.]]), "", (GSPC[[#This Row],[Long Exp.]]/D2101-1)+(E2101/GSPC[[#This Row],[Short Exp.]]-1))</f>
        <v>#VALUE!</v>
      </c>
      <c r="G2100" s="37">
        <v>30396</v>
      </c>
      <c r="H2100">
        <v>2.2979229999999999</v>
      </c>
      <c r="I2100" s="36">
        <f>IF(ISBLANK(H2101), "", Long0[[#This Row],[Adj Close]]/H2101-1)</f>
        <v>-2.4691247987137954E-2</v>
      </c>
      <c r="P2100" s="29">
        <v>30396</v>
      </c>
      <c r="Q2100">
        <v>0.74155000000000004</v>
      </c>
      <c r="R2100" s="33">
        <f>IF(ISBLANK(Q2101),"",Long3[[#This Row],[Adj Close]]/Q2101-1)</f>
        <v>1.0696440789312422E-2</v>
      </c>
      <c r="AN2100" s="29">
        <v>30396</v>
      </c>
      <c r="AO2100" s="44">
        <v>1.1072500000000001</v>
      </c>
      <c r="AP2100" s="33">
        <f>IF(ISBLANK(AO2101),"",Short2[[#This Row],[Adj Close]]/AO2101-1)</f>
        <v>-1.88676904646079E-2</v>
      </c>
    </row>
    <row r="2101" spans="1:42" x14ac:dyDescent="0.25">
      <c r="A2101" s="37">
        <v>30389</v>
      </c>
      <c r="B2101" s="39">
        <v>149.89999399999999</v>
      </c>
      <c r="C2101" s="36">
        <f>IF(ISBLANK(B2102), "", GSPC[[#This Row],[Adj Close]]/B2102-1)</f>
        <v>-8.8601623624648962E-3</v>
      </c>
      <c r="D210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0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01" s="11" t="e">
        <f>IF(ISBLANK(GSPC[[#This Row],[Long Exp.]]), "", (GSPC[[#This Row],[Long Exp.]]/D2102-1)+(E2102/GSPC[[#This Row],[Short Exp.]]-1))</f>
        <v>#VALUE!</v>
      </c>
      <c r="G2101" s="37">
        <v>30389</v>
      </c>
      <c r="H2101">
        <v>2.3560979999999998</v>
      </c>
      <c r="I2101" s="36">
        <f>IF(ISBLANK(H2102), "", Long0[[#This Row],[Adj Close]]/H2102-1)</f>
        <v>9.4594895943477475E-2</v>
      </c>
      <c r="P2101" s="29">
        <v>30389</v>
      </c>
      <c r="Q2101">
        <v>0.73370199999999997</v>
      </c>
      <c r="R2101" s="33">
        <f>IF(ISBLANK(Q2102),"",Long3[[#This Row],[Adj Close]]/Q2102-1)</f>
        <v>-1.0583237812689772E-2</v>
      </c>
      <c r="AN2101" s="29">
        <v>30389</v>
      </c>
      <c r="AO2101" s="44">
        <v>1.1285430000000001</v>
      </c>
      <c r="AP2101" s="33">
        <f>IF(ISBLANK(AO2102),"",Short2[[#This Row],[Adj Close]]/AO2102-1)</f>
        <v>9.2782776424291669E-2</v>
      </c>
    </row>
    <row r="2102" spans="1:42" x14ac:dyDescent="0.25">
      <c r="A2102" s="37">
        <v>30382</v>
      </c>
      <c r="B2102" s="39">
        <v>151.240005</v>
      </c>
      <c r="C2102" s="36">
        <f>IF(ISBLANK(B2103), "", GSPC[[#This Row],[Adj Close]]/B2103-1)</f>
        <v>-1.5813060660025524E-2</v>
      </c>
      <c r="D210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0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02" s="11" t="e">
        <f>IF(ISBLANK(GSPC[[#This Row],[Long Exp.]]), "", (GSPC[[#This Row],[Long Exp.]]/D2103-1)+(E2103/GSPC[[#This Row],[Short Exp.]]-1))</f>
        <v>#VALUE!</v>
      </c>
      <c r="G2102" s="37">
        <v>30382</v>
      </c>
      <c r="H2102">
        <v>2.1524839999999998</v>
      </c>
      <c r="I2102" s="36">
        <f>IF(ISBLANK(H2103), "", Long0[[#This Row],[Adj Close]]/H2103-1)</f>
        <v>-6.3291502804924349E-2</v>
      </c>
      <c r="P2102" s="29">
        <v>30382</v>
      </c>
      <c r="Q2102">
        <v>0.74155000000000004</v>
      </c>
      <c r="R2102" s="33">
        <f>IF(ISBLANK(Q2103),"",Long3[[#This Row],[Adj Close]]/Q2103-1)</f>
        <v>0</v>
      </c>
      <c r="AN2102" s="29">
        <v>30382</v>
      </c>
      <c r="AO2102" s="44">
        <v>1.032724</v>
      </c>
      <c r="AP2102" s="33">
        <f>IF(ISBLANK(AO2103),"",Short2[[#This Row],[Adj Close]]/AO2103-1)</f>
        <v>1.5706847477364283E-2</v>
      </c>
    </row>
    <row r="2103" spans="1:42" x14ac:dyDescent="0.25">
      <c r="A2103" s="37">
        <v>30375</v>
      </c>
      <c r="B2103" s="39">
        <v>153.66999799999999</v>
      </c>
      <c r="C2103" s="36">
        <f>IF(ISBLANK(B2104), "", GSPC[[#This Row],[Adj Close]]/B2104-1)</f>
        <v>2.6245444562393194E-2</v>
      </c>
      <c r="D210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0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03" s="11" t="e">
        <f>IF(ISBLANK(GSPC[[#This Row],[Long Exp.]]), "", (GSPC[[#This Row],[Long Exp.]]/D2104-1)+(E2104/GSPC[[#This Row],[Short Exp.]]-1))</f>
        <v>#VALUE!</v>
      </c>
      <c r="G2103" s="37">
        <v>30375</v>
      </c>
      <c r="H2103">
        <v>2.2979229999999999</v>
      </c>
      <c r="I2103" s="36">
        <f>IF(ISBLANK(H2104), "", Long0[[#This Row],[Adj Close]]/H2104-1)</f>
        <v>3.9474202036587247E-2</v>
      </c>
      <c r="P2103" s="29">
        <v>30375</v>
      </c>
      <c r="Q2103">
        <v>0.74155000000000004</v>
      </c>
      <c r="R2103" s="33">
        <f>IF(ISBLANK(Q2104),"",Long3[[#This Row],[Adj Close]]/Q2104-1)</f>
        <v>5.3197690970763212E-3</v>
      </c>
      <c r="AN2103" s="29">
        <v>30375</v>
      </c>
      <c r="AO2103" s="44">
        <v>1.0167539999999999</v>
      </c>
      <c r="AP2103" s="33">
        <f>IF(ISBLANK(AO2104),"",Short2[[#This Row],[Adj Close]]/AO2104-1)</f>
        <v>-2.0512558679905646E-2</v>
      </c>
    </row>
    <row r="2104" spans="1:42" x14ac:dyDescent="0.25">
      <c r="A2104" s="37">
        <v>30368</v>
      </c>
      <c r="B2104" s="39">
        <v>149.740005</v>
      </c>
      <c r="C2104" s="36">
        <f>IF(ISBLANK(B2105), "", GSPC[[#This Row],[Adj Close]]/B2105-1)</f>
        <v>1.1756790540540463E-2</v>
      </c>
      <c r="D210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0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04" s="11" t="e">
        <f>IF(ISBLANK(GSPC[[#This Row],[Long Exp.]]), "", (GSPC[[#This Row],[Long Exp.]]/D2105-1)+(E2105/GSPC[[#This Row],[Short Exp.]]-1))</f>
        <v>#VALUE!</v>
      </c>
      <c r="G2104" s="37">
        <v>30368</v>
      </c>
      <c r="H2104">
        <v>2.2106590000000002</v>
      </c>
      <c r="I2104" s="36">
        <f>IF(ISBLANK(H2105), "", Long0[[#This Row],[Adj Close]]/H2105-1)</f>
        <v>-2.5641353381801624E-2</v>
      </c>
      <c r="P2104" s="29">
        <v>30368</v>
      </c>
      <c r="Q2104">
        <v>0.737626</v>
      </c>
      <c r="R2104" s="33">
        <f>IF(ISBLANK(Q2105),"",Long3[[#This Row],[Adj Close]]/Q2105-1)</f>
        <v>2.7321384550889949E-2</v>
      </c>
      <c r="AN2104" s="29">
        <v>30368</v>
      </c>
      <c r="AO2104" s="44">
        <v>1.0380469999999999</v>
      </c>
      <c r="AP2104" s="33">
        <f>IF(ISBLANK(AO2105),"",Short2[[#This Row],[Adj Close]]/AO2105-1)</f>
        <v>-5.101737638613324E-3</v>
      </c>
    </row>
    <row r="2105" spans="1:42" x14ac:dyDescent="0.25">
      <c r="A2105" s="37">
        <v>30361</v>
      </c>
      <c r="B2105" s="39">
        <v>148</v>
      </c>
      <c r="C2105" s="36">
        <f>IF(ISBLANK(B2106), "", GSPC[[#This Row],[Adj Close]]/B2106-1)</f>
        <v>2.3705114407253092E-3</v>
      </c>
      <c r="D210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0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05" s="11" t="e">
        <f>IF(ISBLANK(GSPC[[#This Row],[Long Exp.]]), "", (GSPC[[#This Row],[Long Exp.]]/D2106-1)+(E2106/GSPC[[#This Row],[Short Exp.]]-1))</f>
        <v>#VALUE!</v>
      </c>
      <c r="G2105" s="37">
        <v>30361</v>
      </c>
      <c r="H2105">
        <v>2.2688350000000002</v>
      </c>
      <c r="I2105" s="36">
        <f>IF(ISBLANK(H2106), "", Long0[[#This Row],[Adj Close]]/H2106-1)</f>
        <v>6.4516958990654683E-3</v>
      </c>
      <c r="P2105" s="29">
        <v>30361</v>
      </c>
      <c r="Q2105">
        <v>0.71800900000000001</v>
      </c>
      <c r="R2105" s="33">
        <f>IF(ISBLANK(Q2106),"",Long3[[#This Row],[Adj Close]]/Q2106-1)</f>
        <v>0</v>
      </c>
      <c r="AN2105" s="29">
        <v>30361</v>
      </c>
      <c r="AO2105" s="44">
        <v>1.0433699999999999</v>
      </c>
      <c r="AP2105" s="33">
        <f>IF(ISBLANK(AO2106),"",Short2[[#This Row],[Adj Close]]/AO2106-1)</f>
        <v>5.3763267103441148E-2</v>
      </c>
    </row>
    <row r="2106" spans="1:42" x14ac:dyDescent="0.25">
      <c r="A2106" s="37">
        <v>30354</v>
      </c>
      <c r="B2106" s="39">
        <v>147.64999399999999</v>
      </c>
      <c r="C2106" s="36">
        <f>IF(ISBLANK(B2107), "", GSPC[[#This Row],[Adj Close]]/B2107-1)</f>
        <v>1.0332523678202588E-2</v>
      </c>
      <c r="D210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0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06" s="11" t="e">
        <f>IF(ISBLANK(GSPC[[#This Row],[Long Exp.]]), "", (GSPC[[#This Row],[Long Exp.]]/D2107-1)+(E2107/GSPC[[#This Row],[Short Exp.]]-1))</f>
        <v>#VALUE!</v>
      </c>
      <c r="G2106" s="37">
        <v>30354</v>
      </c>
      <c r="H2106">
        <v>2.2542909999999998</v>
      </c>
      <c r="I2106" s="36">
        <f>IF(ISBLANK(H2107), "", Long0[[#This Row],[Adj Close]]/H2107-1)</f>
        <v>6.493590570720631E-3</v>
      </c>
      <c r="P2106" s="29">
        <v>30354</v>
      </c>
      <c r="Q2106">
        <v>0.71800900000000001</v>
      </c>
      <c r="R2106" s="33">
        <f>IF(ISBLANK(Q2107),"",Long3[[#This Row],[Adj Close]]/Q2107-1)</f>
        <v>-5.432652150967332E-3</v>
      </c>
      <c r="AN2106" s="29">
        <v>30354</v>
      </c>
      <c r="AO2106" s="44">
        <v>0.99013700000000004</v>
      </c>
      <c r="AP2106" s="33">
        <f>IF(ISBLANK(AO2107),"",Short2[[#This Row],[Adj Close]]/AO2107-1)</f>
        <v>0</v>
      </c>
    </row>
    <row r="2107" spans="1:42" x14ac:dyDescent="0.25">
      <c r="A2107" s="37">
        <v>30347</v>
      </c>
      <c r="B2107" s="39">
        <v>146.13999899999999</v>
      </c>
      <c r="C2107" s="36">
        <f>IF(ISBLANK(B2108), "", GSPC[[#This Row],[Adj Close]]/B2108-1)</f>
        <v>1.1279524298647869E-2</v>
      </c>
      <c r="D210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0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07" s="11" t="e">
        <f>IF(ISBLANK(GSPC[[#This Row],[Long Exp.]]), "", (GSPC[[#This Row],[Long Exp.]]/D2108-1)+(E2108/GSPC[[#This Row],[Short Exp.]]-1))</f>
        <v>#VALUE!</v>
      </c>
      <c r="G2107" s="37">
        <v>30347</v>
      </c>
      <c r="H2107">
        <v>2.2397469999999999</v>
      </c>
      <c r="I2107" s="36">
        <f>IF(ISBLANK(H2108), "", Long0[[#This Row],[Adj Close]]/H2108-1)</f>
        <v>0</v>
      </c>
      <c r="P2107" s="29">
        <v>30347</v>
      </c>
      <c r="Q2107">
        <v>0.72193099999999999</v>
      </c>
      <c r="R2107" s="33">
        <f>IF(ISBLANK(Q2108),"",Long3[[#This Row],[Adj Close]]/Q2108-1)</f>
        <v>2.7931950665941452E-2</v>
      </c>
      <c r="AN2107" s="29">
        <v>30347</v>
      </c>
      <c r="AO2107" s="44">
        <v>0.99013700000000004</v>
      </c>
      <c r="AP2107" s="33">
        <f>IF(ISBLANK(AO2108),"",Short2[[#This Row],[Adj Close]]/AO2108-1)</f>
        <v>-5.5838023293734884E-2</v>
      </c>
    </row>
    <row r="2108" spans="1:42" x14ac:dyDescent="0.25">
      <c r="A2108" s="37">
        <v>30340</v>
      </c>
      <c r="B2108" s="39">
        <v>144.509995</v>
      </c>
      <c r="C2108" s="36">
        <f>IF(ISBLANK(B2109), "", GSPC[[#This Row],[Adj Close]]/B2109-1)</f>
        <v>4.5880359573986507E-3</v>
      </c>
      <c r="D210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0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08" s="11" t="e">
        <f>IF(ISBLANK(GSPC[[#This Row],[Long Exp.]]), "", (GSPC[[#This Row],[Long Exp.]]/D2109-1)+(E2109/GSPC[[#This Row],[Short Exp.]]-1))</f>
        <v>#VALUE!</v>
      </c>
      <c r="G2108" s="37">
        <v>30340</v>
      </c>
      <c r="H2108">
        <v>2.2397469999999999</v>
      </c>
      <c r="I2108" s="36">
        <f>IF(ISBLANK(H2109), "", Long0[[#This Row],[Adj Close]]/H2109-1)</f>
        <v>0</v>
      </c>
      <c r="P2108" s="29">
        <v>30340</v>
      </c>
      <c r="Q2108">
        <v>0.70231399999999999</v>
      </c>
      <c r="R2108" s="33">
        <f>IF(ISBLANK(Q2109),"",Long3[[#This Row],[Adj Close]]/Q2109-1)</f>
        <v>-1.1049607060934163E-2</v>
      </c>
      <c r="AN2108" s="29">
        <v>30340</v>
      </c>
      <c r="AO2108" s="44">
        <v>1.048694</v>
      </c>
      <c r="AP2108" s="33">
        <f>IF(ISBLANK(AO2109),"",Short2[[#This Row],[Adj Close]]/AO2109-1)</f>
        <v>5.1026960713842495E-3</v>
      </c>
    </row>
    <row r="2109" spans="1:42" x14ac:dyDescent="0.25">
      <c r="A2109" s="37">
        <v>30333</v>
      </c>
      <c r="B2109" s="39">
        <v>143.85000600000001</v>
      </c>
      <c r="C2109" s="36">
        <f>IF(ISBLANK(B2110), "", GSPC[[#This Row],[Adj Close]]/B2110-1)</f>
        <v>-1.9092997712635285E-2</v>
      </c>
      <c r="D210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0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09" s="11" t="e">
        <f>IF(ISBLANK(GSPC[[#This Row],[Long Exp.]]), "", (GSPC[[#This Row],[Long Exp.]]/D2110-1)+(E2110/GSPC[[#This Row],[Short Exp.]]-1))</f>
        <v>#VALUE!</v>
      </c>
      <c r="G2109" s="37">
        <v>30333</v>
      </c>
      <c r="H2109">
        <v>2.2397469999999999</v>
      </c>
      <c r="I2109" s="36">
        <f>IF(ISBLANK(H2110), "", Long0[[#This Row],[Adj Close]]/H2110-1)</f>
        <v>-3.7499640095934317E-2</v>
      </c>
      <c r="P2109" s="29">
        <v>30333</v>
      </c>
      <c r="Q2109">
        <v>0.71016100000000004</v>
      </c>
      <c r="R2109" s="33">
        <f>IF(ISBLANK(Q2110),"",Long3[[#This Row],[Adj Close]]/Q2110-1)</f>
        <v>1.1173065039284502E-2</v>
      </c>
      <c r="AN2109" s="29">
        <v>30333</v>
      </c>
      <c r="AO2109" s="44">
        <v>1.0433699999999999</v>
      </c>
      <c r="AP2109" s="33">
        <f>IF(ISBLANK(AO2110),"",Short2[[#This Row],[Adj Close]]/AO2110-1)</f>
        <v>-9.2593124068889865E-2</v>
      </c>
    </row>
    <row r="2110" spans="1:42" x14ac:dyDescent="0.25">
      <c r="A2110" s="37">
        <v>30326</v>
      </c>
      <c r="B2110" s="39">
        <v>146.64999399999999</v>
      </c>
      <c r="C2110" s="36">
        <f>IF(ISBLANK(B2111), "", GSPC[[#This Row],[Adj Close]]/B2111-1)</f>
        <v>1.0125368996263706E-2</v>
      </c>
      <c r="D211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1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10" s="11" t="e">
        <f>IF(ISBLANK(GSPC[[#This Row],[Long Exp.]]), "", (GSPC[[#This Row],[Long Exp.]]/D2111-1)+(E2111/GSPC[[#This Row],[Short Exp.]]-1))</f>
        <v>#VALUE!</v>
      </c>
      <c r="G2110" s="37">
        <v>30326</v>
      </c>
      <c r="H2110">
        <v>2.3270089999999999</v>
      </c>
      <c r="I2110" s="36">
        <f>IF(ISBLANK(H2111), "", Long0[[#This Row],[Adj Close]]/H2111-1)</f>
        <v>-2.4390969928550721E-2</v>
      </c>
      <c r="P2110" s="29">
        <v>30326</v>
      </c>
      <c r="Q2110">
        <v>0.70231399999999999</v>
      </c>
      <c r="R2110" s="33">
        <f>IF(ISBLANK(Q2111),"",Long3[[#This Row],[Adj Close]]/Q2111-1)</f>
        <v>3.4683222053944363E-2</v>
      </c>
      <c r="AN2110" s="29">
        <v>30326</v>
      </c>
      <c r="AO2110" s="44">
        <v>1.149837</v>
      </c>
      <c r="AP2110" s="33">
        <f>IF(ISBLANK(AO2111),"",Short2[[#This Row],[Adj Close]]/AO2111-1)</f>
        <v>6.9306461107530914E-2</v>
      </c>
    </row>
    <row r="2111" spans="1:42" x14ac:dyDescent="0.25">
      <c r="A2111" s="37">
        <v>30319</v>
      </c>
      <c r="B2111" s="39">
        <v>145.179993</v>
      </c>
      <c r="C2111" s="36">
        <f>IF(ISBLANK(B2112), "", GSPC[[#This Row],[Adj Close]]/B2112-1)</f>
        <v>3.2280958705069418E-2</v>
      </c>
      <c r="D211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1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11" s="11" t="e">
        <f>IF(ISBLANK(GSPC[[#This Row],[Long Exp.]]), "", (GSPC[[#This Row],[Long Exp.]]/D2112-1)+(E2112/GSPC[[#This Row],[Short Exp.]]-1))</f>
        <v>#VALUE!</v>
      </c>
      <c r="G2111" s="37">
        <v>30319</v>
      </c>
      <c r="H2111">
        <v>2.385186</v>
      </c>
      <c r="I2111" s="36">
        <f>IF(ISBLANK(H2112), "", Long0[[#This Row],[Adj Close]]/H2112-1)</f>
        <v>0.13888979080440911</v>
      </c>
      <c r="P2111" s="29">
        <v>30319</v>
      </c>
      <c r="Q2111">
        <v>0.67877200000000004</v>
      </c>
      <c r="R2111" s="33">
        <f>IF(ISBLANK(Q2112),"",Long3[[#This Row],[Adj Close]]/Q2112-1)</f>
        <v>2.9760830153757523E-2</v>
      </c>
      <c r="AN2111" s="29">
        <v>30319</v>
      </c>
      <c r="AO2111" s="44">
        <v>1.0753109999999999</v>
      </c>
      <c r="AP2111" s="33">
        <f>IF(ISBLANK(AO2112),"",Short2[[#This Row],[Adj Close]]/AO2112-1)</f>
        <v>-8.1817560817330381E-2</v>
      </c>
    </row>
    <row r="2112" spans="1:42" x14ac:dyDescent="0.25">
      <c r="A2112" s="37">
        <v>30312</v>
      </c>
      <c r="B2112" s="39">
        <v>140.63999899999999</v>
      </c>
      <c r="C2112" s="36">
        <f>IF(ISBLANK(B2113), "", GSPC[[#This Row],[Adj Close]]/B2113-1)</f>
        <v>6.5845834054925056E-3</v>
      </c>
      <c r="D211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1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12" s="11" t="e">
        <f>IF(ISBLANK(GSPC[[#This Row],[Long Exp.]]), "", (GSPC[[#This Row],[Long Exp.]]/D2113-1)+(E2113/GSPC[[#This Row],[Short Exp.]]-1))</f>
        <v>#VALUE!</v>
      </c>
      <c r="G2112" s="37">
        <v>30312</v>
      </c>
      <c r="H2112">
        <v>2.0943079999999998</v>
      </c>
      <c r="I2112" s="36">
        <f>IF(ISBLANK(H2113), "", Long0[[#This Row],[Adj Close]]/H2113-1)</f>
        <v>-7.0968211291266292E-2</v>
      </c>
      <c r="P2112" s="29">
        <v>30312</v>
      </c>
      <c r="Q2112">
        <v>0.65915500000000005</v>
      </c>
      <c r="R2112" s="33">
        <f>IF(ISBLANK(Q2113),"",Long3[[#This Row],[Adj Close]]/Q2113-1)</f>
        <v>1.2049617154429537E-2</v>
      </c>
      <c r="AN2112" s="29">
        <v>30312</v>
      </c>
      <c r="AO2112" s="44">
        <v>1.17113</v>
      </c>
      <c r="AP2112" s="33">
        <f>IF(ISBLANK(AO2113),"",Short2[[#This Row],[Adj Close]]/AO2113-1)</f>
        <v>6.2800836352284284E-2</v>
      </c>
    </row>
    <row r="2113" spans="1:42" x14ac:dyDescent="0.25">
      <c r="A2113" s="37">
        <v>30305</v>
      </c>
      <c r="B2113" s="39">
        <v>139.720001</v>
      </c>
      <c r="C2113" s="36">
        <f>IF(ISBLANK(B2114), "", GSPC[[#This Row],[Adj Close]]/B2114-1)</f>
        <v>1.6219331725240593E-2</v>
      </c>
      <c r="D211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1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13" s="11" t="e">
        <f>IF(ISBLANK(GSPC[[#This Row],[Long Exp.]]), "", (GSPC[[#This Row],[Long Exp.]]/D2114-1)+(E2114/GSPC[[#This Row],[Short Exp.]]-1))</f>
        <v>#VALUE!</v>
      </c>
      <c r="G2113" s="37">
        <v>30305</v>
      </c>
      <c r="H2113">
        <v>2.2542909999999998</v>
      </c>
      <c r="I2113" s="36">
        <f>IF(ISBLANK(H2114), "", Long0[[#This Row],[Adj Close]]/H2114-1)</f>
        <v>4.7297447971738737E-2</v>
      </c>
      <c r="P2113" s="29">
        <v>30305</v>
      </c>
      <c r="Q2113">
        <v>0.65130699999999997</v>
      </c>
      <c r="R2113" s="33">
        <f>IF(ISBLANK(Q2114),"",Long3[[#This Row],[Adj Close]]/Q2114-1)</f>
        <v>-5.9887276395653721E-3</v>
      </c>
      <c r="AN2113" s="29">
        <v>30305</v>
      </c>
      <c r="AO2113" s="44">
        <v>1.101928</v>
      </c>
      <c r="AP2113" s="33">
        <f>IF(ISBLANK(AO2114),"",Short2[[#This Row],[Adj Close]]/AO2114-1)</f>
        <v>1.4706843825307958E-2</v>
      </c>
    </row>
    <row r="2114" spans="1:42" x14ac:dyDescent="0.25">
      <c r="A2114" s="37">
        <v>30298</v>
      </c>
      <c r="B2114" s="39">
        <v>137.490005</v>
      </c>
      <c r="C2114" s="36">
        <f>IF(ISBLANK(B2115), "", GSPC[[#This Row],[Adj Close]]/B2115-1)</f>
        <v>-1.4902929681733124E-2</v>
      </c>
      <c r="D211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1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14" s="11" t="e">
        <f>IF(ISBLANK(GSPC[[#This Row],[Long Exp.]]), "", (GSPC[[#This Row],[Long Exp.]]/D2115-1)+(E2115/GSPC[[#This Row],[Short Exp.]]-1))</f>
        <v>#VALUE!</v>
      </c>
      <c r="G2114" s="37">
        <v>30298</v>
      </c>
      <c r="H2114">
        <v>2.1524839999999998</v>
      </c>
      <c r="I2114" s="36">
        <f>IF(ISBLANK(H2115), "", Long0[[#This Row],[Adj Close]]/H2115-1)</f>
        <v>-3.2679280352974738E-2</v>
      </c>
      <c r="P2114" s="29">
        <v>30298</v>
      </c>
      <c r="Q2114">
        <v>0.65523100000000001</v>
      </c>
      <c r="R2114" s="33">
        <f>IF(ISBLANK(Q2115),"",Long3[[#This Row],[Adj Close]]/Q2115-1)</f>
        <v>6.0248085772147686E-3</v>
      </c>
      <c r="AN2114" s="29">
        <v>30298</v>
      </c>
      <c r="AO2114" s="44">
        <v>1.0859570000000001</v>
      </c>
      <c r="AP2114" s="33">
        <f>IF(ISBLANK(AO2115),"",Short2[[#This Row],[Adj Close]]/AO2115-1)</f>
        <v>5.6995328012458657E-2</v>
      </c>
    </row>
    <row r="2115" spans="1:42" x14ac:dyDescent="0.25">
      <c r="A2115" s="37">
        <v>30291</v>
      </c>
      <c r="B2115" s="39">
        <v>139.570007</v>
      </c>
      <c r="C2115" s="36">
        <f>IF(ISBLANK(B2116), "", GSPC[[#This Row],[Adj Close]]/B2116-1)</f>
        <v>6.3451221235111266E-3</v>
      </c>
      <c r="D211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1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15" s="11" t="e">
        <f>IF(ISBLANK(GSPC[[#This Row],[Long Exp.]]), "", (GSPC[[#This Row],[Long Exp.]]/D2116-1)+(E2116/GSPC[[#This Row],[Short Exp.]]-1))</f>
        <v>#VALUE!</v>
      </c>
      <c r="G2115" s="37">
        <v>30291</v>
      </c>
      <c r="H2115">
        <v>2.2252019999999999</v>
      </c>
      <c r="I2115" s="36">
        <f>IF(ISBLANK(H2116), "", Long0[[#This Row],[Adj Close]]/H2116-1)</f>
        <v>-3.7736338609951514E-2</v>
      </c>
      <c r="P2115" s="29">
        <v>30291</v>
      </c>
      <c r="Q2115">
        <v>0.65130699999999997</v>
      </c>
      <c r="R2115" s="33">
        <f>IF(ISBLANK(Q2116),"",Long3[[#This Row],[Adj Close]]/Q2116-1)</f>
        <v>-4.0462776897102537E-2</v>
      </c>
      <c r="AN2115" s="29">
        <v>30291</v>
      </c>
      <c r="AO2115" s="44">
        <v>1.0274000000000001</v>
      </c>
      <c r="AP2115" s="33">
        <f>IF(ISBLANK(AO2116),"",Short2[[#This Row],[Adj Close]]/AO2116-1)</f>
        <v>-5.3922024536883106E-2</v>
      </c>
    </row>
    <row r="2116" spans="1:42" x14ac:dyDescent="0.25">
      <c r="A2116" s="37">
        <v>30284</v>
      </c>
      <c r="B2116" s="39">
        <v>138.69000199999999</v>
      </c>
      <c r="C2116" s="36">
        <f>IF(ISBLANK(B2117), "", GSPC[[#This Row],[Adj Close]]/B2117-1)</f>
        <v>2.8247307671733779E-2</v>
      </c>
      <c r="D211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1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16" s="11" t="e">
        <f>IF(ISBLANK(GSPC[[#This Row],[Long Exp.]]), "", (GSPC[[#This Row],[Long Exp.]]/D2117-1)+(E2117/GSPC[[#This Row],[Short Exp.]]-1))</f>
        <v>#VALUE!</v>
      </c>
      <c r="G2116" s="37">
        <v>30284</v>
      </c>
      <c r="H2116">
        <v>2.3124660000000001</v>
      </c>
      <c r="I2116" s="36">
        <f>IF(ISBLANK(H2117), "", Long0[[#This Row],[Adj Close]]/H2117-1)</f>
        <v>1.9230574281514423E-2</v>
      </c>
      <c r="P2116" s="29">
        <v>30284</v>
      </c>
      <c r="Q2116">
        <v>0.67877200000000004</v>
      </c>
      <c r="R2116" s="33">
        <f>IF(ISBLANK(Q2117),"",Long3[[#This Row],[Adj Close]]/Q2117-1)</f>
        <v>2.3666863224442336E-2</v>
      </c>
      <c r="AN2116" s="29">
        <v>30284</v>
      </c>
      <c r="AO2116" s="44">
        <v>1.0859570000000001</v>
      </c>
      <c r="AP2116" s="33">
        <f>IF(ISBLANK(AO2117),"",Short2[[#This Row],[Adj Close]]/AO2117-1)</f>
        <v>6.2500183449974989E-2</v>
      </c>
    </row>
    <row r="2117" spans="1:42" x14ac:dyDescent="0.25">
      <c r="A2117" s="37">
        <v>30277</v>
      </c>
      <c r="B2117" s="39">
        <v>134.88000500000001</v>
      </c>
      <c r="C2117" s="36">
        <f>IF(ISBLANK(B2118), "", GSPC[[#This Row],[Adj Close]]/B2118-1)</f>
        <v>-1.5618150179005919E-2</v>
      </c>
      <c r="D211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1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17" s="11" t="e">
        <f>IF(ISBLANK(GSPC[[#This Row],[Long Exp.]]), "", (GSPC[[#This Row],[Long Exp.]]/D2118-1)+(E2118/GSPC[[#This Row],[Short Exp.]]-1))</f>
        <v>#VALUE!</v>
      </c>
      <c r="G2117" s="37">
        <v>30277</v>
      </c>
      <c r="H2117">
        <v>2.2688350000000002</v>
      </c>
      <c r="I2117" s="36">
        <f>IF(ISBLANK(H2118), "", Long0[[#This Row],[Adj Close]]/H2118-1)</f>
        <v>0.12230224724103311</v>
      </c>
      <c r="P2117" s="29">
        <v>30277</v>
      </c>
      <c r="Q2117">
        <v>0.66307899999999997</v>
      </c>
      <c r="R2117" s="33">
        <f>IF(ISBLANK(Q2118),"",Long3[[#This Row],[Adj Close]]/Q2118-1)</f>
        <v>0</v>
      </c>
      <c r="AN2117" s="29">
        <v>30277</v>
      </c>
      <c r="AO2117" s="44">
        <v>1.0220769999999999</v>
      </c>
      <c r="AP2117" s="33">
        <f>IF(ISBLANK(AO2118),"",Short2[[#This Row],[Adj Close]]/AO2118-1)</f>
        <v>0.13609428649872557</v>
      </c>
    </row>
    <row r="2118" spans="1:42" x14ac:dyDescent="0.25">
      <c r="A2118" s="37">
        <v>30270</v>
      </c>
      <c r="B2118" s="39">
        <v>137.020004</v>
      </c>
      <c r="C2118" s="36">
        <f>IF(ISBLANK(B2119), "", GSPC[[#This Row],[Adj Close]]/B2119-1)</f>
        <v>-1.7988927241374131E-2</v>
      </c>
      <c r="D211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1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18" s="11" t="e">
        <f>IF(ISBLANK(GSPC[[#This Row],[Long Exp.]]), "", (GSPC[[#This Row],[Long Exp.]]/D2119-1)+(E2119/GSPC[[#This Row],[Short Exp.]]-1))</f>
        <v>#VALUE!</v>
      </c>
      <c r="G2118" s="37">
        <v>30270</v>
      </c>
      <c r="H2118">
        <v>2.0215900000000002</v>
      </c>
      <c r="I2118" s="36">
        <f>IF(ISBLANK(H2119), "", Long0[[#This Row],[Adj Close]]/H2119-1)</f>
        <v>-7.1429483521221471E-3</v>
      </c>
      <c r="P2118" s="29">
        <v>30270</v>
      </c>
      <c r="Q2118">
        <v>0.66307899999999997</v>
      </c>
      <c r="R2118" s="33">
        <f>IF(ISBLANK(Q2119),"",Long3[[#This Row],[Adj Close]]/Q2119-1)</f>
        <v>0</v>
      </c>
      <c r="AN2118" s="29">
        <v>30270</v>
      </c>
      <c r="AO2118" s="44">
        <v>0.89964100000000002</v>
      </c>
      <c r="AP2118" s="33">
        <f>IF(ISBLANK(AO2119),"",Short2[[#This Row],[Adj Close]]/AO2119-1)</f>
        <v>9.0323276541180997E-2</v>
      </c>
    </row>
    <row r="2119" spans="1:42" x14ac:dyDescent="0.25">
      <c r="A2119" s="37">
        <v>30263</v>
      </c>
      <c r="B2119" s="39">
        <v>139.529999</v>
      </c>
      <c r="C2119" s="36">
        <f>IF(ISBLANK(B2120), "", GSPC[[#This Row],[Adj Close]]/B2120-1)</f>
        <v>-1.8500316024189112E-2</v>
      </c>
      <c r="D211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1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19" s="11" t="e">
        <f>IF(ISBLANK(GSPC[[#This Row],[Long Exp.]]), "", (GSPC[[#This Row],[Long Exp.]]/D2120-1)+(E2120/GSPC[[#This Row],[Short Exp.]]-1))</f>
        <v>#VALUE!</v>
      </c>
      <c r="G2119" s="37">
        <v>30263</v>
      </c>
      <c r="H2119">
        <v>2.0361340000000001</v>
      </c>
      <c r="I2119" s="36">
        <f>IF(ISBLANK(H2120), "", Long0[[#This Row],[Adj Close]]/H2120-1)</f>
        <v>0.196581387449416</v>
      </c>
      <c r="P2119" s="29">
        <v>30263</v>
      </c>
      <c r="Q2119">
        <v>0.66307899999999997</v>
      </c>
      <c r="R2119" s="33">
        <f>IF(ISBLANK(Q2120),"",Long3[[#This Row],[Adj Close]]/Q2120-1)</f>
        <v>-5.8815415845829833E-3</v>
      </c>
      <c r="AN2119" s="29">
        <v>30263</v>
      </c>
      <c r="AO2119" s="44">
        <v>0.82511400000000001</v>
      </c>
      <c r="AP2119" s="33">
        <f>IF(ISBLANK(AO2120),"",Short2[[#This Row],[Adj Close]]/AO2120-1)</f>
        <v>-4.320964033131669E-2</v>
      </c>
    </row>
    <row r="2120" spans="1:42" x14ac:dyDescent="0.25">
      <c r="A2120" s="37">
        <v>30256</v>
      </c>
      <c r="B2120" s="39">
        <v>142.16000399999999</v>
      </c>
      <c r="C2120" s="36">
        <f>IF(ISBLANK(B2121), "", GSPC[[#This Row],[Adj Close]]/B2121-1)</f>
        <v>6.3116982776570518E-2</v>
      </c>
      <c r="D212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2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20" s="11" t="e">
        <f>IF(ISBLANK(GSPC[[#This Row],[Long Exp.]]), "", (GSPC[[#This Row],[Long Exp.]]/D2121-1)+(E2121/GSPC[[#This Row],[Short Exp.]]-1))</f>
        <v>#VALUE!</v>
      </c>
      <c r="G2120" s="37">
        <v>30256</v>
      </c>
      <c r="H2120">
        <v>1.7016260000000001</v>
      </c>
      <c r="I2120" s="36">
        <f>IF(ISBLANK(H2121), "", Long0[[#This Row],[Adj Close]]/H2121-1)</f>
        <v>-6.4000259629247158E-2</v>
      </c>
      <c r="P2120" s="29">
        <v>30256</v>
      </c>
      <c r="Q2120">
        <v>0.66700199999999998</v>
      </c>
      <c r="R2120" s="33">
        <f>IF(ISBLANK(Q2121),"",Long3[[#This Row],[Adj Close]]/Q2121-1)</f>
        <v>1.796465673937897E-2</v>
      </c>
      <c r="AN2120" s="29">
        <v>30256</v>
      </c>
      <c r="AO2120" s="44">
        <v>0.86237699999999995</v>
      </c>
      <c r="AP2120" s="33">
        <f>IF(ISBLANK(AO2121),"",Short2[[#This Row],[Adj Close]]/AO2121-1)</f>
        <v>7.2847064209568879E-2</v>
      </c>
    </row>
    <row r="2121" spans="1:42" x14ac:dyDescent="0.25">
      <c r="A2121" s="37">
        <v>30249</v>
      </c>
      <c r="B2121" s="39">
        <v>133.720001</v>
      </c>
      <c r="C2121" s="36">
        <f>IF(ISBLANK(B2122), "", GSPC[[#This Row],[Adj Close]]/B2122-1)</f>
        <v>-3.6807613097924019E-2</v>
      </c>
      <c r="D212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2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21" s="11" t="e">
        <f>IF(ISBLANK(GSPC[[#This Row],[Long Exp.]]), "", (GSPC[[#This Row],[Long Exp.]]/D2122-1)+(E2122/GSPC[[#This Row],[Short Exp.]]-1))</f>
        <v>#VALUE!</v>
      </c>
      <c r="G2121" s="37">
        <v>30249</v>
      </c>
      <c r="H2121">
        <v>1.817977</v>
      </c>
      <c r="I2121" s="36">
        <f>IF(ISBLANK(H2122), "", Long0[[#This Row],[Adj Close]]/H2122-1)</f>
        <v>0.15740750172531026</v>
      </c>
      <c r="P2121" s="29">
        <v>30249</v>
      </c>
      <c r="Q2121">
        <v>0.65523100000000001</v>
      </c>
      <c r="R2121" s="33">
        <f>IF(ISBLANK(Q2122),"",Long3[[#This Row],[Adj Close]]/Q2122-1)</f>
        <v>-1.1835693786109935E-2</v>
      </c>
      <c r="AN2121" s="29">
        <v>30249</v>
      </c>
      <c r="AO2121" s="44">
        <v>0.80382100000000001</v>
      </c>
      <c r="AP2121" s="33">
        <f>IF(ISBLANK(AO2122),"",Short2[[#This Row],[Adj Close]]/AO2122-1)</f>
        <v>-7.3619829872271669E-2</v>
      </c>
    </row>
    <row r="2122" spans="1:42" x14ac:dyDescent="0.25">
      <c r="A2122" s="37">
        <v>30242</v>
      </c>
      <c r="B2122" s="39">
        <v>138.83000200000001</v>
      </c>
      <c r="C2122" s="36">
        <f>IF(ISBLANK(B2123), "", GSPC[[#This Row],[Adj Close]]/B2123-1)</f>
        <v>3.9380060824583119E-2</v>
      </c>
      <c r="D212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2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22" s="11" t="e">
        <f>IF(ISBLANK(GSPC[[#This Row],[Long Exp.]]), "", (GSPC[[#This Row],[Long Exp.]]/D2123-1)+(E2123/GSPC[[#This Row],[Short Exp.]]-1))</f>
        <v>#VALUE!</v>
      </c>
      <c r="G2122" s="37">
        <v>30242</v>
      </c>
      <c r="H2122">
        <v>1.570732</v>
      </c>
      <c r="I2122" s="36">
        <f>IF(ISBLANK(H2123), "", Long0[[#This Row],[Adj Close]]/H2123-1)</f>
        <v>0</v>
      </c>
      <c r="P2122" s="29">
        <v>30242</v>
      </c>
      <c r="Q2122">
        <v>0.66307899999999997</v>
      </c>
      <c r="R2122" s="33">
        <f>IF(ISBLANK(Q2123),"",Long3[[#This Row],[Adj Close]]/Q2123-1)</f>
        <v>-5.8815415845829833E-3</v>
      </c>
      <c r="AN2122" s="29">
        <v>30242</v>
      </c>
      <c r="AO2122" s="44">
        <v>0.86770100000000006</v>
      </c>
      <c r="AP2122" s="33">
        <f>IF(ISBLANK(AO2123),"",Short2[[#This Row],[Adj Close]]/AO2123-1)</f>
        <v>0.13986106768746542</v>
      </c>
    </row>
    <row r="2123" spans="1:42" x14ac:dyDescent="0.25">
      <c r="A2123" s="37">
        <v>30235</v>
      </c>
      <c r="B2123" s="39">
        <v>133.570007</v>
      </c>
      <c r="C2123" s="36">
        <f>IF(ISBLANK(B2124), "", GSPC[[#This Row],[Adj Close]]/B2124-1)</f>
        <v>1.9229331875711519E-2</v>
      </c>
      <c r="D212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2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23" s="11" t="e">
        <f>IF(ISBLANK(GSPC[[#This Row],[Long Exp.]]), "", (GSPC[[#This Row],[Long Exp.]]/D2124-1)+(E2124/GSPC[[#This Row],[Short Exp.]]-1))</f>
        <v>#VALUE!</v>
      </c>
      <c r="G2123" s="37">
        <v>30235</v>
      </c>
      <c r="H2123">
        <v>1.570732</v>
      </c>
      <c r="I2123" s="36">
        <f>IF(ISBLANK(H2124), "", Long0[[#This Row],[Adj Close]]/H2124-1)</f>
        <v>-1.8181431774469514E-2</v>
      </c>
      <c r="P2123" s="29">
        <v>30235</v>
      </c>
      <c r="Q2123">
        <v>0.66700199999999998</v>
      </c>
      <c r="R2123" s="33">
        <f>IF(ISBLANK(Q2124),"",Long3[[#This Row],[Adj Close]]/Q2124-1)</f>
        <v>3.6584967853529715E-2</v>
      </c>
      <c r="AN2123" s="29">
        <v>30235</v>
      </c>
      <c r="AO2123" s="44">
        <v>0.76123399999999997</v>
      </c>
      <c r="AP2123" s="33">
        <f>IF(ISBLANK(AO2124),"",Short2[[#This Row],[Adj Close]]/AO2124-1)</f>
        <v>6.7164430188806135E-2</v>
      </c>
    </row>
    <row r="2124" spans="1:42" x14ac:dyDescent="0.25">
      <c r="A2124" s="37">
        <v>30228</v>
      </c>
      <c r="B2124" s="39">
        <v>131.050003</v>
      </c>
      <c r="C2124" s="36">
        <f>IF(ISBLANK(B2125), "", GSPC[[#This Row],[Adj Close]]/B2125-1)</f>
        <v>7.4444551328650022E-2</v>
      </c>
      <c r="D212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2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24" s="11" t="e">
        <f>IF(ISBLANK(GSPC[[#This Row],[Long Exp.]]), "", (GSPC[[#This Row],[Long Exp.]]/D2125-1)+(E2125/GSPC[[#This Row],[Short Exp.]]-1))</f>
        <v>#VALUE!</v>
      </c>
      <c r="G2124" s="37">
        <v>30228</v>
      </c>
      <c r="H2124">
        <v>1.5998190000000001</v>
      </c>
      <c r="I2124" s="36">
        <f>IF(ISBLANK(H2125), "", Long0[[#This Row],[Adj Close]]/H2125-1)</f>
        <v>-9.0091262002411909E-3</v>
      </c>
      <c r="P2124" s="29">
        <v>30228</v>
      </c>
      <c r="Q2124">
        <v>0.64346099999999995</v>
      </c>
      <c r="R2124" s="33">
        <f>IF(ISBLANK(Q2125),"",Long3[[#This Row],[Adj Close]]/Q2125-1)</f>
        <v>4.4586328482652426E-2</v>
      </c>
      <c r="AN2124" s="29">
        <v>30228</v>
      </c>
      <c r="AO2124" s="44">
        <v>0.71332399999999996</v>
      </c>
      <c r="AP2124" s="33">
        <f>IF(ISBLANK(AO2125),"",Short2[[#This Row],[Adj Close]]/AO2125-1)</f>
        <v>0.11666598830929331</v>
      </c>
    </row>
    <row r="2125" spans="1:42" x14ac:dyDescent="0.25">
      <c r="A2125" s="37">
        <v>30221</v>
      </c>
      <c r="B2125" s="39">
        <v>121.970001</v>
      </c>
      <c r="C2125" s="36">
        <f>IF(ISBLANK(B2126), "", GSPC[[#This Row],[Adj Close]]/B2126-1)</f>
        <v>-1.0947121310411867E-2</v>
      </c>
      <c r="D212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2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25" s="11" t="e">
        <f>IF(ISBLANK(GSPC[[#This Row],[Long Exp.]]), "", (GSPC[[#This Row],[Long Exp.]]/D2126-1)+(E2126/GSPC[[#This Row],[Short Exp.]]-1))</f>
        <v>#VALUE!</v>
      </c>
      <c r="G2125" s="37">
        <v>30221</v>
      </c>
      <c r="H2125">
        <v>1.614363</v>
      </c>
      <c r="I2125" s="36">
        <f>IF(ISBLANK(H2126), "", Long0[[#This Row],[Adj Close]]/H2126-1)</f>
        <v>-2.6315535520635147E-2</v>
      </c>
      <c r="P2125" s="29">
        <v>30221</v>
      </c>
      <c r="Q2125">
        <v>0.61599599999999999</v>
      </c>
      <c r="R2125" s="33">
        <f>IF(ISBLANK(Q2126),"",Long3[[#This Row],[Adj Close]]/Q2126-1)</f>
        <v>-3.0863119539719874E-2</v>
      </c>
      <c r="AN2125" s="29">
        <v>30221</v>
      </c>
      <c r="AO2125" s="44">
        <v>0.63879799999999998</v>
      </c>
      <c r="AP2125" s="33">
        <f>IF(ISBLANK(AO2126),"",Short2[[#This Row],[Adj Close]]/AO2126-1)</f>
        <v>-8.2655149179813314E-3</v>
      </c>
    </row>
    <row r="2126" spans="1:42" x14ac:dyDescent="0.25">
      <c r="A2126" s="37">
        <v>30214</v>
      </c>
      <c r="B2126" s="39">
        <v>123.32</v>
      </c>
      <c r="C2126" s="36">
        <f>IF(ISBLANK(B2127), "", GSPC[[#This Row],[Adj Close]]/B2127-1)</f>
        <v>6.283125101188114E-3</v>
      </c>
      <c r="D212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2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26" s="11" t="e">
        <f>IF(ISBLANK(GSPC[[#This Row],[Long Exp.]]), "", (GSPC[[#This Row],[Long Exp.]]/D2127-1)+(E2127/GSPC[[#This Row],[Short Exp.]]-1))</f>
        <v>#VALUE!</v>
      </c>
      <c r="G2126" s="37">
        <v>30214</v>
      </c>
      <c r="H2126">
        <v>1.657994</v>
      </c>
      <c r="I2126" s="36">
        <f>IF(ISBLANK(H2127), "", Long0[[#This Row],[Adj Close]]/H2127-1)</f>
        <v>0.11764654333862046</v>
      </c>
      <c r="P2126" s="29">
        <v>30214</v>
      </c>
      <c r="Q2126">
        <v>0.63561299999999998</v>
      </c>
      <c r="R2126" s="33">
        <f>IF(ISBLANK(Q2127),"",Long3[[#This Row],[Adj Close]]/Q2127-1)</f>
        <v>1.8866926454252031E-2</v>
      </c>
      <c r="AN2126" s="29">
        <v>30214</v>
      </c>
      <c r="AO2126" s="44">
        <v>0.64412199999999997</v>
      </c>
      <c r="AP2126" s="33">
        <f>IF(ISBLANK(AO2127),"",Short2[[#This Row],[Adj Close]]/AO2127-1)</f>
        <v>0</v>
      </c>
    </row>
    <row r="2127" spans="1:42" x14ac:dyDescent="0.25">
      <c r="A2127" s="37">
        <v>30207</v>
      </c>
      <c r="B2127" s="39">
        <v>122.550003</v>
      </c>
      <c r="C2127" s="36">
        <f>IF(ISBLANK(B2128), "", GSPC[[#This Row],[Adj Close]]/B2128-1)</f>
        <v>1.3061105951383878E-2</v>
      </c>
      <c r="D212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2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27" s="11" t="e">
        <f>IF(ISBLANK(GSPC[[#This Row],[Long Exp.]]), "", (GSPC[[#This Row],[Long Exp.]]/D2128-1)+(E2128/GSPC[[#This Row],[Short Exp.]]-1))</f>
        <v>#VALUE!</v>
      </c>
      <c r="G2127" s="37">
        <v>30207</v>
      </c>
      <c r="H2127">
        <v>1.4834689999999999</v>
      </c>
      <c r="I2127" s="36">
        <f>IF(ISBLANK(H2128), "", Long0[[#This Row],[Adj Close]]/H2128-1)</f>
        <v>0.29113843625811819</v>
      </c>
      <c r="P2127" s="29">
        <v>30207</v>
      </c>
      <c r="Q2127">
        <v>0.62384300000000004</v>
      </c>
      <c r="R2127" s="33">
        <f>IF(ISBLANK(Q2128),"",Long3[[#This Row],[Adj Close]]/Q2128-1)</f>
        <v>1.9231397613352907E-2</v>
      </c>
      <c r="AN2127" s="29">
        <v>30207</v>
      </c>
      <c r="AO2127" s="44">
        <v>0.64412199999999997</v>
      </c>
      <c r="AP2127" s="33">
        <f>IF(ISBLANK(AO2128),"",Short2[[#This Row],[Adj Close]]/AO2128-1)</f>
        <v>4.3104104420207179E-2</v>
      </c>
    </row>
    <row r="2128" spans="1:42" x14ac:dyDescent="0.25">
      <c r="A2128" s="37">
        <v>30200</v>
      </c>
      <c r="B2128" s="39">
        <v>120.970001</v>
      </c>
      <c r="C2128" s="36">
        <f>IF(ISBLANK(B2129), "", GSPC[[#This Row],[Adj Close]]/B2129-1)</f>
        <v>-1.3938694163677989E-2</v>
      </c>
      <c r="D212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2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28" s="11" t="e">
        <f>IF(ISBLANK(GSPC[[#This Row],[Long Exp.]]), "", (GSPC[[#This Row],[Long Exp.]]/D2129-1)+(E2129/GSPC[[#This Row],[Short Exp.]]-1))</f>
        <v>#VALUE!</v>
      </c>
      <c r="G2128" s="37">
        <v>30200</v>
      </c>
      <c r="H2128">
        <v>1.148962</v>
      </c>
      <c r="I2128" s="36">
        <f>IF(ISBLANK(H2129), "", Long0[[#This Row],[Adj Close]]/H2129-1)</f>
        <v>-9.1952887471933753E-2</v>
      </c>
      <c r="P2128" s="29">
        <v>30200</v>
      </c>
      <c r="Q2128">
        <v>0.61207199999999995</v>
      </c>
      <c r="R2128" s="33">
        <f>IF(ISBLANK(Q2129),"",Long3[[#This Row],[Adj Close]]/Q2129-1)</f>
        <v>-6.3701712348782635E-3</v>
      </c>
      <c r="AN2128" s="29">
        <v>30200</v>
      </c>
      <c r="AO2128" s="44">
        <v>0.61750499999999997</v>
      </c>
      <c r="AP2128" s="33">
        <f>IF(ISBLANK(AO2129),"",Short2[[#This Row],[Adj Close]]/AO2129-1)</f>
        <v>1.754446674510346E-2</v>
      </c>
    </row>
    <row r="2129" spans="1:42" x14ac:dyDescent="0.25">
      <c r="A2129" s="37">
        <v>30193</v>
      </c>
      <c r="B2129" s="39">
        <v>122.68</v>
      </c>
      <c r="C2129" s="36">
        <f>IF(ISBLANK(B2130), "", GSPC[[#This Row],[Adj Close]]/B2130-1)</f>
        <v>4.7562112137630397E-2</v>
      </c>
      <c r="D212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2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29" s="11" t="e">
        <f>IF(ISBLANK(GSPC[[#This Row],[Long Exp.]]), "", (GSPC[[#This Row],[Long Exp.]]/D2130-1)+(E2130/GSPC[[#This Row],[Short Exp.]]-1))</f>
        <v>#VALUE!</v>
      </c>
      <c r="G2129" s="37">
        <v>30193</v>
      </c>
      <c r="H2129">
        <v>1.2653110000000001</v>
      </c>
      <c r="I2129" s="36">
        <f>IF(ISBLANK(H2130), "", Long0[[#This Row],[Adj Close]]/H2130-1)</f>
        <v>-4.3955886197511673E-2</v>
      </c>
      <c r="P2129" s="29">
        <v>30193</v>
      </c>
      <c r="Q2129">
        <v>0.61599599999999999</v>
      </c>
      <c r="R2129" s="33">
        <f>IF(ISBLANK(Q2130),"",Long3[[#This Row],[Adj Close]]/Q2130-1)</f>
        <v>-2.4844464848264192E-2</v>
      </c>
      <c r="AN2129" s="29">
        <v>30193</v>
      </c>
      <c r="AO2129" s="44">
        <v>0.60685800000000001</v>
      </c>
      <c r="AP2129" s="33">
        <f>IF(ISBLANK(AO2130),"",Short2[[#This Row],[Adj Close]]/AO2130-1)</f>
        <v>-4.2017443466592974E-2</v>
      </c>
    </row>
    <row r="2130" spans="1:42" x14ac:dyDescent="0.25">
      <c r="A2130" s="37">
        <v>30186</v>
      </c>
      <c r="B2130" s="39">
        <v>117.110001</v>
      </c>
      <c r="C2130" s="36">
        <f>IF(ISBLANK(B2131), "", GSPC[[#This Row],[Adj Close]]/B2131-1)</f>
        <v>3.6188321611793972E-2</v>
      </c>
      <c r="D213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3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30" s="11" t="e">
        <f>IF(ISBLANK(GSPC[[#This Row],[Long Exp.]]), "", (GSPC[[#This Row],[Long Exp.]]/D2131-1)+(E2131/GSPC[[#This Row],[Short Exp.]]-1))</f>
        <v>#VALUE!</v>
      </c>
      <c r="G2130" s="37">
        <v>30186</v>
      </c>
      <c r="H2130">
        <v>1.3234859999999999</v>
      </c>
      <c r="I2130" s="36">
        <f>IF(ISBLANK(H2131), "", Long0[[#This Row],[Adj Close]]/H2131-1)</f>
        <v>-4.2105811696348305E-2</v>
      </c>
      <c r="P2130" s="29">
        <v>30186</v>
      </c>
      <c r="Q2130">
        <v>0.63168999999999997</v>
      </c>
      <c r="R2130" s="33">
        <f>IF(ISBLANK(Q2131),"",Long3[[#This Row],[Adj Close]]/Q2131-1)</f>
        <v>0</v>
      </c>
      <c r="AN2130" s="29">
        <v>30186</v>
      </c>
      <c r="AO2130" s="44">
        <v>0.63347500000000001</v>
      </c>
      <c r="AP2130" s="33">
        <f>IF(ISBLANK(AO2131),"",Short2[[#This Row],[Adj Close]]/AO2131-1)</f>
        <v>4.386034294678498E-2</v>
      </c>
    </row>
    <row r="2131" spans="1:42" x14ac:dyDescent="0.25">
      <c r="A2131" s="37">
        <v>30179</v>
      </c>
      <c r="B2131" s="39">
        <v>113.019997</v>
      </c>
      <c r="C2131" s="36">
        <f>IF(ISBLANK(B2132), "", GSPC[[#This Row],[Adj Close]]/B2132-1)</f>
        <v>8.830042538854932E-2</v>
      </c>
      <c r="D213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3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31" s="11" t="e">
        <f>IF(ISBLANK(GSPC[[#This Row],[Long Exp.]]), "", (GSPC[[#This Row],[Long Exp.]]/D2132-1)+(E2132/GSPC[[#This Row],[Short Exp.]]-1))</f>
        <v>#VALUE!</v>
      </c>
      <c r="G2131" s="37">
        <v>30179</v>
      </c>
      <c r="H2131">
        <v>1.3816619999999999</v>
      </c>
      <c r="I2131" s="36">
        <f>IF(ISBLANK(H2132), "", Long0[[#This Row],[Adj Close]]/H2132-1)</f>
        <v>0.25000067853100738</v>
      </c>
      <c r="P2131" s="29">
        <v>30179</v>
      </c>
      <c r="Q2131">
        <v>0.63168999999999997</v>
      </c>
      <c r="R2131" s="33">
        <f>IF(ISBLANK(Q2132),"",Long3[[#This Row],[Adj Close]]/Q2132-1)</f>
        <v>8.0536017297060614E-2</v>
      </c>
      <c r="AN2131" s="29">
        <v>30179</v>
      </c>
      <c r="AO2131" s="44">
        <v>0.60685800000000001</v>
      </c>
      <c r="AP2131" s="33">
        <f>IF(ISBLANK(AO2132),"",Short2[[#This Row],[Adj Close]]/AO2132-1)</f>
        <v>0.32558185253546812</v>
      </c>
    </row>
    <row r="2132" spans="1:42" x14ac:dyDescent="0.25">
      <c r="A2132" s="37">
        <v>30172</v>
      </c>
      <c r="B2132" s="39">
        <v>103.849998</v>
      </c>
      <c r="C2132" s="36">
        <f>IF(ISBLANK(B2133), "", GSPC[[#This Row],[Adj Close]]/B2133-1)</f>
        <v>1.3499084114347859E-3</v>
      </c>
      <c r="D213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3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32" s="11" t="e">
        <f>IF(ISBLANK(GSPC[[#This Row],[Long Exp.]]), "", (GSPC[[#This Row],[Long Exp.]]/D2133-1)+(E2133/GSPC[[#This Row],[Short Exp.]]-1))</f>
        <v>#VALUE!</v>
      </c>
      <c r="G2132" s="37">
        <v>30172</v>
      </c>
      <c r="H2132">
        <v>1.105329</v>
      </c>
      <c r="I2132" s="36">
        <f>IF(ISBLANK(H2133), "", Long0[[#This Row],[Adj Close]]/H2133-1)</f>
        <v>-0.19149027992442502</v>
      </c>
      <c r="P2132" s="29">
        <v>30172</v>
      </c>
      <c r="Q2132">
        <v>0.58460800000000002</v>
      </c>
      <c r="R2132" s="33">
        <f>IF(ISBLANK(Q2133),"",Long3[[#This Row],[Adj Close]]/Q2133-1)</f>
        <v>6.7575479951229589E-3</v>
      </c>
      <c r="AN2132" s="29">
        <v>30172</v>
      </c>
      <c r="AO2132" s="44">
        <v>0.45780500000000002</v>
      </c>
      <c r="AP2132" s="33">
        <f>IF(ISBLANK(AO2133),"",Short2[[#This Row],[Adj Close]]/AO2133-1)</f>
        <v>-8.5107275895697665E-2</v>
      </c>
    </row>
    <row r="2133" spans="1:42" x14ac:dyDescent="0.25">
      <c r="A2133" s="37">
        <v>30165</v>
      </c>
      <c r="B2133" s="39">
        <v>103.709999</v>
      </c>
      <c r="C2133" s="36">
        <f>IF(ISBLANK(B2134), "", GSPC[[#This Row],[Adj Close]]/B2134-1)</f>
        <v>-3.1562210535520108E-2</v>
      </c>
      <c r="D213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3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33" s="11" t="e">
        <f>IF(ISBLANK(GSPC[[#This Row],[Long Exp.]]), "", (GSPC[[#This Row],[Long Exp.]]/D2134-1)+(E2134/GSPC[[#This Row],[Short Exp.]]-1))</f>
        <v>#VALUE!</v>
      </c>
      <c r="G2133" s="37">
        <v>30165</v>
      </c>
      <c r="H2133">
        <v>1.367119</v>
      </c>
      <c r="I2133" s="36">
        <f>IF(ISBLANK(H2134), "", Long0[[#This Row],[Adj Close]]/H2134-1)</f>
        <v>-0.11320706985529738</v>
      </c>
      <c r="P2133" s="29">
        <v>30165</v>
      </c>
      <c r="Q2133">
        <v>0.58068399999999998</v>
      </c>
      <c r="R2133" s="33">
        <f>IF(ISBLANK(Q2134),"",Long3[[#This Row],[Adj Close]]/Q2134-1)</f>
        <v>2.7777482787305852E-2</v>
      </c>
      <c r="AN2133" s="29">
        <v>30165</v>
      </c>
      <c r="AO2133" s="44">
        <v>0.50039199999999995</v>
      </c>
      <c r="AP2133" s="33">
        <f>IF(ISBLANK(AO2134),"",Short2[[#This Row],[Adj Close]]/AO2134-1)</f>
        <v>-2.0832110332304143E-2</v>
      </c>
    </row>
    <row r="2134" spans="1:42" x14ac:dyDescent="0.25">
      <c r="A2134" s="37">
        <v>30158</v>
      </c>
      <c r="B2134" s="39">
        <v>107.089996</v>
      </c>
      <c r="C2134" s="36">
        <f>IF(ISBLANK(B2135), "", GSPC[[#This Row],[Adj Close]]/B2135-1)</f>
        <v>-3.6700567359909564E-2</v>
      </c>
      <c r="D213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3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34" s="11" t="e">
        <f>IF(ISBLANK(GSPC[[#This Row],[Long Exp.]]), "", (GSPC[[#This Row],[Long Exp.]]/D2135-1)+(E2135/GSPC[[#This Row],[Short Exp.]]-1))</f>
        <v>#VALUE!</v>
      </c>
      <c r="G2134" s="37">
        <v>30158</v>
      </c>
      <c r="H2134">
        <v>1.541644</v>
      </c>
      <c r="I2134" s="36">
        <f>IF(ISBLANK(H2135), "", Long0[[#This Row],[Adj Close]]/H2135-1)</f>
        <v>-5.3571505310002432E-2</v>
      </c>
      <c r="P2134" s="29">
        <v>30158</v>
      </c>
      <c r="Q2134">
        <v>0.56498999999999999</v>
      </c>
      <c r="R2134" s="33">
        <f>IF(ISBLANK(Q2135),"",Long3[[#This Row],[Adj Close]]/Q2135-1)</f>
        <v>-4.6357951236802752E-2</v>
      </c>
      <c r="AN2134" s="29">
        <v>30158</v>
      </c>
      <c r="AO2134" s="44">
        <v>0.51103799999999999</v>
      </c>
      <c r="AP2134" s="33">
        <f>IF(ISBLANK(AO2135),"",Short2[[#This Row],[Adj Close]]/AO2135-1)</f>
        <v>3.2256109754397855E-2</v>
      </c>
    </row>
    <row r="2135" spans="1:42" x14ac:dyDescent="0.25">
      <c r="A2135" s="37">
        <v>30151</v>
      </c>
      <c r="B2135" s="39">
        <v>111.16999800000001</v>
      </c>
      <c r="C2135" s="36">
        <f>IF(ISBLANK(B2136), "", GSPC[[#This Row],[Adj Close]]/B2136-1)</f>
        <v>9.0031511659316443E-4</v>
      </c>
      <c r="D213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3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35" s="11" t="e">
        <f>IF(ISBLANK(GSPC[[#This Row],[Long Exp.]]), "", (GSPC[[#This Row],[Long Exp.]]/D2136-1)+(E2136/GSPC[[#This Row],[Short Exp.]]-1))</f>
        <v>#VALUE!</v>
      </c>
      <c r="G2135" s="37">
        <v>30151</v>
      </c>
      <c r="H2135">
        <v>1.6289070000000001</v>
      </c>
      <c r="I2135" s="36">
        <f>IF(ISBLANK(H2136), "", Long0[[#This Row],[Adj Close]]/H2136-1)</f>
        <v>-5.8823699351828185E-2</v>
      </c>
      <c r="P2135" s="29">
        <v>30151</v>
      </c>
      <c r="Q2135">
        <v>0.59245499999999995</v>
      </c>
      <c r="R2135" s="33">
        <f>IF(ISBLANK(Q2136),"",Long3[[#This Row],[Adj Close]]/Q2136-1)</f>
        <v>4.1378837574747473E-2</v>
      </c>
      <c r="AN2135" s="29">
        <v>30151</v>
      </c>
      <c r="AO2135" s="44">
        <v>0.49506899999999998</v>
      </c>
      <c r="AP2135" s="33">
        <f>IF(ISBLANK(AO2136),"",Short2[[#This Row],[Adj Close]]/AO2136-1)</f>
        <v>4.4945385467785259E-2</v>
      </c>
    </row>
    <row r="2136" spans="1:42" x14ac:dyDescent="0.25">
      <c r="A2136" s="37">
        <v>30144</v>
      </c>
      <c r="B2136" s="39">
        <v>111.07</v>
      </c>
      <c r="C2136" s="36">
        <f>IF(ISBLANK(B2137), "", GSPC[[#This Row],[Adj Close]]/B2137-1)</f>
        <v>2.0582541200357518E-2</v>
      </c>
      <c r="D213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3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36" s="11" t="e">
        <f>IF(ISBLANK(GSPC[[#This Row],[Long Exp.]]), "", (GSPC[[#This Row],[Long Exp.]]/D2137-1)+(E2137/GSPC[[#This Row],[Short Exp.]]-1))</f>
        <v>#VALUE!</v>
      </c>
      <c r="G2136" s="37">
        <v>30144</v>
      </c>
      <c r="H2136">
        <v>1.7307140000000001</v>
      </c>
      <c r="I2136" s="36">
        <f>IF(ISBLANK(H2137), "", Long0[[#This Row],[Adj Close]]/H2137-1)</f>
        <v>-8.3328701732753307E-3</v>
      </c>
      <c r="P2136" s="29">
        <v>30144</v>
      </c>
      <c r="Q2136">
        <v>0.56891400000000003</v>
      </c>
      <c r="R2136" s="33">
        <f>IF(ISBLANK(Q2137),"",Long3[[#This Row],[Adj Close]]/Q2137-1)</f>
        <v>2.1127430480146092E-2</v>
      </c>
      <c r="AN2136" s="29">
        <v>30144</v>
      </c>
      <c r="AO2136" s="44">
        <v>0.473775</v>
      </c>
      <c r="AP2136" s="33">
        <f>IF(ISBLANK(AO2137),"",Short2[[#This Row],[Adj Close]]/AO2137-1)</f>
        <v>-2.1978770576068007E-2</v>
      </c>
    </row>
    <row r="2137" spans="1:42" x14ac:dyDescent="0.25">
      <c r="A2137" s="37">
        <v>30137</v>
      </c>
      <c r="B2137" s="39">
        <v>108.83000199999999</v>
      </c>
      <c r="C2137" s="36">
        <f>IF(ISBLANK(B2138), "", GSPC[[#This Row],[Adj Close]]/B2138-1)</f>
        <v>1.0961448937083951E-2</v>
      </c>
      <c r="D213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3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37" s="11" t="e">
        <f>IF(ISBLANK(GSPC[[#This Row],[Long Exp.]]), "", (GSPC[[#This Row],[Long Exp.]]/D2138-1)+(E2138/GSPC[[#This Row],[Short Exp.]]-1))</f>
        <v>#VALUE!</v>
      </c>
      <c r="G2137" s="37">
        <v>30137</v>
      </c>
      <c r="H2137">
        <v>1.7452570000000001</v>
      </c>
      <c r="I2137" s="36">
        <f>IF(ISBLANK(H2138), "", Long0[[#This Row],[Adj Close]]/H2138-1)</f>
        <v>-3.2257939306832628E-2</v>
      </c>
      <c r="P2137" s="29">
        <v>30137</v>
      </c>
      <c r="Q2137">
        <v>0.55714300000000005</v>
      </c>
      <c r="R2137" s="33">
        <f>IF(ISBLANK(Q2138),"",Long3[[#This Row],[Adj Close]]/Q2138-1)</f>
        <v>1.4285558241822427E-2</v>
      </c>
      <c r="AN2137" s="29">
        <v>30137</v>
      </c>
      <c r="AO2137" s="44">
        <v>0.48442200000000002</v>
      </c>
      <c r="AP2137" s="33">
        <f>IF(ISBLANK(AO2138),"",Short2[[#This Row],[Adj Close]]/AO2138-1)</f>
        <v>7.0588443297191938E-2</v>
      </c>
    </row>
    <row r="2138" spans="1:42" x14ac:dyDescent="0.25">
      <c r="A2138" s="37">
        <v>30130</v>
      </c>
      <c r="B2138" s="39">
        <v>107.650002</v>
      </c>
      <c r="C2138" s="36">
        <f>IF(ISBLANK(B2139), "", GSPC[[#This Row],[Adj Close]]/B2139-1)</f>
        <v>-1.365216248535972E-2</v>
      </c>
      <c r="D213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3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38" s="11" t="e">
        <f>IF(ISBLANK(GSPC[[#This Row],[Long Exp.]]), "", (GSPC[[#This Row],[Long Exp.]]/D2139-1)+(E2139/GSPC[[#This Row],[Short Exp.]]-1))</f>
        <v>#VALUE!</v>
      </c>
      <c r="G2138" s="37">
        <v>30130</v>
      </c>
      <c r="H2138">
        <v>1.8034319999999999</v>
      </c>
      <c r="I2138" s="36">
        <f>IF(ISBLANK(H2139), "", Long0[[#This Row],[Adj Close]]/H2139-1)</f>
        <v>0</v>
      </c>
      <c r="P2138" s="29">
        <v>30130</v>
      </c>
      <c r="Q2138">
        <v>0.54929600000000001</v>
      </c>
      <c r="R2138" s="33">
        <f>IF(ISBLANK(Q2139),"",Long3[[#This Row],[Adj Close]]/Q2139-1)</f>
        <v>-2.0977924165784367E-2</v>
      </c>
      <c r="AN2138" s="29">
        <v>30130</v>
      </c>
      <c r="AO2138" s="44">
        <v>0.452482</v>
      </c>
      <c r="AP2138" s="33">
        <f>IF(ISBLANK(AO2139),"",Short2[[#This Row],[Adj Close]]/AO2139-1)</f>
        <v>-8.6022352439760863E-2</v>
      </c>
    </row>
    <row r="2139" spans="1:42" x14ac:dyDescent="0.25">
      <c r="A2139" s="37">
        <v>30123</v>
      </c>
      <c r="B2139" s="39">
        <v>109.139999</v>
      </c>
      <c r="C2139" s="36">
        <f>IF(ISBLANK(B2140), "", GSPC[[#This Row],[Adj Close]]/B2140-1)</f>
        <v>1.7337807767876745E-2</v>
      </c>
      <c r="D213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3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39" s="11" t="e">
        <f>IF(ISBLANK(GSPC[[#This Row],[Long Exp.]]), "", (GSPC[[#This Row],[Long Exp.]]/D2140-1)+(E2140/GSPC[[#This Row],[Short Exp.]]-1))</f>
        <v>#VALUE!</v>
      </c>
      <c r="G2139" s="37">
        <v>30123</v>
      </c>
      <c r="H2139">
        <v>1.8034319999999999</v>
      </c>
      <c r="I2139" s="36">
        <f>IF(ISBLANK(H2140), "", Long0[[#This Row],[Adj Close]]/H2140-1)</f>
        <v>0.15887872087351962</v>
      </c>
      <c r="P2139" s="29">
        <v>30123</v>
      </c>
      <c r="Q2139">
        <v>0.56106599999999995</v>
      </c>
      <c r="R2139" s="33">
        <f>IF(ISBLANK(Q2140),"",Long3[[#This Row],[Adj Close]]/Q2140-1)</f>
        <v>7.0412802458252877E-3</v>
      </c>
      <c r="AN2139" s="29">
        <v>30123</v>
      </c>
      <c r="AO2139" s="44">
        <v>0.49506899999999998</v>
      </c>
      <c r="AP2139" s="33">
        <f>IF(ISBLANK(AO2140),"",Short2[[#This Row],[Adj Close]]/AO2140-1)</f>
        <v>-2.1051382695787213E-2</v>
      </c>
    </row>
    <row r="2140" spans="1:42" x14ac:dyDescent="0.25">
      <c r="A2140" s="37">
        <v>30116</v>
      </c>
      <c r="B2140" s="39">
        <v>107.279999</v>
      </c>
      <c r="C2140" s="36">
        <f>IF(ISBLANK(B2141), "", GSPC[[#This Row],[Adj Close]]/B2141-1)</f>
        <v>-3.5598697152080083E-2</v>
      </c>
      <c r="D214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4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40" s="11" t="e">
        <f>IF(ISBLANK(GSPC[[#This Row],[Long Exp.]]), "", (GSPC[[#This Row],[Long Exp.]]/D2141-1)+(E2141/GSPC[[#This Row],[Short Exp.]]-1))</f>
        <v>#VALUE!</v>
      </c>
      <c r="G2140" s="37">
        <v>30116</v>
      </c>
      <c r="H2140">
        <v>1.556187</v>
      </c>
      <c r="I2140" s="36">
        <f>IF(ISBLANK(H2141), "", Long0[[#This Row],[Adj Close]]/H2141-1)</f>
        <v>0</v>
      </c>
      <c r="P2140" s="29">
        <v>30116</v>
      </c>
      <c r="Q2140">
        <v>0.55714300000000005</v>
      </c>
      <c r="R2140" s="33">
        <f>IF(ISBLANK(Q2141),"",Long3[[#This Row],[Adj Close]]/Q2141-1)</f>
        <v>-5.960283903418806E-2</v>
      </c>
      <c r="AN2140" s="29">
        <v>30116</v>
      </c>
      <c r="AO2140" s="44">
        <v>0.50571500000000003</v>
      </c>
      <c r="AP2140" s="33">
        <f>IF(ISBLANK(AO2141),"",Short2[[#This Row],[Adj Close]]/AO2141-1)</f>
        <v>1.0637660074501731E-2</v>
      </c>
    </row>
    <row r="2141" spans="1:42" x14ac:dyDescent="0.25">
      <c r="A2141" s="37">
        <v>30109</v>
      </c>
      <c r="B2141" s="39">
        <v>111.239998</v>
      </c>
      <c r="C2141" s="36">
        <f>IF(ISBLANK(B2142), "", GSPC[[#This Row],[Adj Close]]/B2142-1)</f>
        <v>1.0446017274812203E-2</v>
      </c>
      <c r="D214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4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41" s="11" t="e">
        <f>IF(ISBLANK(GSPC[[#This Row],[Long Exp.]]), "", (GSPC[[#This Row],[Long Exp.]]/D2142-1)+(E2142/GSPC[[#This Row],[Short Exp.]]-1))</f>
        <v>#VALUE!</v>
      </c>
      <c r="G2141" s="37">
        <v>30109</v>
      </c>
      <c r="H2141">
        <v>1.556187</v>
      </c>
      <c r="I2141" s="36">
        <f>IF(ISBLANK(H2142), "", Long0[[#This Row],[Adj Close]]/H2142-1)</f>
        <v>-6.1403720399470729E-2</v>
      </c>
      <c r="P2141" s="29">
        <v>30109</v>
      </c>
      <c r="Q2141">
        <v>0.59245499999999995</v>
      </c>
      <c r="R2141" s="33">
        <f>IF(ISBLANK(Q2142),"",Long3[[#This Row],[Adj Close]]/Q2142-1)</f>
        <v>1.3422669549510102E-2</v>
      </c>
      <c r="AN2141" s="29">
        <v>30109</v>
      </c>
      <c r="AO2141" s="44">
        <v>0.50039199999999995</v>
      </c>
      <c r="AP2141" s="33">
        <f>IF(ISBLANK(AO2142),"",Short2[[#This Row],[Adj Close]]/AO2142-1)</f>
        <v>-1.0525691347893718E-2</v>
      </c>
    </row>
    <row r="2142" spans="1:42" x14ac:dyDescent="0.25">
      <c r="A2142" s="37">
        <v>30102</v>
      </c>
      <c r="B2142" s="39">
        <v>110.089996</v>
      </c>
      <c r="C2142" s="36">
        <f>IF(ISBLANK(B2143), "", GSPC[[#This Row],[Adj Close]]/B2143-1)</f>
        <v>-1.599929431531899E-2</v>
      </c>
      <c r="D214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4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42" s="11" t="e">
        <f>IF(ISBLANK(GSPC[[#This Row],[Long Exp.]]), "", (GSPC[[#This Row],[Long Exp.]]/D2143-1)+(E2143/GSPC[[#This Row],[Short Exp.]]-1))</f>
        <v>#VALUE!</v>
      </c>
      <c r="G2142" s="37">
        <v>30102</v>
      </c>
      <c r="H2142">
        <v>1.657994</v>
      </c>
      <c r="I2142" s="36">
        <f>IF(ISBLANK(H2143), "", Long0[[#This Row],[Adj Close]]/H2143-1)</f>
        <v>-3.3898739635350839E-2</v>
      </c>
      <c r="P2142" s="29">
        <v>30102</v>
      </c>
      <c r="Q2142">
        <v>0.58460800000000002</v>
      </c>
      <c r="R2142" s="33">
        <f>IF(ISBLANK(Q2143),"",Long3[[#This Row],[Adj Close]]/Q2143-1)</f>
        <v>-5.6960667442036761E-2</v>
      </c>
      <c r="AN2142" s="29">
        <v>30102</v>
      </c>
      <c r="AO2142" s="44">
        <v>0.50571500000000003</v>
      </c>
      <c r="AP2142" s="33">
        <f>IF(ISBLANK(AO2143),"",Short2[[#This Row],[Adj Close]]/AO2143-1)</f>
        <v>-1.0416055166151961E-2</v>
      </c>
    </row>
    <row r="2143" spans="1:42" x14ac:dyDescent="0.25">
      <c r="A2143" s="37">
        <v>30095</v>
      </c>
      <c r="B2143" s="39">
        <v>111.879997</v>
      </c>
      <c r="C2143" s="36">
        <f>IF(ISBLANK(B2144), "", GSPC[[#This Row],[Adj Close]]/B2144-1)</f>
        <v>-2.6198990566620117E-2</v>
      </c>
      <c r="D214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4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43" s="11" t="e">
        <f>IF(ISBLANK(GSPC[[#This Row],[Long Exp.]]), "", (GSPC[[#This Row],[Long Exp.]]/D2144-1)+(E2144/GSPC[[#This Row],[Short Exp.]]-1))</f>
        <v>#VALUE!</v>
      </c>
      <c r="G2143" s="37">
        <v>30095</v>
      </c>
      <c r="H2143">
        <v>1.71617</v>
      </c>
      <c r="I2143" s="36">
        <f>IF(ISBLANK(H2144), "", Long0[[#This Row],[Adj Close]]/H2144-1)</f>
        <v>0</v>
      </c>
      <c r="P2143" s="29">
        <v>30095</v>
      </c>
      <c r="Q2143">
        <v>0.619919</v>
      </c>
      <c r="R2143" s="33">
        <f>IF(ISBLANK(Q2144),"",Long3[[#This Row],[Adj Close]]/Q2144-1)</f>
        <v>0</v>
      </c>
      <c r="AN2143" s="29">
        <v>30095</v>
      </c>
      <c r="AO2143" s="44">
        <v>0.51103799999999999</v>
      </c>
      <c r="AP2143" s="33">
        <f>IF(ISBLANK(AO2144),"",Short2[[#This Row],[Adj Close]]/AO2144-1)</f>
        <v>0</v>
      </c>
    </row>
    <row r="2144" spans="1:42" x14ac:dyDescent="0.25">
      <c r="A2144" s="37">
        <v>30088</v>
      </c>
      <c r="B2144" s="39">
        <v>114.889999</v>
      </c>
      <c r="C2144" s="36">
        <f>IF(ISBLANK(B2145), "", GSPC[[#This Row],[Adj Close]]/B2145-1)</f>
        <v>-2.6438462394060447E-2</v>
      </c>
      <c r="D214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4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44" s="11" t="e">
        <f>IF(ISBLANK(GSPC[[#This Row],[Long Exp.]]), "", (GSPC[[#This Row],[Long Exp.]]/D2145-1)+(E2145/GSPC[[#This Row],[Short Exp.]]-1))</f>
        <v>#VALUE!</v>
      </c>
      <c r="G2144" s="37">
        <v>30088</v>
      </c>
      <c r="H2144">
        <v>1.71617</v>
      </c>
      <c r="I2144" s="36">
        <f>IF(ISBLANK(H2145), "", Long0[[#This Row],[Adj Close]]/H2145-1)</f>
        <v>-0.10606042453756492</v>
      </c>
      <c r="P2144" s="29">
        <v>30088</v>
      </c>
      <c r="Q2144">
        <v>0.619919</v>
      </c>
      <c r="R2144" s="33">
        <f>IF(ISBLANK(Q2145),"",Long3[[#This Row],[Adj Close]]/Q2145-1)</f>
        <v>-6.2900441296929177E-3</v>
      </c>
      <c r="AN2144" s="29">
        <v>30088</v>
      </c>
      <c r="AO2144" s="44">
        <v>0.51103799999999999</v>
      </c>
      <c r="AP2144" s="33">
        <f>IF(ISBLANK(AO2145),"",Short2[[#This Row],[Adj Close]]/AO2145-1)</f>
        <v>-8.5714592412889923E-2</v>
      </c>
    </row>
    <row r="2145" spans="1:42" x14ac:dyDescent="0.25">
      <c r="A2145" s="37">
        <v>30081</v>
      </c>
      <c r="B2145" s="39">
        <v>118.010002</v>
      </c>
      <c r="C2145" s="36">
        <f>IF(ISBLANK(B2146), "", GSPC[[#This Row],[Adj Close]]/B2146-1)</f>
        <v>-1.2220632692553468E-2</v>
      </c>
      <c r="D214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4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45" s="11" t="e">
        <f>IF(ISBLANK(GSPC[[#This Row],[Long Exp.]]), "", (GSPC[[#This Row],[Long Exp.]]/D2146-1)+(E2146/GSPC[[#This Row],[Short Exp.]]-1))</f>
        <v>#VALUE!</v>
      </c>
      <c r="G2145" s="37">
        <v>30081</v>
      </c>
      <c r="H2145">
        <v>1.919783</v>
      </c>
      <c r="I2145" s="36">
        <f>IF(ISBLANK(H2146), "", Long0[[#This Row],[Adj Close]]/H2146-1)</f>
        <v>7.6336879520102485E-3</v>
      </c>
      <c r="P2145" s="29">
        <v>30081</v>
      </c>
      <c r="Q2145">
        <v>0.62384300000000004</v>
      </c>
      <c r="R2145" s="33">
        <f>IF(ISBLANK(Q2146),"",Long3[[#This Row],[Adj Close]]/Q2146-1)</f>
        <v>1.273871908259161E-2</v>
      </c>
      <c r="AN2145" s="29">
        <v>30081</v>
      </c>
      <c r="AO2145" s="44">
        <v>0.558948</v>
      </c>
      <c r="AP2145" s="33">
        <f>IF(ISBLANK(AO2146),"",Short2[[#This Row],[Adj Close]]/AO2146-1)</f>
        <v>-3.6698480978626269E-2</v>
      </c>
    </row>
    <row r="2146" spans="1:42" x14ac:dyDescent="0.25">
      <c r="A2146" s="37">
        <v>30074</v>
      </c>
      <c r="B2146" s="39">
        <v>119.470001</v>
      </c>
      <c r="C2146" s="36">
        <f>IF(ISBLANK(B2147), "", GSPC[[#This Row],[Adj Close]]/B2147-1)</f>
        <v>2.6021976536894753E-2</v>
      </c>
      <c r="D214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4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46" s="11" t="e">
        <f>IF(ISBLANK(GSPC[[#This Row],[Long Exp.]]), "", (GSPC[[#This Row],[Long Exp.]]/D2147-1)+(E2147/GSPC[[#This Row],[Short Exp.]]-1))</f>
        <v>#VALUE!</v>
      </c>
      <c r="G2146" s="37">
        <v>30074</v>
      </c>
      <c r="H2146">
        <v>1.9052389999999999</v>
      </c>
      <c r="I2146" s="36">
        <f>IF(ISBLANK(H2147), "", Long0[[#This Row],[Adj Close]]/H2147-1)</f>
        <v>-4.3795210140421648E-2</v>
      </c>
      <c r="P2146" s="29">
        <v>30074</v>
      </c>
      <c r="Q2146">
        <v>0.61599599999999999</v>
      </c>
      <c r="R2146" s="33">
        <f>IF(ISBLANK(Q2147),"",Long3[[#This Row],[Adj Close]]/Q2147-1)</f>
        <v>6.4110104693566594E-3</v>
      </c>
      <c r="AN2146" s="29">
        <v>30074</v>
      </c>
      <c r="AO2146" s="44">
        <v>0.58024200000000004</v>
      </c>
      <c r="AP2146" s="33">
        <f>IF(ISBLANK(AO2147),"",Short2[[#This Row],[Adj Close]]/AO2147-1)</f>
        <v>7.9208786303484713E-2</v>
      </c>
    </row>
    <row r="2147" spans="1:42" x14ac:dyDescent="0.25">
      <c r="A2147" s="37">
        <v>30067</v>
      </c>
      <c r="B2147" s="39">
        <v>116.44000200000001</v>
      </c>
      <c r="C2147" s="36">
        <f>IF(ISBLANK(B2148), "", GSPC[[#This Row],[Adj Close]]/B2148-1)</f>
        <v>-1.8543467789476242E-2</v>
      </c>
      <c r="D214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4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47" s="11" t="e">
        <f>IF(ISBLANK(GSPC[[#This Row],[Long Exp.]]), "", (GSPC[[#This Row],[Long Exp.]]/D2148-1)+(E2148/GSPC[[#This Row],[Short Exp.]]-1))</f>
        <v>#VALUE!</v>
      </c>
      <c r="G2147" s="37">
        <v>30067</v>
      </c>
      <c r="H2147">
        <v>1.9925010000000001</v>
      </c>
      <c r="I2147" s="36">
        <f>IF(ISBLANK(H2148), "", Long0[[#This Row],[Adj Close]]/H2148-1)</f>
        <v>-0.1329121994079</v>
      </c>
      <c r="P2147" s="29">
        <v>30067</v>
      </c>
      <c r="Q2147">
        <v>0.61207199999999995</v>
      </c>
      <c r="R2147" s="33">
        <f>IF(ISBLANK(Q2148),"",Long3[[#This Row],[Adj Close]]/Q2148-1)</f>
        <v>0</v>
      </c>
      <c r="AN2147" s="29">
        <v>30067</v>
      </c>
      <c r="AO2147" s="44">
        <v>0.53765499999999999</v>
      </c>
      <c r="AP2147" s="33">
        <f>IF(ISBLANK(AO2148),"",Short2[[#This Row],[Adj Close]]/AO2148-1)</f>
        <v>-1.9416342483417059E-2</v>
      </c>
    </row>
    <row r="2148" spans="1:42" x14ac:dyDescent="0.25">
      <c r="A2148" s="37">
        <v>30060</v>
      </c>
      <c r="B2148" s="39">
        <v>118.639999</v>
      </c>
      <c r="C2148" s="36">
        <f>IF(ISBLANK(B2149), "", GSPC[[#This Row],[Adj Close]]/B2149-1)</f>
        <v>1.5666475741229036E-2</v>
      </c>
      <c r="D214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4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48" s="11" t="e">
        <f>IF(ISBLANK(GSPC[[#This Row],[Long Exp.]]), "", (GSPC[[#This Row],[Long Exp.]]/D2149-1)+(E2149/GSPC[[#This Row],[Short Exp.]]-1))</f>
        <v>#VALUE!</v>
      </c>
      <c r="G2148" s="37">
        <v>30060</v>
      </c>
      <c r="H2148">
        <v>2.2979229999999999</v>
      </c>
      <c r="I2148" s="36">
        <f>IF(ISBLANK(H2149), "", Long0[[#This Row],[Adj Close]]/H2149-1)</f>
        <v>7.4829941518498311E-2</v>
      </c>
      <c r="P2148" s="29">
        <v>30060</v>
      </c>
      <c r="Q2148">
        <v>0.61207199999999995</v>
      </c>
      <c r="R2148" s="33">
        <f>IF(ISBLANK(Q2149),"",Long3[[#This Row],[Adj Close]]/Q2149-1)</f>
        <v>6.4507217803531081E-3</v>
      </c>
      <c r="AN2148" s="29">
        <v>30060</v>
      </c>
      <c r="AO2148" s="44">
        <v>0.54830100000000004</v>
      </c>
      <c r="AP2148" s="33">
        <f>IF(ISBLANK(AO2149),"",Short2[[#This Row],[Adj Close]]/AO2149-1)</f>
        <v>0.1075244056889042</v>
      </c>
    </row>
    <row r="2149" spans="1:42" x14ac:dyDescent="0.25">
      <c r="A2149" s="37">
        <v>30053</v>
      </c>
      <c r="B2149" s="39">
        <v>116.80999799999999</v>
      </c>
      <c r="C2149" s="36">
        <f>IF(ISBLANK(B2150), "", GSPC[[#This Row],[Adj Close]]/B2150-1)</f>
        <v>5.0765530452885343E-3</v>
      </c>
      <c r="D214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4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49" s="11" t="e">
        <f>IF(ISBLANK(GSPC[[#This Row],[Long Exp.]]), "", (GSPC[[#This Row],[Long Exp.]]/D2150-1)+(E2150/GSPC[[#This Row],[Short Exp.]]-1))</f>
        <v>#VALUE!</v>
      </c>
      <c r="G2149" s="37">
        <v>30053</v>
      </c>
      <c r="H2149">
        <v>2.1379410000000001</v>
      </c>
      <c r="I2149" s="36">
        <f>IF(ISBLANK(H2150), "", Long0[[#This Row],[Adj Close]]/H2150-1)</f>
        <v>4.2553751761003955E-2</v>
      </c>
      <c r="P2149" s="29">
        <v>30053</v>
      </c>
      <c r="Q2149">
        <v>0.60814900000000005</v>
      </c>
      <c r="R2149" s="33">
        <f>IF(ISBLANK(Q2150),"",Long3[[#This Row],[Adj Close]]/Q2150-1)</f>
        <v>4.0268008648530307E-2</v>
      </c>
      <c r="AN2149" s="29">
        <v>30053</v>
      </c>
      <c r="AO2149" s="44">
        <v>0.49506899999999998</v>
      </c>
      <c r="AP2149" s="33">
        <f>IF(ISBLANK(AO2150),"",Short2[[#This Row],[Adj Close]]/AO2150-1)</f>
        <v>5.6819055100629345E-2</v>
      </c>
    </row>
    <row r="2150" spans="1:42" x14ac:dyDescent="0.25">
      <c r="A2150" s="37">
        <v>30046</v>
      </c>
      <c r="B2150" s="39">
        <v>116.220001</v>
      </c>
      <c r="C2150" s="36">
        <f>IF(ISBLANK(B2151), "", GSPC[[#This Row],[Adj Close]]/B2151-1)</f>
        <v>9.5552290769138626E-3</v>
      </c>
      <c r="D215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5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50" s="11" t="e">
        <f>IF(ISBLANK(GSPC[[#This Row],[Long Exp.]]), "", (GSPC[[#This Row],[Long Exp.]]/D2151-1)+(E2151/GSPC[[#This Row],[Short Exp.]]-1))</f>
        <v>#VALUE!</v>
      </c>
      <c r="G2150" s="37">
        <v>30046</v>
      </c>
      <c r="H2150">
        <v>2.0506769999999999</v>
      </c>
      <c r="I2150" s="36">
        <f>IF(ISBLANK(H2151), "", Long0[[#This Row],[Adj Close]]/H2151-1)</f>
        <v>-7.0428263886400666E-3</v>
      </c>
      <c r="P2150" s="29">
        <v>30046</v>
      </c>
      <c r="Q2150">
        <v>0.58460800000000002</v>
      </c>
      <c r="R2150" s="33">
        <f>IF(ISBLANK(Q2151),"",Long3[[#This Row],[Adj Close]]/Q2151-1)</f>
        <v>6.7575479951229589E-3</v>
      </c>
      <c r="AN2150" s="29">
        <v>30046</v>
      </c>
      <c r="AO2150" s="44">
        <v>0.46845199999999998</v>
      </c>
      <c r="AP2150" s="33">
        <f>IF(ISBLANK(AO2151),"",Short2[[#This Row],[Adj Close]]/AO2151-1)</f>
        <v>-3.2967123706190149E-2</v>
      </c>
    </row>
    <row r="2151" spans="1:42" x14ac:dyDescent="0.25">
      <c r="A2151" s="37">
        <v>30039</v>
      </c>
      <c r="B2151" s="39">
        <v>115.120003</v>
      </c>
      <c r="C2151" s="36">
        <f>IF(ISBLANK(B2152), "", GSPC[[#This Row],[Adj Close]]/B2152-1)</f>
        <v>2.8408084180666648E-2</v>
      </c>
      <c r="D215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5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51" s="11" t="e">
        <f>IF(ISBLANK(GSPC[[#This Row],[Long Exp.]]), "", (GSPC[[#This Row],[Long Exp.]]/D2152-1)+(E2152/GSPC[[#This Row],[Short Exp.]]-1))</f>
        <v>#VALUE!</v>
      </c>
      <c r="G2151" s="37">
        <v>30039</v>
      </c>
      <c r="H2151">
        <v>2.0652219999999999</v>
      </c>
      <c r="I2151" s="36">
        <f>IF(ISBLANK(H2152), "", Long0[[#This Row],[Adj Close]]/H2152-1)</f>
        <v>2.158301139202301E-2</v>
      </c>
      <c r="P2151" s="29">
        <v>30039</v>
      </c>
      <c r="Q2151">
        <v>0.58068399999999998</v>
      </c>
      <c r="R2151" s="33">
        <f>IF(ISBLANK(Q2152),"",Long3[[#This Row],[Adj Close]]/Q2152-1)</f>
        <v>-1.3333197401666275E-2</v>
      </c>
      <c r="AN2151" s="29">
        <v>30039</v>
      </c>
      <c r="AO2151" s="44">
        <v>0.48442200000000002</v>
      </c>
      <c r="AP2151" s="33">
        <f>IF(ISBLANK(AO2152),"",Short2[[#This Row],[Adj Close]]/AO2152-1)</f>
        <v>0.15189921577392984</v>
      </c>
    </row>
    <row r="2152" spans="1:42" x14ac:dyDescent="0.25">
      <c r="A2152" s="37">
        <v>30032</v>
      </c>
      <c r="B2152" s="39">
        <v>111.94000200000001</v>
      </c>
      <c r="C2152" s="36">
        <f>IF(ISBLANK(B2153), "", GSPC[[#This Row],[Adj Close]]/B2153-1)</f>
        <v>1.2024238206091331E-2</v>
      </c>
      <c r="D215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5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52" s="11" t="e">
        <f>IF(ISBLANK(GSPC[[#This Row],[Long Exp.]]), "", (GSPC[[#This Row],[Long Exp.]]/D2153-1)+(E2153/GSPC[[#This Row],[Short Exp.]]-1))</f>
        <v>#VALUE!</v>
      </c>
      <c r="G2152" s="37">
        <v>30032</v>
      </c>
      <c r="H2152">
        <v>2.0215900000000002</v>
      </c>
      <c r="I2152" s="36">
        <f>IF(ISBLANK(H2153), "", Long0[[#This Row],[Adj Close]]/H2153-1)</f>
        <v>-1.4184096276497749E-2</v>
      </c>
      <c r="P2152" s="29">
        <v>30032</v>
      </c>
      <c r="Q2152">
        <v>0.58853100000000003</v>
      </c>
      <c r="R2152" s="33">
        <f>IF(ISBLANK(Q2153),"",Long3[[#This Row],[Adj Close]]/Q2153-1)</f>
        <v>6.7104795007937312E-3</v>
      </c>
      <c r="AN2152" s="29">
        <v>30032</v>
      </c>
      <c r="AO2152" s="44">
        <v>0.42054200000000003</v>
      </c>
      <c r="AP2152" s="33">
        <f>IF(ISBLANK(AO2153),"",Short2[[#This Row],[Adj Close]]/AO2153-1)</f>
        <v>-1.2499266199382353E-2</v>
      </c>
    </row>
    <row r="2153" spans="1:42" x14ac:dyDescent="0.25">
      <c r="A2153" s="37">
        <v>30025</v>
      </c>
      <c r="B2153" s="39">
        <v>110.610001</v>
      </c>
      <c r="C2153" s="36">
        <f>IF(ISBLANK(B2154), "", GSPC[[#This Row],[Adj Close]]/B2154-1)</f>
        <v>1.8414510464832778E-2</v>
      </c>
      <c r="D215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5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53" s="11" t="e">
        <f>IF(ISBLANK(GSPC[[#This Row],[Long Exp.]]), "", (GSPC[[#This Row],[Long Exp.]]/D2154-1)+(E2154/GSPC[[#This Row],[Short Exp.]]-1))</f>
        <v>#VALUE!</v>
      </c>
      <c r="G2153" s="37">
        <v>30025</v>
      </c>
      <c r="H2153">
        <v>2.0506769999999999</v>
      </c>
      <c r="I2153" s="36">
        <f>IF(ISBLANK(H2154), "", Long0[[#This Row],[Adj Close]]/H2154-1)</f>
        <v>0.16528914348838297</v>
      </c>
      <c r="P2153" s="29">
        <v>30025</v>
      </c>
      <c r="Q2153">
        <v>0.58460800000000002</v>
      </c>
      <c r="R2153" s="33">
        <f>IF(ISBLANK(Q2154),"",Long3[[#This Row],[Adj Close]]/Q2154-1)</f>
        <v>-6.6657491279134007E-3</v>
      </c>
      <c r="AN2153" s="29">
        <v>30025</v>
      </c>
      <c r="AO2153" s="44">
        <v>0.42586499999999999</v>
      </c>
      <c r="AP2153" s="33">
        <f>IF(ISBLANK(AO2154),"",Short2[[#This Row],[Adj Close]]/AO2154-1)</f>
        <v>1.2657475353234471E-2</v>
      </c>
    </row>
    <row r="2154" spans="1:42" x14ac:dyDescent="0.25">
      <c r="A2154" s="37">
        <v>30018</v>
      </c>
      <c r="B2154" s="39">
        <v>108.610001</v>
      </c>
      <c r="C2154" s="36">
        <f>IF(ISBLANK(B2155), "", GSPC[[#This Row],[Adj Close]]/B2155-1)</f>
        <v>-6.6763766847037775E-3</v>
      </c>
      <c r="D215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5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54" s="11" t="e">
        <f>IF(ISBLANK(GSPC[[#This Row],[Long Exp.]]), "", (GSPC[[#This Row],[Long Exp.]]/D2155-1)+(E2155/GSPC[[#This Row],[Short Exp.]]-1))</f>
        <v>#VALUE!</v>
      </c>
      <c r="G2154" s="37">
        <v>30018</v>
      </c>
      <c r="H2154">
        <v>1.7598009999999999</v>
      </c>
      <c r="I2154" s="36">
        <f>IF(ISBLANK(H2155), "", Long0[[#This Row],[Adj Close]]/H2155-1)</f>
        <v>-9.7015143639573975E-2</v>
      </c>
      <c r="P2154" s="29">
        <v>30018</v>
      </c>
      <c r="Q2154">
        <v>0.58853100000000003</v>
      </c>
      <c r="R2154" s="33">
        <f>IF(ISBLANK(Q2155),"",Long3[[#This Row],[Adj Close]]/Q2155-1)</f>
        <v>3.4481485778166787E-2</v>
      </c>
      <c r="AN2154" s="29">
        <v>30018</v>
      </c>
      <c r="AO2154" s="44">
        <v>0.42054200000000003</v>
      </c>
      <c r="AP2154" s="33">
        <f>IF(ISBLANK(AO2155),"",Short2[[#This Row],[Adj Close]]/AO2155-1)</f>
        <v>1.2819740907810129E-2</v>
      </c>
    </row>
    <row r="2155" spans="1:42" x14ac:dyDescent="0.25">
      <c r="A2155" s="37">
        <v>30011</v>
      </c>
      <c r="B2155" s="39">
        <v>109.339996</v>
      </c>
      <c r="C2155" s="36">
        <f>IF(ISBLANK(B2156), "", GSPC[[#This Row],[Adj Close]]/B2156-1)</f>
        <v>-3.3330430259654875E-2</v>
      </c>
      <c r="D215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5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55" s="11" t="e">
        <f>IF(ISBLANK(GSPC[[#This Row],[Long Exp.]]), "", (GSPC[[#This Row],[Long Exp.]]/D2156-1)+(E2156/GSPC[[#This Row],[Short Exp.]]-1))</f>
        <v>#VALUE!</v>
      </c>
      <c r="G2155" s="37">
        <v>30011</v>
      </c>
      <c r="H2155">
        <v>1.948871</v>
      </c>
      <c r="I2155" s="36">
        <f>IF(ISBLANK(H2156), "", Long0[[#This Row],[Adj Close]]/H2156-1)</f>
        <v>-6.2936918353756366E-2</v>
      </c>
      <c r="P2155" s="29">
        <v>30011</v>
      </c>
      <c r="Q2155">
        <v>0.56891400000000003</v>
      </c>
      <c r="R2155" s="33">
        <f>IF(ISBLANK(Q2156),"",Long3[[#This Row],[Adj Close]]/Q2156-1)</f>
        <v>-3.3332143931245728E-2</v>
      </c>
      <c r="AN2155" s="29">
        <v>30011</v>
      </c>
      <c r="AO2155" s="44">
        <v>0.415219</v>
      </c>
      <c r="AP2155" s="33">
        <f>IF(ISBLANK(AO2156),"",Short2[[#This Row],[Adj Close]]/AO2156-1)</f>
        <v>-0.10344849923023614</v>
      </c>
    </row>
    <row r="2156" spans="1:42" x14ac:dyDescent="0.25">
      <c r="A2156" s="37">
        <v>30004</v>
      </c>
      <c r="B2156" s="39">
        <v>113.110001</v>
      </c>
      <c r="C2156" s="36">
        <f>IF(ISBLANK(B2157), "", GSPC[[#This Row],[Adj Close]]/B2157-1)</f>
        <v>-9.7155978650798058E-4</v>
      </c>
      <c r="D215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5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56" s="11" t="e">
        <f>IF(ISBLANK(GSPC[[#This Row],[Long Exp.]]), "", (GSPC[[#This Row],[Long Exp.]]/D2157-1)+(E2157/GSPC[[#This Row],[Short Exp.]]-1))</f>
        <v>#VALUE!</v>
      </c>
      <c r="G2156" s="37">
        <v>30004</v>
      </c>
      <c r="H2156">
        <v>2.0797650000000001</v>
      </c>
      <c r="I2156" s="36">
        <f>IF(ISBLANK(H2157), "", Long0[[#This Row],[Adj Close]]/H2157-1)</f>
        <v>3.6231338877465324E-2</v>
      </c>
      <c r="P2156" s="29">
        <v>30004</v>
      </c>
      <c r="Q2156">
        <v>0.58853100000000003</v>
      </c>
      <c r="R2156" s="33">
        <f>IF(ISBLANK(Q2157),"",Long3[[#This Row],[Adj Close]]/Q2157-1)</f>
        <v>7.9134830657183297E-2</v>
      </c>
      <c r="AN2156" s="29">
        <v>30004</v>
      </c>
      <c r="AO2156" s="44">
        <v>0.46312900000000001</v>
      </c>
      <c r="AP2156" s="33">
        <f>IF(ISBLANK(AO2157),"",Short2[[#This Row],[Adj Close]]/AO2157-1)</f>
        <v>2.3530217776618789E-2</v>
      </c>
    </row>
    <row r="2157" spans="1:42" x14ac:dyDescent="0.25">
      <c r="A2157" s="37">
        <v>29997</v>
      </c>
      <c r="B2157" s="39">
        <v>113.220001</v>
      </c>
      <c r="C2157" s="36">
        <f>IF(ISBLANK(B2158), "", GSPC[[#This Row],[Adj Close]]/B2158-1)</f>
        <v>-1.0141598447497846E-2</v>
      </c>
      <c r="D215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5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57" s="11" t="e">
        <f>IF(ISBLANK(GSPC[[#This Row],[Long Exp.]]), "", (GSPC[[#This Row],[Long Exp.]]/D2158-1)+(E2158/GSPC[[#This Row],[Short Exp.]]-1))</f>
        <v>#VALUE!</v>
      </c>
      <c r="G2157" s="37">
        <v>29997</v>
      </c>
      <c r="H2157">
        <v>2.007047</v>
      </c>
      <c r="I2157" s="36">
        <f>IF(ISBLANK(H2158), "", Long0[[#This Row],[Adj Close]]/H2158-1)</f>
        <v>0</v>
      </c>
      <c r="P2157" s="29">
        <v>29997</v>
      </c>
      <c r="Q2157">
        <v>0.545373</v>
      </c>
      <c r="R2157" s="33">
        <f>IF(ISBLANK(Q2158),"",Long3[[#This Row],[Adj Close]]/Q2158-1)</f>
        <v>7.2472199597746201E-3</v>
      </c>
      <c r="AN2157" s="29">
        <v>29997</v>
      </c>
      <c r="AO2157" s="44">
        <v>0.452482</v>
      </c>
      <c r="AP2157" s="33">
        <f>IF(ISBLANK(AO2158),"",Short2[[#This Row],[Adj Close]]/AO2158-1)</f>
        <v>1.1904043080872784E-2</v>
      </c>
    </row>
    <row r="2158" spans="1:42" x14ac:dyDescent="0.25">
      <c r="A2158" s="37">
        <v>29990</v>
      </c>
      <c r="B2158" s="39">
        <v>114.379997</v>
      </c>
      <c r="C2158" s="36">
        <f>IF(ISBLANK(B2159), "", GSPC[[#This Row],[Adj Close]]/B2159-1)</f>
        <v>-2.4560847269983865E-2</v>
      </c>
      <c r="D215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5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58" s="11" t="e">
        <f>IF(ISBLANK(GSPC[[#This Row],[Long Exp.]]), "", (GSPC[[#This Row],[Long Exp.]]/D2159-1)+(E2159/GSPC[[#This Row],[Short Exp.]]-1))</f>
        <v>#VALUE!</v>
      </c>
      <c r="G2158" s="37">
        <v>29990</v>
      </c>
      <c r="H2158">
        <v>2.007047</v>
      </c>
      <c r="I2158" s="36">
        <f>IF(ISBLANK(H2159), "", Long0[[#This Row],[Adj Close]]/H2159-1)</f>
        <v>-0.10389566321553279</v>
      </c>
      <c r="P2158" s="29">
        <v>29990</v>
      </c>
      <c r="Q2158">
        <v>0.54144899999999996</v>
      </c>
      <c r="R2158" s="33">
        <f>IF(ISBLANK(Q2159),"",Long3[[#This Row],[Adj Close]]/Q2159-1)</f>
        <v>1.4705716995063511E-2</v>
      </c>
      <c r="AN2158" s="29">
        <v>29990</v>
      </c>
      <c r="AO2158" s="44">
        <v>0.44715899999999997</v>
      </c>
      <c r="AP2158" s="33">
        <f>IF(ISBLANK(AO2159),"",Short2[[#This Row],[Adj Close]]/AO2159-1)</f>
        <v>-9.6774389024560259E-2</v>
      </c>
    </row>
    <row r="2159" spans="1:42" x14ac:dyDescent="0.25">
      <c r="A2159" s="37">
        <v>29983</v>
      </c>
      <c r="B2159" s="39">
        <v>117.260002</v>
      </c>
      <c r="C2159" s="36">
        <f>IF(ISBLANK(B2160), "", GSPC[[#This Row],[Adj Close]]/B2160-1)</f>
        <v>-2.6079733786050885E-2</v>
      </c>
      <c r="D215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5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59" s="11" t="e">
        <f>IF(ISBLANK(GSPC[[#This Row],[Long Exp.]]), "", (GSPC[[#This Row],[Long Exp.]]/D2160-1)+(E2160/GSPC[[#This Row],[Short Exp.]]-1))</f>
        <v>#VALUE!</v>
      </c>
      <c r="G2159" s="37">
        <v>29983</v>
      </c>
      <c r="H2159">
        <v>2.2397469999999999</v>
      </c>
      <c r="I2159" s="36">
        <f>IF(ISBLANK(H2160), "", Long0[[#This Row],[Adj Close]]/H2160-1)</f>
        <v>-6.6666694447581332E-2</v>
      </c>
      <c r="P2159" s="29">
        <v>29983</v>
      </c>
      <c r="Q2159">
        <v>0.53360200000000002</v>
      </c>
      <c r="R2159" s="33">
        <f>IF(ISBLANK(Q2160),"",Long3[[#This Row],[Adj Close]]/Q2160-1)</f>
        <v>0</v>
      </c>
      <c r="AN2159" s="29">
        <v>29983</v>
      </c>
      <c r="AO2159" s="44">
        <v>0.49506899999999998</v>
      </c>
      <c r="AP2159" s="33">
        <f>IF(ISBLANK(AO2160),"",Short2[[#This Row],[Adj Close]]/AO2160-1)</f>
        <v>-4.1236574341256715E-2</v>
      </c>
    </row>
    <row r="2160" spans="1:42" x14ac:dyDescent="0.25">
      <c r="A2160" s="37">
        <v>29976</v>
      </c>
      <c r="B2160" s="39">
        <v>120.400002</v>
      </c>
      <c r="C2160" s="36">
        <f>IF(ISBLANK(B2161), "", GSPC[[#This Row],[Adj Close]]/B2161-1)</f>
        <v>4.3508451469278508E-2</v>
      </c>
      <c r="D216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6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60" s="11" t="e">
        <f>IF(ISBLANK(GSPC[[#This Row],[Long Exp.]]), "", (GSPC[[#This Row],[Long Exp.]]/D2161-1)+(E2161/GSPC[[#This Row],[Short Exp.]]-1))</f>
        <v>#VALUE!</v>
      </c>
      <c r="G2160" s="37">
        <v>29976</v>
      </c>
      <c r="H2160">
        <v>2.3997289999999998</v>
      </c>
      <c r="I2160" s="36">
        <f>IF(ISBLANK(H2161), "", Long0[[#This Row],[Adj Close]]/H2161-1)</f>
        <v>0.14583385060841092</v>
      </c>
      <c r="P2160" s="29">
        <v>29976</v>
      </c>
      <c r="Q2160">
        <v>0.53360200000000002</v>
      </c>
      <c r="R2160" s="33">
        <f>IF(ISBLANK(Q2161),"",Long3[[#This Row],[Adj Close]]/Q2161-1)</f>
        <v>7.408274461087716E-3</v>
      </c>
      <c r="AN2160" s="29">
        <v>29976</v>
      </c>
      <c r="AO2160" s="44">
        <v>0.51636199999999999</v>
      </c>
      <c r="AP2160" s="33">
        <f>IF(ISBLANK(AO2161),"",Short2[[#This Row],[Adj Close]]/AO2161-1)</f>
        <v>-1.0203475277226648E-2</v>
      </c>
    </row>
    <row r="2161" spans="1:42" x14ac:dyDescent="0.25">
      <c r="A2161" s="37">
        <v>29969</v>
      </c>
      <c r="B2161" s="39">
        <v>115.379997</v>
      </c>
      <c r="C2161" s="36">
        <f>IF(ISBLANK(B2162), "", GSPC[[#This Row],[Adj Close]]/B2162-1)</f>
        <v>-8.1664659474517398E-3</v>
      </c>
      <c r="D216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6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61" s="11" t="e">
        <f>IF(ISBLANK(GSPC[[#This Row],[Long Exp.]]), "", (GSPC[[#This Row],[Long Exp.]]/D2162-1)+(E2162/GSPC[[#This Row],[Short Exp.]]-1))</f>
        <v>#VALUE!</v>
      </c>
      <c r="G2161" s="37">
        <v>29969</v>
      </c>
      <c r="H2161">
        <v>2.0943079999999998</v>
      </c>
      <c r="I2161" s="36">
        <f>IF(ISBLANK(H2162), "", Long0[[#This Row],[Adj Close]]/H2162-1)</f>
        <v>0</v>
      </c>
      <c r="P2161" s="29">
        <v>29969</v>
      </c>
      <c r="Q2161">
        <v>0.52967799999999998</v>
      </c>
      <c r="R2161" s="33">
        <f>IF(ISBLANK(Q2162),"",Long3[[#This Row],[Adj Close]]/Q2162-1)</f>
        <v>-7.353795525504081E-3</v>
      </c>
      <c r="AN2161" s="29">
        <v>29969</v>
      </c>
      <c r="AO2161" s="44">
        <v>0.52168499999999995</v>
      </c>
      <c r="AP2161" s="33">
        <f>IF(ISBLANK(AO2162),"",Short2[[#This Row],[Adj Close]]/AO2162-1)</f>
        <v>-2.9703062372711253E-2</v>
      </c>
    </row>
    <row r="2162" spans="1:42" x14ac:dyDescent="0.25">
      <c r="A2162" s="37">
        <v>29962</v>
      </c>
      <c r="B2162" s="39">
        <v>116.33000199999999</v>
      </c>
      <c r="C2162" s="36">
        <f>IF(ISBLANK(B2163), "", GSPC[[#This Row],[Adj Close]]/B2163-1)</f>
        <v>-2.6934344786256559E-2</v>
      </c>
      <c r="D216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6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62" s="11" t="e">
        <f>IF(ISBLANK(GSPC[[#This Row],[Long Exp.]]), "", (GSPC[[#This Row],[Long Exp.]]/D2163-1)+(E2163/GSPC[[#This Row],[Short Exp.]]-1))</f>
        <v>#VALUE!</v>
      </c>
      <c r="G2162" s="37">
        <v>29962</v>
      </c>
      <c r="H2162">
        <v>2.0943079999999998</v>
      </c>
      <c r="I2162" s="36">
        <f>IF(ISBLANK(H2163), "", Long0[[#This Row],[Adj Close]]/H2163-1)</f>
        <v>-4.000007334164235E-2</v>
      </c>
      <c r="P2162" s="29">
        <v>29962</v>
      </c>
      <c r="Q2162">
        <v>0.53360200000000002</v>
      </c>
      <c r="R2162" s="33">
        <f>IF(ISBLANK(Q2163),"",Long3[[#This Row],[Adj Close]]/Q2163-1)</f>
        <v>-1.4492593023534894E-2</v>
      </c>
      <c r="AN2162" s="29">
        <v>29962</v>
      </c>
      <c r="AO2162" s="44">
        <v>0.53765499999999999</v>
      </c>
      <c r="AP2162" s="33">
        <f>IF(ISBLANK(AO2163),"",Short2[[#This Row],[Adj Close]]/AO2163-1)</f>
        <v>-2.8846240686385305E-2</v>
      </c>
    </row>
    <row r="2163" spans="1:42" x14ac:dyDescent="0.25">
      <c r="A2163" s="37">
        <v>29955</v>
      </c>
      <c r="B2163" s="39">
        <v>119.550003</v>
      </c>
      <c r="C2163" s="36">
        <f>IF(ISBLANK(B2164), "", GSPC[[#This Row],[Adj Close]]/B2164-1)</f>
        <v>-2.4479803562305946E-2</v>
      </c>
      <c r="D216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6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63" s="11" t="e">
        <f>IF(ISBLANK(GSPC[[#This Row],[Long Exp.]]), "", (GSPC[[#This Row],[Long Exp.]]/D2164-1)+(E2164/GSPC[[#This Row],[Short Exp.]]-1))</f>
        <v>#VALUE!</v>
      </c>
      <c r="G2163" s="37">
        <v>29955</v>
      </c>
      <c r="H2163">
        <v>2.1815709999999999</v>
      </c>
      <c r="I2163" s="36">
        <f>IF(ISBLANK(H2164), "", Long0[[#This Row],[Adj Close]]/H2164-1)</f>
        <v>0.11111048861295236</v>
      </c>
      <c r="P2163" s="29">
        <v>29955</v>
      </c>
      <c r="Q2163">
        <v>0.54144899999999996</v>
      </c>
      <c r="R2163" s="33">
        <f>IF(ISBLANK(Q2164),"",Long3[[#This Row],[Adj Close]]/Q2164-1)</f>
        <v>7.3001255755544836E-3</v>
      </c>
      <c r="AN2163" s="29">
        <v>29955</v>
      </c>
      <c r="AO2163" s="44">
        <v>0.55362500000000003</v>
      </c>
      <c r="AP2163" s="33">
        <f>IF(ISBLANK(AO2164),"",Short2[[#This Row],[Adj Close]]/AO2164-1)</f>
        <v>1.9606651454292079E-2</v>
      </c>
    </row>
    <row r="2164" spans="1:42" x14ac:dyDescent="0.25">
      <c r="A2164" s="37">
        <v>29948</v>
      </c>
      <c r="B2164" s="39">
        <v>122.550003</v>
      </c>
      <c r="C2164" s="36">
        <f>IF(ISBLANK(B2165), "", GSPC[[#This Row],[Adj Close]]/B2165-1)</f>
        <v>8.1622326737251782E-5</v>
      </c>
      <c r="D216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6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64" s="11" t="e">
        <f>IF(ISBLANK(GSPC[[#This Row],[Long Exp.]]), "", (GSPC[[#This Row],[Long Exp.]]/D2165-1)+(E2165/GSPC[[#This Row],[Short Exp.]]-1))</f>
        <v>#VALUE!</v>
      </c>
      <c r="G2164" s="37">
        <v>29948</v>
      </c>
      <c r="H2164">
        <v>1.9634149999999999</v>
      </c>
      <c r="I2164" s="36">
        <f>IF(ISBLANK(H2165), "", Long0[[#This Row],[Adj Close]]/H2165-1)</f>
        <v>9.7561111952725987E-2</v>
      </c>
      <c r="P2164" s="29">
        <v>29948</v>
      </c>
      <c r="Q2164">
        <v>0.53752500000000003</v>
      </c>
      <c r="R2164" s="33">
        <f>IF(ISBLANK(Q2165),"",Long3[[#This Row],[Adj Close]]/Q2165-1)</f>
        <v>-7.2472199597745091E-3</v>
      </c>
      <c r="AN2164" s="29">
        <v>29948</v>
      </c>
      <c r="AO2164" s="44">
        <v>0.54297899999999999</v>
      </c>
      <c r="AP2164" s="33">
        <f>IF(ISBLANK(AO2165),"",Short2[[#This Row],[Adj Close]]/AO2165-1)</f>
        <v>6.2502201401852586E-2</v>
      </c>
    </row>
    <row r="2165" spans="1:42" x14ac:dyDescent="0.25">
      <c r="A2165" s="37">
        <v>29941</v>
      </c>
      <c r="B2165" s="39">
        <v>122.540001</v>
      </c>
      <c r="C2165" s="36">
        <f>IF(ISBLANK(B2166), "", GSPC[[#This Row],[Adj Close]]/B2166-1)</f>
        <v>-1.1774185483870991E-2</v>
      </c>
      <c r="D216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6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65" s="11" t="e">
        <f>IF(ISBLANK(GSPC[[#This Row],[Long Exp.]]), "", (GSPC[[#This Row],[Long Exp.]]/D2166-1)+(E2166/GSPC[[#This Row],[Short Exp.]]-1))</f>
        <v>#VALUE!</v>
      </c>
      <c r="G2165" s="37">
        <v>29941</v>
      </c>
      <c r="H2165">
        <v>1.788889</v>
      </c>
      <c r="I2165" s="36">
        <f>IF(ISBLANK(H2166), "", Long0[[#This Row],[Adj Close]]/H2166-1)</f>
        <v>0.11818211935225165</v>
      </c>
      <c r="P2165" s="29">
        <v>29941</v>
      </c>
      <c r="Q2165">
        <v>0.54144899999999996</v>
      </c>
      <c r="R2165" s="33">
        <f>IF(ISBLANK(Q2166),"",Long3[[#This Row],[Adj Close]]/Q2166-1)</f>
        <v>7.3001255755544836E-3</v>
      </c>
      <c r="AN2165" s="29">
        <v>29941</v>
      </c>
      <c r="AO2165" s="44">
        <v>0.51103799999999999</v>
      </c>
      <c r="AP2165" s="33">
        <f>IF(ISBLANK(AO2166),"",Short2[[#This Row],[Adj Close]]/AO2166-1)</f>
        <v>-9.4339422015308205E-2</v>
      </c>
    </row>
    <row r="2166" spans="1:42" x14ac:dyDescent="0.25">
      <c r="A2166" s="37">
        <v>29934</v>
      </c>
      <c r="B2166" s="39">
        <v>124</v>
      </c>
      <c r="C2166" s="36">
        <f>IF(ISBLANK(B2167), "", GSPC[[#This Row],[Adj Close]]/B2167-1)</f>
        <v>-7.4441687344913854E-3</v>
      </c>
      <c r="D216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6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66" s="11" t="e">
        <f>IF(ISBLANK(GSPC[[#This Row],[Long Exp.]]), "", (GSPC[[#This Row],[Long Exp.]]/D2167-1)+(E2167/GSPC[[#This Row],[Short Exp.]]-1))</f>
        <v>#VALUE!</v>
      </c>
      <c r="G2166" s="37">
        <v>29934</v>
      </c>
      <c r="H2166">
        <v>1.5998190000000001</v>
      </c>
      <c r="I2166" s="36">
        <f>IF(ISBLANK(H2167), "", Long0[[#This Row],[Adj Close]]/H2167-1)</f>
        <v>-5.9829245674431375E-2</v>
      </c>
      <c r="P2166" s="29">
        <v>29934</v>
      </c>
      <c r="Q2166">
        <v>0.53752500000000003</v>
      </c>
      <c r="R2166" s="33">
        <f>IF(ISBLANK(Q2167),"",Long3[[#This Row],[Adj Close]]/Q2167-1)</f>
        <v>0</v>
      </c>
      <c r="AN2166" s="29">
        <v>29934</v>
      </c>
      <c r="AO2166" s="44">
        <v>0.56427099999999997</v>
      </c>
      <c r="AP2166" s="33">
        <f>IF(ISBLANK(AO2167),"",Short2[[#This Row],[Adj Close]]/AO2167-1)</f>
        <v>-9.346992161096912E-3</v>
      </c>
    </row>
    <row r="2167" spans="1:42" x14ac:dyDescent="0.25">
      <c r="A2167" s="37">
        <v>29927</v>
      </c>
      <c r="B2167" s="39">
        <v>124.93</v>
      </c>
      <c r="C2167" s="36">
        <f>IF(ISBLANK(B2168), "", GSPC[[#This Row],[Adj Close]]/B2168-1)</f>
        <v>-1.0533834776907391E-2</v>
      </c>
      <c r="D216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6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67" s="11" t="e">
        <f>IF(ISBLANK(GSPC[[#This Row],[Long Exp.]]), "", (GSPC[[#This Row],[Long Exp.]]/D2168-1)+(E2168/GSPC[[#This Row],[Short Exp.]]-1))</f>
        <v>#VALUE!</v>
      </c>
      <c r="G2167" s="37">
        <v>29927</v>
      </c>
      <c r="H2167">
        <v>1.7016260000000001</v>
      </c>
      <c r="I2167" s="36">
        <f>IF(ISBLANK(H2168), "", Long0[[#This Row],[Adj Close]]/H2168-1)</f>
        <v>-4.0983574220346042E-2</v>
      </c>
      <c r="P2167" s="29">
        <v>29927</v>
      </c>
      <c r="Q2167">
        <v>0.53752500000000003</v>
      </c>
      <c r="R2167" s="33">
        <f>IF(ISBLANK(Q2168),"",Long3[[#This Row],[Adj Close]]/Q2168-1)</f>
        <v>-2.1429247618770186E-2</v>
      </c>
      <c r="AN2167" s="29">
        <v>29927</v>
      </c>
      <c r="AO2167" s="44">
        <v>0.56959499999999996</v>
      </c>
      <c r="AP2167" s="33">
        <f>IF(ISBLANK(AO2168),"",Short2[[#This Row],[Adj Close]]/AO2168-1)</f>
        <v>-5.3097492248996403E-2</v>
      </c>
    </row>
    <row r="2168" spans="1:42" x14ac:dyDescent="0.25">
      <c r="A2168" s="37">
        <v>29920</v>
      </c>
      <c r="B2168" s="39">
        <v>126.260002</v>
      </c>
      <c r="C2168" s="36">
        <f>IF(ISBLANK(B2169), "", GSPC[[#This Row],[Adj Close]]/B2169-1)</f>
        <v>9.3533139132884191E-3</v>
      </c>
      <c r="D216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6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68" s="11" t="e">
        <f>IF(ISBLANK(GSPC[[#This Row],[Long Exp.]]), "", (GSPC[[#This Row],[Long Exp.]]/D2169-1)+(E2169/GSPC[[#This Row],[Short Exp.]]-1))</f>
        <v>#VALUE!</v>
      </c>
      <c r="G2168" s="37">
        <v>29920</v>
      </c>
      <c r="H2168">
        <v>1.7743450000000001</v>
      </c>
      <c r="I2168" s="36">
        <f>IF(ISBLANK(H2169), "", Long0[[#This Row],[Adj Close]]/H2169-1)</f>
        <v>7.9645818463708329E-2</v>
      </c>
      <c r="P2168" s="29">
        <v>29920</v>
      </c>
      <c r="Q2168">
        <v>0.54929600000000001</v>
      </c>
      <c r="R2168" s="33">
        <f>IF(ISBLANK(Q2169),"",Long3[[#This Row],[Adj Close]]/Q2169-1)</f>
        <v>-4.1095459965051151E-2</v>
      </c>
      <c r="AN2168" s="29">
        <v>29920</v>
      </c>
      <c r="AO2168" s="44">
        <v>0.60153500000000004</v>
      </c>
      <c r="AP2168" s="33">
        <f>IF(ISBLANK(AO2169),"",Short2[[#This Row],[Adj Close]]/AO2169-1)</f>
        <v>2.727280489783368E-2</v>
      </c>
    </row>
    <row r="2169" spans="1:42" x14ac:dyDescent="0.25">
      <c r="A2169" s="37">
        <v>29913</v>
      </c>
      <c r="B2169" s="39">
        <v>125.089996</v>
      </c>
      <c r="C2169" s="36">
        <f>IF(ISBLANK(B2170), "", GSPC[[#This Row],[Adj Close]]/B2170-1)</f>
        <v>2.7770906480740321E-2</v>
      </c>
      <c r="D216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6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69" s="11" t="e">
        <f>IF(ISBLANK(GSPC[[#This Row],[Long Exp.]]), "", (GSPC[[#This Row],[Long Exp.]]/D2170-1)+(E2170/GSPC[[#This Row],[Short Exp.]]-1))</f>
        <v>#VALUE!</v>
      </c>
      <c r="G2169" s="37">
        <v>29913</v>
      </c>
      <c r="H2169">
        <v>1.643451</v>
      </c>
      <c r="I2169" s="36">
        <f>IF(ISBLANK(H2170), "", Long0[[#This Row],[Adj Close]]/H2170-1)</f>
        <v>-0.16911734222870256</v>
      </c>
      <c r="P2169" s="29">
        <v>29913</v>
      </c>
      <c r="Q2169">
        <v>0.57283700000000004</v>
      </c>
      <c r="R2169" s="33">
        <f>IF(ISBLANK(Q2170),"",Long3[[#This Row],[Adj Close]]/Q2170-1)</f>
        <v>2.8168710725971602E-2</v>
      </c>
      <c r="AN2169" s="29">
        <v>29913</v>
      </c>
      <c r="AO2169" s="44">
        <v>0.585565</v>
      </c>
      <c r="AP2169" s="33">
        <f>IF(ISBLANK(AO2170),"",Short2[[#This Row],[Adj Close]]/AO2170-1)</f>
        <v>5.7692481372770388E-2</v>
      </c>
    </row>
    <row r="2170" spans="1:42" x14ac:dyDescent="0.25">
      <c r="A2170" s="37">
        <v>29906</v>
      </c>
      <c r="B2170" s="39">
        <v>121.709999</v>
      </c>
      <c r="C2170" s="36">
        <f>IF(ISBLANK(B2171), "", GSPC[[#This Row],[Adj Close]]/B2171-1)</f>
        <v>3.2876634057310561E-4</v>
      </c>
      <c r="D217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7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70" s="11" t="e">
        <f>IF(ISBLANK(GSPC[[#This Row],[Long Exp.]]), "", (GSPC[[#This Row],[Long Exp.]]/D2171-1)+(E2171/GSPC[[#This Row],[Short Exp.]]-1))</f>
        <v>#VALUE!</v>
      </c>
      <c r="G2170" s="37">
        <v>29906</v>
      </c>
      <c r="H2170">
        <v>1.9779580000000001</v>
      </c>
      <c r="I2170" s="36">
        <f>IF(ISBLANK(H2171), "", Long0[[#This Row],[Adj Close]]/H2171-1)</f>
        <v>-0.37037062974460311</v>
      </c>
      <c r="P2170" s="29">
        <v>29906</v>
      </c>
      <c r="Q2170">
        <v>0.55714300000000005</v>
      </c>
      <c r="R2170" s="33">
        <f>IF(ISBLANK(Q2171),"",Long3[[#This Row],[Adj Close]]/Q2171-1)</f>
        <v>7.0930318734534481E-3</v>
      </c>
      <c r="AN2170" s="29">
        <v>29906</v>
      </c>
      <c r="AO2170" s="44">
        <v>0.55362500000000003</v>
      </c>
      <c r="AP2170" s="33">
        <f>IF(ISBLANK(AO2171),"",Short2[[#This Row],[Adj Close]]/AO2171-1)</f>
        <v>-5.454560979566736E-2</v>
      </c>
    </row>
    <row r="2171" spans="1:42" x14ac:dyDescent="0.25">
      <c r="A2171" s="37">
        <v>29899</v>
      </c>
      <c r="B2171" s="39">
        <v>121.66999800000001</v>
      </c>
      <c r="C2171" s="36">
        <f>IF(ISBLANK(B2172), "", GSPC[[#This Row],[Adj Close]]/B2172-1)</f>
        <v>-8.1519525255067116E-3</v>
      </c>
      <c r="D217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7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71" s="11" t="e">
        <f>IF(ISBLANK(GSPC[[#This Row],[Long Exp.]]), "", (GSPC[[#This Row],[Long Exp.]]/D2172-1)+(E2172/GSPC[[#This Row],[Short Exp.]]-1))</f>
        <v>#VALUE!</v>
      </c>
      <c r="G2171" s="37">
        <v>29899</v>
      </c>
      <c r="H2171">
        <v>3.141464</v>
      </c>
      <c r="I2171" s="36">
        <f>IF(ISBLANK(H2172), "", Long0[[#This Row],[Adj Close]]/H2172-1)</f>
        <v>-3.5714132237138152E-2</v>
      </c>
      <c r="P2171" s="29">
        <v>29899</v>
      </c>
      <c r="Q2171">
        <v>0.55321900000000002</v>
      </c>
      <c r="R2171" s="33">
        <f>IF(ISBLANK(Q2172),"",Long3[[#This Row],[Adj Close]]/Q2172-1)</f>
        <v>4.44439829481309E-2</v>
      </c>
      <c r="AN2171" s="29">
        <v>29899</v>
      </c>
      <c r="AO2171" s="44">
        <v>0.585565</v>
      </c>
      <c r="AP2171" s="33">
        <f>IF(ISBLANK(AO2172),"",Short2[[#This Row],[Adj Close]]/AO2172-1)</f>
        <v>1.8519162732772321E-2</v>
      </c>
    </row>
    <row r="2172" spans="1:42" x14ac:dyDescent="0.25">
      <c r="A2172" s="37">
        <v>29892</v>
      </c>
      <c r="B2172" s="39">
        <v>122.66999800000001</v>
      </c>
      <c r="C2172" s="36">
        <f>IF(ISBLANK(B2173), "", GSPC[[#This Row],[Adj Close]]/B2173-1)</f>
        <v>6.3992042530085502E-3</v>
      </c>
      <c r="D217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7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72" s="11" t="e">
        <f>IF(ISBLANK(GSPC[[#This Row],[Long Exp.]]), "", (GSPC[[#This Row],[Long Exp.]]/D2173-1)+(E2173/GSPC[[#This Row],[Short Exp.]]-1))</f>
        <v>#VALUE!</v>
      </c>
      <c r="G2172" s="37">
        <v>29892</v>
      </c>
      <c r="H2172">
        <v>3.2578140000000002</v>
      </c>
      <c r="I2172" s="36">
        <f>IF(ISBLANK(H2173), "", Long0[[#This Row],[Adj Close]]/H2173-1)</f>
        <v>0.29479797732901081</v>
      </c>
      <c r="P2172" s="29">
        <v>29892</v>
      </c>
      <c r="Q2172">
        <v>0.52967799999999998</v>
      </c>
      <c r="R2172" s="33">
        <f>IF(ISBLANK(Q2173),"",Long3[[#This Row],[Adj Close]]/Q2173-1)</f>
        <v>4.6511122482647993E-2</v>
      </c>
      <c r="AN2172" s="29">
        <v>29892</v>
      </c>
      <c r="AO2172" s="44">
        <v>0.57491800000000004</v>
      </c>
      <c r="AP2172" s="33">
        <f>IF(ISBLANK(AO2173),"",Short2[[#This Row],[Adj Close]]/AO2173-1)</f>
        <v>0.14893523477593584</v>
      </c>
    </row>
    <row r="2173" spans="1:42" x14ac:dyDescent="0.25">
      <c r="A2173" s="37">
        <v>29885</v>
      </c>
      <c r="B2173" s="39">
        <v>121.889999</v>
      </c>
      <c r="C2173" s="36">
        <f>IF(ISBLANK(B2174), "", GSPC[[#This Row],[Adj Close]]/B2174-1)</f>
        <v>2.7740312440814652E-2</v>
      </c>
      <c r="D217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7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73" s="11" t="e">
        <f>IF(ISBLANK(GSPC[[#This Row],[Long Exp.]]), "", (GSPC[[#This Row],[Long Exp.]]/D2174-1)+(E2174/GSPC[[#This Row],[Short Exp.]]-1))</f>
        <v>#VALUE!</v>
      </c>
      <c r="G2173" s="37">
        <v>29885</v>
      </c>
      <c r="H2173">
        <v>2.516079</v>
      </c>
      <c r="I2173" s="36">
        <f>IF(ISBLANK(H2174), "", Long0[[#This Row],[Adj Close]]/H2174-1)</f>
        <v>6.1349651845218123E-2</v>
      </c>
      <c r="P2173" s="29">
        <v>29885</v>
      </c>
      <c r="Q2173">
        <v>0.50613699999999995</v>
      </c>
      <c r="R2173" s="33">
        <f>IF(ISBLANK(Q2174),"",Long3[[#This Row],[Adj Close]]/Q2174-1)</f>
        <v>7.811411071773966E-3</v>
      </c>
      <c r="AN2173" s="29">
        <v>29885</v>
      </c>
      <c r="AO2173" s="44">
        <v>0.50039199999999995</v>
      </c>
      <c r="AP2173" s="33">
        <f>IF(ISBLANK(AO2174),"",Short2[[#This Row],[Adj Close]]/AO2174-1)</f>
        <v>-1.0525691347893718E-2</v>
      </c>
    </row>
    <row r="2174" spans="1:42" x14ac:dyDescent="0.25">
      <c r="A2174" s="37">
        <v>29878</v>
      </c>
      <c r="B2174" s="39">
        <v>118.599998</v>
      </c>
      <c r="C2174" s="36">
        <f>IF(ISBLANK(B2175), "", GSPC[[#This Row],[Adj Close]]/B2175-1)</f>
        <v>-4.9501131814730925E-3</v>
      </c>
      <c r="D217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7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74" s="11" t="e">
        <f>IF(ISBLANK(GSPC[[#This Row],[Long Exp.]]), "", (GSPC[[#This Row],[Long Exp.]]/D2175-1)+(E2175/GSPC[[#This Row],[Short Exp.]]-1))</f>
        <v>#VALUE!</v>
      </c>
      <c r="G2174" s="37">
        <v>29878</v>
      </c>
      <c r="H2174">
        <v>2.370641</v>
      </c>
      <c r="I2174" s="36">
        <f>IF(ISBLANK(H2175), "", Long0[[#This Row],[Adj Close]]/H2175-1)</f>
        <v>-0.10439479692070674</v>
      </c>
      <c r="P2174" s="29">
        <v>29878</v>
      </c>
      <c r="Q2174">
        <v>0.50221400000000005</v>
      </c>
      <c r="R2174" s="33">
        <f>IF(ISBLANK(Q2175),"",Long3[[#This Row],[Adj Close]]/Q2175-1)</f>
        <v>0</v>
      </c>
      <c r="AN2174" s="29">
        <v>29878</v>
      </c>
      <c r="AO2174" s="44">
        <v>0.50571500000000003</v>
      </c>
      <c r="AP2174" s="33">
        <f>IF(ISBLANK(AO2175),"",Short2[[#This Row],[Adj Close]]/AO2175-1)</f>
        <v>-4.0405382071273754E-2</v>
      </c>
    </row>
    <row r="2175" spans="1:42" x14ac:dyDescent="0.25">
      <c r="A2175" s="37">
        <v>29871</v>
      </c>
      <c r="B2175" s="39">
        <v>119.19000200000001</v>
      </c>
      <c r="C2175" s="36">
        <f>IF(ISBLANK(B2176), "", GSPC[[#This Row],[Adj Close]]/B2176-1)</f>
        <v>-1.8608440146770766E-2</v>
      </c>
      <c r="D217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7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75" s="11" t="e">
        <f>IF(ISBLANK(GSPC[[#This Row],[Long Exp.]]), "", (GSPC[[#This Row],[Long Exp.]]/D2176-1)+(E2176/GSPC[[#This Row],[Short Exp.]]-1))</f>
        <v>#VALUE!</v>
      </c>
      <c r="G2175" s="37">
        <v>29871</v>
      </c>
      <c r="H2175">
        <v>2.6469710000000002</v>
      </c>
      <c r="I2175" s="36">
        <f>IF(ISBLANK(H2176), "", Long0[[#This Row],[Adj Close]]/H2176-1)</f>
        <v>0.30935105535741658</v>
      </c>
      <c r="P2175" s="29">
        <v>29871</v>
      </c>
      <c r="Q2175">
        <v>0.50221400000000005</v>
      </c>
      <c r="R2175" s="33">
        <f>IF(ISBLANK(Q2176),"",Long3[[#This Row],[Adj Close]]/Q2176-1)</f>
        <v>1.5874878126732161E-2</v>
      </c>
      <c r="AN2175" s="29">
        <v>29871</v>
      </c>
      <c r="AO2175" s="44">
        <v>0.52700899999999995</v>
      </c>
      <c r="AP2175" s="33">
        <f>IF(ISBLANK(AO2176),"",Short2[[#This Row],[Adj Close]]/AO2176-1)</f>
        <v>-0.1081067816574377</v>
      </c>
    </row>
    <row r="2176" spans="1:42" x14ac:dyDescent="0.25">
      <c r="A2176" s="37">
        <v>29864</v>
      </c>
      <c r="B2176" s="39">
        <v>121.449997</v>
      </c>
      <c r="C2176" s="36">
        <f>IF(ISBLANK(B2177), "", GSPC[[#This Row],[Adj Close]]/B2177-1)</f>
        <v>1.7510019960539358E-2</v>
      </c>
      <c r="D217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7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76" s="11" t="e">
        <f>IF(ISBLANK(GSPC[[#This Row],[Long Exp.]]), "", (GSPC[[#This Row],[Long Exp.]]/D2177-1)+(E2177/GSPC[[#This Row],[Short Exp.]]-1))</f>
        <v>#VALUE!</v>
      </c>
      <c r="G2176" s="37">
        <v>29864</v>
      </c>
      <c r="H2176">
        <v>2.0215900000000002</v>
      </c>
      <c r="I2176" s="36">
        <f>IF(ISBLANK(H2177), "", Long0[[#This Row],[Adj Close]]/H2177-1)</f>
        <v>4.5113388332680415E-2</v>
      </c>
      <c r="P2176" s="29">
        <v>29864</v>
      </c>
      <c r="Q2176">
        <v>0.49436600000000003</v>
      </c>
      <c r="R2176" s="33">
        <f>IF(ISBLANK(Q2177),"",Long3[[#This Row],[Adj Close]]/Q2177-1)</f>
        <v>3.2786542768325821E-2</v>
      </c>
      <c r="AN2176" s="29">
        <v>29864</v>
      </c>
      <c r="AO2176" s="44">
        <v>0.59088799999999997</v>
      </c>
      <c r="AP2176" s="33">
        <f>IF(ISBLANK(AO2177),"",Short2[[#This Row],[Adj Close]]/AO2177-1)</f>
        <v>0.13265284606611272</v>
      </c>
    </row>
    <row r="2177" spans="1:42" x14ac:dyDescent="0.25">
      <c r="A2177" s="37">
        <v>29857</v>
      </c>
      <c r="B2177" s="39">
        <v>119.360001</v>
      </c>
      <c r="C2177" s="36">
        <f>IF(ISBLANK(B2178), "", GSPC[[#This Row],[Adj Close]]/B2178-1)</f>
        <v>5.8437564736301129E-2</v>
      </c>
      <c r="D217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7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77" s="11" t="e">
        <f>IF(ISBLANK(GSPC[[#This Row],[Long Exp.]]), "", (GSPC[[#This Row],[Long Exp.]]/D2178-1)+(E2178/GSPC[[#This Row],[Short Exp.]]-1))</f>
        <v>#VALUE!</v>
      </c>
      <c r="G2177" s="37">
        <v>29857</v>
      </c>
      <c r="H2177">
        <v>1.934326</v>
      </c>
      <c r="I2177" s="36">
        <f>IF(ISBLANK(H2178), "", Long0[[#This Row],[Adj Close]]/H2178-1)</f>
        <v>0.12711794286113842</v>
      </c>
      <c r="P2177" s="29">
        <v>29857</v>
      </c>
      <c r="Q2177">
        <v>0.47867199999999999</v>
      </c>
      <c r="R2177" s="33">
        <f>IF(ISBLANK(Q2178),"",Long3[[#This Row],[Adj Close]]/Q2178-1)</f>
        <v>-3.1745710667804961E-2</v>
      </c>
      <c r="AN2177" s="29">
        <v>29857</v>
      </c>
      <c r="AO2177" s="44">
        <v>0.52168499999999995</v>
      </c>
      <c r="AP2177" s="33">
        <f>IF(ISBLANK(AO2178),"",Short2[[#This Row],[Adj Close]]/AO2178-1)</f>
        <v>5.3762202844451989E-2</v>
      </c>
    </row>
    <row r="2178" spans="1:42" x14ac:dyDescent="0.25">
      <c r="A2178" s="37">
        <v>29850</v>
      </c>
      <c r="B2178" s="39">
        <v>112.769997</v>
      </c>
      <c r="C2178" s="36">
        <f>IF(ISBLANK(B2179), "", GSPC[[#This Row],[Adj Close]]/B2179-1)</f>
        <v>-3.0018965594031166E-2</v>
      </c>
      <c r="D217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7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78" s="11" t="e">
        <f>IF(ISBLANK(GSPC[[#This Row],[Long Exp.]]), "", (GSPC[[#This Row],[Long Exp.]]/D2179-1)+(E2179/GSPC[[#This Row],[Short Exp.]]-1))</f>
        <v>#VALUE!</v>
      </c>
      <c r="G2178" s="37">
        <v>29850</v>
      </c>
      <c r="H2178">
        <v>1.71617</v>
      </c>
      <c r="I2178" s="36">
        <f>IF(ISBLANK(H2179), "", Long0[[#This Row],[Adj Close]]/H2179-1)</f>
        <v>-3.2786746658626242E-2</v>
      </c>
      <c r="P2178" s="29">
        <v>29850</v>
      </c>
      <c r="Q2178">
        <v>0.49436600000000003</v>
      </c>
      <c r="R2178" s="33">
        <f>IF(ISBLANK(Q2179),"",Long3[[#This Row],[Adj Close]]/Q2179-1)</f>
        <v>-7.8749322683577816E-3</v>
      </c>
      <c r="AN2178" s="29">
        <v>29850</v>
      </c>
      <c r="AO2178" s="44">
        <v>0.49506899999999998</v>
      </c>
      <c r="AP2178" s="33">
        <f>IF(ISBLANK(AO2179),"",Short2[[#This Row],[Adj Close]]/AO2179-1)</f>
        <v>-0.12263965364160123</v>
      </c>
    </row>
    <row r="2179" spans="1:42" x14ac:dyDescent="0.25">
      <c r="A2179" s="37">
        <v>29843</v>
      </c>
      <c r="B2179" s="39">
        <v>116.260002</v>
      </c>
      <c r="C2179" s="36">
        <f>IF(ISBLANK(B2180), "", GSPC[[#This Row],[Adj Close]]/B2180-1)</f>
        <v>-4.3993084088536416E-2</v>
      </c>
      <c r="D217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7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79" s="11" t="e">
        <f>IF(ISBLANK(GSPC[[#This Row],[Long Exp.]]), "", (GSPC[[#This Row],[Long Exp.]]/D2180-1)+(E2180/GSPC[[#This Row],[Short Exp.]]-1))</f>
        <v>#VALUE!</v>
      </c>
      <c r="G2179" s="37">
        <v>29843</v>
      </c>
      <c r="H2179">
        <v>1.7743450000000001</v>
      </c>
      <c r="I2179" s="36">
        <f>IF(ISBLANK(H2180), "", Long0[[#This Row],[Adj Close]]/H2180-1)</f>
        <v>0</v>
      </c>
      <c r="P2179" s="29">
        <v>29843</v>
      </c>
      <c r="Q2179">
        <v>0.49829000000000001</v>
      </c>
      <c r="R2179" s="33">
        <f>IF(ISBLANK(Q2180),"",Long3[[#This Row],[Adj Close]]/Q2180-1)</f>
        <v>-7.8134022548157489E-3</v>
      </c>
      <c r="AN2179" s="29">
        <v>29843</v>
      </c>
      <c r="AO2179" s="44">
        <v>0.56427099999999997</v>
      </c>
      <c r="AP2179" s="33">
        <f>IF(ISBLANK(AO2180),"",Short2[[#This Row],[Adj Close]]/AO2180-1)</f>
        <v>-3.6364878365339526E-2</v>
      </c>
    </row>
    <row r="2180" spans="1:42" x14ac:dyDescent="0.25">
      <c r="A2180" s="37">
        <v>29836</v>
      </c>
      <c r="B2180" s="39">
        <v>121.610001</v>
      </c>
      <c r="C2180" s="36">
        <f>IF(ISBLANK(B2181), "", GSPC[[#This Row],[Adj Close]]/B2181-1)</f>
        <v>1.2825859915049476E-2</v>
      </c>
      <c r="D218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8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80" s="11" t="e">
        <f>IF(ISBLANK(GSPC[[#This Row],[Long Exp.]]), "", (GSPC[[#This Row],[Long Exp.]]/D2181-1)+(E2181/GSPC[[#This Row],[Short Exp.]]-1))</f>
        <v>#VALUE!</v>
      </c>
      <c r="G2180" s="37">
        <v>29836</v>
      </c>
      <c r="H2180">
        <v>1.7743450000000001</v>
      </c>
      <c r="I2180" s="36">
        <f>IF(ISBLANK(H2181), "", Long0[[#This Row],[Adj Close]]/H2181-1)</f>
        <v>1.6666886309580686E-2</v>
      </c>
      <c r="P2180" s="29">
        <v>29836</v>
      </c>
      <c r="Q2180">
        <v>0.50221400000000005</v>
      </c>
      <c r="R2180" s="33">
        <f>IF(ISBLANK(Q2181),"",Long3[[#This Row],[Adj Close]]/Q2181-1)</f>
        <v>-7.7508658722833523E-3</v>
      </c>
      <c r="AN2180" s="29">
        <v>29836</v>
      </c>
      <c r="AO2180" s="44">
        <v>0.585565</v>
      </c>
      <c r="AP2180" s="33">
        <f>IF(ISBLANK(AO2181),"",Short2[[#This Row],[Adj Close]]/AO2181-1)</f>
        <v>-1.7856094570546377E-2</v>
      </c>
    </row>
    <row r="2181" spans="1:42" x14ac:dyDescent="0.25">
      <c r="A2181" s="37">
        <v>29829</v>
      </c>
      <c r="B2181" s="39">
        <v>120.07</v>
      </c>
      <c r="C2181" s="36">
        <f>IF(ISBLANK(B2182), "", GSPC[[#This Row],[Adj Close]]/B2182-1)</f>
        <v>-3.2317875043232136E-2</v>
      </c>
      <c r="D218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8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81" s="11" t="e">
        <f>IF(ISBLANK(GSPC[[#This Row],[Long Exp.]]), "", (GSPC[[#This Row],[Long Exp.]]/D2182-1)+(E2182/GSPC[[#This Row],[Short Exp.]]-1))</f>
        <v>#VALUE!</v>
      </c>
      <c r="G2181" s="37">
        <v>29829</v>
      </c>
      <c r="H2181">
        <v>1.7452570000000001</v>
      </c>
      <c r="I2181" s="36">
        <f>IF(ISBLANK(H2182), "", Long0[[#This Row],[Adj Close]]/H2182-1)</f>
        <v>-0.10447792593763261</v>
      </c>
      <c r="P2181" s="29">
        <v>29829</v>
      </c>
      <c r="Q2181">
        <v>0.50613699999999995</v>
      </c>
      <c r="R2181" s="33">
        <f>IF(ISBLANK(Q2182),"",Long3[[#This Row],[Adj Close]]/Q2182-1)</f>
        <v>-3.007487098313455E-2</v>
      </c>
      <c r="AN2181" s="29">
        <v>29829</v>
      </c>
      <c r="AO2181" s="44">
        <v>0.59621100000000005</v>
      </c>
      <c r="AP2181" s="33">
        <f>IF(ISBLANK(AO2182),"",Short2[[#This Row],[Adj Close]]/AO2182-1)</f>
        <v>1.8180731430327945E-2</v>
      </c>
    </row>
    <row r="2182" spans="1:42" x14ac:dyDescent="0.25">
      <c r="A2182" s="37">
        <v>29822</v>
      </c>
      <c r="B2182" s="39">
        <v>124.08000199999999</v>
      </c>
      <c r="C2182" s="36">
        <f>IF(ISBLANK(B2183), "", GSPC[[#This Row],[Adj Close]]/B2183-1)</f>
        <v>-3.9851382491724374E-2</v>
      </c>
      <c r="D218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8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82" s="11" t="e">
        <f>IF(ISBLANK(GSPC[[#This Row],[Long Exp.]]), "", (GSPC[[#This Row],[Long Exp.]]/D2183-1)+(E2183/GSPC[[#This Row],[Short Exp.]]-1))</f>
        <v>#VALUE!</v>
      </c>
      <c r="G2182" s="37">
        <v>29822</v>
      </c>
      <c r="H2182">
        <v>1.948871</v>
      </c>
      <c r="I2182" s="36">
        <f>IF(ISBLANK(H2183), "", Long0[[#This Row],[Adj Close]]/H2183-1)</f>
        <v>4.6875067146252114E-2</v>
      </c>
      <c r="P2182" s="29">
        <v>29822</v>
      </c>
      <c r="Q2182">
        <v>0.52183100000000004</v>
      </c>
      <c r="R2182" s="33">
        <f>IF(ISBLANK(Q2183),"",Long3[[#This Row],[Adj Close]]/Q2183-1)</f>
        <v>-2.2059512520567703E-2</v>
      </c>
      <c r="AN2182" s="29">
        <v>29822</v>
      </c>
      <c r="AO2182" s="44">
        <v>0.585565</v>
      </c>
      <c r="AP2182" s="33">
        <f>IF(ISBLANK(AO2183),"",Short2[[#This Row],[Adj Close]]/AO2183-1)</f>
        <v>-7.5630451083310346E-2</v>
      </c>
    </row>
    <row r="2183" spans="1:42" x14ac:dyDescent="0.25">
      <c r="A2183" s="37">
        <v>29815</v>
      </c>
      <c r="B2183" s="39">
        <v>129.229996</v>
      </c>
      <c r="C2183" s="36">
        <f>IF(ISBLANK(B2184), "", GSPC[[#This Row],[Adj Close]]/B2184-1)</f>
        <v>-2.4605697614699329E-2</v>
      </c>
      <c r="D218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8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83" s="11" t="e">
        <f>IF(ISBLANK(GSPC[[#This Row],[Long Exp.]]), "", (GSPC[[#This Row],[Long Exp.]]/D2184-1)+(E2184/GSPC[[#This Row],[Short Exp.]]-1))</f>
        <v>#VALUE!</v>
      </c>
      <c r="G2183" s="37">
        <v>29815</v>
      </c>
      <c r="H2183">
        <v>1.8616079999999999</v>
      </c>
      <c r="I2183" s="36">
        <f>IF(ISBLANK(H2184), "", Long0[[#This Row],[Adj Close]]/H2184-1)</f>
        <v>-3.0302904026132116E-2</v>
      </c>
      <c r="P2183" s="29">
        <v>29815</v>
      </c>
      <c r="Q2183">
        <v>0.53360200000000002</v>
      </c>
      <c r="R2183" s="33">
        <f>IF(ISBLANK(Q2184),"",Long3[[#This Row],[Adj Close]]/Q2184-1)</f>
        <v>1.4925202803587334E-2</v>
      </c>
      <c r="AN2183" s="29">
        <v>29815</v>
      </c>
      <c r="AO2183" s="44">
        <v>0.63347500000000001</v>
      </c>
      <c r="AP2183" s="33">
        <f>IF(ISBLANK(AO2184),"",Short2[[#This Row],[Adj Close]]/AO2184-1)</f>
        <v>-7.7520463544237805E-2</v>
      </c>
    </row>
    <row r="2184" spans="1:42" x14ac:dyDescent="0.25">
      <c r="A2184" s="37">
        <v>29808</v>
      </c>
      <c r="B2184" s="39">
        <v>132.490005</v>
      </c>
      <c r="C2184" s="36">
        <f>IF(ISBLANK(B2185), "", GSPC[[#This Row],[Adj Close]]/B2185-1)</f>
        <v>5.6167362428842793E-3</v>
      </c>
      <c r="D218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8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84" s="11" t="e">
        <f>IF(ISBLANK(GSPC[[#This Row],[Long Exp.]]), "", (GSPC[[#This Row],[Long Exp.]]/D2185-1)+(E2185/GSPC[[#This Row],[Short Exp.]]-1))</f>
        <v>#VALUE!</v>
      </c>
      <c r="G2184" s="37">
        <v>29808</v>
      </c>
      <c r="H2184">
        <v>1.919783</v>
      </c>
      <c r="I2184" s="36">
        <f>IF(ISBLANK(H2185), "", Long0[[#This Row],[Adj Close]]/H2185-1)</f>
        <v>-7.042293758249718E-2</v>
      </c>
      <c r="P2184" s="29">
        <v>29808</v>
      </c>
      <c r="Q2184">
        <v>0.52575499999999997</v>
      </c>
      <c r="R2184" s="33">
        <f>IF(ISBLANK(Q2185),"",Long3[[#This Row],[Adj Close]]/Q2185-1)</f>
        <v>7.5196759103999256E-3</v>
      </c>
      <c r="AN2184" s="29">
        <v>29808</v>
      </c>
      <c r="AO2184" s="44">
        <v>0.68670900000000001</v>
      </c>
      <c r="AP2184" s="33">
        <f>IF(ISBLANK(AO2185),"",Short2[[#This Row],[Adj Close]]/AO2185-1)</f>
        <v>8.4034886933185948E-2</v>
      </c>
    </row>
    <row r="2185" spans="1:42" x14ac:dyDescent="0.25">
      <c r="A2185" s="37">
        <v>29801</v>
      </c>
      <c r="B2185" s="39">
        <v>131.75</v>
      </c>
      <c r="C2185" s="36">
        <f>IF(ISBLANK(B2186), "", GSPC[[#This Row],[Adj Close]]/B2186-1)</f>
        <v>6.3397648386764871E-3</v>
      </c>
      <c r="D218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8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85" s="11" t="e">
        <f>IF(ISBLANK(GSPC[[#This Row],[Long Exp.]]), "", (GSPC[[#This Row],[Long Exp.]]/D2186-1)+(E2186/GSPC[[#This Row],[Short Exp.]]-1))</f>
        <v>#VALUE!</v>
      </c>
      <c r="G2185" s="37">
        <v>29801</v>
      </c>
      <c r="H2185">
        <v>2.0652219999999999</v>
      </c>
      <c r="I2185" s="36">
        <f>IF(ISBLANK(H2186), "", Long0[[#This Row],[Adj Close]]/H2186-1)</f>
        <v>0.20339010704067784</v>
      </c>
      <c r="P2185" s="29">
        <v>29801</v>
      </c>
      <c r="Q2185">
        <v>0.52183100000000004</v>
      </c>
      <c r="R2185" s="33">
        <f>IF(ISBLANK(Q2186),"",Long3[[#This Row],[Adj Close]]/Q2186-1)</f>
        <v>-1.4814660982710115E-2</v>
      </c>
      <c r="AN2185" s="29">
        <v>29801</v>
      </c>
      <c r="AO2185" s="44">
        <v>0.63347500000000001</v>
      </c>
      <c r="AP2185" s="33">
        <f>IF(ISBLANK(AO2186),"",Short2[[#This Row],[Adj Close]]/AO2186-1)</f>
        <v>-8.4614706566613296E-2</v>
      </c>
    </row>
    <row r="2186" spans="1:42" x14ac:dyDescent="0.25">
      <c r="A2186" s="37">
        <v>29794</v>
      </c>
      <c r="B2186" s="39">
        <v>130.91999799999999</v>
      </c>
      <c r="C2186" s="36">
        <f>IF(ISBLANK(B2187), "", GSPC[[#This Row],[Adj Close]]/B2187-1)</f>
        <v>1.9149858835053601E-2</v>
      </c>
      <c r="D218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8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86" s="11" t="e">
        <f>IF(ISBLANK(GSPC[[#This Row],[Long Exp.]]), "", (GSPC[[#This Row],[Long Exp.]]/D2187-1)+(E2187/GSPC[[#This Row],[Short Exp.]]-1))</f>
        <v>#VALUE!</v>
      </c>
      <c r="G2186" s="37">
        <v>29794</v>
      </c>
      <c r="H2186">
        <v>1.71617</v>
      </c>
      <c r="I2186" s="36">
        <f>IF(ISBLANK(H2187), "", Long0[[#This Row],[Adj Close]]/H2187-1)</f>
        <v>2.6086686169948692E-2</v>
      </c>
      <c r="P2186" s="29">
        <v>29794</v>
      </c>
      <c r="Q2186">
        <v>0.52967799999999998</v>
      </c>
      <c r="R2186" s="33">
        <f>IF(ISBLANK(Q2187),"",Long3[[#This Row],[Adj Close]]/Q2187-1)</f>
        <v>3.053402440542885E-2</v>
      </c>
      <c r="AN2186" s="29">
        <v>29794</v>
      </c>
      <c r="AO2186" s="44">
        <v>0.69203099999999995</v>
      </c>
      <c r="AP2186" s="33">
        <f>IF(ISBLANK(AO2187),"",Short2[[#This Row],[Adj Close]]/AO2187-1)</f>
        <v>5.6910233853822989E-2</v>
      </c>
    </row>
    <row r="2187" spans="1:42" x14ac:dyDescent="0.25">
      <c r="A2187" s="37">
        <v>29787</v>
      </c>
      <c r="B2187" s="39">
        <v>128.46000699999999</v>
      </c>
      <c r="C2187" s="36">
        <f>IF(ISBLANK(B2188), "", GSPC[[#This Row],[Adj Close]]/B2188-1)</f>
        <v>-1.758938580565117E-2</v>
      </c>
      <c r="D218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8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87" s="11" t="e">
        <f>IF(ISBLANK(GSPC[[#This Row],[Long Exp.]]), "", (GSPC[[#This Row],[Long Exp.]]/D2188-1)+(E2188/GSPC[[#This Row],[Short Exp.]]-1))</f>
        <v>#VALUE!</v>
      </c>
      <c r="G2187" s="37">
        <v>29787</v>
      </c>
      <c r="H2187">
        <v>1.672539</v>
      </c>
      <c r="I2187" s="36">
        <f>IF(ISBLANK(H2188), "", Long0[[#This Row],[Adj Close]]/H2188-1)</f>
        <v>-4.1666069810921913E-2</v>
      </c>
      <c r="P2187" s="29">
        <v>29787</v>
      </c>
      <c r="Q2187">
        <v>0.513984</v>
      </c>
      <c r="R2187" s="33">
        <f>IF(ISBLANK(Q2188),"",Long3[[#This Row],[Adj Close]]/Q2188-1)</f>
        <v>-2.9629321965420452E-2</v>
      </c>
      <c r="AN2187" s="29">
        <v>29787</v>
      </c>
      <c r="AO2187" s="44">
        <v>0.65476800000000002</v>
      </c>
      <c r="AP2187" s="33">
        <f>IF(ISBLANK(AO2188),"",Short2[[#This Row],[Adj Close]]/AO2188-1)</f>
        <v>-8.2088924527984442E-2</v>
      </c>
    </row>
    <row r="2188" spans="1:42" x14ac:dyDescent="0.25">
      <c r="A2188" s="37">
        <v>29780</v>
      </c>
      <c r="B2188" s="39">
        <v>130.759995</v>
      </c>
      <c r="C2188" s="36">
        <f>IF(ISBLANK(B2189), "", GSPC[[#This Row],[Adj Close]]/B2189-1)</f>
        <v>1.0744377009522355E-2</v>
      </c>
      <c r="D218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8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88" s="11" t="e">
        <f>IF(ISBLANK(GSPC[[#This Row],[Long Exp.]]), "", (GSPC[[#This Row],[Long Exp.]]/D2189-1)+(E2189/GSPC[[#This Row],[Short Exp.]]-1))</f>
        <v>#VALUE!</v>
      </c>
      <c r="G2188" s="37">
        <v>29780</v>
      </c>
      <c r="H2188">
        <v>1.7452570000000001</v>
      </c>
      <c r="I2188" s="36">
        <f>IF(ISBLANK(H2189), "", Long0[[#This Row],[Adj Close]]/H2189-1)</f>
        <v>0</v>
      </c>
      <c r="P2188" s="29">
        <v>29780</v>
      </c>
      <c r="Q2188">
        <v>0.52967799999999998</v>
      </c>
      <c r="R2188" s="33">
        <f>IF(ISBLANK(Q2189),"",Long3[[#This Row],[Adj Close]]/Q2189-1)</f>
        <v>7.4616503884890051E-3</v>
      </c>
      <c r="AN2188" s="29">
        <v>29780</v>
      </c>
      <c r="AO2188" s="44">
        <v>0.71332399999999996</v>
      </c>
      <c r="AP2188" s="33">
        <f>IF(ISBLANK(AO2189),"",Short2[[#This Row],[Adj Close]]/AO2189-1)</f>
        <v>-2.1899231449550638E-2</v>
      </c>
    </row>
    <row r="2189" spans="1:42" x14ac:dyDescent="0.25">
      <c r="A2189" s="37">
        <v>29773</v>
      </c>
      <c r="B2189" s="39">
        <v>129.36999499999999</v>
      </c>
      <c r="C2189" s="36">
        <f>IF(ISBLANK(B2190), "", GSPC[[#This Row],[Adj Close]]/B2190-1)</f>
        <v>5.6747201933669E-3</v>
      </c>
      <c r="D218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8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89" s="11" t="e">
        <f>IF(ISBLANK(GSPC[[#This Row],[Long Exp.]]), "", (GSPC[[#This Row],[Long Exp.]]/D2190-1)+(E2190/GSPC[[#This Row],[Short Exp.]]-1))</f>
        <v>#VALUE!</v>
      </c>
      <c r="G2189" s="37">
        <v>29773</v>
      </c>
      <c r="H2189">
        <v>1.7452570000000001</v>
      </c>
      <c r="I2189" s="36">
        <f>IF(ISBLANK(H2190), "", Long0[[#This Row],[Adj Close]]/H2190-1)</f>
        <v>-3.2257939306832628E-2</v>
      </c>
      <c r="P2189" s="29">
        <v>29773</v>
      </c>
      <c r="Q2189">
        <v>0.52575499999999997</v>
      </c>
      <c r="R2189" s="33">
        <f>IF(ISBLANK(Q2190),"",Long3[[#This Row],[Adj Close]]/Q2190-1)</f>
        <v>1.515329972369539E-2</v>
      </c>
      <c r="AN2189" s="29">
        <v>29773</v>
      </c>
      <c r="AO2189" s="44">
        <v>0.72929500000000003</v>
      </c>
      <c r="AP2189" s="33">
        <f>IF(ISBLANK(AO2190),"",Short2[[#This Row],[Adj Close]]/AO2190-1)</f>
        <v>-4.1956875284078099E-2</v>
      </c>
    </row>
    <row r="2190" spans="1:42" x14ac:dyDescent="0.25">
      <c r="A2190" s="37">
        <v>29766</v>
      </c>
      <c r="B2190" s="39">
        <v>128.63999899999999</v>
      </c>
      <c r="C2190" s="36">
        <f>IF(ISBLANK(B2191), "", GSPC[[#This Row],[Adj Close]]/B2191-1)</f>
        <v>-2.9571507688164078E-2</v>
      </c>
      <c r="D219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9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90" s="11" t="e">
        <f>IF(ISBLANK(GSPC[[#This Row],[Long Exp.]]), "", (GSPC[[#This Row],[Long Exp.]]/D2191-1)+(E2191/GSPC[[#This Row],[Short Exp.]]-1))</f>
        <v>#VALUE!</v>
      </c>
      <c r="G2190" s="37">
        <v>29766</v>
      </c>
      <c r="H2190">
        <v>1.8034319999999999</v>
      </c>
      <c r="I2190" s="36">
        <f>IF(ISBLANK(H2191), "", Long0[[#This Row],[Adj Close]]/H2191-1)</f>
        <v>1.6393091535186199E-2</v>
      </c>
      <c r="P2190" s="29">
        <v>29766</v>
      </c>
      <c r="Q2190">
        <v>0.51790700000000001</v>
      </c>
      <c r="R2190" s="33">
        <f>IF(ISBLANK(Q2191),"",Long3[[#This Row],[Adj Close]]/Q2191-1)</f>
        <v>-4.347962596661914E-2</v>
      </c>
      <c r="AN2190" s="29">
        <v>29766</v>
      </c>
      <c r="AO2190" s="44">
        <v>0.76123399999999997</v>
      </c>
      <c r="AP2190" s="33">
        <f>IF(ISBLANK(AO2191),"",Short2[[#This Row],[Adj Close]]/AO2191-1)</f>
        <v>-2.721180583953553E-2</v>
      </c>
    </row>
    <row r="2191" spans="1:42" x14ac:dyDescent="0.25">
      <c r="A2191" s="37">
        <v>29759</v>
      </c>
      <c r="B2191" s="39">
        <v>132.55999800000001</v>
      </c>
      <c r="C2191" s="36">
        <f>IF(ISBLANK(B2192), "", GSPC[[#This Row],[Adj Close]]/B2192-1)</f>
        <v>2.1924396403587565E-3</v>
      </c>
      <c r="D219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9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91" s="11" t="e">
        <f>IF(ISBLANK(GSPC[[#This Row],[Long Exp.]]), "", (GSPC[[#This Row],[Long Exp.]]/D2192-1)+(E2192/GSPC[[#This Row],[Short Exp.]]-1))</f>
        <v>#VALUE!</v>
      </c>
      <c r="G2191" s="37">
        <v>29759</v>
      </c>
      <c r="H2191">
        <v>1.7743450000000001</v>
      </c>
      <c r="I2191" s="36">
        <f>IF(ISBLANK(H2192), "", Long0[[#This Row],[Adj Close]]/H2192-1)</f>
        <v>0</v>
      </c>
      <c r="P2191" s="29">
        <v>29759</v>
      </c>
      <c r="Q2191">
        <v>0.54144899999999996</v>
      </c>
      <c r="R2191" s="33">
        <f>IF(ISBLANK(Q2192),"",Long3[[#This Row],[Adj Close]]/Q2192-1)</f>
        <v>-2.1275480415531733E-2</v>
      </c>
      <c r="AN2191" s="29">
        <v>29759</v>
      </c>
      <c r="AO2191" s="44">
        <v>0.782528</v>
      </c>
      <c r="AP2191" s="33">
        <f>IF(ISBLANK(AO2192),"",Short2[[#This Row],[Adj Close]]/AO2192-1)</f>
        <v>-3.2894021336128065E-2</v>
      </c>
    </row>
    <row r="2192" spans="1:42" x14ac:dyDescent="0.25">
      <c r="A2192" s="37">
        <v>29752</v>
      </c>
      <c r="B2192" s="39">
        <v>132.270004</v>
      </c>
      <c r="C2192" s="36">
        <f>IF(ISBLANK(B2193), "", GSPC[[#This Row],[Adj Close]]/B2193-1)</f>
        <v>-9.1392685167701604E-3</v>
      </c>
      <c r="D219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9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92" s="11" t="e">
        <f>IF(ISBLANK(GSPC[[#This Row],[Long Exp.]]), "", (GSPC[[#This Row],[Long Exp.]]/D2193-1)+(E2193/GSPC[[#This Row],[Short Exp.]]-1))</f>
        <v>#VALUE!</v>
      </c>
      <c r="G2192" s="37">
        <v>29752</v>
      </c>
      <c r="H2192">
        <v>1.7743450000000001</v>
      </c>
      <c r="I2192" s="36">
        <f>IF(ISBLANK(H2193), "", Long0[[#This Row],[Adj Close]]/H2193-1)</f>
        <v>-7.5757520511432808E-2</v>
      </c>
      <c r="P2192" s="29">
        <v>29752</v>
      </c>
      <c r="Q2192">
        <v>0.55321900000000002</v>
      </c>
      <c r="R2192" s="33">
        <f>IF(ISBLANK(Q2193),"",Long3[[#This Row],[Adj Close]]/Q2193-1)</f>
        <v>3.6763355459687119E-2</v>
      </c>
      <c r="AN2192" s="29">
        <v>29752</v>
      </c>
      <c r="AO2192" s="44">
        <v>0.80914399999999997</v>
      </c>
      <c r="AP2192" s="33">
        <f>IF(ISBLANK(AO2193),"",Short2[[#This Row],[Adj Close]]/AO2193-1)</f>
        <v>-3.7975947734176674E-2</v>
      </c>
    </row>
    <row r="2193" spans="1:42" x14ac:dyDescent="0.25">
      <c r="A2193" s="37">
        <v>29745</v>
      </c>
      <c r="B2193" s="39">
        <v>133.490005</v>
      </c>
      <c r="C2193" s="36">
        <f>IF(ISBLANK(B2194), "", GSPC[[#This Row],[Adj Close]]/B2194-1)</f>
        <v>9.6052336287608675E-3</v>
      </c>
      <c r="D219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9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93" s="11" t="e">
        <f>IF(ISBLANK(GSPC[[#This Row],[Long Exp.]]), "", (GSPC[[#This Row],[Long Exp.]]/D2194-1)+(E2194/GSPC[[#This Row],[Short Exp.]]-1))</f>
        <v>#VALUE!</v>
      </c>
      <c r="G2193" s="37">
        <v>29745</v>
      </c>
      <c r="H2193">
        <v>1.919783</v>
      </c>
      <c r="I2193" s="36">
        <f>IF(ISBLANK(H2194), "", Long0[[#This Row],[Adj Close]]/H2194-1)</f>
        <v>0.15789502253928545</v>
      </c>
      <c r="P2193" s="29">
        <v>29745</v>
      </c>
      <c r="Q2193">
        <v>0.53360200000000002</v>
      </c>
      <c r="R2193" s="33">
        <f>IF(ISBLANK(Q2194),"",Long3[[#This Row],[Adj Close]]/Q2194-1)</f>
        <v>3.0304668598802431E-2</v>
      </c>
      <c r="AN2193" s="29">
        <v>29745</v>
      </c>
      <c r="AO2193" s="44">
        <v>0.84108499999999997</v>
      </c>
      <c r="AP2193" s="33">
        <f>IF(ISBLANK(AO2194),"",Short2[[#This Row],[Adj Close]]/AO2194-1)</f>
        <v>6.3702422103926182E-3</v>
      </c>
    </row>
    <row r="2194" spans="1:42" x14ac:dyDescent="0.25">
      <c r="A2194" s="37">
        <v>29738</v>
      </c>
      <c r="B2194" s="39">
        <v>132.220001</v>
      </c>
      <c r="C2194" s="36">
        <f>IF(ISBLANK(B2195), "", GSPC[[#This Row],[Adj Close]]/B2195-1)</f>
        <v>-2.7905197312172447E-3</v>
      </c>
      <c r="D219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9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94" s="11" t="e">
        <f>IF(ISBLANK(GSPC[[#This Row],[Long Exp.]]), "", (GSPC[[#This Row],[Long Exp.]]/D2195-1)+(E2195/GSPC[[#This Row],[Short Exp.]]-1))</f>
        <v>#VALUE!</v>
      </c>
      <c r="G2194" s="37">
        <v>29738</v>
      </c>
      <c r="H2194">
        <v>1.657994</v>
      </c>
      <c r="I2194" s="36">
        <f>IF(ISBLANK(H2195), "", Long0[[#This Row],[Adj Close]]/H2195-1)</f>
        <v>-3.3898739635350839E-2</v>
      </c>
      <c r="P2194" s="29">
        <v>29738</v>
      </c>
      <c r="Q2194">
        <v>0.51790700000000001</v>
      </c>
      <c r="R2194" s="33">
        <f>IF(ISBLANK(Q2195),"",Long3[[#This Row],[Adj Close]]/Q2195-1)</f>
        <v>-2.2222935443797831E-2</v>
      </c>
      <c r="AN2194" s="29">
        <v>29738</v>
      </c>
      <c r="AO2194" s="44">
        <v>0.83576099999999998</v>
      </c>
      <c r="AP2194" s="33">
        <f>IF(ISBLANK(AO2195),"",Short2[[#This Row],[Adj Close]]/AO2195-1)</f>
        <v>-8.1870882479921137E-2</v>
      </c>
    </row>
    <row r="2195" spans="1:42" x14ac:dyDescent="0.25">
      <c r="A2195" s="37">
        <v>29731</v>
      </c>
      <c r="B2195" s="39">
        <v>132.58999600000001</v>
      </c>
      <c r="C2195" s="36">
        <f>IF(ISBLANK(B2196), "", GSPC[[#This Row],[Adj Close]]/B2196-1)</f>
        <v>9.5941063032953799E-3</v>
      </c>
      <c r="D219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9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95" s="11" t="e">
        <f>IF(ISBLANK(GSPC[[#This Row],[Long Exp.]]), "", (GSPC[[#This Row],[Long Exp.]]/D2196-1)+(E2196/GSPC[[#This Row],[Short Exp.]]-1))</f>
        <v>#VALUE!</v>
      </c>
      <c r="G2195" s="37">
        <v>29731</v>
      </c>
      <c r="H2195">
        <v>1.71617</v>
      </c>
      <c r="I2195" s="36">
        <f>IF(ISBLANK(H2196), "", Long0[[#This Row],[Adj Close]]/H2196-1)</f>
        <v>0.1238098356361732</v>
      </c>
      <c r="P2195" s="29">
        <v>29731</v>
      </c>
      <c r="Q2195">
        <v>0.52967799999999998</v>
      </c>
      <c r="R2195" s="33">
        <f>IF(ISBLANK(Q2196),"",Long3[[#This Row],[Adj Close]]/Q2196-1)</f>
        <v>7.4616503884890051E-3</v>
      </c>
      <c r="AN2195" s="29">
        <v>29731</v>
      </c>
      <c r="AO2195" s="44">
        <v>0.91028699999999996</v>
      </c>
      <c r="AP2195" s="33">
        <f>IF(ISBLANK(AO2196),"",Short2[[#This Row],[Adj Close]]/AO2196-1)</f>
        <v>0.10322573608010521</v>
      </c>
    </row>
    <row r="2196" spans="1:42" x14ac:dyDescent="0.25">
      <c r="A2196" s="37">
        <v>29724</v>
      </c>
      <c r="B2196" s="39">
        <v>131.33000200000001</v>
      </c>
      <c r="C2196" s="36">
        <f>IF(ISBLANK(B2197), "", GSPC[[#This Row],[Adj Close]]/B2197-1)</f>
        <v>-6.355421144819795E-3</v>
      </c>
      <c r="D219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9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96" s="11" t="e">
        <f>IF(ISBLANK(GSPC[[#This Row],[Long Exp.]]), "", (GSPC[[#This Row],[Long Exp.]]/D2197-1)+(E2197/GSPC[[#This Row],[Short Exp.]]-1))</f>
        <v>#VALUE!</v>
      </c>
      <c r="G2196" s="37">
        <v>29724</v>
      </c>
      <c r="H2196">
        <v>1.5270999999999999</v>
      </c>
      <c r="I2196" s="36">
        <f>IF(ISBLANK(H2197), "", Long0[[#This Row],[Adj Close]]/H2197-1)</f>
        <v>-1.869119842281175E-2</v>
      </c>
      <c r="P2196" s="29">
        <v>29724</v>
      </c>
      <c r="Q2196">
        <v>0.52575499999999997</v>
      </c>
      <c r="R2196" s="33">
        <f>IF(ISBLANK(Q2197),"",Long3[[#This Row],[Adj Close]]/Q2197-1)</f>
        <v>0</v>
      </c>
      <c r="AN2196" s="29">
        <v>29724</v>
      </c>
      <c r="AO2196" s="44">
        <v>0.82511400000000001</v>
      </c>
      <c r="AP2196" s="33">
        <f>IF(ISBLANK(AO2197),"",Short2[[#This Row],[Adj Close]]/AO2197-1)</f>
        <v>1.3071108993846448E-2</v>
      </c>
    </row>
    <row r="2197" spans="1:42" x14ac:dyDescent="0.25">
      <c r="A2197" s="37">
        <v>29717</v>
      </c>
      <c r="B2197" s="39">
        <v>132.16999799999999</v>
      </c>
      <c r="C2197" s="36">
        <f>IF(ISBLANK(B2198), "", GSPC[[#This Row],[Adj Close]]/B2198-1)</f>
        <v>3.8735681642543263E-3</v>
      </c>
      <c r="D219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9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97" s="11" t="e">
        <f>IF(ISBLANK(GSPC[[#This Row],[Long Exp.]]), "", (GSPC[[#This Row],[Long Exp.]]/D2198-1)+(E2198/GSPC[[#This Row],[Short Exp.]]-1))</f>
        <v>#VALUE!</v>
      </c>
      <c r="G2197" s="37">
        <v>29717</v>
      </c>
      <c r="H2197">
        <v>1.556187</v>
      </c>
      <c r="I2197" s="36">
        <f>IF(ISBLANK(H2198), "", Long0[[#This Row],[Adj Close]]/H2198-1)</f>
        <v>-4.4643432682160533E-2</v>
      </c>
      <c r="P2197" s="29">
        <v>29717</v>
      </c>
      <c r="Q2197">
        <v>0.52575499999999997</v>
      </c>
      <c r="R2197" s="33">
        <f>IF(ISBLANK(Q2198),"",Long3[[#This Row],[Adj Close]]/Q2198-1)</f>
        <v>-7.406386521622621E-3</v>
      </c>
      <c r="AN2197" s="29">
        <v>29717</v>
      </c>
      <c r="AO2197" s="44">
        <v>0.81446799999999997</v>
      </c>
      <c r="AP2197" s="33">
        <f>IF(ISBLANK(AO2198),"",Short2[[#This Row],[Adj Close]]/AO2198-1)</f>
        <v>-3.1646028641576063E-2</v>
      </c>
    </row>
    <row r="2198" spans="1:42" x14ac:dyDescent="0.25">
      <c r="A2198" s="37">
        <v>29710</v>
      </c>
      <c r="B2198" s="39">
        <v>131.66000399999999</v>
      </c>
      <c r="C2198" s="36">
        <f>IF(ISBLANK(B2199), "", GSPC[[#This Row],[Adj Close]]/B2199-1)</f>
        <v>-7.9867163352418391E-3</v>
      </c>
      <c r="D219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9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98" s="11" t="e">
        <f>IF(ISBLANK(GSPC[[#This Row],[Long Exp.]]), "", (GSPC[[#This Row],[Long Exp.]]/D2199-1)+(E2199/GSPC[[#This Row],[Short Exp.]]-1))</f>
        <v>#VALUE!</v>
      </c>
      <c r="G2198" s="37">
        <v>29710</v>
      </c>
      <c r="H2198">
        <v>1.6289070000000001</v>
      </c>
      <c r="I2198" s="36">
        <f>IF(ISBLANK(H2199), "", Long0[[#This Row],[Adj Close]]/H2199-1)</f>
        <v>-0.10400021562428996</v>
      </c>
      <c r="P2198" s="29">
        <v>29710</v>
      </c>
      <c r="Q2198">
        <v>0.52967799999999998</v>
      </c>
      <c r="R2198" s="33">
        <f>IF(ISBLANK(Q2199),"",Long3[[#This Row],[Adj Close]]/Q2199-1)</f>
        <v>7.4616503884890051E-3</v>
      </c>
      <c r="AN2198" s="29">
        <v>29710</v>
      </c>
      <c r="AO2198" s="44">
        <v>0.84108499999999997</v>
      </c>
      <c r="AP2198" s="33">
        <f>IF(ISBLANK(AO2199),"",Short2[[#This Row],[Adj Close]]/AO2199-1)</f>
        <v>1.9356113215870829E-2</v>
      </c>
    </row>
    <row r="2199" spans="1:42" x14ac:dyDescent="0.25">
      <c r="A2199" s="37">
        <v>29703</v>
      </c>
      <c r="B2199" s="39">
        <v>132.720001</v>
      </c>
      <c r="C2199" s="36">
        <f>IF(ISBLANK(B2200), "", GSPC[[#This Row],[Adj Close]]/B2200-1)</f>
        <v>-1.7907340668250171E-2</v>
      </c>
      <c r="D219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19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199" s="11" t="e">
        <f>IF(ISBLANK(GSPC[[#This Row],[Long Exp.]]), "", (GSPC[[#This Row],[Long Exp.]]/D2200-1)+(E2200/GSPC[[#This Row],[Short Exp.]]-1))</f>
        <v>#VALUE!</v>
      </c>
      <c r="G2199" s="37">
        <v>29703</v>
      </c>
      <c r="H2199">
        <v>1.817977</v>
      </c>
      <c r="I2199" s="36">
        <f>IF(ISBLANK(H2200), "", Long0[[#This Row],[Adj Close]]/H2200-1)</f>
        <v>0.30208364668250942</v>
      </c>
      <c r="P2199" s="29">
        <v>29703</v>
      </c>
      <c r="Q2199">
        <v>0.52575499999999997</v>
      </c>
      <c r="R2199" s="33">
        <f>IF(ISBLANK(Q2200),"",Long3[[#This Row],[Adj Close]]/Q2200-1)</f>
        <v>-7.406386521622621E-3</v>
      </c>
      <c r="AN2199" s="29">
        <v>29703</v>
      </c>
      <c r="AO2199" s="44">
        <v>0.82511400000000001</v>
      </c>
      <c r="AP2199" s="33">
        <f>IF(ISBLANK(AO2200),"",Short2[[#This Row],[Adj Close]]/AO2200-1)</f>
        <v>-5.4878216406421876E-2</v>
      </c>
    </row>
    <row r="2200" spans="1:42" x14ac:dyDescent="0.25">
      <c r="A2200" s="37">
        <v>29696</v>
      </c>
      <c r="B2200" s="39">
        <v>135.13999899999999</v>
      </c>
      <c r="C2200" s="36">
        <f>IF(ISBLANK(B2201), "", GSPC[[#This Row],[Adj Close]]/B2201-1)</f>
        <v>3.2665331091283889E-3</v>
      </c>
      <c r="D220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0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00" s="11" t="e">
        <f>IF(ISBLANK(GSPC[[#This Row],[Long Exp.]]), "", (GSPC[[#This Row],[Long Exp.]]/D2201-1)+(E2201/GSPC[[#This Row],[Short Exp.]]-1))</f>
        <v>#VALUE!</v>
      </c>
      <c r="G2200" s="37">
        <v>29696</v>
      </c>
      <c r="H2200">
        <v>1.3962060000000001</v>
      </c>
      <c r="I2200" s="36">
        <f>IF(ISBLANK(H2201), "", Long0[[#This Row],[Adj Close]]/H2201-1)</f>
        <v>0.27999992665839124</v>
      </c>
      <c r="P2200" s="29">
        <v>29696</v>
      </c>
      <c r="Q2200">
        <v>0.52967799999999998</v>
      </c>
      <c r="R2200" s="33">
        <f>IF(ISBLANK(Q2201),"",Long3[[#This Row],[Adj Close]]/Q2201-1)</f>
        <v>2.2728018736954736E-2</v>
      </c>
      <c r="AN2200" s="29">
        <v>29696</v>
      </c>
      <c r="AO2200" s="44">
        <v>0.87302400000000002</v>
      </c>
      <c r="AP2200" s="33">
        <f>IF(ISBLANK(AO2201),"",Short2[[#This Row],[Adj Close]]/AO2201-1)</f>
        <v>-4.6512110492337833E-2</v>
      </c>
    </row>
    <row r="2201" spans="1:42" x14ac:dyDescent="0.25">
      <c r="A2201" s="37">
        <v>29689</v>
      </c>
      <c r="B2201" s="39">
        <v>134.699997</v>
      </c>
      <c r="C2201" s="36">
        <f>IF(ISBLANK(B2202), "", GSPC[[#This Row],[Adj Close]]/B2202-1)</f>
        <v>1.4125493053507299E-3</v>
      </c>
      <c r="D220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0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01" s="11" t="e">
        <f>IF(ISBLANK(GSPC[[#This Row],[Long Exp.]]), "", (GSPC[[#This Row],[Long Exp.]]/D2202-1)+(E2202/GSPC[[#This Row],[Short Exp.]]-1))</f>
        <v>#VALUE!</v>
      </c>
      <c r="G2201" s="37">
        <v>29689</v>
      </c>
      <c r="H2201">
        <v>1.090786</v>
      </c>
      <c r="I2201" s="36">
        <f>IF(ISBLANK(H2202), "", Long0[[#This Row],[Adj Close]]/H2202-1)</f>
        <v>-5.0633528349936729E-2</v>
      </c>
      <c r="P2201" s="29">
        <v>29689</v>
      </c>
      <c r="Q2201">
        <v>0.51790700000000001</v>
      </c>
      <c r="R2201" s="33">
        <f>IF(ISBLANK(Q2202),"",Long3[[#This Row],[Adj Close]]/Q2202-1)</f>
        <v>1.5384464572795409E-2</v>
      </c>
      <c r="AN2201" s="29">
        <v>29689</v>
      </c>
      <c r="AO2201" s="44">
        <v>0.91561099999999995</v>
      </c>
      <c r="AP2201" s="33">
        <f>IF(ISBLANK(AO2202),"",Short2[[#This Row],[Adj Close]]/AO2202-1)</f>
        <v>-4.4443887843522822E-2</v>
      </c>
    </row>
    <row r="2202" spans="1:42" x14ac:dyDescent="0.25">
      <c r="A2202" s="37">
        <v>29682</v>
      </c>
      <c r="B2202" s="39">
        <v>134.509995</v>
      </c>
      <c r="C2202" s="36">
        <f>IF(ISBLANK(B2203), "", GSPC[[#This Row],[Adj Close]]/B2203-1)</f>
        <v>-7.2330796651752793E-3</v>
      </c>
      <c r="D220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0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02" s="11" t="e">
        <f>IF(ISBLANK(GSPC[[#This Row],[Long Exp.]]), "", (GSPC[[#This Row],[Long Exp.]]/D2203-1)+(E2203/GSPC[[#This Row],[Short Exp.]]-1))</f>
        <v>#VALUE!</v>
      </c>
      <c r="G2202" s="37">
        <v>29682</v>
      </c>
      <c r="H2202">
        <v>1.148962</v>
      </c>
      <c r="I2202" s="36">
        <f>IF(ISBLANK(H2203), "", Long0[[#This Row],[Adj Close]]/H2203-1)</f>
        <v>-1.2498452949022965E-2</v>
      </c>
      <c r="P2202" s="29">
        <v>29682</v>
      </c>
      <c r="Q2202">
        <v>0.51005999999999996</v>
      </c>
      <c r="R2202" s="33">
        <f>IF(ISBLANK(Q2203),"",Long3[[#This Row],[Adj Close]]/Q2203-1)</f>
        <v>-2.2557111401967478E-2</v>
      </c>
      <c r="AN2202" s="29">
        <v>29682</v>
      </c>
      <c r="AO2202" s="44">
        <v>0.95819699999999997</v>
      </c>
      <c r="AP2202" s="33">
        <f>IF(ISBLANK(AO2203),"",Short2[[#This Row],[Adj Close]]/AO2203-1)</f>
        <v>-4.7619189609057644E-2</v>
      </c>
    </row>
    <row r="2203" spans="1:42" x14ac:dyDescent="0.25">
      <c r="A2203" s="37">
        <v>29675</v>
      </c>
      <c r="B2203" s="39">
        <v>135.490005</v>
      </c>
      <c r="C2203" s="36">
        <f>IF(ISBLANK(B2204), "", GSPC[[#This Row],[Adj Close]]/B2204-1)</f>
        <v>6.2384778123347751E-3</v>
      </c>
      <c r="D220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0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03" s="11" t="e">
        <f>IF(ISBLANK(GSPC[[#This Row],[Long Exp.]]), "", (GSPC[[#This Row],[Long Exp.]]/D2204-1)+(E2204/GSPC[[#This Row],[Short Exp.]]-1))</f>
        <v>#VALUE!</v>
      </c>
      <c r="G2203" s="37">
        <v>29675</v>
      </c>
      <c r="H2203">
        <v>1.1635040000000001</v>
      </c>
      <c r="I2203" s="36">
        <f>IF(ISBLANK(H2204), "", Long0[[#This Row],[Adj Close]]/H2204-1)</f>
        <v>2.5640483173295259E-2</v>
      </c>
      <c r="P2203" s="29">
        <v>29675</v>
      </c>
      <c r="Q2203">
        <v>0.52183100000000004</v>
      </c>
      <c r="R2203" s="33">
        <f>IF(ISBLANK(Q2204),"",Long3[[#This Row],[Adj Close]]/Q2204-1)</f>
        <v>-7.463552415098107E-3</v>
      </c>
      <c r="AN2203" s="29">
        <v>29675</v>
      </c>
      <c r="AO2203" s="44">
        <v>1.0061070000000001</v>
      </c>
      <c r="AP2203" s="33">
        <f>IF(ISBLANK(AO2204),"",Short2[[#This Row],[Adj Close]]/AO2204-1)</f>
        <v>3.8461300271251053E-2</v>
      </c>
    </row>
    <row r="2204" spans="1:42" x14ac:dyDescent="0.25">
      <c r="A2204" s="37">
        <v>29668</v>
      </c>
      <c r="B2204" s="39">
        <v>134.64999399999999</v>
      </c>
      <c r="C2204" s="36">
        <f>IF(ISBLANK(B2205), "", GSPC[[#This Row],[Adj Close]]/B2205-1)</f>
        <v>4.251133588139222E-3</v>
      </c>
      <c r="D220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0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04" s="11" t="e">
        <f>IF(ISBLANK(GSPC[[#This Row],[Long Exp.]]), "", (GSPC[[#This Row],[Long Exp.]]/D2205-1)+(E2205/GSPC[[#This Row],[Short Exp.]]-1))</f>
        <v>#VALUE!</v>
      </c>
      <c r="G2204" s="37">
        <v>29668</v>
      </c>
      <c r="H2204">
        <v>1.134417</v>
      </c>
      <c r="I2204" s="36">
        <f>IF(ISBLANK(H2205), "", Long0[[#This Row],[Adj Close]]/H2205-1)</f>
        <v>1.298628238533972E-2</v>
      </c>
      <c r="P2204" s="29">
        <v>29668</v>
      </c>
      <c r="Q2204">
        <v>0.52575499999999997</v>
      </c>
      <c r="R2204" s="33">
        <f>IF(ISBLANK(Q2205),"",Long3[[#This Row],[Adj Close]]/Q2205-1)</f>
        <v>-2.8985186047070011E-2</v>
      </c>
      <c r="AN2204" s="29">
        <v>29668</v>
      </c>
      <c r="AO2204" s="44">
        <v>0.96884400000000004</v>
      </c>
      <c r="AP2204" s="33">
        <f>IF(ISBLANK(AO2205),"",Short2[[#This Row],[Adj Close]]/AO2205-1)</f>
        <v>-0.11219485374972504</v>
      </c>
    </row>
    <row r="2205" spans="1:42" x14ac:dyDescent="0.25">
      <c r="A2205" s="37">
        <v>29661</v>
      </c>
      <c r="B2205" s="39">
        <v>134.08000200000001</v>
      </c>
      <c r="C2205" s="36">
        <f>IF(ISBLANK(B2206), "", GSPC[[#This Row],[Adj Close]]/B2206-1)</f>
        <v>7.2872135280053207E-3</v>
      </c>
      <c r="D220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0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05" s="11" t="e">
        <f>IF(ISBLANK(GSPC[[#This Row],[Long Exp.]]), "", (GSPC[[#This Row],[Long Exp.]]/D2206-1)+(E2206/GSPC[[#This Row],[Short Exp.]]-1))</f>
        <v>#VALUE!</v>
      </c>
      <c r="G2205" s="37">
        <v>29661</v>
      </c>
      <c r="H2205">
        <v>1.119874</v>
      </c>
      <c r="I2205" s="36">
        <f>IF(ISBLANK(H2206), "", Long0[[#This Row],[Adj Close]]/H2206-1)</f>
        <v>4.0541067901085581E-2</v>
      </c>
      <c r="P2205" s="29">
        <v>29661</v>
      </c>
      <c r="Q2205">
        <v>0.54144899999999996</v>
      </c>
      <c r="R2205" s="33">
        <f>IF(ISBLANK(Q2206),"",Long3[[#This Row],[Adj Close]]/Q2206-1)</f>
        <v>2.9850405607174446E-2</v>
      </c>
      <c r="AN2205" s="29">
        <v>29661</v>
      </c>
      <c r="AO2205" s="44">
        <v>1.09128</v>
      </c>
      <c r="AP2205" s="33">
        <f>IF(ISBLANK(AO2206),"",Short2[[#This Row],[Adj Close]]/AO2206-1)</f>
        <v>0.13259596832866127</v>
      </c>
    </row>
    <row r="2206" spans="1:42" x14ac:dyDescent="0.25">
      <c r="A2206" s="37">
        <v>29654</v>
      </c>
      <c r="B2206" s="39">
        <v>133.11000100000001</v>
      </c>
      <c r="C2206" s="36">
        <f>IF(ISBLANK(B2207), "", GSPC[[#This Row],[Adj Close]]/B2207-1)</f>
        <v>2.5105851747130536E-2</v>
      </c>
      <c r="D220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0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06" s="11" t="e">
        <f>IF(ISBLANK(GSPC[[#This Row],[Long Exp.]]), "", (GSPC[[#This Row],[Long Exp.]]/D2207-1)+(E2207/GSPC[[#This Row],[Short Exp.]]-1))</f>
        <v>#VALUE!</v>
      </c>
      <c r="G2206" s="37">
        <v>29654</v>
      </c>
      <c r="H2206">
        <v>1.0762419999999999</v>
      </c>
      <c r="I2206" s="36">
        <f>IF(ISBLANK(H2207), "", Long0[[#This Row],[Adj Close]]/H2207-1)</f>
        <v>5.7142604563353849E-2</v>
      </c>
      <c r="P2206" s="29">
        <v>29654</v>
      </c>
      <c r="Q2206">
        <v>0.52575499999999997</v>
      </c>
      <c r="R2206" s="33">
        <f>IF(ISBLANK(Q2207),"",Long3[[#This Row],[Adj Close]]/Q2207-1)</f>
        <v>1.515329972369539E-2</v>
      </c>
      <c r="AN2206" s="29">
        <v>29654</v>
      </c>
      <c r="AO2206" s="44">
        <v>0.96352099999999996</v>
      </c>
      <c r="AP2206" s="33">
        <f>IF(ISBLANK(AO2207),"",Short2[[#This Row],[Adj Close]]/AO2207-1)</f>
        <v>0.14556911608220324</v>
      </c>
    </row>
    <row r="2207" spans="1:42" x14ac:dyDescent="0.25">
      <c r="A2207" s="37">
        <v>29647</v>
      </c>
      <c r="B2207" s="39">
        <v>129.85000600000001</v>
      </c>
      <c r="C2207" s="36">
        <f>IF(ISBLANK(B2208), "", GSPC[[#This Row],[Adj Close]]/B2208-1)</f>
        <v>-1.0817383688051074E-2</v>
      </c>
      <c r="D220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0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07" s="11" t="e">
        <f>IF(ISBLANK(GSPC[[#This Row],[Long Exp.]]), "", (GSPC[[#This Row],[Long Exp.]]/D2208-1)+(E2208/GSPC[[#This Row],[Short Exp.]]-1))</f>
        <v>#VALUE!</v>
      </c>
      <c r="G2207" s="37">
        <v>29647</v>
      </c>
      <c r="H2207">
        <v>1.0180670000000001</v>
      </c>
      <c r="I2207" s="36">
        <f>IF(ISBLANK(H2208), "", Long0[[#This Row],[Adj Close]]/H2208-1)</f>
        <v>9.3750134292504228E-2</v>
      </c>
      <c r="P2207" s="29">
        <v>29647</v>
      </c>
      <c r="Q2207">
        <v>0.51790700000000001</v>
      </c>
      <c r="R2207" s="33">
        <f>IF(ISBLANK(Q2208),"",Long3[[#This Row],[Adj Close]]/Q2208-1)</f>
        <v>-7.6923214024731457E-2</v>
      </c>
      <c r="AN2207" s="29">
        <v>29647</v>
      </c>
      <c r="AO2207" s="44">
        <v>0.84108499999999997</v>
      </c>
      <c r="AP2207" s="33">
        <f>IF(ISBLANK(AO2208),"",Short2[[#This Row],[Adj Close]]/AO2208-1)</f>
        <v>-4.8192143908762475E-2</v>
      </c>
    </row>
    <row r="2208" spans="1:42" x14ac:dyDescent="0.25">
      <c r="A2208" s="37">
        <v>29640</v>
      </c>
      <c r="B2208" s="39">
        <v>131.270004</v>
      </c>
      <c r="C2208" s="36">
        <f>IF(ISBLANK(B2209), "", GSPC[[#This Row],[Adj Close]]/B2209-1)</f>
        <v>3.7051682144862097E-2</v>
      </c>
      <c r="D220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0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08" s="11" t="e">
        <f>IF(ISBLANK(GSPC[[#This Row],[Long Exp.]]), "", (GSPC[[#This Row],[Long Exp.]]/D2209-1)+(E2209/GSPC[[#This Row],[Short Exp.]]-1))</f>
        <v>#VALUE!</v>
      </c>
      <c r="G2208" s="37">
        <v>29640</v>
      </c>
      <c r="H2208">
        <v>0.93080399999999996</v>
      </c>
      <c r="I2208" s="36">
        <f>IF(ISBLANK(H2209), "", Long0[[#This Row],[Adj Close]]/H2209-1)</f>
        <v>-3.0302398918210627E-2</v>
      </c>
      <c r="P2208" s="29">
        <v>29640</v>
      </c>
      <c r="Q2208">
        <v>0.56106599999999995</v>
      </c>
      <c r="R2208" s="33">
        <f>IF(ISBLANK(Q2209),"",Long3[[#This Row],[Adj Close]]/Q2209-1)</f>
        <v>7.5187177457835874E-2</v>
      </c>
      <c r="AN2208" s="29">
        <v>29640</v>
      </c>
      <c r="AO2208" s="44">
        <v>0.88367099999999998</v>
      </c>
      <c r="AP2208" s="33">
        <f>IF(ISBLANK(AO2209),"",Short2[[#This Row],[Adj Close]]/AO2209-1)</f>
        <v>6.4102317090499294E-2</v>
      </c>
    </row>
    <row r="2209" spans="1:42" x14ac:dyDescent="0.25">
      <c r="A2209" s="37">
        <v>29633</v>
      </c>
      <c r="B2209" s="39">
        <v>126.58000199999999</v>
      </c>
      <c r="C2209" s="36">
        <f>IF(ISBLANK(B2210), "", GSPC[[#This Row],[Adj Close]]/B2210-1)</f>
        <v>-3.1501101791594488E-3</v>
      </c>
      <c r="D220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0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09" s="11" t="e">
        <f>IF(ISBLANK(GSPC[[#This Row],[Long Exp.]]), "", (GSPC[[#This Row],[Long Exp.]]/D2210-1)+(E2210/GSPC[[#This Row],[Short Exp.]]-1))</f>
        <v>#VALUE!</v>
      </c>
      <c r="G2209" s="37">
        <v>29633</v>
      </c>
      <c r="H2209">
        <v>0.95989100000000005</v>
      </c>
      <c r="I2209" s="36">
        <f>IF(ISBLANK(H2210), "", Long0[[#This Row],[Adj Close]]/H2210-1)</f>
        <v>6.45158786136657E-2</v>
      </c>
      <c r="P2209" s="29">
        <v>29633</v>
      </c>
      <c r="Q2209">
        <v>0.52183100000000004</v>
      </c>
      <c r="R2209" s="33">
        <f>IF(ISBLANK(Q2210),"",Long3[[#This Row],[Adj Close]]/Q2210-1)</f>
        <v>2.3077677136023489E-2</v>
      </c>
      <c r="AN2209" s="29">
        <v>29633</v>
      </c>
      <c r="AO2209" s="44">
        <v>0.83043800000000001</v>
      </c>
      <c r="AP2209" s="33">
        <f>IF(ISBLANK(AO2210),"",Short2[[#This Row],[Adj Close]]/AO2210-1)</f>
        <v>-4.8779873176453381E-2</v>
      </c>
    </row>
    <row r="2210" spans="1:42" x14ac:dyDescent="0.25">
      <c r="A2210" s="37">
        <v>29626</v>
      </c>
      <c r="B2210" s="39">
        <v>126.980003</v>
      </c>
      <c r="C2210" s="36">
        <f>IF(ISBLANK(B2211), "", GSPC[[#This Row],[Adj Close]]/B2211-1)</f>
        <v>-2.7718245280938247E-2</v>
      </c>
      <c r="D221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1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10" s="11" t="e">
        <f>IF(ISBLANK(GSPC[[#This Row],[Long Exp.]]), "", (GSPC[[#This Row],[Long Exp.]]/D2211-1)+(E2211/GSPC[[#This Row],[Short Exp.]]-1))</f>
        <v>#VALUE!</v>
      </c>
      <c r="G2210" s="37">
        <v>29626</v>
      </c>
      <c r="H2210">
        <v>0.90171599999999996</v>
      </c>
      <c r="I2210" s="36">
        <f>IF(ISBLANK(H2211), "", Long0[[#This Row],[Adj Close]]/H2211-1)</f>
        <v>8.77179438309863E-2</v>
      </c>
      <c r="P2210" s="29">
        <v>29626</v>
      </c>
      <c r="Q2210">
        <v>0.51005999999999996</v>
      </c>
      <c r="R2210" s="33">
        <f>IF(ISBLANK(Q2211),"",Long3[[#This Row],[Adj Close]]/Q2211-1)</f>
        <v>-7.6344788942847019E-3</v>
      </c>
      <c r="AN2210" s="29">
        <v>29626</v>
      </c>
      <c r="AO2210" s="44">
        <v>0.87302400000000002</v>
      </c>
      <c r="AP2210" s="33">
        <f>IF(ISBLANK(AO2211),"",Short2[[#This Row],[Adj Close]]/AO2211-1)</f>
        <v>-5.7471090636831867E-2</v>
      </c>
    </row>
    <row r="2211" spans="1:42" x14ac:dyDescent="0.25">
      <c r="A2211" s="37">
        <v>29619</v>
      </c>
      <c r="B2211" s="39">
        <v>130.60000600000001</v>
      </c>
      <c r="C2211" s="36">
        <f>IF(ISBLANK(B2212), "", GSPC[[#This Row],[Adj Close]]/B2212-1)</f>
        <v>8.1050017420687404E-3</v>
      </c>
      <c r="D221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1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11" s="11" t="e">
        <f>IF(ISBLANK(GSPC[[#This Row],[Long Exp.]]), "", (GSPC[[#This Row],[Long Exp.]]/D2212-1)+(E2212/GSPC[[#This Row],[Short Exp.]]-1))</f>
        <v>#VALUE!</v>
      </c>
      <c r="G2211" s="37">
        <v>29619</v>
      </c>
      <c r="H2211">
        <v>0.82899800000000001</v>
      </c>
      <c r="I2211" s="36">
        <f>IF(ISBLANK(H2212), "", Long0[[#This Row],[Adj Close]]/H2212-1)</f>
        <v>-0.1093742613912273</v>
      </c>
      <c r="P2211" s="29">
        <v>29619</v>
      </c>
      <c r="Q2211">
        <v>0.513984</v>
      </c>
      <c r="R2211" s="33">
        <f>IF(ISBLANK(Q2212),"",Long3[[#This Row],[Adj Close]]/Q2212-1)</f>
        <v>7.6932125632278581E-3</v>
      </c>
      <c r="AN2211" s="29">
        <v>29619</v>
      </c>
      <c r="AO2211" s="44">
        <v>0.926257</v>
      </c>
      <c r="AP2211" s="33">
        <f>IF(ISBLANK(AO2212),"",Short2[[#This Row],[Adj Close]]/AO2212-1)</f>
        <v>-1.6949206507561376E-2</v>
      </c>
    </row>
    <row r="2212" spans="1:42" x14ac:dyDescent="0.25">
      <c r="A2212" s="37">
        <v>29612</v>
      </c>
      <c r="B2212" s="39">
        <v>129.550003</v>
      </c>
      <c r="C2212" s="36">
        <f>IF(ISBLANK(B2213), "", GSPC[[#This Row],[Adj Close]]/B2213-1)</f>
        <v>-5.2214775465400098E-3</v>
      </c>
      <c r="D221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1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12" s="11" t="e">
        <f>IF(ISBLANK(GSPC[[#This Row],[Long Exp.]]), "", (GSPC[[#This Row],[Long Exp.]]/D2213-1)+(E2213/GSPC[[#This Row],[Short Exp.]]-1))</f>
        <v>#VALUE!</v>
      </c>
      <c r="G2212" s="37">
        <v>29612</v>
      </c>
      <c r="H2212">
        <v>0.93080399999999996</v>
      </c>
      <c r="I2212" s="36">
        <f>IF(ISBLANK(H2213), "", Long0[[#This Row],[Adj Close]]/H2213-1)</f>
        <v>0</v>
      </c>
      <c r="P2212" s="29">
        <v>29612</v>
      </c>
      <c r="Q2212">
        <v>0.51005999999999996</v>
      </c>
      <c r="R2212" s="33">
        <f>IF(ISBLANK(Q2213),"",Long3[[#This Row],[Adj Close]]/Q2213-1)</f>
        <v>7.7508658722835744E-3</v>
      </c>
      <c r="AN2212" s="29">
        <v>29612</v>
      </c>
      <c r="AO2212" s="44">
        <v>0.94222700000000004</v>
      </c>
      <c r="AP2212" s="33">
        <f>IF(ISBLANK(AO2213),"",Short2[[#This Row],[Adj Close]]/AO2213-1)</f>
        <v>-2.2100192938192209E-2</v>
      </c>
    </row>
    <row r="2213" spans="1:42" x14ac:dyDescent="0.25">
      <c r="A2213" s="37">
        <v>29605</v>
      </c>
      <c r="B2213" s="39">
        <v>130.229996</v>
      </c>
      <c r="C2213" s="36">
        <f>IF(ISBLANK(B2214), "", GSPC[[#This Row],[Adj Close]]/B2214-1)</f>
        <v>-3.3687080694900007E-2</v>
      </c>
      <c r="D221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1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13" s="11" t="e">
        <f>IF(ISBLANK(GSPC[[#This Row],[Long Exp.]]), "", (GSPC[[#This Row],[Long Exp.]]/D2214-1)+(E2214/GSPC[[#This Row],[Short Exp.]]-1))</f>
        <v>#VALUE!</v>
      </c>
      <c r="G2213" s="37">
        <v>29605</v>
      </c>
      <c r="H2213">
        <v>0.93080399999999996</v>
      </c>
      <c r="I2213" s="36">
        <f>IF(ISBLANK(H2214), "", Long0[[#This Row],[Adj Close]]/H2214-1)</f>
        <v>-8.5714397971842771E-2</v>
      </c>
      <c r="P2213" s="29">
        <v>29605</v>
      </c>
      <c r="Q2213">
        <v>0.50613699999999995</v>
      </c>
      <c r="R2213" s="33">
        <f>IF(ISBLANK(Q2214),"",Long3[[#This Row],[Adj Close]]/Q2214-1)</f>
        <v>-7.6912520095675507E-3</v>
      </c>
      <c r="AN2213" s="29">
        <v>29605</v>
      </c>
      <c r="AO2213" s="44">
        <v>0.96352099999999996</v>
      </c>
      <c r="AP2213" s="33">
        <f>IF(ISBLANK(AO2214),"",Short2[[#This Row],[Adj Close]]/AO2214-1)</f>
        <v>7.7381957404365487E-2</v>
      </c>
    </row>
    <row r="2214" spans="1:42" x14ac:dyDescent="0.25">
      <c r="A2214" s="37">
        <v>29598</v>
      </c>
      <c r="B2214" s="39">
        <v>134.770004</v>
      </c>
      <c r="C2214" s="36">
        <f>IF(ISBLANK(B2215), "", GSPC[[#This Row],[Adj Close]]/B2215-1)</f>
        <v>9.6644294175736167E-3</v>
      </c>
      <c r="D221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1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14" s="11" t="e">
        <f>IF(ISBLANK(GSPC[[#This Row],[Long Exp.]]), "", (GSPC[[#This Row],[Long Exp.]]/D2215-1)+(E2215/GSPC[[#This Row],[Short Exp.]]-1))</f>
        <v>#VALUE!</v>
      </c>
      <c r="G2214" s="37">
        <v>29598</v>
      </c>
      <c r="H2214">
        <v>1.0180670000000001</v>
      </c>
      <c r="I2214" s="36">
        <f>IF(ISBLANK(H2215), "", Long0[[#This Row],[Adj Close]]/H2215-1)</f>
        <v>6.0606881406326307E-2</v>
      </c>
      <c r="P2214" s="29">
        <v>29598</v>
      </c>
      <c r="Q2214">
        <v>0.51005999999999996</v>
      </c>
      <c r="R2214" s="33">
        <f>IF(ISBLANK(Q2215),"",Long3[[#This Row],[Adj Close]]/Q2215-1)</f>
        <v>-1.5151368875107041E-2</v>
      </c>
      <c r="AN2214" s="29">
        <v>29598</v>
      </c>
      <c r="AO2214" s="44">
        <v>0.89431700000000003</v>
      </c>
      <c r="AP2214" s="33">
        <f>IF(ISBLANK(AO2215),"",Short2[[#This Row],[Adj Close]]/AO2215-1)</f>
        <v>4.3478007220081771E-2</v>
      </c>
    </row>
    <row r="2215" spans="1:42" x14ac:dyDescent="0.25">
      <c r="A2215" s="37">
        <v>29591</v>
      </c>
      <c r="B2215" s="39">
        <v>133.479996</v>
      </c>
      <c r="C2215" s="36">
        <f>IF(ISBLANK(B2216), "", GSPC[[#This Row],[Adj Close]]/B2216-1)</f>
        <v>-2.0976969956783775E-2</v>
      </c>
      <c r="D221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1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15" s="11" t="e">
        <f>IF(ISBLANK(GSPC[[#This Row],[Long Exp.]]), "", (GSPC[[#This Row],[Long Exp.]]/D2216-1)+(E2216/GSPC[[#This Row],[Short Exp.]]-1))</f>
        <v>#VALUE!</v>
      </c>
      <c r="G2215" s="37">
        <v>29591</v>
      </c>
      <c r="H2215">
        <v>0.95989100000000005</v>
      </c>
      <c r="I2215" s="36">
        <f>IF(ISBLANK(H2216), "", Long0[[#This Row],[Adj Close]]/H2216-1)</f>
        <v>0</v>
      </c>
      <c r="P2215" s="29">
        <v>29591</v>
      </c>
      <c r="Q2215">
        <v>0.51790700000000001</v>
      </c>
      <c r="R2215" s="33">
        <f>IF(ISBLANK(Q2216),"",Long3[[#This Row],[Adj Close]]/Q2216-1)</f>
        <v>5.5998352509873728E-2</v>
      </c>
      <c r="AN2215" s="29">
        <v>29591</v>
      </c>
      <c r="AO2215" s="44">
        <v>0.85705399999999998</v>
      </c>
      <c r="AP2215" s="33">
        <f>IF(ISBLANK(AO2216),"",Short2[[#This Row],[Adj Close]]/AO2216-1)</f>
        <v>-9.5506204943058504E-2</v>
      </c>
    </row>
    <row r="2216" spans="1:42" x14ac:dyDescent="0.25">
      <c r="A2216" s="37">
        <v>29584</v>
      </c>
      <c r="B2216" s="39">
        <v>136.33999600000001</v>
      </c>
      <c r="C2216" s="36">
        <f>IF(ISBLANK(B2217), "", GSPC[[#This Row],[Adj Close]]/B2217-1)</f>
        <v>-1.68419849315804E-3</v>
      </c>
      <c r="D221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1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16" s="11" t="e">
        <f>IF(ISBLANK(GSPC[[#This Row],[Long Exp.]]), "", (GSPC[[#This Row],[Long Exp.]]/D2217-1)+(E2217/GSPC[[#This Row],[Short Exp.]]-1))</f>
        <v>#VALUE!</v>
      </c>
      <c r="G2216" s="37">
        <v>29584</v>
      </c>
      <c r="H2216">
        <v>0.95989100000000005</v>
      </c>
      <c r="I2216" s="36">
        <f>IF(ISBLANK(H2217), "", Long0[[#This Row],[Adj Close]]/H2217-1)</f>
        <v>3.1249328537479526E-2</v>
      </c>
      <c r="P2216" s="29">
        <v>29584</v>
      </c>
      <c r="Q2216">
        <v>0.49044300000000002</v>
      </c>
      <c r="R2216" s="33">
        <f>IF(ISBLANK(Q2217),"",Long3[[#This Row],[Adj Close]]/Q2217-1)</f>
        <v>-4.5801036608143386E-2</v>
      </c>
      <c r="AN2216" s="29">
        <v>29584</v>
      </c>
      <c r="AO2216" s="44">
        <v>0.94755100000000003</v>
      </c>
      <c r="AP2216" s="33">
        <f>IF(ISBLANK(AO2217),"",Short2[[#This Row],[Adj Close]]/AO2217-1)</f>
        <v>1.7143991927692781E-2</v>
      </c>
    </row>
    <row r="2217" spans="1:42" x14ac:dyDescent="0.25">
      <c r="A2217" s="37">
        <v>29577</v>
      </c>
      <c r="B2217" s="39">
        <v>136.570007</v>
      </c>
      <c r="C2217" s="36">
        <f>IF(ISBLANK(B2218), "", GSPC[[#This Row],[Adj Close]]/B2218-1)</f>
        <v>2.1466043862364614E-2</v>
      </c>
      <c r="D221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1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17" s="11" t="e">
        <f>IF(ISBLANK(GSPC[[#This Row],[Long Exp.]]), "", (GSPC[[#This Row],[Long Exp.]]/D2218-1)+(E2218/GSPC[[#This Row],[Short Exp.]]-1))</f>
        <v>#VALUE!</v>
      </c>
      <c r="G2217" s="37">
        <v>29577</v>
      </c>
      <c r="H2217">
        <v>0.93080399999999996</v>
      </c>
      <c r="I2217" s="36">
        <f>IF(ISBLANK(H2218), "", Long0[[#This Row],[Adj Close]]/H2218-1)</f>
        <v>8.4745683702663444E-2</v>
      </c>
      <c r="P2217" s="29">
        <v>29577</v>
      </c>
      <c r="Q2217">
        <v>0.513984</v>
      </c>
      <c r="R2217" s="33">
        <f>IF(ISBLANK(Q2218),"",Long3[[#This Row],[Adj Close]]/Q2218-1)</f>
        <v>0</v>
      </c>
      <c r="AN2217" s="29">
        <v>29577</v>
      </c>
      <c r="AO2217" s="44">
        <v>0.93157999999999996</v>
      </c>
      <c r="AP2217" s="33">
        <f>IF(ISBLANK(AO2218),"",Short2[[#This Row],[Adj Close]]/AO2218-1)</f>
        <v>1.7440812746897905E-2</v>
      </c>
    </row>
    <row r="2218" spans="1:42" x14ac:dyDescent="0.25">
      <c r="A2218" s="37">
        <v>29570</v>
      </c>
      <c r="B2218" s="39">
        <v>133.699997</v>
      </c>
      <c r="C2218" s="36">
        <f>IF(ISBLANK(B2219), "", GSPC[[#This Row],[Adj Close]]/B2219-1)</f>
        <v>3.4589500412891772E-2</v>
      </c>
      <c r="D221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1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18" s="11" t="e">
        <f>IF(ISBLANK(GSPC[[#This Row],[Long Exp.]]), "", (GSPC[[#This Row],[Long Exp.]]/D2219-1)+(E2219/GSPC[[#This Row],[Short Exp.]]-1))</f>
        <v>#VALUE!</v>
      </c>
      <c r="G2218" s="37">
        <v>29570</v>
      </c>
      <c r="H2218">
        <v>0.85808499999999999</v>
      </c>
      <c r="I2218" s="36">
        <f>IF(ISBLANK(H2219), "", Long0[[#This Row],[Adj Close]]/H2219-1)</f>
        <v>1.724160414253717E-2</v>
      </c>
      <c r="P2218" s="29">
        <v>29570</v>
      </c>
      <c r="Q2218">
        <v>0.513984</v>
      </c>
      <c r="R2218" s="33">
        <f>IF(ISBLANK(Q2219),"",Long3[[#This Row],[Adj Close]]/Q2219-1)</f>
        <v>8.2645951115117855E-2</v>
      </c>
      <c r="AN2218" s="29">
        <v>29570</v>
      </c>
      <c r="AO2218" s="44">
        <v>0.91561099999999995</v>
      </c>
      <c r="AP2218" s="33">
        <f>IF(ISBLANK(AO2219),"",Short2[[#This Row],[Adj Close]]/AO2219-1)</f>
        <v>0.19444451691848497</v>
      </c>
    </row>
    <row r="2219" spans="1:42" x14ac:dyDescent="0.25">
      <c r="A2219" s="37">
        <v>29563</v>
      </c>
      <c r="B2219" s="39">
        <v>129.229996</v>
      </c>
      <c r="C2219" s="36">
        <f>IF(ISBLANK(B2220), "", GSPC[[#This Row],[Adj Close]]/B2220-1)</f>
        <v>-3.5812900364193823E-2</v>
      </c>
      <c r="D221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1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19" s="11" t="e">
        <f>IF(ISBLANK(GSPC[[#This Row],[Long Exp.]]), "", (GSPC[[#This Row],[Long Exp.]]/D2220-1)+(E2220/GSPC[[#This Row],[Short Exp.]]-1))</f>
        <v>#VALUE!</v>
      </c>
      <c r="G2219" s="37">
        <v>29563</v>
      </c>
      <c r="H2219">
        <v>0.84354099999999999</v>
      </c>
      <c r="I2219" s="36">
        <f>IF(ISBLANK(H2220), "", Long0[[#This Row],[Adj Close]]/H2220-1)</f>
        <v>-0.14705873431083982</v>
      </c>
      <c r="P2219" s="29">
        <v>29563</v>
      </c>
      <c r="Q2219">
        <v>0.474748</v>
      </c>
      <c r="R2219" s="33">
        <f>IF(ISBLANK(Q2220),"",Long3[[#This Row],[Adj Close]]/Q2220-1)</f>
        <v>-3.2001680113693198E-2</v>
      </c>
      <c r="AN2219" s="29">
        <v>29563</v>
      </c>
      <c r="AO2219" s="44">
        <v>0.76655799999999996</v>
      </c>
      <c r="AP2219" s="33">
        <f>IF(ISBLANK(AO2220),"",Short2[[#This Row],[Adj Close]]/AO2220-1)</f>
        <v>-3.9998897929485078E-2</v>
      </c>
    </row>
    <row r="2220" spans="1:42" x14ac:dyDescent="0.25">
      <c r="A2220" s="37">
        <v>29556</v>
      </c>
      <c r="B2220" s="39">
        <v>134.029999</v>
      </c>
      <c r="C2220" s="36">
        <f>IF(ISBLANK(B2221), "", GSPC[[#This Row],[Adj Close]]/B2221-1)</f>
        <v>-4.6185630623807761E-2</v>
      </c>
      <c r="D222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2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20" s="11" t="e">
        <f>IF(ISBLANK(GSPC[[#This Row],[Long Exp.]]), "", (GSPC[[#This Row],[Long Exp.]]/D2221-1)+(E2221/GSPC[[#This Row],[Short Exp.]]-1))</f>
        <v>#VALUE!</v>
      </c>
      <c r="G2220" s="37">
        <v>29556</v>
      </c>
      <c r="H2220">
        <v>0.98897900000000005</v>
      </c>
      <c r="I2220" s="36">
        <f>IF(ISBLANK(H2221), "", Long0[[#This Row],[Adj Close]]/H2221-1)</f>
        <v>-2.857179340848881E-2</v>
      </c>
      <c r="P2220" s="29">
        <v>29556</v>
      </c>
      <c r="Q2220">
        <v>0.49044300000000002</v>
      </c>
      <c r="R2220" s="33">
        <f>IF(ISBLANK(Q2221),"",Long3[[#This Row],[Adj Close]]/Q2221-1)</f>
        <v>-3.8460181155158146E-2</v>
      </c>
      <c r="AN2220" s="29">
        <v>29556</v>
      </c>
      <c r="AO2220" s="44">
        <v>0.79849700000000001</v>
      </c>
      <c r="AP2220" s="33">
        <f>IF(ISBLANK(AO2221),"",Short2[[#This Row],[Adj Close]]/AO2221-1)</f>
        <v>-3.2258572754795045E-2</v>
      </c>
    </row>
    <row r="2221" spans="1:42" x14ac:dyDescent="0.25">
      <c r="A2221" s="37">
        <v>29549</v>
      </c>
      <c r="B2221" s="39">
        <v>140.520004</v>
      </c>
      <c r="C2221" s="36">
        <f>IF(ISBLANK(B2222), "", GSPC[[#This Row],[Adj Close]]/B2222-1)</f>
        <v>1.0135885197786632E-2</v>
      </c>
      <c r="D222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2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21" s="11" t="e">
        <f>IF(ISBLANK(GSPC[[#This Row],[Long Exp.]]), "", (GSPC[[#This Row],[Long Exp.]]/D2222-1)+(E2222/GSPC[[#This Row],[Short Exp.]]-1))</f>
        <v>#VALUE!</v>
      </c>
      <c r="G2221" s="37">
        <v>29549</v>
      </c>
      <c r="H2221">
        <v>1.0180670000000001</v>
      </c>
      <c r="I2221" s="36">
        <f>IF(ISBLANK(H2222), "", Long0[[#This Row],[Adj Close]]/H2222-1)</f>
        <v>-7.8946630369781223E-2</v>
      </c>
      <c r="P2221" s="29">
        <v>29549</v>
      </c>
      <c r="Q2221">
        <v>0.51005999999999996</v>
      </c>
      <c r="R2221" s="33">
        <f>IF(ISBLANK(Q2222),"",Long3[[#This Row],[Adj Close]]/Q2222-1)</f>
        <v>-1.5151368875107041E-2</v>
      </c>
      <c r="AN2221" s="29">
        <v>29549</v>
      </c>
      <c r="AO2221" s="44">
        <v>0.82511400000000001</v>
      </c>
      <c r="AP2221" s="33">
        <f>IF(ISBLANK(AO2222),"",Short2[[#This Row],[Adj Close]]/AO2222-1)</f>
        <v>-1.2739287906470831E-2</v>
      </c>
    </row>
    <row r="2222" spans="1:42" x14ac:dyDescent="0.25">
      <c r="A2222" s="37">
        <v>29542</v>
      </c>
      <c r="B2222" s="39">
        <v>139.11000100000001</v>
      </c>
      <c r="C2222" s="36">
        <f>IF(ISBLANK(B2223), "", GSPC[[#This Row],[Adj Close]]/B2223-1)</f>
        <v>1.4290974012000524E-2</v>
      </c>
      <c r="D222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2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22" s="11" t="e">
        <f>IF(ISBLANK(GSPC[[#This Row],[Long Exp.]]), "", (GSPC[[#This Row],[Long Exp.]]/D2223-1)+(E2223/GSPC[[#This Row],[Short Exp.]]-1))</f>
        <v>#VALUE!</v>
      </c>
      <c r="G2222" s="37">
        <v>29542</v>
      </c>
      <c r="H2222">
        <v>1.105329</v>
      </c>
      <c r="I2222" s="36">
        <f>IF(ISBLANK(H2223), "", Long0[[#This Row],[Adj Close]]/H2223-1)</f>
        <v>5.5555343340139229E-2</v>
      </c>
      <c r="P2222" s="29">
        <v>29542</v>
      </c>
      <c r="Q2222">
        <v>0.51790700000000001</v>
      </c>
      <c r="R2222" s="33">
        <f>IF(ISBLANK(Q2223),"",Long3[[#This Row],[Adj Close]]/Q2223-1)</f>
        <v>-3.6496907120599054E-2</v>
      </c>
      <c r="AN2222" s="29">
        <v>29542</v>
      </c>
      <c r="AO2222" s="44">
        <v>0.83576099999999998</v>
      </c>
      <c r="AP2222" s="33">
        <f>IF(ISBLANK(AO2223),"",Short2[[#This Row],[Adj Close]]/AO2223-1)</f>
        <v>-2.4844408870386192E-2</v>
      </c>
    </row>
    <row r="2223" spans="1:42" x14ac:dyDescent="0.25">
      <c r="A2223" s="37">
        <v>29535</v>
      </c>
      <c r="B2223" s="39">
        <v>137.14999399999999</v>
      </c>
      <c r="C2223" s="36">
        <f>IF(ISBLANK(B2224), "", GSPC[[#This Row],[Adj Close]]/B2224-1)</f>
        <v>6.1696868182985476E-2</v>
      </c>
      <c r="D222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2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23" s="11" t="e">
        <f>IF(ISBLANK(GSPC[[#This Row],[Long Exp.]]), "", (GSPC[[#This Row],[Long Exp.]]/D2224-1)+(E2224/GSPC[[#This Row],[Short Exp.]]-1))</f>
        <v>#VALUE!</v>
      </c>
      <c r="G2223" s="37">
        <v>29535</v>
      </c>
      <c r="H2223">
        <v>1.0471539999999999</v>
      </c>
      <c r="I2223" s="36">
        <f>IF(ISBLANK(H2224), "", Long0[[#This Row],[Adj Close]]/H2224-1)</f>
        <v>-2.7027378600723684E-2</v>
      </c>
      <c r="P2223" s="29">
        <v>29535</v>
      </c>
      <c r="Q2223">
        <v>0.53752500000000003</v>
      </c>
      <c r="R2223" s="33">
        <f>IF(ISBLANK(Q2224),"",Long3[[#This Row],[Adj Close]]/Q2224-1)</f>
        <v>-7.2472199597745091E-3</v>
      </c>
      <c r="AN2223" s="29">
        <v>29535</v>
      </c>
      <c r="AO2223" s="44">
        <v>0.85705399999999998</v>
      </c>
      <c r="AP2223" s="33">
        <f>IF(ISBLANK(AO2224),"",Short2[[#This Row],[Adj Close]]/AO2224-1)</f>
        <v>0.13380278895266762</v>
      </c>
    </row>
    <row r="2224" spans="1:42" x14ac:dyDescent="0.25">
      <c r="A2224" s="37">
        <v>29528</v>
      </c>
      <c r="B2224" s="39">
        <v>129.179993</v>
      </c>
      <c r="C2224" s="36">
        <f>IF(ISBLANK(B2225), "", GSPC[[#This Row],[Adj Close]]/B2225-1)</f>
        <v>1.3414858292815079E-2</v>
      </c>
      <c r="D222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2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24" s="11" t="e">
        <f>IF(ISBLANK(GSPC[[#This Row],[Long Exp.]]), "", (GSPC[[#This Row],[Long Exp.]]/D2225-1)+(E2225/GSPC[[#This Row],[Short Exp.]]-1))</f>
        <v>#VALUE!</v>
      </c>
      <c r="G2224" s="37">
        <v>29528</v>
      </c>
      <c r="H2224">
        <v>1.0762419999999999</v>
      </c>
      <c r="I2224" s="36">
        <f>IF(ISBLANK(H2225), "", Long0[[#This Row],[Adj Close]]/H2225-1)</f>
        <v>0.17460327854539104</v>
      </c>
      <c r="P2224" s="29">
        <v>29528</v>
      </c>
      <c r="Q2224">
        <v>0.54144899999999996</v>
      </c>
      <c r="R2224" s="33">
        <f>IF(ISBLANK(Q2225),"",Long3[[#This Row],[Adj Close]]/Q2225-1)</f>
        <v>-1.4285558241822316E-2</v>
      </c>
      <c r="AN2224" s="29">
        <v>29528</v>
      </c>
      <c r="AO2224" s="44">
        <v>0.755911</v>
      </c>
      <c r="AP2224" s="33">
        <f>IF(ISBLANK(AO2225),"",Short2[[#This Row],[Adj Close]]/AO2225-1)</f>
        <v>9.2308003543194017E-2</v>
      </c>
    </row>
    <row r="2225" spans="1:42" x14ac:dyDescent="0.25">
      <c r="A2225" s="37">
        <v>29521</v>
      </c>
      <c r="B2225" s="39">
        <v>127.470001</v>
      </c>
      <c r="C2225" s="36">
        <f>IF(ISBLANK(B2226), "", GSPC[[#This Row],[Adj Close]]/B2226-1)</f>
        <v>-1.8328878629393475E-2</v>
      </c>
      <c r="D222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2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25" s="11" t="e">
        <f>IF(ISBLANK(GSPC[[#This Row],[Long Exp.]]), "", (GSPC[[#This Row],[Long Exp.]]/D2226-1)+(E2226/GSPC[[#This Row],[Short Exp.]]-1))</f>
        <v>#VALUE!</v>
      </c>
      <c r="G2225" s="37">
        <v>29521</v>
      </c>
      <c r="H2225">
        <v>0.91625999999999996</v>
      </c>
      <c r="I2225" s="36">
        <f>IF(ISBLANK(H2226), "", Long0[[#This Row],[Adj Close]]/H2226-1)</f>
        <v>8.6206835233853418E-2</v>
      </c>
      <c r="P2225" s="29">
        <v>29521</v>
      </c>
      <c r="Q2225">
        <v>0.54929600000000001</v>
      </c>
      <c r="R2225" s="33">
        <f>IF(ISBLANK(Q2226),"",Long3[[#This Row],[Adj Close]]/Q2226-1)</f>
        <v>-7.0912242710391427E-3</v>
      </c>
      <c r="AN2225" s="29">
        <v>29521</v>
      </c>
      <c r="AO2225" s="44">
        <v>0.69203099999999995</v>
      </c>
      <c r="AP2225" s="33">
        <f>IF(ISBLANK(AO2226),"",Short2[[#This Row],[Adj Close]]/AO2226-1)</f>
        <v>-3.703760394518596E-2</v>
      </c>
    </row>
    <row r="2226" spans="1:42" x14ac:dyDescent="0.25">
      <c r="A2226" s="37">
        <v>29514</v>
      </c>
      <c r="B2226" s="39">
        <v>129.85000600000001</v>
      </c>
      <c r="C2226" s="36">
        <f>IF(ISBLANK(B2227), "", GSPC[[#This Row],[Adj Close]]/B2227-1)</f>
        <v>-1.2697672971481944E-2</v>
      </c>
      <c r="D222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2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26" s="11" t="e">
        <f>IF(ISBLANK(GSPC[[#This Row],[Long Exp.]]), "", (GSPC[[#This Row],[Long Exp.]]/D2227-1)+(E2227/GSPC[[#This Row],[Short Exp.]]-1))</f>
        <v>#VALUE!</v>
      </c>
      <c r="G2226" s="37">
        <v>29514</v>
      </c>
      <c r="H2226">
        <v>0.84354099999999999</v>
      </c>
      <c r="I2226" s="36">
        <f>IF(ISBLANK(H2227), "", Long0[[#This Row],[Adj Close]]/H2227-1)</f>
        <v>0</v>
      </c>
      <c r="P2226" s="29">
        <v>29514</v>
      </c>
      <c r="Q2226">
        <v>0.55321900000000002</v>
      </c>
      <c r="R2226" s="33">
        <f>IF(ISBLANK(Q2227),"",Long3[[#This Row],[Adj Close]]/Q2227-1)</f>
        <v>0</v>
      </c>
      <c r="AN2226" s="29">
        <v>29514</v>
      </c>
      <c r="AO2226" s="44">
        <v>0.71864799999999995</v>
      </c>
      <c r="AP2226" s="33">
        <f>IF(ISBLANK(AO2227),"",Short2[[#This Row],[Adj Close]]/AO2227-1)</f>
        <v>3.8462149816987923E-2</v>
      </c>
    </row>
    <row r="2227" spans="1:42" x14ac:dyDescent="0.25">
      <c r="A2227" s="37">
        <v>29507</v>
      </c>
      <c r="B2227" s="39">
        <v>131.520004</v>
      </c>
      <c r="C2227" s="36">
        <f>IF(ISBLANK(B2228), "", GSPC[[#This Row],[Adj Close]]/B2228-1)</f>
        <v>9.4405638658678903E-3</v>
      </c>
      <c r="D222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2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27" s="11" t="e">
        <f>IF(ISBLANK(GSPC[[#This Row],[Long Exp.]]), "", (GSPC[[#This Row],[Long Exp.]]/D2228-1)+(E2228/GSPC[[#This Row],[Short Exp.]]-1))</f>
        <v>#VALUE!</v>
      </c>
      <c r="G2227" s="37">
        <v>29507</v>
      </c>
      <c r="H2227">
        <v>0.84354099999999999</v>
      </c>
      <c r="I2227" s="36">
        <f>IF(ISBLANK(H2228), "", Long0[[#This Row],[Adj Close]]/H2228-1)</f>
        <v>-6.4515878613665478E-2</v>
      </c>
      <c r="P2227" s="29">
        <v>29507</v>
      </c>
      <c r="Q2227">
        <v>0.55321900000000002</v>
      </c>
      <c r="R2227" s="33">
        <f>IF(ISBLANK(Q2228),"",Long3[[#This Row],[Adj Close]]/Q2228-1)</f>
        <v>4.44439829481309E-2</v>
      </c>
      <c r="AN2227" s="29">
        <v>29507</v>
      </c>
      <c r="AO2227" s="44">
        <v>0.69203099999999995</v>
      </c>
      <c r="AP2227" s="33">
        <f>IF(ISBLANK(AO2228),"",Short2[[#This Row],[Adj Close]]/AO2228-1)</f>
        <v>-3.703760394518596E-2</v>
      </c>
    </row>
    <row r="2228" spans="1:42" x14ac:dyDescent="0.25">
      <c r="A2228" s="37">
        <v>29500</v>
      </c>
      <c r="B2228" s="39">
        <v>130.28999300000001</v>
      </c>
      <c r="C2228" s="36">
        <f>IF(ISBLANK(B2229), "", GSPC[[#This Row],[Adj Close]]/B2229-1)</f>
        <v>7.4228020192870225E-3</v>
      </c>
      <c r="D222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2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28" s="11" t="e">
        <f>IF(ISBLANK(GSPC[[#This Row],[Long Exp.]]), "", (GSPC[[#This Row],[Long Exp.]]/D2229-1)+(E2229/GSPC[[#This Row],[Short Exp.]]-1))</f>
        <v>#VALUE!</v>
      </c>
      <c r="G2228" s="37">
        <v>29500</v>
      </c>
      <c r="H2228">
        <v>0.90171599999999996</v>
      </c>
      <c r="I2228" s="36">
        <f>IF(ISBLANK(H2229), "", Long0[[#This Row],[Adj Close]]/H2229-1)</f>
        <v>3.3332607557163385E-2</v>
      </c>
      <c r="P2228" s="29">
        <v>29500</v>
      </c>
      <c r="Q2228">
        <v>0.52967799999999998</v>
      </c>
      <c r="R2228" s="33">
        <f>IF(ISBLANK(Q2229),"",Long3[[#This Row],[Adj Close]]/Q2229-1)</f>
        <v>2.2728018736954736E-2</v>
      </c>
      <c r="AN2228" s="29">
        <v>29500</v>
      </c>
      <c r="AO2228" s="44">
        <v>0.71864799999999995</v>
      </c>
      <c r="AP2228" s="33">
        <f>IF(ISBLANK(AO2229),"",Short2[[#This Row],[Adj Close]]/AO2229-1)</f>
        <v>4.6510239417278498E-2</v>
      </c>
    </row>
    <row r="2229" spans="1:42" x14ac:dyDescent="0.25">
      <c r="A2229" s="37">
        <v>29493</v>
      </c>
      <c r="B2229" s="39">
        <v>129.33000200000001</v>
      </c>
      <c r="C2229" s="36">
        <f>IF(ISBLANK(B2230), "", GSPC[[#This Row],[Adj Close]]/B2230-1)</f>
        <v>2.3585311018366584E-2</v>
      </c>
      <c r="D222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2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29" s="11" t="e">
        <f>IF(ISBLANK(GSPC[[#This Row],[Long Exp.]]), "", (GSPC[[#This Row],[Long Exp.]]/D2230-1)+(E2230/GSPC[[#This Row],[Short Exp.]]-1))</f>
        <v>#VALUE!</v>
      </c>
      <c r="G2229" s="37">
        <v>29493</v>
      </c>
      <c r="H2229">
        <v>0.87262899999999999</v>
      </c>
      <c r="I2229" s="36">
        <f>IF(ISBLANK(H2230), "", Long0[[#This Row],[Adj Close]]/H2230-1)</f>
        <v>-6.2499731414991766E-2</v>
      </c>
      <c r="P2229" s="29">
        <v>29493</v>
      </c>
      <c r="Q2229">
        <v>0.51790700000000001</v>
      </c>
      <c r="R2229" s="33">
        <f>IF(ISBLANK(Q2230),"",Long3[[#This Row],[Adj Close]]/Q2230-1)</f>
        <v>-4.347962596661914E-2</v>
      </c>
      <c r="AN2229" s="29">
        <v>29493</v>
      </c>
      <c r="AO2229" s="44">
        <v>0.68670900000000001</v>
      </c>
      <c r="AP2229" s="33">
        <f>IF(ISBLANK(AO2230),"",Short2[[#This Row],[Adj Close]]/AO2230-1)</f>
        <v>0.19444686024789615</v>
      </c>
    </row>
    <row r="2230" spans="1:42" x14ac:dyDescent="0.25">
      <c r="A2230" s="37">
        <v>29486</v>
      </c>
      <c r="B2230" s="39">
        <v>126.349998</v>
      </c>
      <c r="C2230" s="36">
        <f>IF(ISBLANK(B2231), "", GSPC[[#This Row],[Adj Close]]/B2231-1)</f>
        <v>-2.2437152804642202E-2</v>
      </c>
      <c r="D223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3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30" s="11" t="e">
        <f>IF(ISBLANK(GSPC[[#This Row],[Long Exp.]]), "", (GSPC[[#This Row],[Long Exp.]]/D2231-1)+(E2231/GSPC[[#This Row],[Short Exp.]]-1))</f>
        <v>#VALUE!</v>
      </c>
      <c r="G2230" s="37">
        <v>29486</v>
      </c>
      <c r="H2230">
        <v>0.93080399999999996</v>
      </c>
      <c r="I2230" s="36">
        <f>IF(ISBLANK(H2231), "", Long0[[#This Row],[Adj Close]]/H2231-1)</f>
        <v>0</v>
      </c>
      <c r="P2230" s="29">
        <v>29486</v>
      </c>
      <c r="Q2230">
        <v>0.54144899999999996</v>
      </c>
      <c r="R2230" s="33">
        <f>IF(ISBLANK(Q2231),"",Long3[[#This Row],[Adj Close]]/Q2231-1)</f>
        <v>-4.8276189371328604E-2</v>
      </c>
      <c r="AN2230" s="29">
        <v>29486</v>
      </c>
      <c r="AO2230" s="44">
        <v>0.57491800000000004</v>
      </c>
      <c r="AP2230" s="33">
        <f>IF(ISBLANK(AO2231),"",Short2[[#This Row],[Adj Close]]/AO2231-1)</f>
        <v>-0.12550689807279847</v>
      </c>
    </row>
    <row r="2231" spans="1:42" x14ac:dyDescent="0.25">
      <c r="A2231" s="37">
        <v>29479</v>
      </c>
      <c r="B2231" s="39">
        <v>129.25</v>
      </c>
      <c r="C2231" s="36">
        <f>IF(ISBLANK(B2232), "", GSPC[[#This Row],[Adj Close]]/B2232-1)</f>
        <v>2.955232571648625E-2</v>
      </c>
      <c r="D223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3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31" s="11" t="e">
        <f>IF(ISBLANK(GSPC[[#This Row],[Long Exp.]]), "", (GSPC[[#This Row],[Long Exp.]]/D2232-1)+(E2232/GSPC[[#This Row],[Short Exp.]]-1))</f>
        <v>#VALUE!</v>
      </c>
      <c r="G2231" s="37">
        <v>29479</v>
      </c>
      <c r="H2231">
        <v>0.93080399999999996</v>
      </c>
      <c r="I2231" s="36">
        <f>IF(ISBLANK(H2232), "", Long0[[#This Row],[Adj Close]]/H2232-1)</f>
        <v>-0.11111068668027813</v>
      </c>
      <c r="P2231" s="29">
        <v>29479</v>
      </c>
      <c r="Q2231">
        <v>0.56891400000000003</v>
      </c>
      <c r="R2231" s="33">
        <f>IF(ISBLANK(Q2232),"",Long3[[#This Row],[Adj Close]]/Q2232-1)</f>
        <v>-2.0269199771304147E-2</v>
      </c>
      <c r="AN2231" s="29">
        <v>29479</v>
      </c>
      <c r="AO2231" s="44">
        <v>0.65742999999999996</v>
      </c>
      <c r="AP2231" s="33">
        <f>IF(ISBLANK(AO2232),"",Short2[[#This Row],[Adj Close]]/AO2232-1)</f>
        <v>4.6611403945866492E-2</v>
      </c>
    </row>
    <row r="2232" spans="1:42" x14ac:dyDescent="0.25">
      <c r="A2232" s="37">
        <v>29472</v>
      </c>
      <c r="B2232" s="39">
        <v>125.540001</v>
      </c>
      <c r="C2232" s="36">
        <f>IF(ISBLANK(B2233), "", GSPC[[#This Row],[Adj Close]]/B2233-1)</f>
        <v>5.285105828437775E-3</v>
      </c>
      <c r="D223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3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32" s="11" t="e">
        <f>IF(ISBLANK(GSPC[[#This Row],[Long Exp.]]), "", (GSPC[[#This Row],[Long Exp.]]/D2233-1)+(E2233/GSPC[[#This Row],[Short Exp.]]-1))</f>
        <v>#VALUE!</v>
      </c>
      <c r="G2232" s="37">
        <v>29472</v>
      </c>
      <c r="H2232">
        <v>1.0471539999999999</v>
      </c>
      <c r="I2232" s="36">
        <f>IF(ISBLANK(H2233), "", Long0[[#This Row],[Adj Close]]/H2233-1)</f>
        <v>-2.7027378600723684E-2</v>
      </c>
      <c r="P2232" s="29">
        <v>29472</v>
      </c>
      <c r="Q2232">
        <v>0.58068399999999998</v>
      </c>
      <c r="R2232" s="33">
        <f>IF(ISBLANK(Q2233),"",Long3[[#This Row],[Adj Close]]/Q2233-1)</f>
        <v>-1.9868175642031805E-2</v>
      </c>
      <c r="AN2232" s="29">
        <v>29472</v>
      </c>
      <c r="AO2232" s="44">
        <v>0.62815100000000001</v>
      </c>
      <c r="AP2232" s="33">
        <f>IF(ISBLANK(AO2233),"",Short2[[#This Row],[Adj Close]]/AO2233-1)</f>
        <v>-4.4535539905389054E-2</v>
      </c>
    </row>
    <row r="2233" spans="1:42" x14ac:dyDescent="0.25">
      <c r="A2233" s="37">
        <v>29465</v>
      </c>
      <c r="B2233" s="39">
        <v>124.879997</v>
      </c>
      <c r="C2233" s="36">
        <f>IF(ISBLANK(B2234), "", GSPC[[#This Row],[Adj Close]]/B2234-1)</f>
        <v>2.0428175039095553E-2</v>
      </c>
      <c r="D223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3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33" s="11" t="e">
        <f>IF(ISBLANK(GSPC[[#This Row],[Long Exp.]]), "", (GSPC[[#This Row],[Long Exp.]]/D2234-1)+(E2234/GSPC[[#This Row],[Short Exp.]]-1))</f>
        <v>#VALUE!</v>
      </c>
      <c r="G2233" s="37">
        <v>29465</v>
      </c>
      <c r="H2233">
        <v>1.0762419999999999</v>
      </c>
      <c r="I2233" s="36">
        <f>IF(ISBLANK(H2234), "", Long0[[#This Row],[Adj Close]]/H2234-1)</f>
        <v>-1.3333504463753809E-2</v>
      </c>
      <c r="P2233" s="29">
        <v>29465</v>
      </c>
      <c r="Q2233">
        <v>0.59245499999999995</v>
      </c>
      <c r="R2233" s="33">
        <f>IF(ISBLANK(Q2234),"",Long3[[#This Row],[Adj Close]]/Q2234-1)</f>
        <v>-6.5780427849451151E-3</v>
      </c>
      <c r="AN2233" s="29">
        <v>29465</v>
      </c>
      <c r="AO2233" s="44">
        <v>0.65742999999999996</v>
      </c>
      <c r="AP2233" s="33">
        <f>IF(ISBLANK(AO2234),"",Short2[[#This Row],[Adj Close]]/AO2234-1)</f>
        <v>5.5556269146537884E-2</v>
      </c>
    </row>
    <row r="2234" spans="1:42" x14ac:dyDescent="0.25">
      <c r="A2234" s="37">
        <v>29458</v>
      </c>
      <c r="B2234" s="39">
        <v>122.379997</v>
      </c>
      <c r="C2234" s="36">
        <f>IF(ISBLANK(B2235), "", GSPC[[#This Row],[Adj Close]]/B2235-1)</f>
        <v>-2.8884304766330082E-2</v>
      </c>
      <c r="D223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3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34" s="11" t="e">
        <f>IF(ISBLANK(GSPC[[#This Row],[Long Exp.]]), "", (GSPC[[#This Row],[Long Exp.]]/D2235-1)+(E2235/GSPC[[#This Row],[Short Exp.]]-1))</f>
        <v>#VALUE!</v>
      </c>
      <c r="G2234" s="37">
        <v>29458</v>
      </c>
      <c r="H2234">
        <v>1.090786</v>
      </c>
      <c r="I2234" s="36">
        <f>IF(ISBLANK(H2235), "", Long0[[#This Row],[Adj Close]]/H2235-1)</f>
        <v>-1.3157168589623569E-2</v>
      </c>
      <c r="P2234" s="29">
        <v>29458</v>
      </c>
      <c r="Q2234">
        <v>0.59637799999999996</v>
      </c>
      <c r="R2234" s="33">
        <f>IF(ISBLANK(Q2235),"",Long3[[#This Row],[Adj Close]]/Q2235-1)</f>
        <v>0</v>
      </c>
      <c r="AN2234" s="29">
        <v>29458</v>
      </c>
      <c r="AO2234" s="44">
        <v>0.62282800000000005</v>
      </c>
      <c r="AP2234" s="33">
        <f>IF(ISBLANK(AO2235),"",Short2[[#This Row],[Adj Close]]/AO2235-1)</f>
        <v>-3.3058954670077911E-2</v>
      </c>
    </row>
    <row r="2235" spans="1:42" x14ac:dyDescent="0.25">
      <c r="A2235" s="37">
        <v>29451</v>
      </c>
      <c r="B2235" s="39">
        <v>126.019997</v>
      </c>
      <c r="C2235" s="36">
        <f>IF(ISBLANK(B2236), "", GSPC[[#This Row],[Adj Close]]/B2236-1)</f>
        <v>2.3862233345035566E-3</v>
      </c>
      <c r="D223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3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35" s="11" t="e">
        <f>IF(ISBLANK(GSPC[[#This Row],[Long Exp.]]), "", (GSPC[[#This Row],[Long Exp.]]/D2236-1)+(E2236/GSPC[[#This Row],[Short Exp.]]-1))</f>
        <v>#VALUE!</v>
      </c>
      <c r="G2235" s="37">
        <v>29451</v>
      </c>
      <c r="H2235">
        <v>1.105329</v>
      </c>
      <c r="I2235" s="36">
        <f>IF(ISBLANK(H2236), "", Long0[[#This Row],[Adj Close]]/H2236-1)</f>
        <v>5.5555343340139229E-2</v>
      </c>
      <c r="P2235" s="29">
        <v>29451</v>
      </c>
      <c r="Q2235">
        <v>0.59637799999999996</v>
      </c>
      <c r="R2235" s="33">
        <f>IF(ISBLANK(Q2236),"",Long3[[#This Row],[Adj Close]]/Q2236-1)</f>
        <v>6.6215999527390323E-3</v>
      </c>
      <c r="AN2235" s="29">
        <v>29451</v>
      </c>
      <c r="AO2235" s="44">
        <v>0.64412199999999997</v>
      </c>
      <c r="AP2235" s="33">
        <f>IF(ISBLANK(AO2236),"",Short2[[#This Row],[Adj Close]]/AO2236-1)</f>
        <v>-5.4685757223533304E-2</v>
      </c>
    </row>
    <row r="2236" spans="1:42" x14ac:dyDescent="0.25">
      <c r="A2236" s="37">
        <v>29444</v>
      </c>
      <c r="B2236" s="39">
        <v>125.720001</v>
      </c>
      <c r="C2236" s="36">
        <f>IF(ISBLANK(B2237), "", GSPC[[#This Row],[Adj Close]]/B2237-1)</f>
        <v>1.7069816219805745E-2</v>
      </c>
      <c r="D223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3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36" s="11" t="e">
        <f>IF(ISBLANK(GSPC[[#This Row],[Long Exp.]]), "", (GSPC[[#This Row],[Long Exp.]]/D2237-1)+(E2237/GSPC[[#This Row],[Short Exp.]]-1))</f>
        <v>#VALUE!</v>
      </c>
      <c r="G2236" s="37">
        <v>29444</v>
      </c>
      <c r="H2236">
        <v>1.0471539999999999</v>
      </c>
      <c r="I2236" s="36">
        <f>IF(ISBLANK(H2237), "", Long0[[#This Row],[Adj Close]]/H2237-1)</f>
        <v>0</v>
      </c>
      <c r="P2236" s="29">
        <v>29444</v>
      </c>
      <c r="Q2236">
        <v>0.59245499999999995</v>
      </c>
      <c r="R2236" s="33">
        <f>IF(ISBLANK(Q2237),"",Long3[[#This Row],[Adj Close]]/Q2237-1)</f>
        <v>6.6674482737527629E-3</v>
      </c>
      <c r="AN2236" s="29">
        <v>29444</v>
      </c>
      <c r="AO2236" s="44">
        <v>0.68138399999999999</v>
      </c>
      <c r="AP2236" s="33">
        <f>IF(ISBLANK(AO2237),"",Short2[[#This Row],[Adj Close]]/AO2237-1)</f>
        <v>-1.5385148931189474E-2</v>
      </c>
    </row>
    <row r="2237" spans="1:42" x14ac:dyDescent="0.25">
      <c r="A2237" s="37">
        <v>29437</v>
      </c>
      <c r="B2237" s="39">
        <v>123.610001</v>
      </c>
      <c r="C2237" s="36">
        <f>IF(ISBLANK(B2238), "", GSPC[[#This Row],[Adj Close]]/B2238-1)</f>
        <v>1.9800363169708568E-2</v>
      </c>
      <c r="D223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3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37" s="11" t="e">
        <f>IF(ISBLANK(GSPC[[#This Row],[Long Exp.]]), "", (GSPC[[#This Row],[Long Exp.]]/D2238-1)+(E2238/GSPC[[#This Row],[Short Exp.]]-1))</f>
        <v>#VALUE!</v>
      </c>
      <c r="G2237" s="37">
        <v>29437</v>
      </c>
      <c r="H2237">
        <v>1.0471539999999999</v>
      </c>
      <c r="I2237" s="36">
        <f>IF(ISBLANK(H2238), "", Long0[[#This Row],[Adj Close]]/H2238-1)</f>
        <v>-6.4935876714701912E-2</v>
      </c>
      <c r="P2237" s="29">
        <v>29437</v>
      </c>
      <c r="Q2237">
        <v>0.58853100000000003</v>
      </c>
      <c r="R2237" s="33">
        <f>IF(ISBLANK(Q2238),"",Long3[[#This Row],[Adj Close]]/Q2238-1)</f>
        <v>-2.5975380073019028E-2</v>
      </c>
      <c r="AN2237" s="29">
        <v>29437</v>
      </c>
      <c r="AO2237" s="44">
        <v>0.69203099999999995</v>
      </c>
      <c r="AP2237" s="33">
        <f>IF(ISBLANK(AO2238),"",Short2[[#This Row],[Adj Close]]/AO2238-1)</f>
        <v>-7.6345620236465406E-3</v>
      </c>
    </row>
    <row r="2238" spans="1:42" x14ac:dyDescent="0.25">
      <c r="A2238" s="37">
        <v>29430</v>
      </c>
      <c r="B2238" s="39">
        <v>121.209999</v>
      </c>
      <c r="C2238" s="36">
        <f>IF(ISBLANK(B2239), "", GSPC[[#This Row],[Adj Close]]/B2239-1)</f>
        <v>3.5601921142589532E-3</v>
      </c>
      <c r="D223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3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38" s="11" t="e">
        <f>IF(ISBLANK(GSPC[[#This Row],[Long Exp.]]), "", (GSPC[[#This Row],[Long Exp.]]/D2239-1)+(E2239/GSPC[[#This Row],[Short Exp.]]-1))</f>
        <v>#VALUE!</v>
      </c>
      <c r="G2238" s="37">
        <v>29430</v>
      </c>
      <c r="H2238">
        <v>1.119874</v>
      </c>
      <c r="I2238" s="36">
        <f>IF(ISBLANK(H2239), "", Long0[[#This Row],[Adj Close]]/H2239-1)</f>
        <v>-1.2819800831616601E-2</v>
      </c>
      <c r="P2238" s="29">
        <v>29430</v>
      </c>
      <c r="Q2238">
        <v>0.60422600000000004</v>
      </c>
      <c r="R2238" s="33">
        <f>IF(ISBLANK(Q2239),"",Long3[[#This Row],[Adj Close]]/Q2239-1)</f>
        <v>-2.5314597552260842E-2</v>
      </c>
      <c r="AN2238" s="29">
        <v>29430</v>
      </c>
      <c r="AO2238" s="44">
        <v>0.69735499999999995</v>
      </c>
      <c r="AP2238" s="33">
        <f>IF(ISBLANK(AO2239),"",Short2[[#This Row],[Adj Close]]/AO2239-1)</f>
        <v>3.9683154972582457E-2</v>
      </c>
    </row>
    <row r="2239" spans="1:42" x14ac:dyDescent="0.25">
      <c r="A2239" s="37">
        <v>29423</v>
      </c>
      <c r="B2239" s="39">
        <v>120.779999</v>
      </c>
      <c r="C2239" s="36">
        <f>IF(ISBLANK(B2240), "", GSPC[[#This Row],[Adj Close]]/B2240-1)</f>
        <v>-1.0324500079281429E-2</v>
      </c>
      <c r="D223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3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39" s="11" t="e">
        <f>IF(ISBLANK(GSPC[[#This Row],[Long Exp.]]), "", (GSPC[[#This Row],[Long Exp.]]/D2240-1)+(E2240/GSPC[[#This Row],[Short Exp.]]-1))</f>
        <v>#VALUE!</v>
      </c>
      <c r="G2239" s="37">
        <v>29423</v>
      </c>
      <c r="H2239">
        <v>1.134417</v>
      </c>
      <c r="I2239" s="36">
        <f>IF(ISBLANK(H2240), "", Long0[[#This Row],[Adj Close]]/H2240-1)</f>
        <v>0</v>
      </c>
      <c r="P2239" s="29">
        <v>29423</v>
      </c>
      <c r="Q2239">
        <v>0.619919</v>
      </c>
      <c r="R2239" s="33">
        <f>IF(ISBLANK(Q2240),"",Long3[[#This Row],[Adj Close]]/Q2240-1)</f>
        <v>3.2678551795596311E-2</v>
      </c>
      <c r="AN2239" s="29">
        <v>29423</v>
      </c>
      <c r="AO2239" s="44">
        <v>0.67073799999999995</v>
      </c>
      <c r="AP2239" s="33">
        <f>IF(ISBLANK(AO2240),"",Short2[[#This Row],[Adj Close]]/AO2240-1)</f>
        <v>-7.8735498719790797E-3</v>
      </c>
    </row>
    <row r="2240" spans="1:42" x14ac:dyDescent="0.25">
      <c r="A2240" s="37">
        <v>29416</v>
      </c>
      <c r="B2240" s="39">
        <v>122.040001</v>
      </c>
      <c r="C2240" s="36">
        <f>IF(ISBLANK(B2241), "", GSPC[[#This Row],[Adj Close]]/B2241-1)</f>
        <v>3.5641591501751169E-2</v>
      </c>
      <c r="D224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4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40" s="11" t="e">
        <f>IF(ISBLANK(GSPC[[#This Row],[Long Exp.]]), "", (GSPC[[#This Row],[Long Exp.]]/D2241-1)+(E2241/GSPC[[#This Row],[Short Exp.]]-1))</f>
        <v>#VALUE!</v>
      </c>
      <c r="G2240" s="37">
        <v>29416</v>
      </c>
      <c r="H2240">
        <v>1.134417</v>
      </c>
      <c r="I2240" s="36">
        <f>IF(ISBLANK(H2241), "", Long0[[#This Row],[Adj Close]]/H2241-1)</f>
        <v>-4.878110134807101E-2</v>
      </c>
      <c r="P2240" s="29">
        <v>29416</v>
      </c>
      <c r="Q2240">
        <v>0.600302</v>
      </c>
      <c r="R2240" s="33">
        <f>IF(ISBLANK(Q2241),"",Long3[[#This Row],[Adj Close]]/Q2241-1)</f>
        <v>0</v>
      </c>
      <c r="AN2240" s="29">
        <v>29416</v>
      </c>
      <c r="AO2240" s="44">
        <v>0.67606100000000002</v>
      </c>
      <c r="AP2240" s="33">
        <f>IF(ISBLANK(AO2241),"",Short2[[#This Row],[Adj Close]]/AO2241-1)</f>
        <v>0.12888876272598715</v>
      </c>
    </row>
    <row r="2241" spans="1:42" x14ac:dyDescent="0.25">
      <c r="A2241" s="37">
        <v>29409</v>
      </c>
      <c r="B2241" s="39">
        <v>117.839996</v>
      </c>
      <c r="C2241" s="36">
        <f>IF(ISBLANK(B2242), "", GSPC[[#This Row],[Adj Close]]/B2242-1)</f>
        <v>3.2351183657000071E-3</v>
      </c>
      <c r="D224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4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41" s="11" t="e">
        <f>IF(ISBLANK(GSPC[[#This Row],[Long Exp.]]), "", (GSPC[[#This Row],[Long Exp.]]/D2242-1)+(E2242/GSPC[[#This Row],[Short Exp.]]-1))</f>
        <v>#VALUE!</v>
      </c>
      <c r="G2241" s="37">
        <v>29409</v>
      </c>
      <c r="H2241">
        <v>1.192593</v>
      </c>
      <c r="I2241" s="36">
        <f>IF(ISBLANK(H2242), "", Long0[[#This Row],[Adj Close]]/H2242-1)</f>
        <v>2.5001203261870941E-2</v>
      </c>
      <c r="P2241" s="29">
        <v>29409</v>
      </c>
      <c r="Q2241">
        <v>0.600302</v>
      </c>
      <c r="R2241" s="33">
        <f>IF(ISBLANK(Q2242),"",Long3[[#This Row],[Adj Close]]/Q2242-1)</f>
        <v>2.0000645675418927E-2</v>
      </c>
      <c r="AN2241" s="29">
        <v>29409</v>
      </c>
      <c r="AO2241" s="44">
        <v>0.59887299999999999</v>
      </c>
      <c r="AP2241" s="33">
        <f>IF(ISBLANK(AO2242),"",Short2[[#This Row],[Adj Close]]/AO2242-1)</f>
        <v>1.3513559253191865E-2</v>
      </c>
    </row>
    <row r="2242" spans="1:42" x14ac:dyDescent="0.25">
      <c r="A2242" s="37">
        <v>29402</v>
      </c>
      <c r="B2242" s="39">
        <v>117.459999</v>
      </c>
      <c r="C2242" s="36">
        <f>IF(ISBLANK(B2243), "", GSPC[[#This Row],[Adj Close]]/B2243-1)</f>
        <v>1.2586198275861937E-2</v>
      </c>
      <c r="D224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4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42" s="11" t="e">
        <f>IF(ISBLANK(GSPC[[#This Row],[Long Exp.]]), "", (GSPC[[#This Row],[Long Exp.]]/D2243-1)+(E2243/GSPC[[#This Row],[Short Exp.]]-1))</f>
        <v>#VALUE!</v>
      </c>
      <c r="G2242" s="37">
        <v>29402</v>
      </c>
      <c r="H2242">
        <v>1.1635040000000001</v>
      </c>
      <c r="I2242" s="36">
        <f>IF(ISBLANK(H2243), "", Long0[[#This Row],[Adj Close]]/H2243-1)</f>
        <v>5.2631388482524244E-2</v>
      </c>
      <c r="P2242" s="29">
        <v>29402</v>
      </c>
      <c r="Q2242">
        <v>0.58853100000000003</v>
      </c>
      <c r="R2242" s="33">
        <f>IF(ISBLANK(Q2243),"",Long3[[#This Row],[Adj Close]]/Q2243-1)</f>
        <v>-4.4586328482652426E-2</v>
      </c>
      <c r="AN2242" s="29">
        <v>29402</v>
      </c>
      <c r="AO2242" s="44">
        <v>0.59088799999999997</v>
      </c>
      <c r="AP2242" s="33">
        <f>IF(ISBLANK(AO2243),"",Short2[[#This Row],[Adj Close]]/AO2243-1)</f>
        <v>6.2199907601651727E-2</v>
      </c>
    </row>
    <row r="2243" spans="1:42" x14ac:dyDescent="0.25">
      <c r="A2243" s="37">
        <v>29395</v>
      </c>
      <c r="B2243" s="39">
        <v>116</v>
      </c>
      <c r="C2243" s="36">
        <f>IF(ISBLANK(B2244), "", GSPC[[#This Row],[Adj Close]]/B2244-1)</f>
        <v>1.7008609802009689E-2</v>
      </c>
      <c r="D224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4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43" s="11" t="e">
        <f>IF(ISBLANK(GSPC[[#This Row],[Long Exp.]]), "", (GSPC[[#This Row],[Long Exp.]]/D2244-1)+(E2244/GSPC[[#This Row],[Short Exp.]]-1))</f>
        <v>#VALUE!</v>
      </c>
      <c r="G2243" s="37">
        <v>29395</v>
      </c>
      <c r="H2243">
        <v>1.105329</v>
      </c>
      <c r="I2243" s="36">
        <f>IF(ISBLANK(H2244), "", Long0[[#This Row],[Adj Close]]/H2244-1)</f>
        <v>0</v>
      </c>
      <c r="P2243" s="29">
        <v>29395</v>
      </c>
      <c r="Q2243">
        <v>0.61599599999999999</v>
      </c>
      <c r="R2243" s="33">
        <f>IF(ISBLANK(Q2244),"",Long3[[#This Row],[Adj Close]]/Q2244-1)</f>
        <v>-6.3282461095723885E-3</v>
      </c>
      <c r="AN2243" s="29">
        <v>29395</v>
      </c>
      <c r="AO2243" s="44">
        <v>0.55628699999999998</v>
      </c>
      <c r="AP2243" s="33">
        <f>IF(ISBLANK(AO2244),"",Short2[[#This Row],[Adj Close]]/AO2244-1)</f>
        <v>6.0913860477889603E-2</v>
      </c>
    </row>
    <row r="2244" spans="1:42" x14ac:dyDescent="0.25">
      <c r="A2244" s="37">
        <v>29388</v>
      </c>
      <c r="B2244" s="39">
        <v>114.05999799999999</v>
      </c>
      <c r="C2244" s="36">
        <f>IF(ISBLANK(B2245), "", GSPC[[#This Row],[Adj Close]]/B2245-1)</f>
        <v>-1.5110957863931573E-2</v>
      </c>
      <c r="D224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4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44" s="11" t="e">
        <f>IF(ISBLANK(GSPC[[#This Row],[Long Exp.]]), "", (GSPC[[#This Row],[Long Exp.]]/D2245-1)+(E2245/GSPC[[#This Row],[Short Exp.]]-1))</f>
        <v>#VALUE!</v>
      </c>
      <c r="G2244" s="37">
        <v>29388</v>
      </c>
      <c r="H2244">
        <v>1.105329</v>
      </c>
      <c r="I2244" s="36">
        <f>IF(ISBLANK(H2245), "", Long0[[#This Row],[Adj Close]]/H2245-1)</f>
        <v>-7.3171652022106404E-2</v>
      </c>
      <c r="P2244" s="29">
        <v>29388</v>
      </c>
      <c r="Q2244">
        <v>0.619919</v>
      </c>
      <c r="R2244" s="33">
        <f>IF(ISBLANK(Q2245),"",Long3[[#This Row],[Adj Close]]/Q2245-1)</f>
        <v>0</v>
      </c>
      <c r="AN2244" s="29">
        <v>29388</v>
      </c>
      <c r="AO2244" s="44">
        <v>0.52434700000000001</v>
      </c>
      <c r="AP2244" s="33">
        <f>IF(ISBLANK(AO2245),"",Short2[[#This Row],[Adj Close]]/AO2245-1)</f>
        <v>5.1026960713842495E-3</v>
      </c>
    </row>
    <row r="2245" spans="1:42" x14ac:dyDescent="0.25">
      <c r="A2245" s="37">
        <v>29381</v>
      </c>
      <c r="B2245" s="39">
        <v>115.80999799999999</v>
      </c>
      <c r="C2245" s="36">
        <f>IF(ISBLANK(B2246), "", GSPC[[#This Row],[Adj Close]]/B2246-1)</f>
        <v>2.3056546547435053E-2</v>
      </c>
      <c r="D224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4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45" s="11" t="e">
        <f>IF(ISBLANK(GSPC[[#This Row],[Long Exp.]]), "", (GSPC[[#This Row],[Long Exp.]]/D2246-1)+(E2246/GSPC[[#This Row],[Short Exp.]]-1))</f>
        <v>#VALUE!</v>
      </c>
      <c r="G2245" s="37">
        <v>29381</v>
      </c>
      <c r="H2245">
        <v>1.192593</v>
      </c>
      <c r="I2245" s="36">
        <f>IF(ISBLANK(H2246), "", Long0[[#This Row],[Adj Close]]/H2246-1)</f>
        <v>-2.3809816146768248E-2</v>
      </c>
      <c r="P2245" s="29">
        <v>29381</v>
      </c>
      <c r="Q2245">
        <v>0.619919</v>
      </c>
      <c r="R2245" s="33">
        <f>IF(ISBLANK(Q2246),"",Long3[[#This Row],[Adj Close]]/Q2246-1)</f>
        <v>2.5972070053258189E-2</v>
      </c>
      <c r="AN2245" s="29">
        <v>29381</v>
      </c>
      <c r="AO2245" s="44">
        <v>0.52168499999999995</v>
      </c>
      <c r="AP2245" s="33">
        <f>IF(ISBLANK(AO2246),"",Short2[[#This Row],[Adj Close]]/AO2246-1)</f>
        <v>7.6922600542502106E-2</v>
      </c>
    </row>
    <row r="2246" spans="1:42" x14ac:dyDescent="0.25">
      <c r="A2246" s="37">
        <v>29374</v>
      </c>
      <c r="B2246" s="39">
        <v>113.199997</v>
      </c>
      <c r="C2246" s="36">
        <f>IF(ISBLANK(B2247), "", GSPC[[#This Row],[Adj Close]]/B2247-1)</f>
        <v>1.7619552636094049E-2</v>
      </c>
      <c r="D224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4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46" s="11" t="e">
        <f>IF(ISBLANK(GSPC[[#This Row],[Long Exp.]]), "", (GSPC[[#This Row],[Long Exp.]]/D2247-1)+(E2247/GSPC[[#This Row],[Short Exp.]]-1))</f>
        <v>#VALUE!</v>
      </c>
      <c r="G2246" s="37">
        <v>29374</v>
      </c>
      <c r="H2246">
        <v>1.221681</v>
      </c>
      <c r="I2246" s="36">
        <f>IF(ISBLANK(H2247), "", Long0[[#This Row],[Adj Close]]/H2247-1)</f>
        <v>0.13513596384456283</v>
      </c>
      <c r="P2246" s="29">
        <v>29374</v>
      </c>
      <c r="Q2246">
        <v>0.60422600000000004</v>
      </c>
      <c r="R2246" s="33">
        <f>IF(ISBLANK(Q2247),"",Long3[[#This Row],[Adj Close]]/Q2247-1)</f>
        <v>-4.347702195697245E-2</v>
      </c>
      <c r="AN2246" s="29">
        <v>29374</v>
      </c>
      <c r="AO2246" s="44">
        <v>0.48442200000000002</v>
      </c>
      <c r="AP2246" s="33">
        <f>IF(ISBLANK(AO2247),"",Short2[[#This Row],[Adj Close]]/AO2247-1)</f>
        <v>-5.2082232632406966E-2</v>
      </c>
    </row>
    <row r="2247" spans="1:42" x14ac:dyDescent="0.25">
      <c r="A2247" s="37">
        <v>29367</v>
      </c>
      <c r="B2247" s="39">
        <v>111.239998</v>
      </c>
      <c r="C2247" s="36">
        <f>IF(ISBLANK(B2248), "", GSPC[[#This Row],[Adj Close]]/B2248-1)</f>
        <v>5.6047277453066258E-3</v>
      </c>
      <c r="D224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4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47" s="11" t="e">
        <f>IF(ISBLANK(GSPC[[#This Row],[Long Exp.]]), "", (GSPC[[#This Row],[Long Exp.]]/D2248-1)+(E2248/GSPC[[#This Row],[Short Exp.]]-1))</f>
        <v>#VALUE!</v>
      </c>
      <c r="G2247" s="37">
        <v>29367</v>
      </c>
      <c r="H2247">
        <v>1.0762419999999999</v>
      </c>
      <c r="I2247" s="36">
        <f>IF(ISBLANK(H2248), "", Long0[[#This Row],[Adj Close]]/H2248-1)</f>
        <v>8.8235442815266962E-2</v>
      </c>
      <c r="P2247" s="29">
        <v>29367</v>
      </c>
      <c r="Q2247">
        <v>0.63168999999999997</v>
      </c>
      <c r="R2247" s="33">
        <f>IF(ISBLANK(Q2248),"",Long3[[#This Row],[Adj Close]]/Q2248-1)</f>
        <v>1.8987964556659742E-2</v>
      </c>
      <c r="AN2247" s="29">
        <v>29367</v>
      </c>
      <c r="AO2247" s="44">
        <v>0.51103799999999999</v>
      </c>
      <c r="AP2247" s="33">
        <f>IF(ISBLANK(AO2248),"",Short2[[#This Row],[Adj Close]]/AO2248-1)</f>
        <v>9.7142489104532048E-2</v>
      </c>
    </row>
    <row r="2248" spans="1:42" x14ac:dyDescent="0.25">
      <c r="A2248" s="37">
        <v>29360</v>
      </c>
      <c r="B2248" s="39">
        <v>110.620003</v>
      </c>
      <c r="C2248" s="36">
        <f>IF(ISBLANK(B2249), "", GSPC[[#This Row],[Adj Close]]/B2249-1)</f>
        <v>3.0461155667650841E-2</v>
      </c>
      <c r="D224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4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48" s="11" t="e">
        <f>IF(ISBLANK(GSPC[[#This Row],[Long Exp.]]), "", (GSPC[[#This Row],[Long Exp.]]/D2249-1)+(E2249/GSPC[[#This Row],[Short Exp.]]-1))</f>
        <v>#VALUE!</v>
      </c>
      <c r="G2248" s="37">
        <v>29360</v>
      </c>
      <c r="H2248">
        <v>0.98897900000000005</v>
      </c>
      <c r="I2248" s="36">
        <f>IF(ISBLANK(H2249), "", Long0[[#This Row],[Adj Close]]/H2249-1)</f>
        <v>0</v>
      </c>
      <c r="P2248" s="29">
        <v>29360</v>
      </c>
      <c r="Q2248">
        <v>0.619919</v>
      </c>
      <c r="R2248" s="33">
        <f>IF(ISBLANK(Q2249),"",Long3[[#This Row],[Adj Close]]/Q2249-1)</f>
        <v>1.9353809674931499E-2</v>
      </c>
      <c r="AN2248" s="29">
        <v>29360</v>
      </c>
      <c r="AO2248" s="44">
        <v>0.46578999999999998</v>
      </c>
      <c r="AP2248" s="33">
        <f>IF(ISBLANK(AO2249),"",Short2[[#This Row],[Adj Close]]/AO2249-1)</f>
        <v>-1.1300874098413516E-2</v>
      </c>
    </row>
    <row r="2249" spans="1:42" x14ac:dyDescent="0.25">
      <c r="A2249" s="37">
        <v>29353</v>
      </c>
      <c r="B2249" s="39">
        <v>107.349998</v>
      </c>
      <c r="C2249" s="36">
        <f>IF(ISBLANK(B2250), "", GSPC[[#This Row],[Adj Close]]/B2250-1)</f>
        <v>2.5114562403413254E-2</v>
      </c>
      <c r="D224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4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49" s="11" t="e">
        <f>IF(ISBLANK(GSPC[[#This Row],[Long Exp.]]), "", (GSPC[[#This Row],[Long Exp.]]/D2250-1)+(E2250/GSPC[[#This Row],[Short Exp.]]-1))</f>
        <v>#VALUE!</v>
      </c>
      <c r="G2249" s="37">
        <v>29353</v>
      </c>
      <c r="H2249">
        <v>0.98897900000000005</v>
      </c>
      <c r="I2249" s="36">
        <f>IF(ISBLANK(H2250), "", Long0[[#This Row],[Adj Close]]/H2250-1)</f>
        <v>0</v>
      </c>
      <c r="P2249" s="29">
        <v>29353</v>
      </c>
      <c r="Q2249">
        <v>0.60814900000000005</v>
      </c>
      <c r="R2249" s="33">
        <f>IF(ISBLANK(Q2250),"",Long3[[#This Row],[Adj Close]]/Q2250-1)</f>
        <v>1.9737481932599943E-2</v>
      </c>
      <c r="AN2249" s="29">
        <v>29353</v>
      </c>
      <c r="AO2249" s="44">
        <v>0.47111399999999998</v>
      </c>
      <c r="AP2249" s="33">
        <f>IF(ISBLANK(AO2250),"",Short2[[#This Row],[Adj Close]]/AO2250-1)</f>
        <v>9.2592807330428073E-2</v>
      </c>
    </row>
    <row r="2250" spans="1:42" x14ac:dyDescent="0.25">
      <c r="A2250" s="37">
        <v>29346</v>
      </c>
      <c r="B2250" s="39">
        <v>104.720001</v>
      </c>
      <c r="C2250" s="36">
        <f>IF(ISBLANK(B2251), "", GSPC[[#This Row],[Adj Close]]/B2251-1)</f>
        <v>-8.1454914160732361E-3</v>
      </c>
      <c r="D225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5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50" s="11" t="e">
        <f>IF(ISBLANK(GSPC[[#This Row],[Long Exp.]]), "", (GSPC[[#This Row],[Long Exp.]]/D2251-1)+(E2251/GSPC[[#This Row],[Short Exp.]]-1))</f>
        <v>#VALUE!</v>
      </c>
      <c r="G2250" s="37">
        <v>29346</v>
      </c>
      <c r="H2250">
        <v>0.98897900000000005</v>
      </c>
      <c r="I2250" s="36">
        <f>IF(ISBLANK(H2251), "", Long0[[#This Row],[Adj Close]]/H2251-1)</f>
        <v>9.6774372418810373E-2</v>
      </c>
      <c r="P2250" s="29">
        <v>29346</v>
      </c>
      <c r="Q2250">
        <v>0.59637799999999996</v>
      </c>
      <c r="R2250" s="33">
        <f>IF(ISBLANK(Q2251),"",Long3[[#This Row],[Adj Close]]/Q2251-1)</f>
        <v>1.3333197401666164E-2</v>
      </c>
      <c r="AN2250" s="29">
        <v>29346</v>
      </c>
      <c r="AO2250" s="44">
        <v>0.43118899999999999</v>
      </c>
      <c r="AP2250" s="33">
        <f>IF(ISBLANK(AO2251),"",Short2[[#This Row],[Adj Close]]/AO2251-1)</f>
        <v>8.724945598317646E-2</v>
      </c>
    </row>
    <row r="2251" spans="1:42" x14ac:dyDescent="0.25">
      <c r="A2251" s="37">
        <v>29339</v>
      </c>
      <c r="B2251" s="39">
        <v>105.58000199999999</v>
      </c>
      <c r="C2251" s="36">
        <f>IF(ISBLANK(B2252), "", GSPC[[#This Row],[Adj Close]]/B2252-1)</f>
        <v>3.993894865199854E-3</v>
      </c>
      <c r="D225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5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51" s="11" t="e">
        <f>IF(ISBLANK(GSPC[[#This Row],[Long Exp.]]), "", (GSPC[[#This Row],[Long Exp.]]/D2252-1)+(E2252/GSPC[[#This Row],[Short Exp.]]-1))</f>
        <v>#VALUE!</v>
      </c>
      <c r="G2251" s="37">
        <v>29339</v>
      </c>
      <c r="H2251">
        <v>0.90171599999999996</v>
      </c>
      <c r="I2251" s="36">
        <f>IF(ISBLANK(H2252), "", Long0[[#This Row],[Adj Close]]/H2252-1)</f>
        <v>0</v>
      </c>
      <c r="P2251" s="29">
        <v>29339</v>
      </c>
      <c r="Q2251">
        <v>0.58853100000000003</v>
      </c>
      <c r="R2251" s="33">
        <f>IF(ISBLANK(Q2252),"",Long3[[#This Row],[Adj Close]]/Q2252-1)</f>
        <v>-1.3157762358772307E-2</v>
      </c>
      <c r="AN2251" s="29">
        <v>29339</v>
      </c>
      <c r="AO2251" s="44">
        <v>0.39658700000000002</v>
      </c>
      <c r="AP2251" s="33">
        <f>IF(ISBLANK(AO2252),"",Short2[[#This Row],[Adj Close]]/AO2252-1)</f>
        <v>6.7550758264243171E-3</v>
      </c>
    </row>
    <row r="2252" spans="1:42" x14ac:dyDescent="0.25">
      <c r="A2252" s="37">
        <v>29332</v>
      </c>
      <c r="B2252" s="39">
        <v>105.160004</v>
      </c>
      <c r="C2252" s="36">
        <f>IF(ISBLANK(B2253), "", GSPC[[#This Row],[Adj Close]]/B2253-1)</f>
        <v>4.5847845474455085E-2</v>
      </c>
      <c r="D225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5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52" s="11" t="e">
        <f>IF(ISBLANK(GSPC[[#This Row],[Long Exp.]]), "", (GSPC[[#This Row],[Long Exp.]]/D2253-1)+(E2253/GSPC[[#This Row],[Short Exp.]]-1))</f>
        <v>#VALUE!</v>
      </c>
      <c r="G2252" s="37">
        <v>29332</v>
      </c>
      <c r="H2252">
        <v>0.90171599999999996</v>
      </c>
      <c r="I2252" s="36">
        <f>IF(ISBLANK(H2253), "", Long0[[#This Row],[Adj Close]]/H2253-1)</f>
        <v>6.8965231091316248E-2</v>
      </c>
      <c r="P2252" s="29">
        <v>29332</v>
      </c>
      <c r="Q2252">
        <v>0.59637799999999996</v>
      </c>
      <c r="R2252" s="33">
        <f>IF(ISBLANK(Q2253),"",Long3[[#This Row],[Adj Close]]/Q2253-1)</f>
        <v>2.7026747766427217E-2</v>
      </c>
      <c r="AN2252" s="29">
        <v>29332</v>
      </c>
      <c r="AO2252" s="44">
        <v>0.393926</v>
      </c>
      <c r="AP2252" s="33">
        <f>IF(ISBLANK(AO2253),"",Short2[[#This Row],[Adj Close]]/AO2253-1)</f>
        <v>8.8235456619869312E-2</v>
      </c>
    </row>
    <row r="2253" spans="1:42" x14ac:dyDescent="0.25">
      <c r="A2253" s="37">
        <v>29325</v>
      </c>
      <c r="B2253" s="39">
        <v>100.550003</v>
      </c>
      <c r="C2253" s="36">
        <f>IF(ISBLANK(B2254), "", GSPC[[#This Row],[Adj Close]]/B2254-1)</f>
        <v>-3.1216860668495383E-2</v>
      </c>
      <c r="D225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5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53" s="11" t="e">
        <f>IF(ISBLANK(GSPC[[#This Row],[Long Exp.]]), "", (GSPC[[#This Row],[Long Exp.]]/D2254-1)+(E2254/GSPC[[#This Row],[Short Exp.]]-1))</f>
        <v>#VALUE!</v>
      </c>
      <c r="G2253" s="37">
        <v>29325</v>
      </c>
      <c r="H2253">
        <v>0.84354099999999999</v>
      </c>
      <c r="I2253" s="36">
        <f>IF(ISBLANK(H2254), "", Long0[[#This Row],[Adj Close]]/H2254-1)</f>
        <v>-6.4515878613665478E-2</v>
      </c>
      <c r="P2253" s="29">
        <v>29325</v>
      </c>
      <c r="Q2253">
        <v>0.58068399999999998</v>
      </c>
      <c r="R2253" s="33">
        <f>IF(ISBLANK(Q2254),"",Long3[[#This Row],[Adj Close]]/Q2254-1)</f>
        <v>6.8017775126958391E-3</v>
      </c>
      <c r="AN2253" s="29">
        <v>29325</v>
      </c>
      <c r="AO2253" s="44">
        <v>0.36198599999999997</v>
      </c>
      <c r="AP2253" s="33">
        <f>IF(ISBLANK(AO2254),"",Short2[[#This Row],[Adj Close]]/AO2254-1)</f>
        <v>-2.1582772703806596E-2</v>
      </c>
    </row>
    <row r="2254" spans="1:42" x14ac:dyDescent="0.25">
      <c r="A2254" s="37">
        <v>29318</v>
      </c>
      <c r="B2254" s="39">
        <v>103.790001</v>
      </c>
      <c r="C2254" s="36">
        <f>IF(ISBLANK(B2255), "", GSPC[[#This Row],[Adj Close]]/B2255-1)</f>
        <v>1.6054811237301791E-2</v>
      </c>
      <c r="D225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5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54" s="11" t="e">
        <f>IF(ISBLANK(GSPC[[#This Row],[Long Exp.]]), "", (GSPC[[#This Row],[Long Exp.]]/D2255-1)+(E2255/GSPC[[#This Row],[Short Exp.]]-1))</f>
        <v>#VALUE!</v>
      </c>
      <c r="G2254" s="37">
        <v>29318</v>
      </c>
      <c r="H2254">
        <v>0.90171599999999996</v>
      </c>
      <c r="I2254" s="36">
        <f>IF(ISBLANK(H2255), "", Long0[[#This Row],[Adj Close]]/H2255-1)</f>
        <v>-3.1250402877512351E-2</v>
      </c>
      <c r="P2254" s="29">
        <v>29318</v>
      </c>
      <c r="Q2254">
        <v>0.57676099999999997</v>
      </c>
      <c r="R2254" s="33">
        <f>IF(ISBLANK(Q2255),"",Long3[[#This Row],[Adj Close]]/Q2255-1)</f>
        <v>0.17600006524713363</v>
      </c>
      <c r="AN2254" s="29">
        <v>29318</v>
      </c>
      <c r="AO2254" s="44">
        <v>0.36997099999999999</v>
      </c>
      <c r="AP2254" s="33">
        <f>IF(ISBLANK(AO2255),"",Short2[[#This Row],[Adj Close]]/AO2255-1)</f>
        <v>6.923090261721998E-2</v>
      </c>
    </row>
    <row r="2255" spans="1:42" x14ac:dyDescent="0.25">
      <c r="A2255" s="37">
        <v>29311</v>
      </c>
      <c r="B2255" s="39">
        <v>102.150002</v>
      </c>
      <c r="C2255" s="36">
        <f>IF(ISBLANK(B2256), "", GSPC[[#This Row],[Adj Close]]/B2256-1)</f>
        <v>1.4600735001986331E-2</v>
      </c>
      <c r="D225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5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55" s="11" t="e">
        <f>IF(ISBLANK(GSPC[[#This Row],[Long Exp.]]), "", (GSPC[[#This Row],[Long Exp.]]/D2256-1)+(E2256/GSPC[[#This Row],[Short Exp.]]-1))</f>
        <v>#VALUE!</v>
      </c>
      <c r="G2255" s="37">
        <v>29311</v>
      </c>
      <c r="H2255">
        <v>0.93080399999999996</v>
      </c>
      <c r="I2255" s="36">
        <f>IF(ISBLANK(H2256), "", Long0[[#This Row],[Adj Close]]/H2256-1)</f>
        <v>6.6666361076700431E-2</v>
      </c>
      <c r="P2255" s="29">
        <v>29311</v>
      </c>
      <c r="Q2255">
        <v>0.49044300000000002</v>
      </c>
      <c r="R2255" s="33">
        <f>IF(ISBLANK(Q2256),"",Long3[[#This Row],[Adj Close]]/Q2256-1)</f>
        <v>5.0421823898428197E-2</v>
      </c>
      <c r="AN2255" s="29">
        <v>29311</v>
      </c>
      <c r="AO2255" s="44">
        <v>0.34601599999999999</v>
      </c>
      <c r="AP2255" s="33">
        <f>IF(ISBLANK(AO2256),"",Short2[[#This Row],[Adj Close]]/AO2256-1)</f>
        <v>3.1747120336107493E-2</v>
      </c>
    </row>
    <row r="2256" spans="1:42" x14ac:dyDescent="0.25">
      <c r="A2256" s="37">
        <v>29304</v>
      </c>
      <c r="B2256" s="39">
        <v>100.68</v>
      </c>
      <c r="C2256" s="36">
        <f>IF(ISBLANK(B2257), "", GSPC[[#This Row],[Adj Close]]/B2257-1)</f>
        <v>-1.5931952222303702E-2</v>
      </c>
      <c r="D225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5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56" s="11" t="e">
        <f>IF(ISBLANK(GSPC[[#This Row],[Long Exp.]]), "", (GSPC[[#This Row],[Long Exp.]]/D2257-1)+(E2257/GSPC[[#This Row],[Short Exp.]]-1))</f>
        <v>#VALUE!</v>
      </c>
      <c r="G2256" s="37">
        <v>29304</v>
      </c>
      <c r="H2256">
        <v>0.87262899999999999</v>
      </c>
      <c r="I2256" s="36">
        <f>IF(ISBLANK(H2257), "", Long0[[#This Row],[Adj Close]]/H2257-1)</f>
        <v>-0.16666603002041724</v>
      </c>
      <c r="P2256" s="29">
        <v>29304</v>
      </c>
      <c r="Q2256">
        <v>0.46690100000000001</v>
      </c>
      <c r="R2256" s="33">
        <f>IF(ISBLANK(Q2257),"",Long3[[#This Row],[Adj Close]]/Q2257-1)</f>
        <v>-7.0314646744216724E-2</v>
      </c>
      <c r="AN2256" s="29">
        <v>29304</v>
      </c>
      <c r="AO2256" s="44">
        <v>0.33536899999999997</v>
      </c>
      <c r="AP2256" s="33">
        <f>IF(ISBLANK(AO2257),"",Short2[[#This Row],[Adj Close]]/AO2257-1)</f>
        <v>5.0000156544009133E-2</v>
      </c>
    </row>
    <row r="2257" spans="1:42" x14ac:dyDescent="0.25">
      <c r="A2257" s="37">
        <v>29297</v>
      </c>
      <c r="B2257" s="39">
        <v>102.30999799999999</v>
      </c>
      <c r="C2257" s="36">
        <f>IF(ISBLANK(B2258), "", GSPC[[#This Row],[Adj Close]]/B2258-1)</f>
        <v>-2.9593113914445746E-2</v>
      </c>
      <c r="D225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5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57" s="11" t="e">
        <f>IF(ISBLANK(GSPC[[#This Row],[Long Exp.]]), "", (GSPC[[#This Row],[Long Exp.]]/D2258-1)+(E2258/GSPC[[#This Row],[Short Exp.]]-1))</f>
        <v>#VALUE!</v>
      </c>
      <c r="G2257" s="37">
        <v>29297</v>
      </c>
      <c r="H2257">
        <v>1.0471539999999999</v>
      </c>
      <c r="I2257" s="36" t="str">
        <f>IF(ISBLANK(H2258), "", Long0[[#This Row],[Adj Close]]/H2258-1)</f>
        <v/>
      </c>
      <c r="P2257" s="29">
        <v>29297</v>
      </c>
      <c r="Q2257">
        <v>0.50221400000000005</v>
      </c>
      <c r="R2257" s="33" t="str">
        <f>IF(ISBLANK(Q2258),"",Long3[[#This Row],[Adj Close]]/Q2258-1)</f>
        <v/>
      </c>
      <c r="AN2257" s="29">
        <v>29297</v>
      </c>
      <c r="AO2257" s="44">
        <v>0.31939899999999999</v>
      </c>
      <c r="AP2257" s="33" t="str">
        <f>IF(ISBLANK(AO2258),"",Short2[[#This Row],[Adj Close]]/AO2258-1)</f>
        <v/>
      </c>
    </row>
    <row r="2258" spans="1:42" x14ac:dyDescent="0.25">
      <c r="A2258" s="37">
        <v>29290</v>
      </c>
      <c r="B2258" s="39">
        <v>105.43</v>
      </c>
      <c r="C2258" s="36">
        <f>IF(ISBLANK(B2259), "", GSPC[[#This Row],[Adj Close]]/B2259-1)</f>
        <v>-1.3751187768920703E-2</v>
      </c>
      <c r="D225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5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58" s="11" t="e">
        <f>IF(ISBLANK(GSPC[[#This Row],[Long Exp.]]), "", (GSPC[[#This Row],[Long Exp.]]/D2259-1)+(E2259/GSPC[[#This Row],[Short Exp.]]-1))</f>
        <v>#VALUE!</v>
      </c>
    </row>
    <row r="2259" spans="1:42" x14ac:dyDescent="0.25">
      <c r="A2259" s="37">
        <v>29283</v>
      </c>
      <c r="B2259" s="39">
        <v>106.900002</v>
      </c>
      <c r="C2259" s="36">
        <f>IF(ISBLANK(B2260), "", GSPC[[#This Row],[Adj Close]]/B2260-1)</f>
        <v>-5.9475644572386299E-2</v>
      </c>
      <c r="D225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5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59" s="11" t="e">
        <f>IF(ISBLANK(GSPC[[#This Row],[Long Exp.]]), "", (GSPC[[#This Row],[Long Exp.]]/D2260-1)+(E2260/GSPC[[#This Row],[Short Exp.]]-1))</f>
        <v>#VALUE!</v>
      </c>
    </row>
    <row r="2260" spans="1:42" x14ac:dyDescent="0.25">
      <c r="A2260" s="37">
        <v>29276</v>
      </c>
      <c r="B2260" s="39">
        <v>113.660004</v>
      </c>
      <c r="C2260" s="36">
        <f>IF(ISBLANK(B2261), "", GSPC[[#This Row],[Adj Close]]/B2261-1)</f>
        <v>-1.1995801356086577E-2</v>
      </c>
      <c r="D226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6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60" s="11" t="e">
        <f>IF(ISBLANK(GSPC[[#This Row],[Long Exp.]]), "", (GSPC[[#This Row],[Long Exp.]]/D2261-1)+(E2261/GSPC[[#This Row],[Short Exp.]]-1))</f>
        <v>#VALUE!</v>
      </c>
    </row>
    <row r="2261" spans="1:42" x14ac:dyDescent="0.25">
      <c r="A2261" s="37">
        <v>29269</v>
      </c>
      <c r="B2261" s="39">
        <v>115.040001</v>
      </c>
      <c r="C2261" s="36">
        <f>IF(ISBLANK(B2262), "", GSPC[[#This Row],[Adj Close]]/B2262-1)</f>
        <v>-3.2059872383333188E-3</v>
      </c>
      <c r="D226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6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61" s="11" t="e">
        <f>IF(ISBLANK(GSPC[[#This Row],[Long Exp.]]), "", (GSPC[[#This Row],[Long Exp.]]/D2262-1)+(E2262/GSPC[[#This Row],[Short Exp.]]-1))</f>
        <v>#VALUE!</v>
      </c>
    </row>
    <row r="2262" spans="1:42" x14ac:dyDescent="0.25">
      <c r="A2262" s="37">
        <v>29262</v>
      </c>
      <c r="B2262" s="39">
        <v>115.410004</v>
      </c>
      <c r="C2262" s="36">
        <f>IF(ISBLANK(B2263), "", GSPC[[#This Row],[Adj Close]]/B2263-1)</f>
        <v>-2.1534489738053941E-2</v>
      </c>
      <c r="D226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6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62" s="11" t="e">
        <f>IF(ISBLANK(GSPC[[#This Row],[Long Exp.]]), "", (GSPC[[#This Row],[Long Exp.]]/D2263-1)+(E2263/GSPC[[#This Row],[Short Exp.]]-1))</f>
        <v>#VALUE!</v>
      </c>
    </row>
    <row r="2263" spans="1:42" x14ac:dyDescent="0.25">
      <c r="A2263" s="37">
        <v>29255</v>
      </c>
      <c r="B2263" s="39">
        <v>117.949997</v>
      </c>
      <c r="C2263" s="36">
        <f>IF(ISBLANK(B2264), "", GSPC[[#This Row],[Adj Close]]/B2264-1)</f>
        <v>2.4582991020248635E-2</v>
      </c>
      <c r="D226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6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63" s="11" t="e">
        <f>IF(ISBLANK(GSPC[[#This Row],[Long Exp.]]), "", (GSPC[[#This Row],[Long Exp.]]/D2264-1)+(E2264/GSPC[[#This Row],[Short Exp.]]-1))</f>
        <v>#VALUE!</v>
      </c>
    </row>
    <row r="2264" spans="1:42" x14ac:dyDescent="0.25">
      <c r="A2264" s="37">
        <v>29248</v>
      </c>
      <c r="B2264" s="39">
        <v>115.120003</v>
      </c>
      <c r="C2264" s="36">
        <f>IF(ISBLANK(B2265), "", GSPC[[#This Row],[Adj Close]]/B2265-1)</f>
        <v>1.3291101018474638E-2</v>
      </c>
      <c r="D226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6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64" s="11" t="e">
        <f>IF(ISBLANK(GSPC[[#This Row],[Long Exp.]]), "", (GSPC[[#This Row],[Long Exp.]]/D2265-1)+(E2265/GSPC[[#This Row],[Short Exp.]]-1))</f>
        <v>#VALUE!</v>
      </c>
    </row>
    <row r="2265" spans="1:42" x14ac:dyDescent="0.25">
      <c r="A2265" s="37">
        <v>29241</v>
      </c>
      <c r="B2265" s="39">
        <v>113.610001</v>
      </c>
      <c r="C2265" s="36">
        <f>IF(ISBLANK(B2266), "", GSPC[[#This Row],[Adj Close]]/B2266-1)</f>
        <v>2.2868470334023616E-2</v>
      </c>
      <c r="D226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6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65" s="11" t="e">
        <f>IF(ISBLANK(GSPC[[#This Row],[Long Exp.]]), "", (GSPC[[#This Row],[Long Exp.]]/D2266-1)+(E2266/GSPC[[#This Row],[Short Exp.]]-1))</f>
        <v>#VALUE!</v>
      </c>
    </row>
    <row r="2266" spans="1:42" x14ac:dyDescent="0.25">
      <c r="A2266" s="37">
        <v>29234</v>
      </c>
      <c r="B2266" s="39">
        <v>111.07</v>
      </c>
      <c r="C2266" s="36">
        <f>IF(ISBLANK(B2267), "", GSPC[[#This Row],[Adj Close]]/B2267-1)</f>
        <v>1.0462172679442716E-2</v>
      </c>
      <c r="D226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6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66" s="11" t="e">
        <f>IF(ISBLANK(GSPC[[#This Row],[Long Exp.]]), "", (GSPC[[#This Row],[Long Exp.]]/D2267-1)+(E2267/GSPC[[#This Row],[Short Exp.]]-1))</f>
        <v>#VALUE!</v>
      </c>
    </row>
    <row r="2267" spans="1:42" x14ac:dyDescent="0.25">
      <c r="A2267" s="37">
        <v>29227</v>
      </c>
      <c r="B2267" s="39">
        <v>109.91999800000001</v>
      </c>
      <c r="C2267" s="36">
        <f>IF(ISBLANK(B2268), "", GSPC[[#This Row],[Adj Close]]/B2268-1)</f>
        <v>3.1918898758511949E-2</v>
      </c>
      <c r="D226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6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67" s="11" t="e">
        <f>IF(ISBLANK(GSPC[[#This Row],[Long Exp.]]), "", (GSPC[[#This Row],[Long Exp.]]/D2268-1)+(E2268/GSPC[[#This Row],[Short Exp.]]-1))</f>
        <v>#VALUE!</v>
      </c>
    </row>
    <row r="2268" spans="1:42" x14ac:dyDescent="0.25">
      <c r="A2268" s="37">
        <v>29220</v>
      </c>
      <c r="B2268" s="39">
        <v>106.519997</v>
      </c>
      <c r="C2268" s="36">
        <f>IF(ISBLANK(B2269), "", GSPC[[#This Row],[Adj Close]]/B2269-1)</f>
        <v>-1.2240347264107831E-2</v>
      </c>
      <c r="D226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6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68" s="11" t="e">
        <f>IF(ISBLANK(GSPC[[#This Row],[Long Exp.]]), "", (GSPC[[#This Row],[Long Exp.]]/D2269-1)+(E2269/GSPC[[#This Row],[Short Exp.]]-1))</f>
        <v>#VALUE!</v>
      </c>
    </row>
    <row r="2269" spans="1:42" x14ac:dyDescent="0.25">
      <c r="A2269" s="37">
        <v>29213</v>
      </c>
      <c r="B2269" s="39">
        <v>107.839996</v>
      </c>
      <c r="C2269" s="36">
        <f>IF(ISBLANK(B2270), "", GSPC[[#This Row],[Adj Close]]/B2270-1)</f>
        <v>2.3236361120415605E-3</v>
      </c>
      <c r="D226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6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69" s="11" t="e">
        <f>IF(ISBLANK(GSPC[[#This Row],[Long Exp.]]), "", (GSPC[[#This Row],[Long Exp.]]/D2270-1)+(E2270/GSPC[[#This Row],[Short Exp.]]-1))</f>
        <v>#VALUE!</v>
      </c>
    </row>
    <row r="2270" spans="1:42" x14ac:dyDescent="0.25">
      <c r="A2270" s="37">
        <v>29206</v>
      </c>
      <c r="B2270" s="39">
        <v>107.589996</v>
      </c>
      <c r="C2270" s="36">
        <f>IF(ISBLANK(B2271), "", GSPC[[#This Row],[Adj Close]]/B2271-1)</f>
        <v>-1.2210815501484062E-2</v>
      </c>
      <c r="D227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7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70" s="11" t="e">
        <f>IF(ISBLANK(GSPC[[#This Row],[Long Exp.]]), "", (GSPC[[#This Row],[Long Exp.]]/D2271-1)+(E2271/GSPC[[#This Row],[Short Exp.]]-1))</f>
        <v>#VALUE!</v>
      </c>
    </row>
    <row r="2271" spans="1:42" x14ac:dyDescent="0.25">
      <c r="A2271" s="37">
        <v>29199</v>
      </c>
      <c r="B2271" s="39">
        <v>108.91999800000001</v>
      </c>
      <c r="C2271" s="36">
        <f>IF(ISBLANK(B2272), "", GSPC[[#This Row],[Adj Close]]/B2272-1)</f>
        <v>1.3020842997233384E-2</v>
      </c>
      <c r="D227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7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71" s="11" t="e">
        <f>IF(ISBLANK(GSPC[[#This Row],[Long Exp.]]), "", (GSPC[[#This Row],[Long Exp.]]/D2272-1)+(E2272/GSPC[[#This Row],[Short Exp.]]-1))</f>
        <v>#VALUE!</v>
      </c>
    </row>
    <row r="2272" spans="1:42" x14ac:dyDescent="0.25">
      <c r="A2272" s="37">
        <v>29192</v>
      </c>
      <c r="B2272" s="39">
        <v>107.519997</v>
      </c>
      <c r="C2272" s="36">
        <f>IF(ISBLANK(B2273), "", GSPC[[#This Row],[Adj Close]]/B2273-1)</f>
        <v>1.2810785123934298E-2</v>
      </c>
      <c r="D227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7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72" s="11" t="e">
        <f>IF(ISBLANK(GSPC[[#This Row],[Long Exp.]]), "", (GSPC[[#This Row],[Long Exp.]]/D2273-1)+(E2273/GSPC[[#This Row],[Short Exp.]]-1))</f>
        <v>#VALUE!</v>
      </c>
    </row>
    <row r="2273" spans="1:6" x14ac:dyDescent="0.25">
      <c r="A2273" s="37">
        <v>29185</v>
      </c>
      <c r="B2273" s="39">
        <v>106.160004</v>
      </c>
      <c r="C2273" s="36">
        <f>IF(ISBLANK(B2274), "", GSPC[[#This Row],[Adj Close]]/B2274-1)</f>
        <v>1.4235273034016727E-2</v>
      </c>
      <c r="D227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7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73" s="11" t="e">
        <f>IF(ISBLANK(GSPC[[#This Row],[Long Exp.]]), "", (GSPC[[#This Row],[Long Exp.]]/D2274-1)+(E2274/GSPC[[#This Row],[Short Exp.]]-1))</f>
        <v>#VALUE!</v>
      </c>
    </row>
    <row r="2274" spans="1:6" x14ac:dyDescent="0.25">
      <c r="A2274" s="37">
        <v>29178</v>
      </c>
      <c r="B2274" s="39">
        <v>104.66999800000001</v>
      </c>
      <c r="C2274" s="36">
        <f>IF(ISBLANK(B2275), "", GSPC[[#This Row],[Adj Close]]/B2275-1)</f>
        <v>8.4786298441215102E-3</v>
      </c>
      <c r="D227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7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74" s="11" t="e">
        <f>IF(ISBLANK(GSPC[[#This Row],[Long Exp.]]), "", (GSPC[[#This Row],[Long Exp.]]/D2275-1)+(E2275/GSPC[[#This Row],[Short Exp.]]-1))</f>
        <v>#VALUE!</v>
      </c>
    </row>
    <row r="2275" spans="1:6" x14ac:dyDescent="0.25">
      <c r="A2275" s="37">
        <v>29171</v>
      </c>
      <c r="B2275" s="39">
        <v>103.790001</v>
      </c>
      <c r="C2275" s="36">
        <f>IF(ISBLANK(B2276), "", GSPC[[#This Row],[Adj Close]]/B2276-1)</f>
        <v>2.2460831002643511E-2</v>
      </c>
      <c r="D227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7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75" s="11" t="e">
        <f>IF(ISBLANK(GSPC[[#This Row],[Long Exp.]]), "", (GSPC[[#This Row],[Long Exp.]]/D2276-1)+(E2276/GSPC[[#This Row],[Short Exp.]]-1))</f>
        <v>#VALUE!</v>
      </c>
    </row>
    <row r="2276" spans="1:6" x14ac:dyDescent="0.25">
      <c r="A2276" s="37">
        <v>29164</v>
      </c>
      <c r="B2276" s="39">
        <v>101.510002</v>
      </c>
      <c r="C2276" s="36">
        <f>IF(ISBLANK(B2277), "", GSPC[[#This Row],[Adj Close]]/B2277-1)</f>
        <v>-9.755145649104513E-3</v>
      </c>
      <c r="D227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7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76" s="11" t="e">
        <f>IF(ISBLANK(GSPC[[#This Row],[Long Exp.]]), "", (GSPC[[#This Row],[Long Exp.]]/D2277-1)+(E2277/GSPC[[#This Row],[Short Exp.]]-1))</f>
        <v>#VALUE!</v>
      </c>
    </row>
    <row r="2277" spans="1:6" x14ac:dyDescent="0.25">
      <c r="A2277" s="37">
        <v>29157</v>
      </c>
      <c r="B2277" s="39">
        <v>102.510002</v>
      </c>
      <c r="C2277" s="36">
        <f>IF(ISBLANK(B2278), "", GSPC[[#This Row],[Adj Close]]/B2278-1)</f>
        <v>1.9290066620264668E-2</v>
      </c>
      <c r="D227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7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77" s="11" t="e">
        <f>IF(ISBLANK(GSPC[[#This Row],[Long Exp.]]), "", (GSPC[[#This Row],[Long Exp.]]/D2278-1)+(E2278/GSPC[[#This Row],[Short Exp.]]-1))</f>
        <v>#VALUE!</v>
      </c>
    </row>
    <row r="2278" spans="1:6" x14ac:dyDescent="0.25">
      <c r="A2278" s="37">
        <v>29150</v>
      </c>
      <c r="B2278" s="39">
        <v>100.57</v>
      </c>
      <c r="C2278" s="36">
        <f>IF(ISBLANK(B2279), "", GSPC[[#This Row],[Adj Close]]/B2279-1)</f>
        <v>-1.0137775790113768E-2</v>
      </c>
      <c r="D227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7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78" s="11" t="e">
        <f>IF(ISBLANK(GSPC[[#This Row],[Long Exp.]]), "", (GSPC[[#This Row],[Long Exp.]]/D2279-1)+(E2279/GSPC[[#This Row],[Short Exp.]]-1))</f>
        <v>#VALUE!</v>
      </c>
    </row>
    <row r="2279" spans="1:6" x14ac:dyDescent="0.25">
      <c r="A2279" s="37">
        <v>29143</v>
      </c>
      <c r="B2279" s="39">
        <v>101.599998</v>
      </c>
      <c r="C2279" s="36">
        <f>IF(ISBLANK(B2280), "", GSPC[[#This Row],[Adj Close]]/B2280-1)</f>
        <v>-2.7658149634570806E-2</v>
      </c>
      <c r="D227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7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79" s="11" t="e">
        <f>IF(ISBLANK(GSPC[[#This Row],[Long Exp.]]), "", (GSPC[[#This Row],[Long Exp.]]/D2280-1)+(E2280/GSPC[[#This Row],[Short Exp.]]-1))</f>
        <v>#VALUE!</v>
      </c>
    </row>
    <row r="2280" spans="1:6" x14ac:dyDescent="0.25">
      <c r="A2280" s="37">
        <v>29136</v>
      </c>
      <c r="B2280" s="39">
        <v>104.489998</v>
      </c>
      <c r="C2280" s="36">
        <f>IF(ISBLANK(B2281), "", GSPC[[#This Row],[Adj Close]]/B2281-1)</f>
        <v>-6.0932858657307243E-2</v>
      </c>
      <c r="D228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8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80" s="11" t="e">
        <f>IF(ISBLANK(GSPC[[#This Row],[Long Exp.]]), "", (GSPC[[#This Row],[Long Exp.]]/D2281-1)+(E2281/GSPC[[#This Row],[Short Exp.]]-1))</f>
        <v>#VALUE!</v>
      </c>
    </row>
    <row r="2281" spans="1:6" x14ac:dyDescent="0.25">
      <c r="A2281" s="37">
        <v>29129</v>
      </c>
      <c r="B2281" s="39">
        <v>111.269997</v>
      </c>
      <c r="C2281" s="36">
        <f>IF(ISBLANK(B2282), "", GSPC[[#This Row],[Adj Close]]/B2282-1)</f>
        <v>1.7837513721185694E-2</v>
      </c>
      <c r="D228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8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81" s="11" t="e">
        <f>IF(ISBLANK(GSPC[[#This Row],[Long Exp.]]), "", (GSPC[[#This Row],[Long Exp.]]/D2282-1)+(E2282/GSPC[[#This Row],[Short Exp.]]-1))</f>
        <v>#VALUE!</v>
      </c>
    </row>
    <row r="2282" spans="1:6" x14ac:dyDescent="0.25">
      <c r="A2282" s="37">
        <v>29122</v>
      </c>
      <c r="B2282" s="39">
        <v>109.32</v>
      </c>
      <c r="C2282" s="36">
        <f>IF(ISBLANK(B2283), "", GSPC[[#This Row],[Adj Close]]/B2283-1)</f>
        <v>-1.0410075039286038E-2</v>
      </c>
      <c r="D228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8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82" s="11" t="e">
        <f>IF(ISBLANK(GSPC[[#This Row],[Long Exp.]]), "", (GSPC[[#This Row],[Long Exp.]]/D2283-1)+(E2283/GSPC[[#This Row],[Short Exp.]]-1))</f>
        <v>#VALUE!</v>
      </c>
    </row>
    <row r="2283" spans="1:6" x14ac:dyDescent="0.25">
      <c r="A2283" s="37">
        <v>29115</v>
      </c>
      <c r="B2283" s="39">
        <v>110.470001</v>
      </c>
      <c r="C2283" s="36">
        <f>IF(ISBLANK(B2284), "", GSPC[[#This Row],[Adj Close]]/B2284-1)</f>
        <v>1.5722682682554501E-2</v>
      </c>
      <c r="D228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8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83" s="11" t="e">
        <f>IF(ISBLANK(GSPC[[#This Row],[Long Exp.]]), "", (GSPC[[#This Row],[Long Exp.]]/D2284-1)+(E2284/GSPC[[#This Row],[Short Exp.]]-1))</f>
        <v>#VALUE!</v>
      </c>
    </row>
    <row r="2284" spans="1:6" x14ac:dyDescent="0.25">
      <c r="A2284" s="37">
        <v>29108</v>
      </c>
      <c r="B2284" s="39">
        <v>108.760002</v>
      </c>
      <c r="C2284" s="36">
        <f>IF(ISBLANK(B2285), "", GSPC[[#This Row],[Adj Close]]/B2285-1)</f>
        <v>1.0217331962945053E-2</v>
      </c>
      <c r="D228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8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84" s="11" t="e">
        <f>IF(ISBLANK(GSPC[[#This Row],[Long Exp.]]), "", (GSPC[[#This Row],[Long Exp.]]/D2285-1)+(E2285/GSPC[[#This Row],[Short Exp.]]-1))</f>
        <v>#VALUE!</v>
      </c>
    </row>
    <row r="2285" spans="1:6" x14ac:dyDescent="0.25">
      <c r="A2285" s="37">
        <v>29101</v>
      </c>
      <c r="B2285" s="39">
        <v>107.660004</v>
      </c>
      <c r="C2285" s="36">
        <f>IF(ISBLANK(B2286), "", GSPC[[#This Row],[Adj Close]]/B2286-1)</f>
        <v>-1.5184742041712385E-2</v>
      </c>
      <c r="D228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8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85" s="11" t="e">
        <f>IF(ISBLANK(GSPC[[#This Row],[Long Exp.]]), "", (GSPC[[#This Row],[Long Exp.]]/D2286-1)+(E2286/GSPC[[#This Row],[Short Exp.]]-1))</f>
        <v>#VALUE!</v>
      </c>
    </row>
    <row r="2286" spans="1:6" x14ac:dyDescent="0.25">
      <c r="A2286" s="37">
        <v>29094</v>
      </c>
      <c r="B2286" s="39">
        <v>109.32</v>
      </c>
      <c r="C2286" s="36">
        <f>IF(ISBLANK(B2287), "", GSPC[[#This Row],[Adj Close]]/B2287-1)</f>
        <v>6.6298527924466555E-3</v>
      </c>
      <c r="D228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8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86" s="11" t="e">
        <f>IF(ISBLANK(GSPC[[#This Row],[Long Exp.]]), "", (GSPC[[#This Row],[Long Exp.]]/D2287-1)+(E2287/GSPC[[#This Row],[Short Exp.]]-1))</f>
        <v>#VALUE!</v>
      </c>
    </row>
    <row r="2287" spans="1:6" x14ac:dyDescent="0.25">
      <c r="A2287" s="37">
        <v>29087</v>
      </c>
      <c r="B2287" s="39">
        <v>108.599998</v>
      </c>
      <c r="C2287" s="36">
        <f>IF(ISBLANK(B2288), "", GSPC[[#This Row],[Adj Close]]/B2288-1)</f>
        <v>2.7700368577090462E-3</v>
      </c>
      <c r="D228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8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87" s="11" t="e">
        <f>IF(ISBLANK(GSPC[[#This Row],[Long Exp.]]), "", (GSPC[[#This Row],[Long Exp.]]/D2288-1)+(E2288/GSPC[[#This Row],[Short Exp.]]-1))</f>
        <v>#VALUE!</v>
      </c>
    </row>
    <row r="2288" spans="1:6" x14ac:dyDescent="0.25">
      <c r="A2288" s="37">
        <v>29080</v>
      </c>
      <c r="B2288" s="39">
        <v>108.300003</v>
      </c>
      <c r="C2288" s="36">
        <f>IF(ISBLANK(B2289), "", GSPC[[#This Row],[Adj Close]]/B2289-1)</f>
        <v>1.7857151919978387E-2</v>
      </c>
      <c r="D228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8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88" s="11" t="e">
        <f>IF(ISBLANK(GSPC[[#This Row],[Long Exp.]]), "", (GSPC[[#This Row],[Long Exp.]]/D2289-1)+(E2289/GSPC[[#This Row],[Short Exp.]]-1))</f>
        <v>#VALUE!</v>
      </c>
    </row>
    <row r="2289" spans="1:6" x14ac:dyDescent="0.25">
      <c r="A2289" s="37">
        <v>29073</v>
      </c>
      <c r="B2289" s="39">
        <v>106.400002</v>
      </c>
      <c r="C2289" s="36">
        <f>IF(ISBLANK(B2290), "", GSPC[[#This Row],[Adj Close]]/B2290-1)</f>
        <v>2.2683592630876603E-2</v>
      </c>
      <c r="D228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8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89" s="11" t="e">
        <f>IF(ISBLANK(GSPC[[#This Row],[Long Exp.]]), "", (GSPC[[#This Row],[Long Exp.]]/D2290-1)+(E2290/GSPC[[#This Row],[Short Exp.]]-1))</f>
        <v>#VALUE!</v>
      </c>
    </row>
    <row r="2290" spans="1:6" x14ac:dyDescent="0.25">
      <c r="A2290" s="37">
        <v>29066</v>
      </c>
      <c r="B2290" s="39">
        <v>104.040001</v>
      </c>
      <c r="C2290" s="36">
        <f>IF(ISBLANK(B2291), "", GSPC[[#This Row],[Adj Close]]/B2291-1)</f>
        <v>9.1173910595032659E-3</v>
      </c>
      <c r="D229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9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90" s="11" t="e">
        <f>IF(ISBLANK(GSPC[[#This Row],[Long Exp.]]), "", (GSPC[[#This Row],[Long Exp.]]/D2291-1)+(E2291/GSPC[[#This Row],[Short Exp.]]-1))</f>
        <v>#VALUE!</v>
      </c>
    </row>
    <row r="2291" spans="1:6" x14ac:dyDescent="0.25">
      <c r="A2291" s="37">
        <v>29059</v>
      </c>
      <c r="B2291" s="39">
        <v>103.099998</v>
      </c>
      <c r="C2291" s="36">
        <f>IF(ISBLANK(B2292), "", GSPC[[#This Row],[Adj Close]]/B2292-1)</f>
        <v>1.2571184443135097E-2</v>
      </c>
      <c r="D229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9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91" s="11" t="e">
        <f>IF(ISBLANK(GSPC[[#This Row],[Long Exp.]]), "", (GSPC[[#This Row],[Long Exp.]]/D2292-1)+(E2292/GSPC[[#This Row],[Short Exp.]]-1))</f>
        <v>#VALUE!</v>
      </c>
    </row>
    <row r="2292" spans="1:6" x14ac:dyDescent="0.25">
      <c r="A2292" s="37">
        <v>29052</v>
      </c>
      <c r="B2292" s="39">
        <v>101.82</v>
      </c>
      <c r="C2292" s="36">
        <f>IF(ISBLANK(B2293), "", GSPC[[#This Row],[Adj Close]]/B2293-1)</f>
        <v>-4.8866301798280443E-3</v>
      </c>
      <c r="D229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9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92" s="11" t="e">
        <f>IF(ISBLANK(GSPC[[#This Row],[Long Exp.]]), "", (GSPC[[#This Row],[Long Exp.]]/D2293-1)+(E2293/GSPC[[#This Row],[Short Exp.]]-1))</f>
        <v>#VALUE!</v>
      </c>
    </row>
    <row r="2293" spans="1:6" x14ac:dyDescent="0.25">
      <c r="A2293" s="37">
        <v>29045</v>
      </c>
      <c r="B2293" s="39">
        <v>102.32</v>
      </c>
      <c r="C2293" s="36">
        <f>IF(ISBLANK(B2294), "", GSPC[[#This Row],[Adj Close]]/B2294-1)</f>
        <v>-1.2545869160030865E-2</v>
      </c>
      <c r="D229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9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93" s="11" t="e">
        <f>IF(ISBLANK(GSPC[[#This Row],[Long Exp.]]), "", (GSPC[[#This Row],[Long Exp.]]/D2294-1)+(E2294/GSPC[[#This Row],[Short Exp.]]-1))</f>
        <v>#VALUE!</v>
      </c>
    </row>
    <row r="2294" spans="1:6" x14ac:dyDescent="0.25">
      <c r="A2294" s="37">
        <v>29038</v>
      </c>
      <c r="B2294" s="39">
        <v>103.620003</v>
      </c>
      <c r="C2294" s="36">
        <f>IF(ISBLANK(B2295), "", GSPC[[#This Row],[Adj Close]]/B2295-1)</f>
        <v>6.8992223535428998E-3</v>
      </c>
      <c r="D229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9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94" s="11" t="e">
        <f>IF(ISBLANK(GSPC[[#This Row],[Long Exp.]]), "", (GSPC[[#This Row],[Long Exp.]]/D2295-1)+(E2295/GSPC[[#This Row],[Short Exp.]]-1))</f>
        <v>#VALUE!</v>
      </c>
    </row>
    <row r="2295" spans="1:6" x14ac:dyDescent="0.25">
      <c r="A2295" s="37">
        <v>29031</v>
      </c>
      <c r="B2295" s="39">
        <v>102.910004</v>
      </c>
      <c r="C2295" s="36">
        <f>IF(ISBLANK(B2296), "", GSPC[[#This Row],[Adj Close]]/B2296-1)</f>
        <v>2.6306021300721572E-3</v>
      </c>
      <c r="D229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9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95" s="11" t="e">
        <f>IF(ISBLANK(GSPC[[#This Row],[Long Exp.]]), "", (GSPC[[#This Row],[Long Exp.]]/D2296-1)+(E2296/GSPC[[#This Row],[Short Exp.]]-1))</f>
        <v>#VALUE!</v>
      </c>
    </row>
    <row r="2296" spans="1:6" x14ac:dyDescent="0.25">
      <c r="A2296" s="37">
        <v>29024</v>
      </c>
      <c r="B2296" s="39">
        <v>102.639999</v>
      </c>
      <c r="C2296" s="36">
        <f>IF(ISBLANK(B2297), "", GSPC[[#This Row],[Adj Close]]/B2297-1)</f>
        <v>5.387432868544817E-3</v>
      </c>
      <c r="D229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9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96" s="11" t="e">
        <f>IF(ISBLANK(GSPC[[#This Row],[Long Exp.]]), "", (GSPC[[#This Row],[Long Exp.]]/D2297-1)+(E2297/GSPC[[#This Row],[Short Exp.]]-1))</f>
        <v>#VALUE!</v>
      </c>
    </row>
    <row r="2297" spans="1:6" x14ac:dyDescent="0.25">
      <c r="A2297" s="37">
        <v>29017</v>
      </c>
      <c r="B2297" s="39">
        <v>102.089996</v>
      </c>
      <c r="C2297" s="36">
        <f>IF(ISBLANK(B2298), "", GSPC[[#This Row],[Adj Close]]/B2298-1)</f>
        <v>5.9118929138219922E-3</v>
      </c>
      <c r="D229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9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97" s="11" t="e">
        <f>IF(ISBLANK(GSPC[[#This Row],[Long Exp.]]), "", (GSPC[[#This Row],[Long Exp.]]/D2298-1)+(E2298/GSPC[[#This Row],[Short Exp.]]-1))</f>
        <v>#VALUE!</v>
      </c>
    </row>
    <row r="2298" spans="1:6" x14ac:dyDescent="0.25">
      <c r="A2298" s="37">
        <v>29010</v>
      </c>
      <c r="B2298" s="39">
        <v>101.489998</v>
      </c>
      <c r="C2298" s="36">
        <f>IF(ISBLANK(B2299), "", GSPC[[#This Row],[Adj Close]]/B2299-1)</f>
        <v>2.3394172096282473E-2</v>
      </c>
      <c r="D229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9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98" s="11" t="e">
        <f>IF(ISBLANK(GSPC[[#This Row],[Long Exp.]]), "", (GSPC[[#This Row],[Long Exp.]]/D2299-1)+(E2299/GSPC[[#This Row],[Short Exp.]]-1))</f>
        <v>#VALUE!</v>
      </c>
    </row>
    <row r="2299" spans="1:6" x14ac:dyDescent="0.25">
      <c r="A2299" s="37">
        <v>29003</v>
      </c>
      <c r="B2299" s="39">
        <v>99.169998000000007</v>
      </c>
      <c r="C2299" s="36">
        <f>IF(ISBLANK(B2300), "", GSPC[[#This Row],[Adj Close]]/B2300-1)</f>
        <v>-1.0476980538046354E-2</v>
      </c>
      <c r="D229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29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299" s="11" t="e">
        <f>IF(ISBLANK(GSPC[[#This Row],[Long Exp.]]), "", (GSPC[[#This Row],[Long Exp.]]/D2300-1)+(E2300/GSPC[[#This Row],[Short Exp.]]-1))</f>
        <v>#VALUE!</v>
      </c>
    </row>
    <row r="2300" spans="1:6" x14ac:dyDescent="0.25">
      <c r="A2300" s="37">
        <v>28996</v>
      </c>
      <c r="B2300" s="39">
        <v>100.220001</v>
      </c>
      <c r="C2300" s="36">
        <f>IF(ISBLANK(B2301), "", GSPC[[#This Row],[Adj Close]]/B2301-1)</f>
        <v>2.9020414290001906E-3</v>
      </c>
      <c r="D230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0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00" s="11" t="e">
        <f>IF(ISBLANK(GSPC[[#This Row],[Long Exp.]]), "", (GSPC[[#This Row],[Long Exp.]]/D2301-1)+(E2301/GSPC[[#This Row],[Short Exp.]]-1))</f>
        <v>#VALUE!</v>
      </c>
    </row>
    <row r="2301" spans="1:6" x14ac:dyDescent="0.25">
      <c r="A2301" s="37">
        <v>28989</v>
      </c>
      <c r="B2301" s="39">
        <v>99.93</v>
      </c>
      <c r="C2301" s="36">
        <f>IF(ISBLANK(B2302), "", GSPC[[#This Row],[Adj Close]]/B2302-1)</f>
        <v>1.4311845746402208E-2</v>
      </c>
      <c r="D230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0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01" s="11" t="e">
        <f>IF(ISBLANK(GSPC[[#This Row],[Long Exp.]]), "", (GSPC[[#This Row],[Long Exp.]]/D2302-1)+(E2302/GSPC[[#This Row],[Short Exp.]]-1))</f>
        <v>#VALUE!</v>
      </c>
    </row>
    <row r="2302" spans="1:6" x14ac:dyDescent="0.25">
      <c r="A2302" s="37">
        <v>28982</v>
      </c>
      <c r="B2302" s="39">
        <v>98.519997000000004</v>
      </c>
      <c r="C2302" s="36">
        <f>IF(ISBLANK(B2303), "", GSPC[[#This Row],[Adj Close]]/B2303-1)</f>
        <v>-2.1551345286496271E-2</v>
      </c>
      <c r="D230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0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02" s="11" t="e">
        <f>IF(ISBLANK(GSPC[[#This Row],[Long Exp.]]), "", (GSPC[[#This Row],[Long Exp.]]/D2303-1)+(E2303/GSPC[[#This Row],[Short Exp.]]-1))</f>
        <v>#VALUE!</v>
      </c>
    </row>
    <row r="2303" spans="1:6" x14ac:dyDescent="0.25">
      <c r="A2303" s="37">
        <v>28975</v>
      </c>
      <c r="B2303" s="39">
        <v>100.69000200000001</v>
      </c>
      <c r="C2303" s="36">
        <f>IF(ISBLANK(B2304), "", GSPC[[#This Row],[Adj Close]]/B2304-1)</f>
        <v>-1.0903742311284548E-2</v>
      </c>
      <c r="D230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0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03" s="11" t="e">
        <f>IF(ISBLANK(GSPC[[#This Row],[Long Exp.]]), "", (GSPC[[#This Row],[Long Exp.]]/D2304-1)+(E2304/GSPC[[#This Row],[Short Exp.]]-1))</f>
        <v>#VALUE!</v>
      </c>
    </row>
    <row r="2304" spans="1:6" x14ac:dyDescent="0.25">
      <c r="A2304" s="37">
        <v>28968</v>
      </c>
      <c r="B2304" s="39">
        <v>101.800003</v>
      </c>
      <c r="C2304" s="36">
        <f>IF(ISBLANK(B2305), "", GSPC[[#This Row],[Adj Close]]/B2305-1)</f>
        <v>5.6307417080685429E-3</v>
      </c>
      <c r="D230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0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04" s="11" t="e">
        <f>IF(ISBLANK(GSPC[[#This Row],[Long Exp.]]), "", (GSPC[[#This Row],[Long Exp.]]/D2305-1)+(E2305/GSPC[[#This Row],[Short Exp.]]-1))</f>
        <v>#VALUE!</v>
      </c>
    </row>
    <row r="2305" spans="1:6" x14ac:dyDescent="0.25">
      <c r="A2305" s="37">
        <v>28961</v>
      </c>
      <c r="B2305" s="39">
        <v>101.230003</v>
      </c>
      <c r="C2305" s="36">
        <f>IF(ISBLANK(B2306), "", GSPC[[#This Row],[Adj Close]]/B2306-1)</f>
        <v>-7.5489901960784644E-3</v>
      </c>
      <c r="D230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0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05" s="11" t="e">
        <f>IF(ISBLANK(GSPC[[#This Row],[Long Exp.]]), "", (GSPC[[#This Row],[Long Exp.]]/D2306-1)+(E2306/GSPC[[#This Row],[Short Exp.]]-1))</f>
        <v>#VALUE!</v>
      </c>
    </row>
    <row r="2306" spans="1:6" x14ac:dyDescent="0.25">
      <c r="A2306" s="37">
        <v>28954</v>
      </c>
      <c r="B2306" s="39">
        <v>102</v>
      </c>
      <c r="C2306" s="36">
        <f>IF(ISBLANK(B2307), "", GSPC[[#This Row],[Adj Close]]/B2307-1)</f>
        <v>-1.1436324869160797E-2</v>
      </c>
      <c r="D230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0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06" s="11" t="e">
        <f>IF(ISBLANK(GSPC[[#This Row],[Long Exp.]]), "", (GSPC[[#This Row],[Long Exp.]]/D2307-1)+(E2307/GSPC[[#This Row],[Short Exp.]]-1))</f>
        <v>#VALUE!</v>
      </c>
    </row>
    <row r="2307" spans="1:6" x14ac:dyDescent="0.25">
      <c r="A2307" s="37">
        <v>28947</v>
      </c>
      <c r="B2307" s="39">
        <v>103.18</v>
      </c>
      <c r="C2307" s="36">
        <f>IF(ISBLANK(B2308), "", GSPC[[#This Row],[Adj Close]]/B2308-1)</f>
        <v>1.5651186756617363E-2</v>
      </c>
      <c r="D230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0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07" s="11" t="e">
        <f>IF(ISBLANK(GSPC[[#This Row],[Long Exp.]]), "", (GSPC[[#This Row],[Long Exp.]]/D2308-1)+(E2308/GSPC[[#This Row],[Short Exp.]]-1))</f>
        <v>#VALUE!</v>
      </c>
    </row>
    <row r="2308" spans="1:6" x14ac:dyDescent="0.25">
      <c r="A2308" s="37">
        <v>28940</v>
      </c>
      <c r="B2308" s="39">
        <v>101.589996</v>
      </c>
      <c r="C2308" s="36">
        <f>IF(ISBLANK(B2309), "", GSPC[[#This Row],[Adj Close]]/B2309-1)</f>
        <v>-9.8444883827708551E-5</v>
      </c>
      <c r="D230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0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08" s="11" t="e">
        <f>IF(ISBLANK(GSPC[[#This Row],[Long Exp.]]), "", (GSPC[[#This Row],[Long Exp.]]/D2309-1)+(E2309/GSPC[[#This Row],[Short Exp.]]-1))</f>
        <v>#VALUE!</v>
      </c>
    </row>
    <row r="2309" spans="1:6" x14ac:dyDescent="0.25">
      <c r="A2309" s="37">
        <v>28933</v>
      </c>
      <c r="B2309" s="39">
        <v>101.599998</v>
      </c>
      <c r="C2309" s="36">
        <f>IF(ISBLANK(B2310), "", GSPC[[#This Row],[Adj Close]]/B2310-1)</f>
        <v>9.0376003766490243E-3</v>
      </c>
      <c r="D230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0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09" s="11" t="e">
        <f>IF(ISBLANK(GSPC[[#This Row],[Long Exp.]]), "", (GSPC[[#This Row],[Long Exp.]]/D2310-1)+(E2310/GSPC[[#This Row],[Short Exp.]]-1))</f>
        <v>#VALUE!</v>
      </c>
    </row>
    <row r="2310" spans="1:6" x14ac:dyDescent="0.25">
      <c r="A2310" s="37">
        <v>28926</v>
      </c>
      <c r="B2310" s="39">
        <v>100.69000200000001</v>
      </c>
      <c r="C2310" s="36">
        <f>IF(ISBLANK(B2311), "", GSPC[[#This Row],[Adj Close]]/B2311-1)</f>
        <v>1.1553154394684073E-2</v>
      </c>
      <c r="D231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1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10" s="11" t="e">
        <f>IF(ISBLANK(GSPC[[#This Row],[Long Exp.]]), "", (GSPC[[#This Row],[Long Exp.]]/D2311-1)+(E2311/GSPC[[#This Row],[Short Exp.]]-1))</f>
        <v>#VALUE!</v>
      </c>
    </row>
    <row r="2311" spans="1:6" x14ac:dyDescent="0.25">
      <c r="A2311" s="37">
        <v>28919</v>
      </c>
      <c r="B2311" s="39">
        <v>99.540001000000004</v>
      </c>
      <c r="C2311" s="36">
        <f>IF(ISBLANK(B2312), "", GSPC[[#This Row],[Adj Close]]/B2312-1)</f>
        <v>2.6503041904681446E-2</v>
      </c>
      <c r="D231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1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11" s="11" t="e">
        <f>IF(ISBLANK(GSPC[[#This Row],[Long Exp.]]), "", (GSPC[[#This Row],[Long Exp.]]/D2312-1)+(E2312/GSPC[[#This Row],[Short Exp.]]-1))</f>
        <v>#VALUE!</v>
      </c>
    </row>
    <row r="2312" spans="1:6" x14ac:dyDescent="0.25">
      <c r="A2312" s="37">
        <v>28912</v>
      </c>
      <c r="B2312" s="39">
        <v>96.970000999999996</v>
      </c>
      <c r="C2312" s="36">
        <f>IF(ISBLANK(B2313), "", GSPC[[#This Row],[Adj Close]]/B2313-1)</f>
        <v>-8.2838822692155034E-3</v>
      </c>
      <c r="D231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1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12" s="11" t="e">
        <f>IF(ISBLANK(GSPC[[#This Row],[Long Exp.]]), "", (GSPC[[#This Row],[Long Exp.]]/D2313-1)+(E2313/GSPC[[#This Row],[Short Exp.]]-1))</f>
        <v>#VALUE!</v>
      </c>
    </row>
    <row r="2313" spans="1:6" x14ac:dyDescent="0.25">
      <c r="A2313" s="37">
        <v>28905</v>
      </c>
      <c r="B2313" s="39">
        <v>97.779999000000004</v>
      </c>
      <c r="C2313" s="36">
        <f>IF(ISBLANK(B2314), "", GSPC[[#This Row],[Adj Close]]/B2314-1)</f>
        <v>-9.0199555897426675E-3</v>
      </c>
      <c r="D231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1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13" s="11" t="e">
        <f>IF(ISBLANK(GSPC[[#This Row],[Long Exp.]]), "", (GSPC[[#This Row],[Long Exp.]]/D2314-1)+(E2314/GSPC[[#This Row],[Short Exp.]]-1))</f>
        <v>#VALUE!</v>
      </c>
    </row>
    <row r="2314" spans="1:6" x14ac:dyDescent="0.25">
      <c r="A2314" s="37">
        <v>28898</v>
      </c>
      <c r="B2314" s="39">
        <v>98.669998000000007</v>
      </c>
      <c r="C2314" s="36">
        <f>IF(ISBLANK(B2315), "", GSPC[[#This Row],[Adj Close]]/B2315-1)</f>
        <v>8.1740571725537059E-3</v>
      </c>
      <c r="D231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1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14" s="11" t="e">
        <f>IF(ISBLANK(GSPC[[#This Row],[Long Exp.]]), "", (GSPC[[#This Row],[Long Exp.]]/D2315-1)+(E2315/GSPC[[#This Row],[Short Exp.]]-1))</f>
        <v>#VALUE!</v>
      </c>
    </row>
    <row r="2315" spans="1:6" x14ac:dyDescent="0.25">
      <c r="A2315" s="37">
        <v>28891</v>
      </c>
      <c r="B2315" s="39">
        <v>97.870002999999997</v>
      </c>
      <c r="C2315" s="36">
        <f>IF(ISBLANK(B2316), "", GSPC[[#This Row],[Adj Close]]/B2316-1)</f>
        <v>-1.6381879396984989E-2</v>
      </c>
      <c r="D231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1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15" s="11" t="e">
        <f>IF(ISBLANK(GSPC[[#This Row],[Long Exp.]]), "", (GSPC[[#This Row],[Long Exp.]]/D2316-1)+(E2316/GSPC[[#This Row],[Short Exp.]]-1))</f>
        <v>#VALUE!</v>
      </c>
    </row>
    <row r="2316" spans="1:6" x14ac:dyDescent="0.25">
      <c r="A2316" s="37">
        <v>28884</v>
      </c>
      <c r="B2316" s="39">
        <v>99.5</v>
      </c>
      <c r="C2316" s="36">
        <f>IF(ISBLANK(B2317), "", GSPC[[#This Row],[Adj Close]]/B2317-1)</f>
        <v>-2.316906515640027E-2</v>
      </c>
      <c r="D231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1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16" s="11" t="e">
        <f>IF(ISBLANK(GSPC[[#This Row],[Long Exp.]]), "", (GSPC[[#This Row],[Long Exp.]]/D2317-1)+(E2317/GSPC[[#This Row],[Short Exp.]]-1))</f>
        <v>#VALUE!</v>
      </c>
    </row>
    <row r="2317" spans="1:6" x14ac:dyDescent="0.25">
      <c r="A2317" s="37">
        <v>28877</v>
      </c>
      <c r="B2317" s="39">
        <v>101.860001</v>
      </c>
      <c r="C2317" s="36">
        <f>IF(ISBLANK(B2318), "", GSPC[[#This Row],[Adj Close]]/B2318-1)</f>
        <v>2.115289223057637E-2</v>
      </c>
      <c r="D231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1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17" s="11" t="e">
        <f>IF(ISBLANK(GSPC[[#This Row],[Long Exp.]]), "", (GSPC[[#This Row],[Long Exp.]]/D2318-1)+(E2318/GSPC[[#This Row],[Short Exp.]]-1))</f>
        <v>#VALUE!</v>
      </c>
    </row>
    <row r="2318" spans="1:6" x14ac:dyDescent="0.25">
      <c r="A2318" s="37">
        <v>28870</v>
      </c>
      <c r="B2318" s="39">
        <v>99.75</v>
      </c>
      <c r="C2318" s="36">
        <f>IF(ISBLANK(B2319), "", GSPC[[#This Row],[Adj Close]]/B2319-1)</f>
        <v>-1.8012608826178944E-3</v>
      </c>
      <c r="D231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1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18" s="11" t="e">
        <f>IF(ISBLANK(GSPC[[#This Row],[Long Exp.]]), "", (GSPC[[#This Row],[Long Exp.]]/D2319-1)+(E2319/GSPC[[#This Row],[Short Exp.]]-1))</f>
        <v>#VALUE!</v>
      </c>
    </row>
    <row r="2319" spans="1:6" x14ac:dyDescent="0.25">
      <c r="A2319" s="37">
        <v>28863</v>
      </c>
      <c r="B2319" s="39">
        <v>99.93</v>
      </c>
      <c r="C2319" s="36">
        <f>IF(ISBLANK(B2320), "", GSPC[[#This Row],[Adj Close]]/B2320-1)</f>
        <v>8.0702413417808039E-3</v>
      </c>
      <c r="D231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1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19" s="11" t="e">
        <f>IF(ISBLANK(GSPC[[#This Row],[Long Exp.]]), "", (GSPC[[#This Row],[Long Exp.]]/D2320-1)+(E2320/GSPC[[#This Row],[Short Exp.]]-1))</f>
        <v>#VALUE!</v>
      </c>
    </row>
    <row r="2320" spans="1:6" x14ac:dyDescent="0.25">
      <c r="A2320" s="37">
        <v>28856</v>
      </c>
      <c r="B2320" s="39">
        <v>99.129997000000003</v>
      </c>
      <c r="C2320" s="36">
        <f>IF(ISBLANK(B2321), "", GSPC[[#This Row],[Adj Close]]/B2321-1)</f>
        <v>3.1422286635914176E-2</v>
      </c>
      <c r="D232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2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20" s="11" t="e">
        <f>IF(ISBLANK(GSPC[[#This Row],[Long Exp.]]), "", (GSPC[[#This Row],[Long Exp.]]/D2321-1)+(E2321/GSPC[[#This Row],[Short Exp.]]-1))</f>
        <v>#VALUE!</v>
      </c>
    </row>
    <row r="2321" spans="1:6" x14ac:dyDescent="0.25">
      <c r="A2321" s="37">
        <v>28849</v>
      </c>
      <c r="B2321" s="39">
        <v>96.110000999999997</v>
      </c>
      <c r="C2321" s="36">
        <f>IF(ISBLANK(B2322), "", GSPC[[#This Row],[Adj Close]]/B2322-1)</f>
        <v>-2.0765964505574663E-3</v>
      </c>
      <c r="D232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2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21" s="11" t="e">
        <f>IF(ISBLANK(GSPC[[#This Row],[Long Exp.]]), "", (GSPC[[#This Row],[Long Exp.]]/D2322-1)+(E2322/GSPC[[#This Row],[Short Exp.]]-1))</f>
        <v>#VALUE!</v>
      </c>
    </row>
    <row r="2322" spans="1:6" x14ac:dyDescent="0.25">
      <c r="A2322" s="37">
        <v>28842</v>
      </c>
      <c r="B2322" s="39">
        <v>96.309997999999993</v>
      </c>
      <c r="C2322" s="36">
        <f>IF(ISBLANK(B2323), "", GSPC[[#This Row],[Adj Close]]/B2323-1)</f>
        <v>1.0280037547885534E-2</v>
      </c>
      <c r="D232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2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22" s="11" t="e">
        <f>IF(ISBLANK(GSPC[[#This Row],[Long Exp.]]), "", (GSPC[[#This Row],[Long Exp.]]/D2323-1)+(E2323/GSPC[[#This Row],[Short Exp.]]-1))</f>
        <v>#VALUE!</v>
      </c>
    </row>
    <row r="2323" spans="1:6" x14ac:dyDescent="0.25">
      <c r="A2323" s="37">
        <v>28835</v>
      </c>
      <c r="B2323" s="39">
        <v>95.330001999999993</v>
      </c>
      <c r="C2323" s="36">
        <f>IF(ISBLANK(B2324), "", GSPC[[#This Row],[Adj Close]]/B2324-1)</f>
        <v>-1.3453327541757099E-2</v>
      </c>
      <c r="D232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2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23" s="11" t="e">
        <f>IF(ISBLANK(GSPC[[#This Row],[Long Exp.]]), "", (GSPC[[#This Row],[Long Exp.]]/D2324-1)+(E2324/GSPC[[#This Row],[Short Exp.]]-1))</f>
        <v>#VALUE!</v>
      </c>
    </row>
    <row r="2324" spans="1:6" x14ac:dyDescent="0.25">
      <c r="A2324" s="37">
        <v>28828</v>
      </c>
      <c r="B2324" s="39">
        <v>96.629997000000003</v>
      </c>
      <c r="C2324" s="36">
        <f>IF(ISBLANK(B2325), "", GSPC[[#This Row],[Adj Close]]/B2325-1)</f>
        <v>3.6352098424927703E-3</v>
      </c>
      <c r="D232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2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24" s="11" t="e">
        <f>IF(ISBLANK(GSPC[[#This Row],[Long Exp.]]), "", (GSPC[[#This Row],[Long Exp.]]/D2325-1)+(E2325/GSPC[[#This Row],[Short Exp.]]-1))</f>
        <v>#VALUE!</v>
      </c>
    </row>
    <row r="2325" spans="1:6" x14ac:dyDescent="0.25">
      <c r="A2325" s="37">
        <v>28821</v>
      </c>
      <c r="B2325" s="39">
        <v>96.279999000000004</v>
      </c>
      <c r="C2325" s="36">
        <f>IF(ISBLANK(B2326), "", GSPC[[#This Row],[Adj Close]]/B2326-1)</f>
        <v>5.1153355766224706E-3</v>
      </c>
      <c r="D232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2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25" s="11" t="e">
        <f>IF(ISBLANK(GSPC[[#This Row],[Long Exp.]]), "", (GSPC[[#This Row],[Long Exp.]]/D2326-1)+(E2326/GSPC[[#This Row],[Short Exp.]]-1))</f>
        <v>#VALUE!</v>
      </c>
    </row>
    <row r="2326" spans="1:6" x14ac:dyDescent="0.25">
      <c r="A2326" s="37">
        <v>28814</v>
      </c>
      <c r="B2326" s="39">
        <v>95.790001000000004</v>
      </c>
      <c r="C2326" s="36">
        <f>IF(ISBLANK(B2327), "", GSPC[[#This Row],[Adj Close]]/B2327-1)</f>
        <v>1.4509669868876696E-2</v>
      </c>
      <c r="D232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2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26" s="11" t="e">
        <f>IF(ISBLANK(GSPC[[#This Row],[Long Exp.]]), "", (GSPC[[#This Row],[Long Exp.]]/D2327-1)+(E2327/GSPC[[#This Row],[Short Exp.]]-1))</f>
        <v>#VALUE!</v>
      </c>
    </row>
    <row r="2327" spans="1:6" x14ac:dyDescent="0.25">
      <c r="A2327" s="37">
        <v>28807</v>
      </c>
      <c r="B2327" s="39">
        <v>94.419998000000007</v>
      </c>
      <c r="C2327" s="36">
        <f>IF(ISBLANK(B2328), "", GSPC[[#This Row],[Adj Close]]/B2328-1)</f>
        <v>-3.6931414063461343E-3</v>
      </c>
      <c r="D232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2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27" s="11" t="e">
        <f>IF(ISBLANK(GSPC[[#This Row],[Long Exp.]]), "", (GSPC[[#This Row],[Long Exp.]]/D2328-1)+(E2328/GSPC[[#This Row],[Short Exp.]]-1))</f>
        <v>#VALUE!</v>
      </c>
    </row>
    <row r="2328" spans="1:6" x14ac:dyDescent="0.25">
      <c r="A2328" s="37">
        <v>28800</v>
      </c>
      <c r="B2328" s="39">
        <v>94.769997000000004</v>
      </c>
      <c r="C2328" s="36">
        <f>IF(ISBLANK(B2329), "", GSPC[[#This Row],[Adj Close]]/B2329-1)</f>
        <v>-1.4660043668122347E-2</v>
      </c>
      <c r="D232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2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28" s="11" t="e">
        <f>IF(ISBLANK(GSPC[[#This Row],[Long Exp.]]), "", (GSPC[[#This Row],[Long Exp.]]/D2329-1)+(E2329/GSPC[[#This Row],[Short Exp.]]-1))</f>
        <v>#VALUE!</v>
      </c>
    </row>
    <row r="2329" spans="1:6" x14ac:dyDescent="0.25">
      <c r="A2329" s="37">
        <v>28793</v>
      </c>
      <c r="B2329" s="39">
        <v>96.18</v>
      </c>
      <c r="C2329" s="36">
        <f>IF(ISBLANK(B2330), "", GSPC[[#This Row],[Adj Close]]/B2330-1)</f>
        <v>1.6809430883156118E-2</v>
      </c>
      <c r="D232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2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29" s="11" t="e">
        <f>IF(ISBLANK(GSPC[[#This Row],[Long Exp.]]), "", (GSPC[[#This Row],[Long Exp.]]/D2330-1)+(E2330/GSPC[[#This Row],[Short Exp.]]-1))</f>
        <v>#VALUE!</v>
      </c>
    </row>
    <row r="2330" spans="1:6" x14ac:dyDescent="0.25">
      <c r="A2330" s="37">
        <v>28786</v>
      </c>
      <c r="B2330" s="39">
        <v>94.589995999999999</v>
      </c>
      <c r="C2330" s="36">
        <f>IF(ISBLANK(B2331), "", GSPC[[#This Row],[Adj Close]]/B2331-1)</f>
        <v>-3.4303227186418317E-2</v>
      </c>
      <c r="D233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3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30" s="11" t="e">
        <f>IF(ISBLANK(GSPC[[#This Row],[Long Exp.]]), "", (GSPC[[#This Row],[Long Exp.]]/D2331-1)+(E2331/GSPC[[#This Row],[Short Exp.]]-1))</f>
        <v>#VALUE!</v>
      </c>
    </row>
    <row r="2331" spans="1:6" x14ac:dyDescent="0.25">
      <c r="A2331" s="37">
        <v>28779</v>
      </c>
      <c r="B2331" s="39">
        <v>97.949996999999996</v>
      </c>
      <c r="C2331" s="36">
        <f>IF(ISBLANK(B2332), "", GSPC[[#This Row],[Adj Close]]/B2332-1)</f>
        <v>-6.4112428277759315E-2</v>
      </c>
      <c r="D233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3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31" s="11" t="e">
        <f>IF(ISBLANK(GSPC[[#This Row],[Long Exp.]]), "", (GSPC[[#This Row],[Long Exp.]]/D2332-1)+(E2332/GSPC[[#This Row],[Short Exp.]]-1))</f>
        <v>#VALUE!</v>
      </c>
    </row>
    <row r="2332" spans="1:6" x14ac:dyDescent="0.25">
      <c r="A2332" s="37">
        <v>28772</v>
      </c>
      <c r="B2332" s="39">
        <v>104.660004</v>
      </c>
      <c r="C2332" s="36">
        <f>IF(ISBLANK(B2333), "", GSPC[[#This Row],[Adj Close]]/B2333-1)</f>
        <v>1.1012432699355701E-2</v>
      </c>
      <c r="D233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3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32" s="11" t="e">
        <f>IF(ISBLANK(GSPC[[#This Row],[Long Exp.]]), "", (GSPC[[#This Row],[Long Exp.]]/D2333-1)+(E2333/GSPC[[#This Row],[Short Exp.]]-1))</f>
        <v>#VALUE!</v>
      </c>
    </row>
    <row r="2333" spans="1:6" x14ac:dyDescent="0.25">
      <c r="A2333" s="37">
        <v>28765</v>
      </c>
      <c r="B2333" s="39">
        <v>103.519997</v>
      </c>
      <c r="C2333" s="36">
        <f>IF(ISBLANK(B2334), "", GSPC[[#This Row],[Adj Close]]/B2334-1)</f>
        <v>9.5572068504270469E-3</v>
      </c>
      <c r="D233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3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33" s="11" t="e">
        <f>IF(ISBLANK(GSPC[[#This Row],[Long Exp.]]), "", (GSPC[[#This Row],[Long Exp.]]/D2334-1)+(E2334/GSPC[[#This Row],[Short Exp.]]-1))</f>
        <v>#VALUE!</v>
      </c>
    </row>
    <row r="2334" spans="1:6" x14ac:dyDescent="0.25">
      <c r="A2334" s="37">
        <v>28758</v>
      </c>
      <c r="B2334" s="39">
        <v>102.540001</v>
      </c>
      <c r="C2334" s="36">
        <f>IF(ISBLANK(B2335), "", GSPC[[#This Row],[Adj Close]]/B2335-1)</f>
        <v>6.8735764679330735E-3</v>
      </c>
      <c r="D233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3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34" s="11" t="e">
        <f>IF(ISBLANK(GSPC[[#This Row],[Long Exp.]]), "", (GSPC[[#This Row],[Long Exp.]]/D2335-1)+(E2335/GSPC[[#This Row],[Short Exp.]]-1))</f>
        <v>#VALUE!</v>
      </c>
    </row>
    <row r="2335" spans="1:6" x14ac:dyDescent="0.25">
      <c r="A2335" s="37">
        <v>28751</v>
      </c>
      <c r="B2335" s="39">
        <v>101.839996</v>
      </c>
      <c r="C2335" s="36">
        <f>IF(ISBLANK(B2336), "", GSPC[[#This Row],[Adj Close]]/B2336-1)</f>
        <v>-2.1897876818155693E-2</v>
      </c>
      <c r="D233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3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35" s="11" t="e">
        <f>IF(ISBLANK(GSPC[[#This Row],[Long Exp.]]), "", (GSPC[[#This Row],[Long Exp.]]/D2336-1)+(E2336/GSPC[[#This Row],[Short Exp.]]-1))</f>
        <v>#VALUE!</v>
      </c>
    </row>
    <row r="2336" spans="1:6" x14ac:dyDescent="0.25">
      <c r="A2336" s="37">
        <v>28744</v>
      </c>
      <c r="B2336" s="39">
        <v>104.120003</v>
      </c>
      <c r="C2336" s="36">
        <f>IF(ISBLANK(B2337), "", GSPC[[#This Row],[Adj Close]]/B2337-1)</f>
        <v>-2.5002322080697525E-2</v>
      </c>
      <c r="D233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3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36" s="11" t="e">
        <f>IF(ISBLANK(GSPC[[#This Row],[Long Exp.]]), "", (GSPC[[#This Row],[Long Exp.]]/D2337-1)+(E2337/GSPC[[#This Row],[Short Exp.]]-1))</f>
        <v>#VALUE!</v>
      </c>
    </row>
    <row r="2337" spans="1:6" x14ac:dyDescent="0.25">
      <c r="A2337" s="37">
        <v>28737</v>
      </c>
      <c r="B2337" s="39">
        <v>106.790001</v>
      </c>
      <c r="C2337" s="36">
        <f>IF(ISBLANK(B2338), "", GSPC[[#This Row],[Adj Close]]/B2338-1)</f>
        <v>2.9996151620370393E-2</v>
      </c>
      <c r="D233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3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37" s="11" t="e">
        <f>IF(ISBLANK(GSPC[[#This Row],[Long Exp.]]), "", (GSPC[[#This Row],[Long Exp.]]/D2338-1)+(E2338/GSPC[[#This Row],[Short Exp.]]-1))</f>
        <v>#VALUE!</v>
      </c>
    </row>
    <row r="2338" spans="1:6" x14ac:dyDescent="0.25">
      <c r="A2338" s="37">
        <v>28730</v>
      </c>
      <c r="B2338" s="39">
        <v>103.68</v>
      </c>
      <c r="C2338" s="36">
        <f>IF(ISBLANK(B2339), "", GSPC[[#This Row],[Adj Close]]/B2339-1)</f>
        <v>-1.1630142771589247E-2</v>
      </c>
      <c r="D233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3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38" s="11" t="e">
        <f>IF(ISBLANK(GSPC[[#This Row],[Long Exp.]]), "", (GSPC[[#This Row],[Long Exp.]]/D2339-1)+(E2339/GSPC[[#This Row],[Short Exp.]]-1))</f>
        <v>#VALUE!</v>
      </c>
    </row>
    <row r="2339" spans="1:6" x14ac:dyDescent="0.25">
      <c r="A2339" s="37">
        <v>28723</v>
      </c>
      <c r="B2339" s="39">
        <v>104.900002</v>
      </c>
      <c r="C2339" s="36">
        <f>IF(ISBLANK(B2340), "", GSPC[[#This Row],[Adj Close]]/B2340-1)</f>
        <v>1.6232120226331581E-3</v>
      </c>
      <c r="D233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3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39" s="11" t="e">
        <f>IF(ISBLANK(GSPC[[#This Row],[Long Exp.]]), "", (GSPC[[#This Row],[Long Exp.]]/D2340-1)+(E2340/GSPC[[#This Row],[Short Exp.]]-1))</f>
        <v>#VALUE!</v>
      </c>
    </row>
    <row r="2340" spans="1:6" x14ac:dyDescent="0.25">
      <c r="A2340" s="37">
        <v>28716</v>
      </c>
      <c r="B2340" s="39">
        <v>104.730003</v>
      </c>
      <c r="C2340" s="36">
        <f>IF(ISBLANK(B2341), "", GSPC[[#This Row],[Adj Close]]/B2341-1)</f>
        <v>7.406733430230128E-3</v>
      </c>
      <c r="D234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4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40" s="11" t="e">
        <f>IF(ISBLANK(GSPC[[#This Row],[Long Exp.]]), "", (GSPC[[#This Row],[Long Exp.]]/D2341-1)+(E2341/GSPC[[#This Row],[Short Exp.]]-1))</f>
        <v>#VALUE!</v>
      </c>
    </row>
    <row r="2341" spans="1:6" x14ac:dyDescent="0.25">
      <c r="A2341" s="37">
        <v>28709</v>
      </c>
      <c r="B2341" s="39">
        <v>103.959999</v>
      </c>
      <c r="C2341" s="36">
        <f>IF(ISBLANK(B2342), "", GSPC[[#This Row],[Adj Close]]/B2342-1)</f>
        <v>3.8492110055643458E-4</v>
      </c>
      <c r="D234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4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41" s="11" t="e">
        <f>IF(ISBLANK(GSPC[[#This Row],[Long Exp.]]), "", (GSPC[[#This Row],[Long Exp.]]/D2342-1)+(E2342/GSPC[[#This Row],[Short Exp.]]-1))</f>
        <v>#VALUE!</v>
      </c>
    </row>
    <row r="2342" spans="1:6" x14ac:dyDescent="0.25">
      <c r="A2342" s="37">
        <v>28702</v>
      </c>
      <c r="B2342" s="39">
        <v>103.91999800000001</v>
      </c>
      <c r="C2342" s="36">
        <f>IF(ISBLANK(B2343), "", GSPC[[#This Row],[Adj Close]]/B2343-1)</f>
        <v>3.9199980000000023E-2</v>
      </c>
      <c r="D234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4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42" s="11" t="e">
        <f>IF(ISBLANK(GSPC[[#This Row],[Long Exp.]]), "", (GSPC[[#This Row],[Long Exp.]]/D2343-1)+(E2343/GSPC[[#This Row],[Short Exp.]]-1))</f>
        <v>#VALUE!</v>
      </c>
    </row>
    <row r="2343" spans="1:6" x14ac:dyDescent="0.25">
      <c r="A2343" s="37">
        <v>28695</v>
      </c>
      <c r="B2343" s="39">
        <v>100</v>
      </c>
      <c r="C2343" s="36">
        <f>IF(ISBLANK(B2344), "", GSPC[[#This Row],[Adj Close]]/B2344-1)</f>
        <v>2.3017902813299296E-2</v>
      </c>
      <c r="D234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4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43" s="11" t="e">
        <f>IF(ISBLANK(GSPC[[#This Row],[Long Exp.]]), "", (GSPC[[#This Row],[Long Exp.]]/D2344-1)+(E2344/GSPC[[#This Row],[Short Exp.]]-1))</f>
        <v>#VALUE!</v>
      </c>
    </row>
    <row r="2344" spans="1:6" x14ac:dyDescent="0.25">
      <c r="A2344" s="37">
        <v>28688</v>
      </c>
      <c r="B2344" s="39">
        <v>97.75</v>
      </c>
      <c r="C2344" s="36">
        <f>IF(ISBLANK(B2345), "", GSPC[[#This Row],[Adj Close]]/B2345-1)</f>
        <v>1.7421397470356315E-3</v>
      </c>
      <c r="D234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4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44" s="11" t="e">
        <f>IF(ISBLANK(GSPC[[#This Row],[Long Exp.]]), "", (GSPC[[#This Row],[Long Exp.]]/D2345-1)+(E2345/GSPC[[#This Row],[Short Exp.]]-1))</f>
        <v>#VALUE!</v>
      </c>
    </row>
    <row r="2345" spans="1:6" x14ac:dyDescent="0.25">
      <c r="A2345" s="37">
        <v>28681</v>
      </c>
      <c r="B2345" s="39">
        <v>97.580001999999993</v>
      </c>
      <c r="C2345" s="36">
        <f>IF(ISBLANK(B2346), "", GSPC[[#This Row],[Adj Close]]/B2346-1)</f>
        <v>2.8348646099153108E-2</v>
      </c>
      <c r="D234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4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45" s="11" t="e">
        <f>IF(ISBLANK(GSPC[[#This Row],[Long Exp.]]), "", (GSPC[[#This Row],[Long Exp.]]/D2346-1)+(E2346/GSPC[[#This Row],[Short Exp.]]-1))</f>
        <v>#VALUE!</v>
      </c>
    </row>
    <row r="2346" spans="1:6" x14ac:dyDescent="0.25">
      <c r="A2346" s="37">
        <v>28674</v>
      </c>
      <c r="B2346" s="39">
        <v>94.889999000000003</v>
      </c>
      <c r="C2346" s="36">
        <f>IF(ISBLANK(B2347), "", GSPC[[#This Row],[Adj Close]]/B2347-1)</f>
        <v>-6.6994662064217003E-3</v>
      </c>
      <c r="D234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4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46" s="11" t="e">
        <f>IF(ISBLANK(GSPC[[#This Row],[Long Exp.]]), "", (GSPC[[#This Row],[Long Exp.]]/D2347-1)+(E2347/GSPC[[#This Row],[Short Exp.]]-1))</f>
        <v>#VALUE!</v>
      </c>
    </row>
    <row r="2347" spans="1:6" x14ac:dyDescent="0.25">
      <c r="A2347" s="37">
        <v>28667</v>
      </c>
      <c r="B2347" s="39">
        <v>95.529999000000004</v>
      </c>
      <c r="C2347" s="36">
        <f>IF(ISBLANK(B2348), "", GSPC[[#This Row],[Adj Close]]/B2348-1)</f>
        <v>-3.3385394541165514E-3</v>
      </c>
      <c r="D234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4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47" s="11" t="e">
        <f>IF(ISBLANK(GSPC[[#This Row],[Long Exp.]]), "", (GSPC[[#This Row],[Long Exp.]]/D2348-1)+(E2348/GSPC[[#This Row],[Short Exp.]]-1))</f>
        <v>#VALUE!</v>
      </c>
    </row>
    <row r="2348" spans="1:6" x14ac:dyDescent="0.25">
      <c r="A2348" s="37">
        <v>28660</v>
      </c>
      <c r="B2348" s="39">
        <v>95.849997999999999</v>
      </c>
      <c r="C2348" s="36">
        <f>IF(ISBLANK(B2349), "", GSPC[[#This Row],[Adj Close]]/B2349-1)</f>
        <v>-1.611578764351862E-2</v>
      </c>
      <c r="D234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4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48" s="11" t="e">
        <f>IF(ISBLANK(GSPC[[#This Row],[Long Exp.]]), "", (GSPC[[#This Row],[Long Exp.]]/D2349-1)+(E2349/GSPC[[#This Row],[Short Exp.]]-1))</f>
        <v>#VALUE!</v>
      </c>
    </row>
    <row r="2349" spans="1:6" x14ac:dyDescent="0.25">
      <c r="A2349" s="37">
        <v>28653</v>
      </c>
      <c r="B2349" s="39">
        <v>97.419998000000007</v>
      </c>
      <c r="C2349" s="36">
        <f>IF(ISBLANK(B2350), "", GSPC[[#This Row],[Adj Close]]/B2350-1)</f>
        <v>-2.5117602321625188E-2</v>
      </c>
      <c r="D234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4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49" s="11" t="e">
        <f>IF(ISBLANK(GSPC[[#This Row],[Long Exp.]]), "", (GSPC[[#This Row],[Long Exp.]]/D2350-1)+(E2350/GSPC[[#This Row],[Short Exp.]]-1))</f>
        <v>#VALUE!</v>
      </c>
    </row>
    <row r="2350" spans="1:6" x14ac:dyDescent="0.25">
      <c r="A2350" s="37">
        <v>28646</v>
      </c>
      <c r="B2350" s="39">
        <v>99.93</v>
      </c>
      <c r="C2350" s="36">
        <f>IF(ISBLANK(B2351), "", GSPC[[#This Row],[Adj Close]]/B2351-1)</f>
        <v>1.8239260426322179E-2</v>
      </c>
      <c r="D235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5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50" s="11" t="e">
        <f>IF(ISBLANK(GSPC[[#This Row],[Long Exp.]]), "", (GSPC[[#This Row],[Long Exp.]]/D2351-1)+(E2351/GSPC[[#This Row],[Short Exp.]]-1))</f>
        <v>#VALUE!</v>
      </c>
    </row>
    <row r="2351" spans="1:6" x14ac:dyDescent="0.25">
      <c r="A2351" s="37">
        <v>28639</v>
      </c>
      <c r="B2351" s="39">
        <v>98.139999000000003</v>
      </c>
      <c r="C2351" s="36">
        <f>IF(ISBLANK(B2352), "", GSPC[[#This Row],[Adj Close]]/B2352-1)</f>
        <v>1.6152381110946967E-2</v>
      </c>
      <c r="D235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5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51" s="11" t="e">
        <f>IF(ISBLANK(GSPC[[#This Row],[Long Exp.]]), "", (GSPC[[#This Row],[Long Exp.]]/D2352-1)+(E2352/GSPC[[#This Row],[Short Exp.]]-1))</f>
        <v>#VALUE!</v>
      </c>
    </row>
    <row r="2352" spans="1:6" x14ac:dyDescent="0.25">
      <c r="A2352" s="37">
        <v>28632</v>
      </c>
      <c r="B2352" s="39">
        <v>96.580001999999993</v>
      </c>
      <c r="C2352" s="36">
        <f>IF(ISBLANK(B2353), "", GSPC[[#This Row],[Adj Close]]/B2353-1)</f>
        <v>-1.5695076976302236E-2</v>
      </c>
      <c r="D235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5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52" s="11" t="e">
        <f>IF(ISBLANK(GSPC[[#This Row],[Long Exp.]]), "", (GSPC[[#This Row],[Long Exp.]]/D2353-1)+(E2353/GSPC[[#This Row],[Short Exp.]]-1))</f>
        <v>#VALUE!</v>
      </c>
    </row>
    <row r="2353" spans="1:6" x14ac:dyDescent="0.25">
      <c r="A2353" s="37">
        <v>28625</v>
      </c>
      <c r="B2353" s="39">
        <v>98.120002999999997</v>
      </c>
      <c r="C2353" s="36">
        <f>IF(ISBLANK(B2354), "", GSPC[[#This Row],[Adj Close]]/B2354-1)</f>
        <v>5.0987050066275685E-4</v>
      </c>
      <c r="D235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5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53" s="11" t="e">
        <f>IF(ISBLANK(GSPC[[#This Row],[Long Exp.]]), "", (GSPC[[#This Row],[Long Exp.]]/D2354-1)+(E2354/GSPC[[#This Row],[Short Exp.]]-1))</f>
        <v>#VALUE!</v>
      </c>
    </row>
    <row r="2354" spans="1:6" x14ac:dyDescent="0.25">
      <c r="A2354" s="37">
        <v>28618</v>
      </c>
      <c r="B2354" s="39">
        <v>98.07</v>
      </c>
      <c r="C2354" s="36">
        <f>IF(ISBLANK(B2355), "", GSPC[[#This Row],[Adj Close]]/B2355-1)</f>
        <v>1.5953600082394992E-2</v>
      </c>
      <c r="D235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5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54" s="11" t="e">
        <f>IF(ISBLANK(GSPC[[#This Row],[Long Exp.]]), "", (GSPC[[#This Row],[Long Exp.]]/D2355-1)+(E2355/GSPC[[#This Row],[Short Exp.]]-1))</f>
        <v>#VALUE!</v>
      </c>
    </row>
    <row r="2355" spans="1:6" x14ac:dyDescent="0.25">
      <c r="A2355" s="37">
        <v>28611</v>
      </c>
      <c r="B2355" s="39">
        <v>96.529999000000004</v>
      </c>
      <c r="C2355" s="36">
        <f>IF(ISBLANK(B2356), "", GSPC[[#This Row],[Adj Close]]/B2356-1)</f>
        <v>-3.0982442817669709E-3</v>
      </c>
      <c r="D235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5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55" s="11" t="e">
        <f>IF(ISBLANK(GSPC[[#This Row],[Long Exp.]]), "", (GSPC[[#This Row],[Long Exp.]]/D2356-1)+(E2356/GSPC[[#This Row],[Short Exp.]]-1))</f>
        <v>#VALUE!</v>
      </c>
    </row>
    <row r="2356" spans="1:6" x14ac:dyDescent="0.25">
      <c r="A2356" s="37">
        <v>28604</v>
      </c>
      <c r="B2356" s="39">
        <v>96.830001999999993</v>
      </c>
      <c r="C2356" s="36">
        <f>IF(ISBLANK(B2357), "", GSPC[[#This Row],[Adj Close]]/B2357-1)</f>
        <v>2.6393959143267143E-2</v>
      </c>
      <c r="D235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5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56" s="11" t="e">
        <f>IF(ISBLANK(GSPC[[#This Row],[Long Exp.]]), "", (GSPC[[#This Row],[Long Exp.]]/D2357-1)+(E2357/GSPC[[#This Row],[Short Exp.]]-1))</f>
        <v>#VALUE!</v>
      </c>
    </row>
    <row r="2357" spans="1:6" x14ac:dyDescent="0.25">
      <c r="A2357" s="37">
        <v>28597</v>
      </c>
      <c r="B2357" s="39">
        <v>94.339995999999999</v>
      </c>
      <c r="C2357" s="36">
        <f>IF(ISBLANK(B2358), "", GSPC[[#This Row],[Adj Close]]/B2358-1)</f>
        <v>1.5281941783941821E-2</v>
      </c>
      <c r="D235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5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57" s="11" t="e">
        <f>IF(ISBLANK(GSPC[[#This Row],[Long Exp.]]), "", (GSPC[[#This Row],[Long Exp.]]/D2358-1)+(E2358/GSPC[[#This Row],[Short Exp.]]-1))</f>
        <v>#VALUE!</v>
      </c>
    </row>
    <row r="2358" spans="1:6" x14ac:dyDescent="0.25">
      <c r="A2358" s="37">
        <v>28590</v>
      </c>
      <c r="B2358" s="39">
        <v>92.919998000000007</v>
      </c>
      <c r="C2358" s="36">
        <f>IF(ISBLANK(B2359), "", GSPC[[#This Row],[Adj Close]]/B2359-1)</f>
        <v>3.0497948996294655E-2</v>
      </c>
      <c r="D235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5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58" s="11" t="e">
        <f>IF(ISBLANK(GSPC[[#This Row],[Long Exp.]]), "", (GSPC[[#This Row],[Long Exp.]]/D2359-1)+(E2359/GSPC[[#This Row],[Short Exp.]]-1))</f>
        <v>#VALUE!</v>
      </c>
    </row>
    <row r="2359" spans="1:6" x14ac:dyDescent="0.25">
      <c r="A2359" s="37">
        <v>28583</v>
      </c>
      <c r="B2359" s="39">
        <v>90.169998000000007</v>
      </c>
      <c r="C2359" s="36">
        <f>IF(ISBLANK(B2360), "", GSPC[[#This Row],[Adj Close]]/B2360-1)</f>
        <v>1.0761114345489542E-2</v>
      </c>
      <c r="D235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5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59" s="11" t="e">
        <f>IF(ISBLANK(GSPC[[#This Row],[Long Exp.]]), "", (GSPC[[#This Row],[Long Exp.]]/D2360-1)+(E2360/GSPC[[#This Row],[Short Exp.]]-1))</f>
        <v>#VALUE!</v>
      </c>
    </row>
    <row r="2360" spans="1:6" x14ac:dyDescent="0.25">
      <c r="A2360" s="37">
        <v>28576</v>
      </c>
      <c r="B2360" s="39">
        <v>89.209998999999996</v>
      </c>
      <c r="C2360" s="36">
        <f>IF(ISBLANK(B2361), "", GSPC[[#This Row],[Adj Close]]/B2361-1)</f>
        <v>-1.6786257645632352E-3</v>
      </c>
      <c r="D236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6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60" s="11" t="e">
        <f>IF(ISBLANK(GSPC[[#This Row],[Long Exp.]]), "", (GSPC[[#This Row],[Long Exp.]]/D2361-1)+(E2361/GSPC[[#This Row],[Short Exp.]]-1))</f>
        <v>#VALUE!</v>
      </c>
    </row>
    <row r="2361" spans="1:6" x14ac:dyDescent="0.25">
      <c r="A2361" s="37">
        <v>28569</v>
      </c>
      <c r="B2361" s="39">
        <v>89.360000999999997</v>
      </c>
      <c r="C2361" s="36">
        <f>IF(ISBLANK(B2362), "", GSPC[[#This Row],[Adj Close]]/B2362-1)</f>
        <v>-9.3125945447647407E-3</v>
      </c>
      <c r="D236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6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61" s="11" t="e">
        <f>IF(ISBLANK(GSPC[[#This Row],[Long Exp.]]), "", (GSPC[[#This Row],[Long Exp.]]/D2362-1)+(E2362/GSPC[[#This Row],[Short Exp.]]-1))</f>
        <v>#VALUE!</v>
      </c>
    </row>
    <row r="2362" spans="1:6" x14ac:dyDescent="0.25">
      <c r="A2362" s="37">
        <v>28562</v>
      </c>
      <c r="B2362" s="39">
        <v>90.199996999999996</v>
      </c>
      <c r="C2362" s="36">
        <f>IF(ISBLANK(B2363), "", GSPC[[#This Row],[Adj Close]]/B2363-1)</f>
        <v>1.4851485649802543E-2</v>
      </c>
      <c r="D236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6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62" s="11" t="e">
        <f>IF(ISBLANK(GSPC[[#This Row],[Long Exp.]]), "", (GSPC[[#This Row],[Long Exp.]]/D2363-1)+(E2363/GSPC[[#This Row],[Short Exp.]]-1))</f>
        <v>#VALUE!</v>
      </c>
    </row>
    <row r="2363" spans="1:6" x14ac:dyDescent="0.25">
      <c r="A2363" s="37">
        <v>28555</v>
      </c>
      <c r="B2363" s="39">
        <v>88.879997000000003</v>
      </c>
      <c r="C2363" s="36">
        <f>IF(ISBLANK(B2364), "", GSPC[[#This Row],[Adj Close]]/B2364-1)</f>
        <v>1.6352201818829126E-2</v>
      </c>
      <c r="D236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6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63" s="11" t="e">
        <f>IF(ISBLANK(GSPC[[#This Row],[Long Exp.]]), "", (GSPC[[#This Row],[Long Exp.]]/D2364-1)+(E2364/GSPC[[#This Row],[Short Exp.]]-1))</f>
        <v>#VALUE!</v>
      </c>
    </row>
    <row r="2364" spans="1:6" x14ac:dyDescent="0.25">
      <c r="A2364" s="37">
        <v>28548</v>
      </c>
      <c r="B2364" s="39">
        <v>87.449996999999996</v>
      </c>
      <c r="C2364" s="36">
        <f>IF(ISBLANK(B2365), "", GSPC[[#This Row],[Adj Close]]/B2365-1)</f>
        <v>-1.1752751988987509E-2</v>
      </c>
      <c r="D236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6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64" s="11" t="e">
        <f>IF(ISBLANK(GSPC[[#This Row],[Long Exp.]]), "", (GSPC[[#This Row],[Long Exp.]]/D2365-1)+(E2365/GSPC[[#This Row],[Short Exp.]]-1))</f>
        <v>#VALUE!</v>
      </c>
    </row>
    <row r="2365" spans="1:6" x14ac:dyDescent="0.25">
      <c r="A2365" s="37">
        <v>28541</v>
      </c>
      <c r="B2365" s="39">
        <v>88.489998</v>
      </c>
      <c r="C2365" s="36">
        <f>IF(ISBLANK(B2366), "", GSPC[[#This Row],[Adj Close]]/B2366-1)</f>
        <v>6.0254548206624126E-3</v>
      </c>
      <c r="D236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6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65" s="11" t="e">
        <f>IF(ISBLANK(GSPC[[#This Row],[Long Exp.]]), "", (GSPC[[#This Row],[Long Exp.]]/D2366-1)+(E2366/GSPC[[#This Row],[Short Exp.]]-1))</f>
        <v>#VALUE!</v>
      </c>
    </row>
    <row r="2366" spans="1:6" x14ac:dyDescent="0.25">
      <c r="A2366" s="37">
        <v>28534</v>
      </c>
      <c r="B2366" s="39">
        <v>87.959998999999996</v>
      </c>
      <c r="C2366" s="36">
        <f>IF(ISBLANK(B2367), "", GSPC[[#This Row],[Adj Close]]/B2367-1)</f>
        <v>-2.353466866042031E-2</v>
      </c>
      <c r="D236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6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66" s="11" t="e">
        <f>IF(ISBLANK(GSPC[[#This Row],[Long Exp.]]), "", (GSPC[[#This Row],[Long Exp.]]/D2367-1)+(E2367/GSPC[[#This Row],[Short Exp.]]-1))</f>
        <v>#VALUE!</v>
      </c>
    </row>
    <row r="2367" spans="1:6" x14ac:dyDescent="0.25">
      <c r="A2367" s="37">
        <v>28527</v>
      </c>
      <c r="B2367" s="39">
        <v>90.080001999999993</v>
      </c>
      <c r="C2367" s="36">
        <f>IF(ISBLANK(B2368), "", GSPC[[#This Row],[Adj Close]]/B2368-1)</f>
        <v>5.1327715309270605E-3</v>
      </c>
      <c r="D236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6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67" s="11" t="e">
        <f>IF(ISBLANK(GSPC[[#This Row],[Long Exp.]]), "", (GSPC[[#This Row],[Long Exp.]]/D2368-1)+(E2368/GSPC[[#This Row],[Short Exp.]]-1))</f>
        <v>#VALUE!</v>
      </c>
    </row>
    <row r="2368" spans="1:6" x14ac:dyDescent="0.25">
      <c r="A2368" s="37">
        <v>28520</v>
      </c>
      <c r="B2368" s="39">
        <v>89.620002999999997</v>
      </c>
      <c r="C2368" s="36">
        <f>IF(ISBLANK(B2369), "", GSPC[[#This Row],[Adj Close]]/B2369-1)</f>
        <v>1.1740810301629878E-2</v>
      </c>
      <c r="D236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6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68" s="11" t="e">
        <f>IF(ISBLANK(GSPC[[#This Row],[Long Exp.]]), "", (GSPC[[#This Row],[Long Exp.]]/D2369-1)+(E2369/GSPC[[#This Row],[Short Exp.]]-1))</f>
        <v>#VALUE!</v>
      </c>
    </row>
    <row r="2369" spans="1:6" x14ac:dyDescent="0.25">
      <c r="A2369" s="37">
        <v>28513</v>
      </c>
      <c r="B2369" s="39">
        <v>88.580001999999993</v>
      </c>
      <c r="C2369" s="36">
        <f>IF(ISBLANK(B2370), "", GSPC[[#This Row],[Adj Close]]/B2370-1)</f>
        <v>-1.4573334237104718E-2</v>
      </c>
      <c r="D236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6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69" s="11" t="e">
        <f>IF(ISBLANK(GSPC[[#This Row],[Long Exp.]]), "", (GSPC[[#This Row],[Long Exp.]]/D2370-1)+(E2370/GSPC[[#This Row],[Short Exp.]]-1))</f>
        <v>#VALUE!</v>
      </c>
    </row>
    <row r="2370" spans="1:6" x14ac:dyDescent="0.25">
      <c r="A2370" s="37">
        <v>28506</v>
      </c>
      <c r="B2370" s="39">
        <v>89.889999000000003</v>
      </c>
      <c r="C2370" s="36">
        <f>IF(ISBLANK(B2371), "", GSPC[[#This Row],[Adj Close]]/B2371-1)</f>
        <v>2.2298695009506098E-3</v>
      </c>
      <c r="D237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7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70" s="11" t="e">
        <f>IF(ISBLANK(GSPC[[#This Row],[Long Exp.]]), "", (GSPC[[#This Row],[Long Exp.]]/D2371-1)+(E2371/GSPC[[#This Row],[Short Exp.]]-1))</f>
        <v>#VALUE!</v>
      </c>
    </row>
    <row r="2371" spans="1:6" x14ac:dyDescent="0.25">
      <c r="A2371" s="37">
        <v>28499</v>
      </c>
      <c r="B2371" s="39">
        <v>89.690002000000007</v>
      </c>
      <c r="C2371" s="36">
        <f>IF(ISBLANK(B2372), "", GSPC[[#This Row],[Adj Close]]/B2372-1)</f>
        <v>-2.1065279816679272E-2</v>
      </c>
      <c r="D237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7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71" s="11" t="e">
        <f>IF(ISBLANK(GSPC[[#This Row],[Long Exp.]]), "", (GSPC[[#This Row],[Long Exp.]]/D2372-1)+(E2372/GSPC[[#This Row],[Short Exp.]]-1))</f>
        <v>#VALUE!</v>
      </c>
    </row>
    <row r="2372" spans="1:6" x14ac:dyDescent="0.25">
      <c r="A2372" s="37">
        <v>28492</v>
      </c>
      <c r="B2372" s="39">
        <v>91.620002999999997</v>
      </c>
      <c r="C2372" s="36">
        <f>IF(ISBLANK(B2373), "", GSPC[[#This Row],[Adj Close]]/B2373-1)</f>
        <v>-3.6593008130242022E-2</v>
      </c>
      <c r="D237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7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72" s="11" t="e">
        <f>IF(ISBLANK(GSPC[[#This Row],[Long Exp.]]), "", (GSPC[[#This Row],[Long Exp.]]/D2373-1)+(E2373/GSPC[[#This Row],[Short Exp.]]-1))</f>
        <v>#VALUE!</v>
      </c>
    </row>
    <row r="2373" spans="1:6" x14ac:dyDescent="0.25">
      <c r="A2373" s="37">
        <v>28485</v>
      </c>
      <c r="B2373" s="39">
        <v>95.099997999999999</v>
      </c>
      <c r="C2373" s="36">
        <f>IF(ISBLANK(B2374), "", GSPC[[#This Row],[Adj Close]]/B2374-1)</f>
        <v>4.3298763474521884E-3</v>
      </c>
      <c r="D237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7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73" s="11" t="e">
        <f>IF(ISBLANK(GSPC[[#This Row],[Long Exp.]]), "", (GSPC[[#This Row],[Long Exp.]]/D2374-1)+(E2374/GSPC[[#This Row],[Short Exp.]]-1))</f>
        <v>#VALUE!</v>
      </c>
    </row>
    <row r="2374" spans="1:6" x14ac:dyDescent="0.25">
      <c r="A2374" s="37">
        <v>28478</v>
      </c>
      <c r="B2374" s="39">
        <v>94.690002000000007</v>
      </c>
      <c r="C2374" s="36">
        <f>IF(ISBLANK(B2375), "", GSPC[[#This Row],[Adj Close]]/B2375-1)</f>
        <v>1.3811562873414118E-2</v>
      </c>
      <c r="D237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7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74" s="11" t="e">
        <f>IF(ISBLANK(GSPC[[#This Row],[Long Exp.]]), "", (GSPC[[#This Row],[Long Exp.]]/D2375-1)+(E2375/GSPC[[#This Row],[Short Exp.]]-1))</f>
        <v>#VALUE!</v>
      </c>
    </row>
    <row r="2375" spans="1:6" x14ac:dyDescent="0.25">
      <c r="A2375" s="37">
        <v>28471</v>
      </c>
      <c r="B2375" s="39">
        <v>93.400002000000001</v>
      </c>
      <c r="C2375" s="36">
        <f>IF(ISBLANK(B2376), "", GSPC[[#This Row],[Adj Close]]/B2376-1)</f>
        <v>-2.6695140914145821E-3</v>
      </c>
      <c r="D237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7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75" s="11" t="e">
        <f>IF(ISBLANK(GSPC[[#This Row],[Long Exp.]]), "", (GSPC[[#This Row],[Long Exp.]]/D2376-1)+(E2376/GSPC[[#This Row],[Short Exp.]]-1))</f>
        <v>#VALUE!</v>
      </c>
    </row>
    <row r="2376" spans="1:6" x14ac:dyDescent="0.25">
      <c r="A2376" s="37">
        <v>28464</v>
      </c>
      <c r="B2376" s="39">
        <v>93.650002000000001</v>
      </c>
      <c r="C2376" s="36">
        <f>IF(ISBLANK(B2377), "", GSPC[[#This Row],[Adj Close]]/B2377-1)</f>
        <v>-1.0774226487255345E-2</v>
      </c>
      <c r="D237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7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76" s="11" t="e">
        <f>IF(ISBLANK(GSPC[[#This Row],[Long Exp.]]), "", (GSPC[[#This Row],[Long Exp.]]/D2377-1)+(E2377/GSPC[[#This Row],[Short Exp.]]-1))</f>
        <v>#VALUE!</v>
      </c>
    </row>
    <row r="2377" spans="1:6" x14ac:dyDescent="0.25">
      <c r="A2377" s="37">
        <v>28457</v>
      </c>
      <c r="B2377" s="39">
        <v>94.669998000000007</v>
      </c>
      <c r="C2377" s="36">
        <f>IF(ISBLANK(B2378), "", GSPC[[#This Row],[Adj Close]]/B2378-1)</f>
        <v>-2.0891549883306437E-2</v>
      </c>
      <c r="D237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7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77" s="11" t="e">
        <f>IF(ISBLANK(GSPC[[#This Row],[Long Exp.]]), "", (GSPC[[#This Row],[Long Exp.]]/D2378-1)+(E2378/GSPC[[#This Row],[Short Exp.]]-1))</f>
        <v>#VALUE!</v>
      </c>
    </row>
    <row r="2378" spans="1:6" x14ac:dyDescent="0.25">
      <c r="A2378" s="37">
        <v>28450</v>
      </c>
      <c r="B2378" s="39">
        <v>96.690002000000007</v>
      </c>
      <c r="C2378" s="36">
        <f>IF(ISBLANK(B2379), "", GSPC[[#This Row],[Adj Close]]/B2379-1)</f>
        <v>1.4266232785770994E-2</v>
      </c>
      <c r="D237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7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78" s="11" t="e">
        <f>IF(ISBLANK(GSPC[[#This Row],[Long Exp.]]), "", (GSPC[[#This Row],[Long Exp.]]/D2379-1)+(E2379/GSPC[[#This Row],[Short Exp.]]-1))</f>
        <v>#VALUE!</v>
      </c>
    </row>
    <row r="2379" spans="1:6" x14ac:dyDescent="0.25">
      <c r="A2379" s="37">
        <v>28443</v>
      </c>
      <c r="B2379" s="39">
        <v>95.330001999999993</v>
      </c>
      <c r="C2379" s="36">
        <f>IF(ISBLANK(B2380), "", GSPC[[#This Row],[Adj Close]]/B2380-1)</f>
        <v>-6.7722544247055261E-3</v>
      </c>
      <c r="D237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7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79" s="11" t="e">
        <f>IF(ISBLANK(GSPC[[#This Row],[Long Exp.]]), "", (GSPC[[#This Row],[Long Exp.]]/D2380-1)+(E2380/GSPC[[#This Row],[Short Exp.]]-1))</f>
        <v>#VALUE!</v>
      </c>
    </row>
    <row r="2380" spans="1:6" x14ac:dyDescent="0.25">
      <c r="A2380" s="37">
        <v>28436</v>
      </c>
      <c r="B2380" s="39">
        <v>95.980002999999996</v>
      </c>
      <c r="C2380" s="36">
        <f>IF(ISBLANK(B2381), "", GSPC[[#This Row],[Adj Close]]/B2381-1)</f>
        <v>4.8045434635391349E-2</v>
      </c>
      <c r="D238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8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80" s="11" t="e">
        <f>IF(ISBLANK(GSPC[[#This Row],[Long Exp.]]), "", (GSPC[[#This Row],[Long Exp.]]/D2381-1)+(E2381/GSPC[[#This Row],[Short Exp.]]-1))</f>
        <v>#VALUE!</v>
      </c>
    </row>
    <row r="2381" spans="1:6" x14ac:dyDescent="0.25">
      <c r="A2381" s="37">
        <v>28429</v>
      </c>
      <c r="B2381" s="39">
        <v>91.580001999999993</v>
      </c>
      <c r="C2381" s="36">
        <f>IF(ISBLANK(B2382), "", GSPC[[#This Row],[Adj Close]]/B2382-1)</f>
        <v>-1.1121898163028887E-2</v>
      </c>
      <c r="D238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8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81" s="11" t="e">
        <f>IF(ISBLANK(GSPC[[#This Row],[Long Exp.]]), "", (GSPC[[#This Row],[Long Exp.]]/D2382-1)+(E2382/GSPC[[#This Row],[Short Exp.]]-1))</f>
        <v>#VALUE!</v>
      </c>
    </row>
    <row r="2382" spans="1:6" x14ac:dyDescent="0.25">
      <c r="A2382" s="37">
        <v>28422</v>
      </c>
      <c r="B2382" s="39">
        <v>92.610000999999997</v>
      </c>
      <c r="C2382" s="36">
        <f>IF(ISBLANK(B2383), "", GSPC[[#This Row],[Adj Close]]/B2383-1)</f>
        <v>3.1412586655112928E-3</v>
      </c>
      <c r="D238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8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82" s="11" t="e">
        <f>IF(ISBLANK(GSPC[[#This Row],[Long Exp.]]), "", (GSPC[[#This Row],[Long Exp.]]/D2383-1)+(E2383/GSPC[[#This Row],[Short Exp.]]-1))</f>
        <v>#VALUE!</v>
      </c>
    </row>
    <row r="2383" spans="1:6" x14ac:dyDescent="0.25">
      <c r="A2383" s="37">
        <v>28415</v>
      </c>
      <c r="B2383" s="39">
        <v>92.32</v>
      </c>
      <c r="C2383" s="36">
        <f>IF(ISBLANK(B2384), "", GSPC[[#This Row],[Adj Close]]/B2384-1)</f>
        <v>-1.3253506055012965E-2</v>
      </c>
      <c r="D238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8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83" s="11" t="e">
        <f>IF(ISBLANK(GSPC[[#This Row],[Long Exp.]]), "", (GSPC[[#This Row],[Long Exp.]]/D2384-1)+(E2384/GSPC[[#This Row],[Short Exp.]]-1))</f>
        <v>#VALUE!</v>
      </c>
    </row>
    <row r="2384" spans="1:6" x14ac:dyDescent="0.25">
      <c r="A2384" s="37">
        <v>28408</v>
      </c>
      <c r="B2384" s="39">
        <v>93.559997999999993</v>
      </c>
      <c r="C2384" s="36">
        <f>IF(ISBLANK(B2385), "", GSPC[[#This Row],[Adj Close]]/B2385-1)</f>
        <v>-2.5112045169198294E-2</v>
      </c>
      <c r="D238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8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84" s="11" t="e">
        <f>IF(ISBLANK(GSPC[[#This Row],[Long Exp.]]), "", (GSPC[[#This Row],[Long Exp.]]/D2385-1)+(E2385/GSPC[[#This Row],[Short Exp.]]-1))</f>
        <v>#VALUE!</v>
      </c>
    </row>
    <row r="2385" spans="1:6" x14ac:dyDescent="0.25">
      <c r="A2385" s="37">
        <v>28401</v>
      </c>
      <c r="B2385" s="39">
        <v>95.970000999999996</v>
      </c>
      <c r="C2385" s="36">
        <f>IF(ISBLANK(B2386), "", GSPC[[#This Row],[Adj Close]]/B2386-1)</f>
        <v>-5.8012846348419744E-3</v>
      </c>
      <c r="D238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8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85" s="11" t="e">
        <f>IF(ISBLANK(GSPC[[#This Row],[Long Exp.]]), "", (GSPC[[#This Row],[Long Exp.]]/D2386-1)+(E2386/GSPC[[#This Row],[Short Exp.]]-1))</f>
        <v>#VALUE!</v>
      </c>
    </row>
    <row r="2386" spans="1:6" x14ac:dyDescent="0.25">
      <c r="A2386" s="37">
        <v>28394</v>
      </c>
      <c r="B2386" s="39">
        <v>96.529999000000004</v>
      </c>
      <c r="C2386" s="36">
        <f>IF(ISBLANK(B2387), "", GSPC[[#This Row],[Adj Close]]/B2387-1)</f>
        <v>1.5677588218880656E-2</v>
      </c>
      <c r="D238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8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86" s="11" t="e">
        <f>IF(ISBLANK(GSPC[[#This Row],[Long Exp.]]), "", (GSPC[[#This Row],[Long Exp.]]/D2387-1)+(E2387/GSPC[[#This Row],[Short Exp.]]-1))</f>
        <v>#VALUE!</v>
      </c>
    </row>
    <row r="2387" spans="1:6" x14ac:dyDescent="0.25">
      <c r="A2387" s="37">
        <v>28387</v>
      </c>
      <c r="B2387" s="39">
        <v>95.040001000000004</v>
      </c>
      <c r="C2387" s="36">
        <f>IF(ISBLANK(B2388), "", GSPC[[#This Row],[Adj Close]]/B2388-1)</f>
        <v>-1.4925393399915166E-2</v>
      </c>
      <c r="D238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8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87" s="11" t="e">
        <f>IF(ISBLANK(GSPC[[#This Row],[Long Exp.]]), "", (GSPC[[#This Row],[Long Exp.]]/D2388-1)+(E2388/GSPC[[#This Row],[Short Exp.]]-1))</f>
        <v>#VALUE!</v>
      </c>
    </row>
    <row r="2388" spans="1:6" x14ac:dyDescent="0.25">
      <c r="A2388" s="37">
        <v>28380</v>
      </c>
      <c r="B2388" s="39">
        <v>96.480002999999996</v>
      </c>
      <c r="C2388" s="36">
        <f>IF(ISBLANK(B2389), "", GSPC[[#This Row],[Adj Close]]/B2389-1)</f>
        <v>1.1414340207087648E-3</v>
      </c>
      <c r="D238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8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88" s="11" t="e">
        <f>IF(ISBLANK(GSPC[[#This Row],[Long Exp.]]), "", (GSPC[[#This Row],[Long Exp.]]/D2389-1)+(E2389/GSPC[[#This Row],[Short Exp.]]-1))</f>
        <v>#VALUE!</v>
      </c>
    </row>
    <row r="2389" spans="1:6" x14ac:dyDescent="0.25">
      <c r="A2389" s="37">
        <v>28373</v>
      </c>
      <c r="B2389" s="39">
        <v>96.370002999999997</v>
      </c>
      <c r="C2389" s="36">
        <f>IF(ISBLANK(B2390), "", GSPC[[#This Row],[Adj Close]]/B2390-1)</f>
        <v>-1.1082545235994168E-2</v>
      </c>
      <c r="D238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8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89" s="11" t="e">
        <f>IF(ISBLANK(GSPC[[#This Row],[Long Exp.]]), "", (GSPC[[#This Row],[Long Exp.]]/D2390-1)+(E2390/GSPC[[#This Row],[Short Exp.]]-1))</f>
        <v>#VALUE!</v>
      </c>
    </row>
    <row r="2390" spans="1:6" x14ac:dyDescent="0.25">
      <c r="A2390" s="37">
        <v>28366</v>
      </c>
      <c r="B2390" s="39">
        <v>97.449996999999996</v>
      </c>
      <c r="C2390" s="36">
        <f>IF(ISBLANK(B2391), "", GSPC[[#This Row],[Adj Close]]/B2391-1)</f>
        <v>1.4470112731003848E-2</v>
      </c>
      <c r="D239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9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90" s="11" t="e">
        <f>IF(ISBLANK(GSPC[[#This Row],[Long Exp.]]), "", (GSPC[[#This Row],[Long Exp.]]/D2391-1)+(E2391/GSPC[[#This Row],[Short Exp.]]-1))</f>
        <v>#VALUE!</v>
      </c>
    </row>
    <row r="2391" spans="1:6" x14ac:dyDescent="0.25">
      <c r="A2391" s="37">
        <v>28359</v>
      </c>
      <c r="B2391" s="39">
        <v>96.059997999999993</v>
      </c>
      <c r="C2391" s="36">
        <f>IF(ISBLANK(B2392), "", GSPC[[#This Row],[Adj Close]]/B2392-1)</f>
        <v>-1.4870310432359646E-2</v>
      </c>
      <c r="D239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9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91" s="11" t="e">
        <f>IF(ISBLANK(GSPC[[#This Row],[Long Exp.]]), "", (GSPC[[#This Row],[Long Exp.]]/D2392-1)+(E2392/GSPC[[#This Row],[Short Exp.]]-1))</f>
        <v>#VALUE!</v>
      </c>
    </row>
    <row r="2392" spans="1:6" x14ac:dyDescent="0.25">
      <c r="A2392" s="37">
        <v>28352</v>
      </c>
      <c r="B2392" s="39">
        <v>97.510002</v>
      </c>
      <c r="C2392" s="36">
        <f>IF(ISBLANK(B2393), "", GSPC[[#This Row],[Adj Close]]/B2393-1)</f>
        <v>-3.7800879785478969E-3</v>
      </c>
      <c r="D239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9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92" s="11" t="e">
        <f>IF(ISBLANK(GSPC[[#This Row],[Long Exp.]]), "", (GSPC[[#This Row],[Long Exp.]]/D2393-1)+(E2393/GSPC[[#This Row],[Short Exp.]]-1))</f>
        <v>#VALUE!</v>
      </c>
    </row>
    <row r="2393" spans="1:6" x14ac:dyDescent="0.25">
      <c r="A2393" s="37">
        <v>28345</v>
      </c>
      <c r="B2393" s="39">
        <v>97.879997000000003</v>
      </c>
      <c r="C2393" s="36">
        <f>IF(ISBLANK(B2394), "", GSPC[[#This Row],[Adj Close]]/B2394-1)</f>
        <v>-8.9105405242904112E-3</v>
      </c>
      <c r="D239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9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93" s="11" t="e">
        <f>IF(ISBLANK(GSPC[[#This Row],[Long Exp.]]), "", (GSPC[[#This Row],[Long Exp.]]/D2394-1)+(E2394/GSPC[[#This Row],[Short Exp.]]-1))</f>
        <v>#VALUE!</v>
      </c>
    </row>
    <row r="2394" spans="1:6" x14ac:dyDescent="0.25">
      <c r="A2394" s="37">
        <v>28338</v>
      </c>
      <c r="B2394" s="39">
        <v>98.760002</v>
      </c>
      <c r="C2394" s="36">
        <f>IF(ISBLANK(B2395), "", GSPC[[#This Row],[Adj Close]]/B2395-1)</f>
        <v>-9.1042996278056787E-4</v>
      </c>
      <c r="D239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9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94" s="11" t="e">
        <f>IF(ISBLANK(GSPC[[#This Row],[Long Exp.]]), "", (GSPC[[#This Row],[Long Exp.]]/D2395-1)+(E2395/GSPC[[#This Row],[Short Exp.]]-1))</f>
        <v>#VALUE!</v>
      </c>
    </row>
    <row r="2395" spans="1:6" x14ac:dyDescent="0.25">
      <c r="A2395" s="37">
        <v>28331</v>
      </c>
      <c r="B2395" s="39">
        <v>98.849997999999999</v>
      </c>
      <c r="C2395" s="36">
        <f>IF(ISBLANK(B2396), "", GSPC[[#This Row],[Adj Close]]/B2396-1)</f>
        <v>-2.7736796060525259E-2</v>
      </c>
      <c r="D239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9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95" s="11" t="e">
        <f>IF(ISBLANK(GSPC[[#This Row],[Long Exp.]]), "", (GSPC[[#This Row],[Long Exp.]]/D2396-1)+(E2396/GSPC[[#This Row],[Short Exp.]]-1))</f>
        <v>#VALUE!</v>
      </c>
    </row>
    <row r="2396" spans="1:6" x14ac:dyDescent="0.25">
      <c r="A2396" s="37">
        <v>28324</v>
      </c>
      <c r="B2396" s="39">
        <v>101.66999800000001</v>
      </c>
      <c r="C2396" s="36">
        <f>IF(ISBLANK(B2397), "", GSPC[[#This Row],[Adj Close]]/B2397-1)</f>
        <v>1.4873208225194556E-2</v>
      </c>
      <c r="D239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9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96" s="11" t="e">
        <f>IF(ISBLANK(GSPC[[#This Row],[Long Exp.]]), "", (GSPC[[#This Row],[Long Exp.]]/D2397-1)+(E2397/GSPC[[#This Row],[Short Exp.]]-1))</f>
        <v>#VALUE!</v>
      </c>
    </row>
    <row r="2397" spans="1:6" x14ac:dyDescent="0.25">
      <c r="A2397" s="37">
        <v>28317</v>
      </c>
      <c r="B2397" s="39">
        <v>100.18</v>
      </c>
      <c r="C2397" s="36">
        <f>IF(ISBLANK(B2398), "", GSPC[[#This Row],[Adj Close]]/B2398-1)</f>
        <v>3.9081971749854727E-3</v>
      </c>
      <c r="D239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9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97" s="11" t="e">
        <f>IF(ISBLANK(GSPC[[#This Row],[Long Exp.]]), "", (GSPC[[#This Row],[Long Exp.]]/D2398-1)+(E2398/GSPC[[#This Row],[Short Exp.]]-1))</f>
        <v>#VALUE!</v>
      </c>
    </row>
    <row r="2398" spans="1:6" x14ac:dyDescent="0.25">
      <c r="A2398" s="37">
        <v>28310</v>
      </c>
      <c r="B2398" s="39">
        <v>99.790001000000004</v>
      </c>
      <c r="C2398" s="36">
        <f>IF(ISBLANK(B2399), "", GSPC[[#This Row],[Adj Close]]/B2399-1)</f>
        <v>-3.0968731887486278E-3</v>
      </c>
      <c r="D239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9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98" s="11" t="e">
        <f>IF(ISBLANK(GSPC[[#This Row],[Long Exp.]]), "", (GSPC[[#This Row],[Long Exp.]]/D2399-1)+(E2399/GSPC[[#This Row],[Short Exp.]]-1))</f>
        <v>#VALUE!</v>
      </c>
    </row>
    <row r="2399" spans="1:6" x14ac:dyDescent="0.25">
      <c r="A2399" s="37">
        <v>28303</v>
      </c>
      <c r="B2399" s="39">
        <v>100.099998</v>
      </c>
      <c r="C2399" s="36">
        <f>IF(ISBLANK(B2400), "", GSPC[[#This Row],[Adj Close]]/B2400-1)</f>
        <v>-1.0771854713472639E-2</v>
      </c>
      <c r="D239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39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399" s="11" t="e">
        <f>IF(ISBLANK(GSPC[[#This Row],[Long Exp.]]), "", (GSPC[[#This Row],[Long Exp.]]/D2400-1)+(E2400/GSPC[[#This Row],[Short Exp.]]-1))</f>
        <v>#VALUE!</v>
      </c>
    </row>
    <row r="2400" spans="1:6" x14ac:dyDescent="0.25">
      <c r="A2400" s="37">
        <v>28296</v>
      </c>
      <c r="B2400" s="39">
        <v>101.19000200000001</v>
      </c>
      <c r="C2400" s="36">
        <f>IF(ISBLANK(B2401), "", GSPC[[#This Row],[Adj Close]]/B2401-1)</f>
        <v>1.2203670979257231E-2</v>
      </c>
      <c r="D240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0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00" s="11" t="e">
        <f>IF(ISBLANK(GSPC[[#This Row],[Long Exp.]]), "", (GSPC[[#This Row],[Long Exp.]]/D2401-1)+(E2401/GSPC[[#This Row],[Short Exp.]]-1))</f>
        <v>#VALUE!</v>
      </c>
    </row>
    <row r="2401" spans="1:6" x14ac:dyDescent="0.25">
      <c r="A2401" s="37">
        <v>28289</v>
      </c>
      <c r="B2401" s="39">
        <v>99.970000999999996</v>
      </c>
      <c r="C2401" s="36">
        <f>IF(ISBLANK(B2402), "", GSPC[[#This Row],[Adj Close]]/B2402-1)</f>
        <v>1.5336197596345746E-2</v>
      </c>
      <c r="D240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0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01" s="11" t="e">
        <f>IF(ISBLANK(GSPC[[#This Row],[Long Exp.]]), "", (GSPC[[#This Row],[Long Exp.]]/D2402-1)+(E2402/GSPC[[#This Row],[Short Exp.]]-1))</f>
        <v>#VALUE!</v>
      </c>
    </row>
    <row r="2402" spans="1:6" x14ac:dyDescent="0.25">
      <c r="A2402" s="37">
        <v>28282</v>
      </c>
      <c r="B2402" s="39">
        <v>98.459998999999996</v>
      </c>
      <c r="C2402" s="36">
        <f>IF(ISBLANK(B2403), "", GSPC[[#This Row],[Adj Close]]/B2403-1)</f>
        <v>7.8820450837946421E-3</v>
      </c>
      <c r="D240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0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02" s="11" t="e">
        <f>IF(ISBLANK(GSPC[[#This Row],[Long Exp.]]), "", (GSPC[[#This Row],[Long Exp.]]/D2403-1)+(E2403/GSPC[[#This Row],[Short Exp.]]-1))</f>
        <v>#VALUE!</v>
      </c>
    </row>
    <row r="2403" spans="1:6" x14ac:dyDescent="0.25">
      <c r="A2403" s="37">
        <v>28275</v>
      </c>
      <c r="B2403" s="39">
        <v>97.690002000000007</v>
      </c>
      <c r="C2403" s="36">
        <f>IF(ISBLANK(B2404), "", GSPC[[#This Row],[Adj Close]]/B2404-1)</f>
        <v>1.4750234177321131E-2</v>
      </c>
      <c r="D240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0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03" s="11" t="e">
        <f>IF(ISBLANK(GSPC[[#This Row],[Long Exp.]]), "", (GSPC[[#This Row],[Long Exp.]]/D2404-1)+(E2404/GSPC[[#This Row],[Short Exp.]]-1))</f>
        <v>#VALUE!</v>
      </c>
    </row>
    <row r="2404" spans="1:6" x14ac:dyDescent="0.25">
      <c r="A2404" s="37">
        <v>28268</v>
      </c>
      <c r="B2404" s="39">
        <v>96.269997000000004</v>
      </c>
      <c r="C2404" s="36">
        <f>IF(ISBLANK(B2405), "", GSPC[[#This Row],[Adj Close]]/B2405-1)</f>
        <v>-3.1975868234566107E-2</v>
      </c>
      <c r="D240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0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04" s="11" t="e">
        <f>IF(ISBLANK(GSPC[[#This Row],[Long Exp.]]), "", (GSPC[[#This Row],[Long Exp.]]/D2405-1)+(E2405/GSPC[[#This Row],[Short Exp.]]-1))</f>
        <v>#VALUE!</v>
      </c>
    </row>
    <row r="2405" spans="1:6" x14ac:dyDescent="0.25">
      <c r="A2405" s="37">
        <v>28261</v>
      </c>
      <c r="B2405" s="39">
        <v>99.449996999999996</v>
      </c>
      <c r="C2405" s="36">
        <f>IF(ISBLANK(B2406), "", GSPC[[#This Row],[Adj Close]]/B2406-1)</f>
        <v>4.2411188956994472E-3</v>
      </c>
      <c r="D240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0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05" s="11" t="e">
        <f>IF(ISBLANK(GSPC[[#This Row],[Long Exp.]]), "", (GSPC[[#This Row],[Long Exp.]]/D2406-1)+(E2406/GSPC[[#This Row],[Short Exp.]]-1))</f>
        <v>#VALUE!</v>
      </c>
    </row>
    <row r="2406" spans="1:6" x14ac:dyDescent="0.25">
      <c r="A2406" s="37">
        <v>28254</v>
      </c>
      <c r="B2406" s="39">
        <v>99.029999000000004</v>
      </c>
      <c r="C2406" s="36">
        <f>IF(ISBLANK(B2407), "", GSPC[[#This Row],[Adj Close]]/B2407-1)</f>
        <v>-4.6235703010064633E-3</v>
      </c>
      <c r="D240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0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06" s="11" t="e">
        <f>IF(ISBLANK(GSPC[[#This Row],[Long Exp.]]), "", (GSPC[[#This Row],[Long Exp.]]/D2407-1)+(E2407/GSPC[[#This Row],[Short Exp.]]-1))</f>
        <v>#VALUE!</v>
      </c>
    </row>
    <row r="2407" spans="1:6" x14ac:dyDescent="0.25">
      <c r="A2407" s="37">
        <v>28247</v>
      </c>
      <c r="B2407" s="39">
        <v>99.489998</v>
      </c>
      <c r="C2407" s="36">
        <f>IF(ISBLANK(B2408), "", GSPC[[#This Row],[Adj Close]]/B2408-1)</f>
        <v>1.0666354923479116E-2</v>
      </c>
      <c r="D240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0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07" s="11" t="e">
        <f>IF(ISBLANK(GSPC[[#This Row],[Long Exp.]]), "", (GSPC[[#This Row],[Long Exp.]]/D2408-1)+(E2408/GSPC[[#This Row],[Short Exp.]]-1))</f>
        <v>#VALUE!</v>
      </c>
    </row>
    <row r="2408" spans="1:6" x14ac:dyDescent="0.25">
      <c r="A2408" s="37">
        <v>28240</v>
      </c>
      <c r="B2408" s="39">
        <v>98.440002000000007</v>
      </c>
      <c r="C2408" s="36">
        <f>IF(ISBLANK(B2409), "", GSPC[[#This Row],[Adj Close]]/B2409-1)</f>
        <v>0</v>
      </c>
      <c r="D240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0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08" s="11" t="e">
        <f>IF(ISBLANK(GSPC[[#This Row],[Long Exp.]]), "", (GSPC[[#This Row],[Long Exp.]]/D2409-1)+(E2409/GSPC[[#This Row],[Short Exp.]]-1))</f>
        <v>#VALUE!</v>
      </c>
    </row>
    <row r="2409" spans="1:6" x14ac:dyDescent="0.25">
      <c r="A2409" s="37">
        <v>28233</v>
      </c>
      <c r="B2409" s="39">
        <v>98.440002000000007</v>
      </c>
      <c r="C2409" s="36">
        <f>IF(ISBLANK(B2410), "", GSPC[[#This Row],[Adj Close]]/B2410-1)</f>
        <v>-2.5732373062822833E-2</v>
      </c>
      <c r="D240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0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09" s="11" t="e">
        <f>IF(ISBLANK(GSPC[[#This Row],[Long Exp.]]), "", (GSPC[[#This Row],[Long Exp.]]/D2410-1)+(E2410/GSPC[[#This Row],[Short Exp.]]-1))</f>
        <v>#VALUE!</v>
      </c>
    </row>
    <row r="2410" spans="1:6" x14ac:dyDescent="0.25">
      <c r="A2410" s="37">
        <v>28226</v>
      </c>
      <c r="B2410" s="39">
        <v>101.040001</v>
      </c>
      <c r="C2410" s="36">
        <f>IF(ISBLANK(B2411), "", GSPC[[#This Row],[Adj Close]]/B2411-1)</f>
        <v>2.7351327449950835E-2</v>
      </c>
      <c r="D241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1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10" s="11" t="e">
        <f>IF(ISBLANK(GSPC[[#This Row],[Long Exp.]]), "", (GSPC[[#This Row],[Long Exp.]]/D2411-1)+(E2411/GSPC[[#This Row],[Short Exp.]]-1))</f>
        <v>#VALUE!</v>
      </c>
    </row>
    <row r="2411" spans="1:6" x14ac:dyDescent="0.25">
      <c r="A2411" s="37">
        <v>28219</v>
      </c>
      <c r="B2411" s="39">
        <v>98.349997999999999</v>
      </c>
      <c r="C2411" s="36">
        <f>IF(ISBLANK(B2412), "", GSPC[[#This Row],[Adj Close]]/B2412-1)</f>
        <v>-8.6684911669033804E-3</v>
      </c>
      <c r="D241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1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11" s="11" t="e">
        <f>IF(ISBLANK(GSPC[[#This Row],[Long Exp.]]), "", (GSPC[[#This Row],[Long Exp.]]/D2412-1)+(E2412/GSPC[[#This Row],[Short Exp.]]-1))</f>
        <v>#VALUE!</v>
      </c>
    </row>
    <row r="2412" spans="1:6" x14ac:dyDescent="0.25">
      <c r="A2412" s="37">
        <v>28212</v>
      </c>
      <c r="B2412" s="39">
        <v>99.209998999999996</v>
      </c>
      <c r="C2412" s="36">
        <f>IF(ISBLANK(B2413), "", GSPC[[#This Row],[Adj Close]]/B2413-1)</f>
        <v>1.5142439231625726E-3</v>
      </c>
      <c r="D241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1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12" s="11" t="e">
        <f>IF(ISBLANK(GSPC[[#This Row],[Long Exp.]]), "", (GSPC[[#This Row],[Long Exp.]]/D2413-1)+(E2413/GSPC[[#This Row],[Short Exp.]]-1))</f>
        <v>#VALUE!</v>
      </c>
    </row>
    <row r="2413" spans="1:6" x14ac:dyDescent="0.25">
      <c r="A2413" s="37">
        <v>28205</v>
      </c>
      <c r="B2413" s="39">
        <v>99.059997999999993</v>
      </c>
      <c r="C2413" s="36">
        <f>IF(ISBLANK(B2414), "", GSPC[[#This Row],[Adj Close]]/B2414-1)</f>
        <v>-2.7488739176431021E-2</v>
      </c>
      <c r="D241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1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13" s="11" t="e">
        <f>IF(ISBLANK(GSPC[[#This Row],[Long Exp.]]), "", (GSPC[[#This Row],[Long Exp.]]/D2414-1)+(E2414/GSPC[[#This Row],[Short Exp.]]-1))</f>
        <v>#VALUE!</v>
      </c>
    </row>
    <row r="2414" spans="1:6" x14ac:dyDescent="0.25">
      <c r="A2414" s="37">
        <v>28198</v>
      </c>
      <c r="B2414" s="39">
        <v>101.860001</v>
      </c>
      <c r="C2414" s="36">
        <f>IF(ISBLANK(B2415), "", GSPC[[#This Row],[Adj Close]]/B2415-1)</f>
        <v>1.2021847749193348E-2</v>
      </c>
      <c r="D241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1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14" s="11" t="e">
        <f>IF(ISBLANK(GSPC[[#This Row],[Long Exp.]]), "", (GSPC[[#This Row],[Long Exp.]]/D2415-1)+(E2415/GSPC[[#This Row],[Short Exp.]]-1))</f>
        <v>#VALUE!</v>
      </c>
    </row>
    <row r="2415" spans="1:6" x14ac:dyDescent="0.25">
      <c r="A2415" s="37">
        <v>28191</v>
      </c>
      <c r="B2415" s="39">
        <v>100.650002</v>
      </c>
      <c r="C2415" s="36">
        <f>IF(ISBLANK(B2416), "", GSPC[[#This Row],[Adj Close]]/B2416-1)</f>
        <v>-5.4347333626896255E-3</v>
      </c>
      <c r="D241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1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15" s="11" t="e">
        <f>IF(ISBLANK(GSPC[[#This Row],[Long Exp.]]), "", (GSPC[[#This Row],[Long Exp.]]/D2416-1)+(E2416/GSPC[[#This Row],[Short Exp.]]-1))</f>
        <v>#VALUE!</v>
      </c>
    </row>
    <row r="2416" spans="1:6" x14ac:dyDescent="0.25">
      <c r="A2416" s="37">
        <v>28184</v>
      </c>
      <c r="B2416" s="39">
        <v>101.199997</v>
      </c>
      <c r="C2416" s="36">
        <f>IF(ISBLANK(B2417), "", GSPC[[#This Row],[Adj Close]]/B2417-1)</f>
        <v>1.7289846684061638E-2</v>
      </c>
      <c r="D241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1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16" s="11" t="e">
        <f>IF(ISBLANK(GSPC[[#This Row],[Long Exp.]]), "", (GSPC[[#This Row],[Long Exp.]]/D2417-1)+(E2417/GSPC[[#This Row],[Short Exp.]]-1))</f>
        <v>#VALUE!</v>
      </c>
    </row>
    <row r="2417" spans="1:6" x14ac:dyDescent="0.25">
      <c r="A2417" s="37">
        <v>28177</v>
      </c>
      <c r="B2417" s="39">
        <v>99.480002999999996</v>
      </c>
      <c r="C2417" s="36">
        <f>IF(ISBLANK(B2418), "", GSPC[[#This Row],[Adj Close]]/B2418-1)</f>
        <v>-1.0050701762378433E-2</v>
      </c>
      <c r="D241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1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17" s="11" t="e">
        <f>IF(ISBLANK(GSPC[[#This Row],[Long Exp.]]), "", (GSPC[[#This Row],[Long Exp.]]/D2418-1)+(E2418/GSPC[[#This Row],[Short Exp.]]-1))</f>
        <v>#VALUE!</v>
      </c>
    </row>
    <row r="2418" spans="1:6" x14ac:dyDescent="0.25">
      <c r="A2418" s="37">
        <v>28170</v>
      </c>
      <c r="B2418" s="39">
        <v>100.489998</v>
      </c>
      <c r="C2418" s="36">
        <f>IF(ISBLANK(B2419), "", GSPC[[#This Row],[Adj Close]]/B2419-1)</f>
        <v>2.6940430782873559E-3</v>
      </c>
      <c r="D241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1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18" s="11" t="e">
        <f>IF(ISBLANK(GSPC[[#This Row],[Long Exp.]]), "", (GSPC[[#This Row],[Long Exp.]]/D2419-1)+(E2419/GSPC[[#This Row],[Short Exp.]]-1))</f>
        <v>#VALUE!</v>
      </c>
    </row>
    <row r="2419" spans="1:6" x14ac:dyDescent="0.25">
      <c r="A2419" s="37">
        <v>28163</v>
      </c>
      <c r="B2419" s="39">
        <v>100.220001</v>
      </c>
      <c r="C2419" s="36">
        <f>IF(ISBLANK(B2420), "", GSPC[[#This Row],[Adj Close]]/B2420-1)</f>
        <v>-1.629364005576095E-2</v>
      </c>
      <c r="D241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1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19" s="11" t="e">
        <f>IF(ISBLANK(GSPC[[#This Row],[Long Exp.]]), "", (GSPC[[#This Row],[Long Exp.]]/D2420-1)+(E2420/GSPC[[#This Row],[Short Exp.]]-1))</f>
        <v>#VALUE!</v>
      </c>
    </row>
    <row r="2420" spans="1:6" x14ac:dyDescent="0.25">
      <c r="A2420" s="37">
        <v>28156</v>
      </c>
      <c r="B2420" s="39">
        <v>101.879997</v>
      </c>
      <c r="C2420" s="36">
        <f>IF(ISBLANK(B2421), "", GSPC[[#This Row],[Adj Close]]/B2421-1)</f>
        <v>-4.9056215049547713E-4</v>
      </c>
      <c r="D242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2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20" s="11" t="e">
        <f>IF(ISBLANK(GSPC[[#This Row],[Long Exp.]]), "", (GSPC[[#This Row],[Long Exp.]]/D2421-1)+(E2421/GSPC[[#This Row],[Short Exp.]]-1))</f>
        <v>#VALUE!</v>
      </c>
    </row>
    <row r="2421" spans="1:6" x14ac:dyDescent="0.25">
      <c r="A2421" s="37">
        <v>28149</v>
      </c>
      <c r="B2421" s="39">
        <v>101.93</v>
      </c>
      <c r="C2421" s="36">
        <f>IF(ISBLANK(B2422), "", GSPC[[#This Row],[Adj Close]]/B2422-1)</f>
        <v>-1.3453348819202349E-2</v>
      </c>
      <c r="D242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2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21" s="11" t="e">
        <f>IF(ISBLANK(GSPC[[#This Row],[Long Exp.]]), "", (GSPC[[#This Row],[Long Exp.]]/D2422-1)+(E2422/GSPC[[#This Row],[Short Exp.]]-1))</f>
        <v>#VALUE!</v>
      </c>
    </row>
    <row r="2422" spans="1:6" x14ac:dyDescent="0.25">
      <c r="A2422" s="37">
        <v>28142</v>
      </c>
      <c r="B2422" s="39">
        <v>103.32</v>
      </c>
      <c r="C2422" s="36">
        <f>IF(ISBLANK(B2423), "", GSPC[[#This Row],[Adj Close]]/B2423-1)</f>
        <v>-6.6339966035190434E-3</v>
      </c>
      <c r="D242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2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22" s="11" t="e">
        <f>IF(ISBLANK(GSPC[[#This Row],[Long Exp.]]), "", (GSPC[[#This Row],[Long Exp.]]/D2423-1)+(E2423/GSPC[[#This Row],[Short Exp.]]-1))</f>
        <v>#VALUE!</v>
      </c>
    </row>
    <row r="2423" spans="1:6" x14ac:dyDescent="0.25">
      <c r="A2423" s="37">
        <v>28135</v>
      </c>
      <c r="B2423" s="39">
        <v>104.010002</v>
      </c>
      <c r="C2423" s="36">
        <f>IF(ISBLANK(B2424), "", GSPC[[#This Row],[Adj Close]]/B2424-1)</f>
        <v>-9.5229023993352868E-3</v>
      </c>
      <c r="D242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2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23" s="11" t="e">
        <f>IF(ISBLANK(GSPC[[#This Row],[Long Exp.]]), "", (GSPC[[#This Row],[Long Exp.]]/D2424-1)+(E2424/GSPC[[#This Row],[Short Exp.]]-1))</f>
        <v>#VALUE!</v>
      </c>
    </row>
    <row r="2424" spans="1:6" x14ac:dyDescent="0.25">
      <c r="A2424" s="37">
        <v>28128</v>
      </c>
      <c r="B2424" s="39">
        <v>105.010002</v>
      </c>
      <c r="C2424" s="36">
        <f>IF(ISBLANK(B2425), "", GSPC[[#This Row],[Adj Close]]/B2425-1)</f>
        <v>-2.2799153385437809E-2</v>
      </c>
      <c r="D242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2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24" s="11" t="e">
        <f>IF(ISBLANK(GSPC[[#This Row],[Long Exp.]]), "", (GSPC[[#This Row],[Long Exp.]]/D2425-1)+(E2425/GSPC[[#This Row],[Short Exp.]]-1))</f>
        <v>#VALUE!</v>
      </c>
    </row>
    <row r="2425" spans="1:6" x14ac:dyDescent="0.25">
      <c r="A2425" s="37">
        <v>28121</v>
      </c>
      <c r="B2425" s="39">
        <v>107.459999</v>
      </c>
      <c r="C2425" s="36">
        <f>IF(ISBLANK(B2426), "", GSPC[[#This Row],[Adj Close]]/B2426-1)</f>
        <v>2.4990491224360589E-2</v>
      </c>
      <c r="D242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2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25" s="11" t="e">
        <f>IF(ISBLANK(GSPC[[#This Row],[Long Exp.]]), "", (GSPC[[#This Row],[Long Exp.]]/D2426-1)+(E2426/GSPC[[#This Row],[Short Exp.]]-1))</f>
        <v>#VALUE!</v>
      </c>
    </row>
    <row r="2426" spans="1:6" x14ac:dyDescent="0.25">
      <c r="A2426" s="37">
        <v>28114</v>
      </c>
      <c r="B2426" s="39">
        <v>104.839996</v>
      </c>
      <c r="C2426" s="36">
        <f>IF(ISBLANK(B2427), "", GSPC[[#This Row],[Adj Close]]/B2427-1)</f>
        <v>5.5629578829281545E-3</v>
      </c>
      <c r="D242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2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26" s="11" t="e">
        <f>IF(ISBLANK(GSPC[[#This Row],[Long Exp.]]), "", (GSPC[[#This Row],[Long Exp.]]/D2427-1)+(E2427/GSPC[[#This Row],[Short Exp.]]-1))</f>
        <v>#VALUE!</v>
      </c>
    </row>
    <row r="2427" spans="1:6" x14ac:dyDescent="0.25">
      <c r="A2427" s="37">
        <v>28107</v>
      </c>
      <c r="B2427" s="39">
        <v>104.260002</v>
      </c>
      <c r="C2427" s="36">
        <f>IF(ISBLANK(B2428), "", GSPC[[#This Row],[Adj Close]]/B2428-1)</f>
        <v>-4.202435650499603E-3</v>
      </c>
      <c r="D242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2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27" s="11" t="e">
        <f>IF(ISBLANK(GSPC[[#This Row],[Long Exp.]]), "", (GSPC[[#This Row],[Long Exp.]]/D2428-1)+(E2428/GSPC[[#This Row],[Short Exp.]]-1))</f>
        <v>#VALUE!</v>
      </c>
    </row>
    <row r="2428" spans="1:6" x14ac:dyDescent="0.25">
      <c r="A2428" s="37">
        <v>28100</v>
      </c>
      <c r="B2428" s="39">
        <v>104.699997</v>
      </c>
      <c r="C2428" s="36">
        <f>IF(ISBLANK(B2429), "", GSPC[[#This Row],[Adj Close]]/B2429-1)</f>
        <v>1.8878892197763841E-2</v>
      </c>
      <c r="D242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2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28" s="11" t="e">
        <f>IF(ISBLANK(GSPC[[#This Row],[Long Exp.]]), "", (GSPC[[#This Row],[Long Exp.]]/D2429-1)+(E2429/GSPC[[#This Row],[Short Exp.]]-1))</f>
        <v>#VALUE!</v>
      </c>
    </row>
    <row r="2429" spans="1:6" x14ac:dyDescent="0.25">
      <c r="A2429" s="37">
        <v>28093</v>
      </c>
      <c r="B2429" s="39">
        <v>102.760002</v>
      </c>
      <c r="C2429" s="36">
        <f>IF(ISBLANK(B2430), "", GSPC[[#This Row],[Adj Close]]/B2430-1)</f>
        <v>-3.7809015263033929E-3</v>
      </c>
      <c r="D242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2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29" s="11" t="e">
        <f>IF(ISBLANK(GSPC[[#This Row],[Long Exp.]]), "", (GSPC[[#This Row],[Long Exp.]]/D2430-1)+(E2430/GSPC[[#This Row],[Short Exp.]]-1))</f>
        <v>#VALUE!</v>
      </c>
    </row>
    <row r="2430" spans="1:6" x14ac:dyDescent="0.25">
      <c r="A2430" s="37">
        <v>28086</v>
      </c>
      <c r="B2430" s="39">
        <v>103.150002</v>
      </c>
      <c r="C2430" s="36">
        <f>IF(ISBLANK(B2431), "", GSPC[[#This Row],[Adj Close]]/B2431-1)</f>
        <v>1.2068328337290435E-2</v>
      </c>
      <c r="D243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3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30" s="11" t="e">
        <f>IF(ISBLANK(GSPC[[#This Row],[Long Exp.]]), "", (GSPC[[#This Row],[Long Exp.]]/D2431-1)+(E2431/GSPC[[#This Row],[Short Exp.]]-1))</f>
        <v>#VALUE!</v>
      </c>
    </row>
    <row r="2431" spans="1:6" x14ac:dyDescent="0.25">
      <c r="A2431" s="37">
        <v>28079</v>
      </c>
      <c r="B2431" s="39">
        <v>101.91999800000001</v>
      </c>
      <c r="C2431" s="36">
        <f>IF(ISBLANK(B2432), "", GSPC[[#This Row],[Adj Close]]/B2432-1)</f>
        <v>2.7005240366893224E-2</v>
      </c>
      <c r="D243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3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31" s="11" t="e">
        <f>IF(ISBLANK(GSPC[[#This Row],[Long Exp.]]), "", (GSPC[[#This Row],[Long Exp.]]/D2432-1)+(E2432/GSPC[[#This Row],[Short Exp.]]-1))</f>
        <v>#VALUE!</v>
      </c>
    </row>
    <row r="2432" spans="1:6" x14ac:dyDescent="0.25">
      <c r="A2432" s="37">
        <v>28072</v>
      </c>
      <c r="B2432" s="39">
        <v>99.239998</v>
      </c>
      <c r="C2432" s="36">
        <f>IF(ISBLANK(B2433), "", GSPC[[#This Row],[Adj Close]]/B2433-1)</f>
        <v>-1.567151358857366E-2</v>
      </c>
      <c r="D243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3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32" s="11" t="e">
        <f>IF(ISBLANK(GSPC[[#This Row],[Long Exp.]]), "", (GSPC[[#This Row],[Long Exp.]]/D2433-1)+(E2433/GSPC[[#This Row],[Short Exp.]]-1))</f>
        <v>#VALUE!</v>
      </c>
    </row>
    <row r="2433" spans="1:6" x14ac:dyDescent="0.25">
      <c r="A2433" s="37">
        <v>28065</v>
      </c>
      <c r="B2433" s="39">
        <v>100.82</v>
      </c>
      <c r="C2433" s="36">
        <f>IF(ISBLANK(B2434), "", GSPC[[#This Row],[Adj Close]]/B2434-1)</f>
        <v>-2.0213818849099785E-2</v>
      </c>
      <c r="D243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3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33" s="11" t="e">
        <f>IF(ISBLANK(GSPC[[#This Row],[Long Exp.]]), "", (GSPC[[#This Row],[Long Exp.]]/D2434-1)+(E2434/GSPC[[#This Row],[Short Exp.]]-1))</f>
        <v>#VALUE!</v>
      </c>
    </row>
    <row r="2434" spans="1:6" x14ac:dyDescent="0.25">
      <c r="A2434" s="37">
        <v>28058</v>
      </c>
      <c r="B2434" s="39">
        <v>102.900002</v>
      </c>
      <c r="C2434" s="36">
        <f>IF(ISBLANK(B2435), "", GSPC[[#This Row],[Adj Close]]/B2435-1)</f>
        <v>2.9411795012122877E-2</v>
      </c>
      <c r="D243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3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34" s="11" t="e">
        <f>IF(ISBLANK(GSPC[[#This Row],[Long Exp.]]), "", (GSPC[[#This Row],[Long Exp.]]/D2435-1)+(E2435/GSPC[[#This Row],[Short Exp.]]-1))</f>
        <v>#VALUE!</v>
      </c>
    </row>
    <row r="2435" spans="1:6" x14ac:dyDescent="0.25">
      <c r="A2435" s="37">
        <v>28051</v>
      </c>
      <c r="B2435" s="39">
        <v>99.959998999999996</v>
      </c>
      <c r="C2435" s="36">
        <f>IF(ISBLANK(B2436), "", GSPC[[#This Row],[Adj Close]]/B2436-1)</f>
        <v>-9.1197266788182185E-3</v>
      </c>
      <c r="D243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3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35" s="11" t="e">
        <f>IF(ISBLANK(GSPC[[#This Row],[Long Exp.]]), "", (GSPC[[#This Row],[Long Exp.]]/D2436-1)+(E2436/GSPC[[#This Row],[Short Exp.]]-1))</f>
        <v>#VALUE!</v>
      </c>
    </row>
    <row r="2436" spans="1:6" x14ac:dyDescent="0.25">
      <c r="A2436" s="37">
        <v>28044</v>
      </c>
      <c r="B2436" s="39">
        <v>100.879997</v>
      </c>
      <c r="C2436" s="36">
        <f>IF(ISBLANK(B2437), "", GSPC[[#This Row],[Adj Close]]/B2437-1)</f>
        <v>-1.6380665296034769E-2</v>
      </c>
      <c r="D243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3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36" s="11" t="e">
        <f>IF(ISBLANK(GSPC[[#This Row],[Long Exp.]]), "", (GSPC[[#This Row],[Long Exp.]]/D2437-1)+(E2437/GSPC[[#This Row],[Short Exp.]]-1))</f>
        <v>#VALUE!</v>
      </c>
    </row>
    <row r="2437" spans="1:6" x14ac:dyDescent="0.25">
      <c r="A2437" s="37">
        <v>28037</v>
      </c>
      <c r="B2437" s="39">
        <v>102.55999799999999</v>
      </c>
      <c r="C2437" s="36">
        <f>IF(ISBLANK(B2438), "", GSPC[[#This Row],[Adj Close]]/B2438-1)</f>
        <v>-1.5455505720562757E-2</v>
      </c>
      <c r="D243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3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37" s="11" t="e">
        <f>IF(ISBLANK(GSPC[[#This Row],[Long Exp.]]), "", (GSPC[[#This Row],[Long Exp.]]/D2438-1)+(E2438/GSPC[[#This Row],[Short Exp.]]-1))</f>
        <v>#VALUE!</v>
      </c>
    </row>
    <row r="2438" spans="1:6" x14ac:dyDescent="0.25">
      <c r="A2438" s="37">
        <v>28030</v>
      </c>
      <c r="B2438" s="39">
        <v>104.16999800000001</v>
      </c>
      <c r="C2438" s="36">
        <f>IF(ISBLANK(B2439), "", GSPC[[#This Row],[Adj Close]]/B2439-1)</f>
        <v>-2.4625514289545403E-2</v>
      </c>
      <c r="D243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3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38" s="11" t="e">
        <f>IF(ISBLANK(GSPC[[#This Row],[Long Exp.]]), "", (GSPC[[#This Row],[Long Exp.]]/D2439-1)+(E2439/GSPC[[#This Row],[Short Exp.]]-1))</f>
        <v>#VALUE!</v>
      </c>
    </row>
    <row r="2439" spans="1:6" x14ac:dyDescent="0.25">
      <c r="A2439" s="37">
        <v>28023</v>
      </c>
      <c r="B2439" s="39">
        <v>106.800003</v>
      </c>
      <c r="C2439" s="36">
        <f>IF(ISBLANK(B2440), "", GSPC[[#This Row],[Adj Close]]/B2440-1)</f>
        <v>4.9873531096458201E-3</v>
      </c>
      <c r="D243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3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39" s="11" t="e">
        <f>IF(ISBLANK(GSPC[[#This Row],[Long Exp.]]), "", (GSPC[[#This Row],[Long Exp.]]/D2440-1)+(E2440/GSPC[[#This Row],[Short Exp.]]-1))</f>
        <v>#VALUE!</v>
      </c>
    </row>
    <row r="2440" spans="1:6" x14ac:dyDescent="0.25">
      <c r="A2440" s="37">
        <v>28016</v>
      </c>
      <c r="B2440" s="39">
        <v>106.269997</v>
      </c>
      <c r="C2440" s="36">
        <f>IF(ISBLANK(B2441), "", GSPC[[#This Row],[Adj Close]]/B2441-1)</f>
        <v>1.5480123927756884E-2</v>
      </c>
      <c r="D244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4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40" s="11" t="e">
        <f>IF(ISBLANK(GSPC[[#This Row],[Long Exp.]]), "", (GSPC[[#This Row],[Long Exp.]]/D2441-1)+(E2441/GSPC[[#This Row],[Short Exp.]]-1))</f>
        <v>#VALUE!</v>
      </c>
    </row>
    <row r="2441" spans="1:6" x14ac:dyDescent="0.25">
      <c r="A2441" s="37">
        <v>28009</v>
      </c>
      <c r="B2441" s="39">
        <v>104.650002</v>
      </c>
      <c r="C2441" s="36">
        <f>IF(ISBLANK(B2442), "", GSPC[[#This Row],[Adj Close]]/B2442-1)</f>
        <v>3.3556950137383357E-3</v>
      </c>
      <c r="D244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4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41" s="11" t="e">
        <f>IF(ISBLANK(GSPC[[#This Row],[Long Exp.]]), "", (GSPC[[#This Row],[Long Exp.]]/D2442-1)+(E2442/GSPC[[#This Row],[Short Exp.]]-1))</f>
        <v>#VALUE!</v>
      </c>
    </row>
    <row r="2442" spans="1:6" x14ac:dyDescent="0.25">
      <c r="A2442" s="37">
        <v>28002</v>
      </c>
      <c r="B2442" s="39">
        <v>104.300003</v>
      </c>
      <c r="C2442" s="36">
        <f>IF(ISBLANK(B2443), "", GSPC[[#This Row],[Adj Close]]/B2443-1)</f>
        <v>2.7788726021224175E-2</v>
      </c>
      <c r="D244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4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42" s="11" t="e">
        <f>IF(ISBLANK(GSPC[[#This Row],[Long Exp.]]), "", (GSPC[[#This Row],[Long Exp.]]/D2443-1)+(E2443/GSPC[[#This Row],[Short Exp.]]-1))</f>
        <v>#VALUE!</v>
      </c>
    </row>
    <row r="2443" spans="1:6" x14ac:dyDescent="0.25">
      <c r="A2443" s="37">
        <v>27995</v>
      </c>
      <c r="B2443" s="39">
        <v>101.480003</v>
      </c>
      <c r="C2443" s="36">
        <f>IF(ISBLANK(B2444), "", GSPC[[#This Row],[Adj Close]]/B2444-1)</f>
        <v>-8.6939530518524988E-3</v>
      </c>
      <c r="D244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4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43" s="11" t="e">
        <f>IF(ISBLANK(GSPC[[#This Row],[Long Exp.]]), "", (GSPC[[#This Row],[Long Exp.]]/D2444-1)+(E2444/GSPC[[#This Row],[Short Exp.]]-1))</f>
        <v>#VALUE!</v>
      </c>
    </row>
    <row r="2444" spans="1:6" x14ac:dyDescent="0.25">
      <c r="A2444" s="37">
        <v>27988</v>
      </c>
      <c r="B2444" s="39">
        <v>102.370003</v>
      </c>
      <c r="C2444" s="36">
        <f>IF(ISBLANK(B2445), "", GSPC[[#This Row],[Adj Close]]/B2445-1)</f>
        <v>-1.8033544364508436E-2</v>
      </c>
      <c r="D244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4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44" s="11" t="e">
        <f>IF(ISBLANK(GSPC[[#This Row],[Long Exp.]]), "", (GSPC[[#This Row],[Long Exp.]]/D2445-1)+(E2445/GSPC[[#This Row],[Short Exp.]]-1))</f>
        <v>#VALUE!</v>
      </c>
    </row>
    <row r="2445" spans="1:6" x14ac:dyDescent="0.25">
      <c r="A2445" s="37">
        <v>27981</v>
      </c>
      <c r="B2445" s="39">
        <v>104.25</v>
      </c>
      <c r="C2445" s="36">
        <f>IF(ISBLANK(B2446), "", GSPC[[#This Row],[Adj Close]]/B2446-1)</f>
        <v>4.4320165292222047E-3</v>
      </c>
      <c r="D244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4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45" s="11" t="e">
        <f>IF(ISBLANK(GSPC[[#This Row],[Long Exp.]]), "", (GSPC[[#This Row],[Long Exp.]]/D2446-1)+(E2446/GSPC[[#This Row],[Short Exp.]]-1))</f>
        <v>#VALUE!</v>
      </c>
    </row>
    <row r="2446" spans="1:6" x14ac:dyDescent="0.25">
      <c r="A2446" s="37">
        <v>27974</v>
      </c>
      <c r="B2446" s="39">
        <v>103.790001</v>
      </c>
      <c r="C2446" s="36">
        <f>IF(ISBLANK(B2447), "", GSPC[[#This Row],[Adj Close]]/B2447-1)</f>
        <v>3.3835942887936454E-3</v>
      </c>
      <c r="D244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4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46" s="11" t="e">
        <f>IF(ISBLANK(GSPC[[#This Row],[Long Exp.]]), "", (GSPC[[#This Row],[Long Exp.]]/D2447-1)+(E2447/GSPC[[#This Row],[Short Exp.]]-1))</f>
        <v>#VALUE!</v>
      </c>
    </row>
    <row r="2447" spans="1:6" x14ac:dyDescent="0.25">
      <c r="A2447" s="37">
        <v>27967</v>
      </c>
      <c r="B2447" s="39">
        <v>103.44000200000001</v>
      </c>
      <c r="C2447" s="36">
        <f>IF(ISBLANK(B2448), "", GSPC[[#This Row],[Adj Close]]/B2448-1)</f>
        <v>-5.9580627706717904E-3</v>
      </c>
      <c r="D244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4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47" s="11" t="e">
        <f>IF(ISBLANK(GSPC[[#This Row],[Long Exp.]]), "", (GSPC[[#This Row],[Long Exp.]]/D2448-1)+(E2448/GSPC[[#This Row],[Short Exp.]]-1))</f>
        <v>#VALUE!</v>
      </c>
    </row>
    <row r="2448" spans="1:6" x14ac:dyDescent="0.25">
      <c r="A2448" s="37">
        <v>27960</v>
      </c>
      <c r="B2448" s="39">
        <v>104.05999799999999</v>
      </c>
      <c r="C2448" s="36">
        <f>IF(ISBLANK(B2449), "", GSPC[[#This Row],[Adj Close]]/B2449-1)</f>
        <v>-5.9228314864350207E-3</v>
      </c>
      <c r="D244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4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48" s="11" t="e">
        <f>IF(ISBLANK(GSPC[[#This Row],[Long Exp.]]), "", (GSPC[[#This Row],[Long Exp.]]/D2449-1)+(E2449/GSPC[[#This Row],[Short Exp.]]-1))</f>
        <v>#VALUE!</v>
      </c>
    </row>
    <row r="2449" spans="1:6" x14ac:dyDescent="0.25">
      <c r="A2449" s="37">
        <v>27953</v>
      </c>
      <c r="B2449" s="39">
        <v>104.68</v>
      </c>
      <c r="C2449" s="36">
        <f>IF(ISBLANK(B2450), "", GSPC[[#This Row],[Adj Close]]/B2450-1)</f>
        <v>-2.8577156737172871E-3</v>
      </c>
      <c r="D244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4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49" s="11" t="e">
        <f>IF(ISBLANK(GSPC[[#This Row],[Long Exp.]]), "", (GSPC[[#This Row],[Long Exp.]]/D2450-1)+(E2450/GSPC[[#This Row],[Short Exp.]]-1))</f>
        <v>#VALUE!</v>
      </c>
    </row>
    <row r="2450" spans="1:6" x14ac:dyDescent="0.25">
      <c r="A2450" s="37">
        <v>27946</v>
      </c>
      <c r="B2450" s="39">
        <v>104.980003</v>
      </c>
      <c r="C2450" s="36">
        <f>IF(ISBLANK(B2451), "", GSPC[[#This Row],[Adj Close]]/B2451-1)</f>
        <v>8.3565650911865408E-3</v>
      </c>
      <c r="D245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5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50" s="11" t="e">
        <f>IF(ISBLANK(GSPC[[#This Row],[Long Exp.]]), "", (GSPC[[#This Row],[Long Exp.]]/D2451-1)+(E2451/GSPC[[#This Row],[Short Exp.]]-1))</f>
        <v>#VALUE!</v>
      </c>
    </row>
    <row r="2451" spans="1:6" x14ac:dyDescent="0.25">
      <c r="A2451" s="37">
        <v>27939</v>
      </c>
      <c r="B2451" s="39">
        <v>104.110001</v>
      </c>
      <c r="C2451" s="36">
        <f>IF(ISBLANK(B2452), "", GSPC[[#This Row],[Adj Close]]/B2452-1)</f>
        <v>3.760123372925861E-3</v>
      </c>
      <c r="D245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5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51" s="11" t="e">
        <f>IF(ISBLANK(GSPC[[#This Row],[Long Exp.]]), "", (GSPC[[#This Row],[Long Exp.]]/D2452-1)+(E2452/GSPC[[#This Row],[Short Exp.]]-1))</f>
        <v>#VALUE!</v>
      </c>
    </row>
    <row r="2452" spans="1:6" x14ac:dyDescent="0.25">
      <c r="A2452" s="37">
        <v>27932</v>
      </c>
      <c r="B2452" s="39">
        <v>103.720001</v>
      </c>
      <c r="C2452" s="36">
        <f>IF(ISBLANK(B2453), "", GSPC[[#This Row],[Adj Close]]/B2453-1)</f>
        <v>-3.8551464175962114E-4</v>
      </c>
      <c r="D245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5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52" s="11" t="e">
        <f>IF(ISBLANK(GSPC[[#This Row],[Long Exp.]]), "", (GSPC[[#This Row],[Long Exp.]]/D2453-1)+(E2453/GSPC[[#This Row],[Short Exp.]]-1))</f>
        <v>#VALUE!</v>
      </c>
    </row>
    <row r="2453" spans="1:6" x14ac:dyDescent="0.25">
      <c r="A2453" s="37">
        <v>27925</v>
      </c>
      <c r="B2453" s="39">
        <v>103.760002</v>
      </c>
      <c r="C2453" s="36">
        <f>IF(ISBLANK(B2454), "", GSPC[[#This Row],[Adj Close]]/B2454-1)</f>
        <v>2.8141142055908341E-2</v>
      </c>
      <c r="D245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5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53" s="11" t="e">
        <f>IF(ISBLANK(GSPC[[#This Row],[Long Exp.]]), "", (GSPC[[#This Row],[Long Exp.]]/D2454-1)+(E2454/GSPC[[#This Row],[Short Exp.]]-1))</f>
        <v>#VALUE!</v>
      </c>
    </row>
    <row r="2454" spans="1:6" x14ac:dyDescent="0.25">
      <c r="A2454" s="37">
        <v>27918</v>
      </c>
      <c r="B2454" s="39">
        <v>100.91999800000001</v>
      </c>
      <c r="C2454" s="36">
        <f>IF(ISBLANK(B2455), "", GSPC[[#This Row],[Adj Close]]/B2455-1)</f>
        <v>1.7851699085190242E-2</v>
      </c>
      <c r="D245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5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54" s="11" t="e">
        <f>IF(ISBLANK(GSPC[[#This Row],[Long Exp.]]), "", (GSPC[[#This Row],[Long Exp.]]/D2455-1)+(E2455/GSPC[[#This Row],[Short Exp.]]-1))</f>
        <v>#VALUE!</v>
      </c>
    </row>
    <row r="2455" spans="1:6" x14ac:dyDescent="0.25">
      <c r="A2455" s="37">
        <v>27911</v>
      </c>
      <c r="B2455" s="39">
        <v>99.150002000000001</v>
      </c>
      <c r="C2455" s="36">
        <f>IF(ISBLANK(B2456), "", GSPC[[#This Row],[Adj Close]]/B2456-1)</f>
        <v>-1.0281473347973691E-2</v>
      </c>
      <c r="D245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5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55" s="11" t="e">
        <f>IF(ISBLANK(GSPC[[#This Row],[Long Exp.]]), "", (GSPC[[#This Row],[Long Exp.]]/D2456-1)+(E2456/GSPC[[#This Row],[Short Exp.]]-1))</f>
        <v>#VALUE!</v>
      </c>
    </row>
    <row r="2456" spans="1:6" x14ac:dyDescent="0.25">
      <c r="A2456" s="37">
        <v>27904</v>
      </c>
      <c r="B2456" s="39">
        <v>100.18</v>
      </c>
      <c r="C2456" s="36">
        <f>IF(ISBLANK(B2457), "", GSPC[[#This Row],[Adj Close]]/B2457-1)</f>
        <v>-1.06656328132404E-2</v>
      </c>
      <c r="D245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5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56" s="11" t="e">
        <f>IF(ISBLANK(GSPC[[#This Row],[Long Exp.]]), "", (GSPC[[#This Row],[Long Exp.]]/D2457-1)+(E2457/GSPC[[#This Row],[Short Exp.]]-1))</f>
        <v>#VALUE!</v>
      </c>
    </row>
    <row r="2457" spans="1:6" x14ac:dyDescent="0.25">
      <c r="A2457" s="37">
        <v>27897</v>
      </c>
      <c r="B2457" s="39">
        <v>101.260002</v>
      </c>
      <c r="C2457" s="36">
        <f>IF(ISBLANK(B2458), "", GSPC[[#This Row],[Adj Close]]/B2458-1)</f>
        <v>-7.8936257309503155E-4</v>
      </c>
      <c r="D245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5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57" s="11" t="e">
        <f>IF(ISBLANK(GSPC[[#This Row],[Long Exp.]]), "", (GSPC[[#This Row],[Long Exp.]]/D2458-1)+(E2458/GSPC[[#This Row],[Short Exp.]]-1))</f>
        <v>#VALUE!</v>
      </c>
    </row>
    <row r="2458" spans="1:6" x14ac:dyDescent="0.25">
      <c r="A2458" s="37">
        <v>27890</v>
      </c>
      <c r="B2458" s="39">
        <v>101.339996</v>
      </c>
      <c r="C2458" s="36">
        <f>IF(ISBLANK(B2459), "", GSPC[[#This Row],[Adj Close]]/B2459-1)</f>
        <v>-5.3003633284363083E-3</v>
      </c>
      <c r="D245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5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58" s="11" t="e">
        <f>IF(ISBLANK(GSPC[[#This Row],[Long Exp.]]), "", (GSPC[[#This Row],[Long Exp.]]/D2459-1)+(E2459/GSPC[[#This Row],[Short Exp.]]-1))</f>
        <v>#VALUE!</v>
      </c>
    </row>
    <row r="2459" spans="1:6" x14ac:dyDescent="0.25">
      <c r="A2459" s="37">
        <v>27883</v>
      </c>
      <c r="B2459" s="39">
        <v>101.879997</v>
      </c>
      <c r="C2459" s="36">
        <f>IF(ISBLANK(B2460), "", GSPC[[#This Row],[Adj Close]]/B2460-1)</f>
        <v>2.361255434486953E-3</v>
      </c>
      <c r="D245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5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59" s="11" t="e">
        <f>IF(ISBLANK(GSPC[[#This Row],[Long Exp.]]), "", (GSPC[[#This Row],[Long Exp.]]/D2460-1)+(E2460/GSPC[[#This Row],[Short Exp.]]-1))</f>
        <v>#VALUE!</v>
      </c>
    </row>
    <row r="2460" spans="1:6" x14ac:dyDescent="0.25">
      <c r="A2460" s="37">
        <v>27876</v>
      </c>
      <c r="B2460" s="39">
        <v>101.639999</v>
      </c>
      <c r="C2460" s="36">
        <f>IF(ISBLANK(B2461), "", GSPC[[#This Row],[Adj Close]]/B2461-1)</f>
        <v>-6.3545018442222601E-3</v>
      </c>
      <c r="D246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6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60" s="11" t="e">
        <f>IF(ISBLANK(GSPC[[#This Row],[Long Exp.]]), "", (GSPC[[#This Row],[Long Exp.]]/D2461-1)+(E2461/GSPC[[#This Row],[Short Exp.]]-1))</f>
        <v>#VALUE!</v>
      </c>
    </row>
    <row r="2461" spans="1:6" x14ac:dyDescent="0.25">
      <c r="A2461" s="37">
        <v>27869</v>
      </c>
      <c r="B2461" s="39">
        <v>102.290001</v>
      </c>
      <c r="C2461" s="36">
        <f>IF(ISBLANK(B2462), "", GSPC[[#This Row],[Adj Close]]/B2462-1)</f>
        <v>1.6092212498106884E-2</v>
      </c>
      <c r="D246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6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61" s="11" t="e">
        <f>IF(ISBLANK(GSPC[[#This Row],[Long Exp.]]), "", (GSPC[[#This Row],[Long Exp.]]/D2462-1)+(E2462/GSPC[[#This Row],[Short Exp.]]-1))</f>
        <v>#VALUE!</v>
      </c>
    </row>
    <row r="2462" spans="1:6" x14ac:dyDescent="0.25">
      <c r="A2462" s="37">
        <v>27862</v>
      </c>
      <c r="B2462" s="39">
        <v>100.66999800000001</v>
      </c>
      <c r="C2462" s="36">
        <f>IF(ISBLANK(B2463), "", GSPC[[#This Row],[Adj Close]]/B2463-1)</f>
        <v>3.1888391268328764E-3</v>
      </c>
      <c r="D246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6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62" s="11" t="e">
        <f>IF(ISBLANK(GSPC[[#This Row],[Long Exp.]]), "", (GSPC[[#This Row],[Long Exp.]]/D2463-1)+(E2463/GSPC[[#This Row],[Short Exp.]]-1))</f>
        <v>#VALUE!</v>
      </c>
    </row>
    <row r="2463" spans="1:6" x14ac:dyDescent="0.25">
      <c r="A2463" s="37">
        <v>27855</v>
      </c>
      <c r="B2463" s="39">
        <v>100.349998</v>
      </c>
      <c r="C2463" s="36">
        <f>IF(ISBLANK(B2464), "", GSPC[[#This Row],[Adj Close]]/B2464-1)</f>
        <v>-1.8581926650366731E-2</v>
      </c>
      <c r="D246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6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63" s="11" t="e">
        <f>IF(ISBLANK(GSPC[[#This Row],[Long Exp.]]), "", (GSPC[[#This Row],[Long Exp.]]/D2464-1)+(E2464/GSPC[[#This Row],[Short Exp.]]-1))</f>
        <v>#VALUE!</v>
      </c>
    </row>
    <row r="2464" spans="1:6" x14ac:dyDescent="0.25">
      <c r="A2464" s="37">
        <v>27848</v>
      </c>
      <c r="B2464" s="39">
        <v>102.25</v>
      </c>
      <c r="C2464" s="36">
        <f>IF(ISBLANK(B2465), "", GSPC[[#This Row],[Adj Close]]/B2465-1)</f>
        <v>-5.833719121705716E-3</v>
      </c>
      <c r="D246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6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64" s="11" t="e">
        <f>IF(ISBLANK(GSPC[[#This Row],[Long Exp.]]), "", (GSPC[[#This Row],[Long Exp.]]/D2465-1)+(E2465/GSPC[[#This Row],[Short Exp.]]-1))</f>
        <v>#VALUE!</v>
      </c>
    </row>
    <row r="2465" spans="1:6" x14ac:dyDescent="0.25">
      <c r="A2465" s="37">
        <v>27841</v>
      </c>
      <c r="B2465" s="39">
        <v>102.849998</v>
      </c>
      <c r="C2465" s="36">
        <f>IF(ISBLANK(B2466), "", GSPC[[#This Row],[Adj Close]]/B2466-1)</f>
        <v>2.2569059006381842E-2</v>
      </c>
      <c r="D246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6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65" s="11" t="e">
        <f>IF(ISBLANK(GSPC[[#This Row],[Long Exp.]]), "", (GSPC[[#This Row],[Long Exp.]]/D2466-1)+(E2466/GSPC[[#This Row],[Short Exp.]]-1))</f>
        <v>#VALUE!</v>
      </c>
    </row>
    <row r="2466" spans="1:6" x14ac:dyDescent="0.25">
      <c r="A2466" s="37">
        <v>27834</v>
      </c>
      <c r="B2466" s="39">
        <v>100.58000199999999</v>
      </c>
      <c r="C2466" s="36">
        <f>IF(ISBLANK(B2467), "", GSPC[[#This Row],[Adj Close]]/B2467-1)</f>
        <v>-2.7761153799711336E-3</v>
      </c>
      <c r="D246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6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66" s="11" t="e">
        <f>IF(ISBLANK(GSPC[[#This Row],[Long Exp.]]), "", (GSPC[[#This Row],[Long Exp.]]/D2467-1)+(E2467/GSPC[[#This Row],[Short Exp.]]-1))</f>
        <v>#VALUE!</v>
      </c>
    </row>
    <row r="2467" spans="1:6" x14ac:dyDescent="0.25">
      <c r="A2467" s="37">
        <v>27827</v>
      </c>
      <c r="B2467" s="39">
        <v>100.860001</v>
      </c>
      <c r="C2467" s="36">
        <f>IF(ISBLANK(B2468), "", GSPC[[#This Row],[Adj Close]]/B2468-1)</f>
        <v>1.7657148444585324E-2</v>
      </c>
      <c r="D246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6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67" s="11" t="e">
        <f>IF(ISBLANK(GSPC[[#This Row],[Long Exp.]]), "", (GSPC[[#This Row],[Long Exp.]]/D2468-1)+(E2468/GSPC[[#This Row],[Short Exp.]]-1))</f>
        <v>#VALUE!</v>
      </c>
    </row>
    <row r="2468" spans="1:6" x14ac:dyDescent="0.25">
      <c r="A2468" s="37">
        <v>27820</v>
      </c>
      <c r="B2468" s="39">
        <v>99.110000999999997</v>
      </c>
      <c r="C2468" s="36">
        <f>IF(ISBLANK(B2469), "", GSPC[[#This Row],[Adj Close]]/B2469-1)</f>
        <v>-6.0174306089402219E-3</v>
      </c>
      <c r="D246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6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68" s="11" t="e">
        <f>IF(ISBLANK(GSPC[[#This Row],[Long Exp.]]), "", (GSPC[[#This Row],[Long Exp.]]/D2469-1)+(E2469/GSPC[[#This Row],[Short Exp.]]-1))</f>
        <v>#VALUE!</v>
      </c>
    </row>
    <row r="2469" spans="1:6" x14ac:dyDescent="0.25">
      <c r="A2469" s="37">
        <v>27813</v>
      </c>
      <c r="B2469" s="39">
        <v>99.709998999999996</v>
      </c>
      <c r="C2469" s="36">
        <f>IF(ISBLANK(B2470), "", GSPC[[#This Row],[Adj Close]]/B2470-1)</f>
        <v>-2.3408413778813197E-2</v>
      </c>
      <c r="D246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6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69" s="11" t="e">
        <f>IF(ISBLANK(GSPC[[#This Row],[Long Exp.]]), "", (GSPC[[#This Row],[Long Exp.]]/D2470-1)+(E2470/GSPC[[#This Row],[Short Exp.]]-1))</f>
        <v>#VALUE!</v>
      </c>
    </row>
    <row r="2470" spans="1:6" x14ac:dyDescent="0.25">
      <c r="A2470" s="37">
        <v>27806</v>
      </c>
      <c r="B2470" s="39">
        <v>102.099998</v>
      </c>
      <c r="C2470" s="36">
        <f>IF(ISBLANK(B2471), "", GSPC[[#This Row],[Adj Close]]/B2471-1)</f>
        <v>2.438045599238392E-2</v>
      </c>
      <c r="D247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7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70" s="11" t="e">
        <f>IF(ISBLANK(GSPC[[#This Row],[Long Exp.]]), "", (GSPC[[#This Row],[Long Exp.]]/D2471-1)+(E2471/GSPC[[#This Row],[Short Exp.]]-1))</f>
        <v>#VALUE!</v>
      </c>
    </row>
    <row r="2471" spans="1:6" x14ac:dyDescent="0.25">
      <c r="A2471" s="37">
        <v>27799</v>
      </c>
      <c r="B2471" s="39">
        <v>99.669998000000007</v>
      </c>
      <c r="C2471" s="36">
        <f>IF(ISBLANK(B2472), "", GSPC[[#This Row],[Adj Close]]/B2472-1)</f>
        <v>2.1113915354051827E-3</v>
      </c>
      <c r="D247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7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71" s="11" t="e">
        <f>IF(ISBLANK(GSPC[[#This Row],[Long Exp.]]), "", (GSPC[[#This Row],[Long Exp.]]/D2472-1)+(E2472/GSPC[[#This Row],[Short Exp.]]-1))</f>
        <v>#VALUE!</v>
      </c>
    </row>
    <row r="2472" spans="1:6" x14ac:dyDescent="0.25">
      <c r="A2472" s="37">
        <v>27792</v>
      </c>
      <c r="B2472" s="39">
        <v>99.459998999999996</v>
      </c>
      <c r="C2472" s="36">
        <f>IF(ISBLANK(B2473), "", GSPC[[#This Row],[Adj Close]]/B2473-1)</f>
        <v>-1.3880646302987798E-2</v>
      </c>
      <c r="D247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7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72" s="11" t="e">
        <f>IF(ISBLANK(GSPC[[#This Row],[Long Exp.]]), "", (GSPC[[#This Row],[Long Exp.]]/D2473-1)+(E2473/GSPC[[#This Row],[Short Exp.]]-1))</f>
        <v>#VALUE!</v>
      </c>
    </row>
    <row r="2473" spans="1:6" x14ac:dyDescent="0.25">
      <c r="A2473" s="37">
        <v>27785</v>
      </c>
      <c r="B2473" s="39">
        <v>100.860001</v>
      </c>
      <c r="C2473" s="36">
        <f>IF(ISBLANK(B2474), "", GSPC[[#This Row],[Adj Close]]/B2474-1)</f>
        <v>1.6631408291819527E-2</v>
      </c>
      <c r="D247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7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73" s="11" t="e">
        <f>IF(ISBLANK(GSPC[[#This Row],[Long Exp.]]), "", (GSPC[[#This Row],[Long Exp.]]/D2474-1)+(E2474/GSPC[[#This Row],[Short Exp.]]-1))</f>
        <v>#VALUE!</v>
      </c>
    </row>
    <row r="2474" spans="1:6" x14ac:dyDescent="0.25">
      <c r="A2474" s="37">
        <v>27778</v>
      </c>
      <c r="B2474" s="39">
        <v>99.209998999999996</v>
      </c>
      <c r="C2474" s="36">
        <f>IF(ISBLANK(B2475), "", GSPC[[#This Row],[Adj Close]]/B2475-1)</f>
        <v>2.2783494845360686E-2</v>
      </c>
      <c r="D247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7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74" s="11" t="e">
        <f>IF(ISBLANK(GSPC[[#This Row],[Long Exp.]]), "", (GSPC[[#This Row],[Long Exp.]]/D2475-1)+(E2475/GSPC[[#This Row],[Short Exp.]]-1))</f>
        <v>#VALUE!</v>
      </c>
    </row>
    <row r="2475" spans="1:6" x14ac:dyDescent="0.25">
      <c r="A2475" s="37">
        <v>27771</v>
      </c>
      <c r="B2475" s="39">
        <v>97</v>
      </c>
      <c r="C2475" s="36">
        <f>IF(ISBLANK(B2476), "", GSPC[[#This Row],[Adj Close]]/B2476-1)</f>
        <v>2.1590342967572784E-2</v>
      </c>
      <c r="D247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7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75" s="11" t="e">
        <f>IF(ISBLANK(GSPC[[#This Row],[Long Exp.]]), "", (GSPC[[#This Row],[Long Exp.]]/D2476-1)+(E2476/GSPC[[#This Row],[Short Exp.]]-1))</f>
        <v>#VALUE!</v>
      </c>
    </row>
    <row r="2476" spans="1:6" x14ac:dyDescent="0.25">
      <c r="A2476" s="37">
        <v>27764</v>
      </c>
      <c r="B2476" s="39">
        <v>94.949996999999996</v>
      </c>
      <c r="C2476" s="36">
        <f>IF(ISBLANK(B2477), "", GSPC[[#This Row],[Adj Close]]/B2477-1)</f>
        <v>4.4554399459749039E-2</v>
      </c>
      <c r="D247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7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76" s="11" t="e">
        <f>IF(ISBLANK(GSPC[[#This Row],[Long Exp.]]), "", (GSPC[[#This Row],[Long Exp.]]/D2477-1)+(E2477/GSPC[[#This Row],[Short Exp.]]-1))</f>
        <v>#VALUE!</v>
      </c>
    </row>
    <row r="2477" spans="1:6" x14ac:dyDescent="0.25">
      <c r="A2477" s="37">
        <v>27757</v>
      </c>
      <c r="B2477" s="39">
        <v>90.900002000000001</v>
      </c>
      <c r="C2477" s="36">
        <f>IF(ISBLANK(B2478), "", GSPC[[#This Row],[Adj Close]]/B2478-1)</f>
        <v>7.2022382271468288E-3</v>
      </c>
      <c r="D247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7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77" s="11" t="e">
        <f>IF(ISBLANK(GSPC[[#This Row],[Long Exp.]]), "", (GSPC[[#This Row],[Long Exp.]]/D2478-1)+(E2478/GSPC[[#This Row],[Short Exp.]]-1))</f>
        <v>#VALUE!</v>
      </c>
    </row>
    <row r="2478" spans="1:6" x14ac:dyDescent="0.25">
      <c r="A2478" s="37">
        <v>27750</v>
      </c>
      <c r="B2478" s="39">
        <v>90.25</v>
      </c>
      <c r="C2478" s="36">
        <f>IF(ISBLANK(B2479), "", GSPC[[#This Row],[Adj Close]]/B2479-1)</f>
        <v>1.6328794493396526E-2</v>
      </c>
      <c r="D247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7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78" s="11" t="e">
        <f>IF(ISBLANK(GSPC[[#This Row],[Long Exp.]]), "", (GSPC[[#This Row],[Long Exp.]]/D2479-1)+(E2479/GSPC[[#This Row],[Short Exp.]]-1))</f>
        <v>#VALUE!</v>
      </c>
    </row>
    <row r="2479" spans="1:6" x14ac:dyDescent="0.25">
      <c r="A2479" s="37">
        <v>27743</v>
      </c>
      <c r="B2479" s="39">
        <v>88.800003000000004</v>
      </c>
      <c r="C2479" s="36">
        <f>IF(ISBLANK(B2480), "", GSPC[[#This Row],[Adj Close]]/B2480-1)</f>
        <v>1.1044073527403553E-2</v>
      </c>
      <c r="D247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7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79" s="11" t="e">
        <f>IF(ISBLANK(GSPC[[#This Row],[Long Exp.]]), "", (GSPC[[#This Row],[Long Exp.]]/D2480-1)+(E2480/GSPC[[#This Row],[Short Exp.]]-1))</f>
        <v>#VALUE!</v>
      </c>
    </row>
    <row r="2480" spans="1:6" x14ac:dyDescent="0.25">
      <c r="A2480" s="37">
        <v>27736</v>
      </c>
      <c r="B2480" s="39">
        <v>87.830001999999993</v>
      </c>
      <c r="C2480" s="36">
        <f>IF(ISBLANK(B2481), "", GSPC[[#This Row],[Adj Close]]/B2481-1)</f>
        <v>1.1633287260999881E-2</v>
      </c>
      <c r="D248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8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80" s="11" t="e">
        <f>IF(ISBLANK(GSPC[[#This Row],[Long Exp.]]), "", (GSPC[[#This Row],[Long Exp.]]/D2481-1)+(E2481/GSPC[[#This Row],[Short Exp.]]-1))</f>
        <v>#VALUE!</v>
      </c>
    </row>
    <row r="2481" spans="1:6" x14ac:dyDescent="0.25">
      <c r="A2481" s="37">
        <v>27729</v>
      </c>
      <c r="B2481" s="39">
        <v>86.82</v>
      </c>
      <c r="C2481" s="36">
        <f>IF(ISBLANK(B2482), "", GSPC[[#This Row],[Adj Close]]/B2482-1)</f>
        <v>-4.8443644200869107E-2</v>
      </c>
      <c r="D248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8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81" s="11" t="e">
        <f>IF(ISBLANK(GSPC[[#This Row],[Long Exp.]]), "", (GSPC[[#This Row],[Long Exp.]]/D2482-1)+(E2482/GSPC[[#This Row],[Short Exp.]]-1))</f>
        <v>#VALUE!</v>
      </c>
    </row>
    <row r="2482" spans="1:6" x14ac:dyDescent="0.25">
      <c r="A2482" s="37">
        <v>27722</v>
      </c>
      <c r="B2482" s="39">
        <v>91.239998</v>
      </c>
      <c r="C2482" s="36">
        <f>IF(ISBLANK(B2483), "", GSPC[[#This Row],[Adj Close]]/B2483-1)</f>
        <v>1.9099732146763415E-2</v>
      </c>
      <c r="D248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8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82" s="11" t="e">
        <f>IF(ISBLANK(GSPC[[#This Row],[Long Exp.]]), "", (GSPC[[#This Row],[Long Exp.]]/D2483-1)+(E2483/GSPC[[#This Row],[Short Exp.]]-1))</f>
        <v>#VALUE!</v>
      </c>
    </row>
    <row r="2483" spans="1:6" x14ac:dyDescent="0.25">
      <c r="A2483" s="37">
        <v>27715</v>
      </c>
      <c r="B2483" s="39">
        <v>89.529999000000004</v>
      </c>
      <c r="C2483" s="36">
        <f>IF(ISBLANK(B2484), "", GSPC[[#This Row],[Adj Close]]/B2484-1)</f>
        <v>-1.5829416117077888E-2</v>
      </c>
      <c r="D248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8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83" s="11" t="e">
        <f>IF(ISBLANK(GSPC[[#This Row],[Long Exp.]]), "", (GSPC[[#This Row],[Long Exp.]]/D2484-1)+(E2484/GSPC[[#This Row],[Short Exp.]]-1))</f>
        <v>#VALUE!</v>
      </c>
    </row>
    <row r="2484" spans="1:6" x14ac:dyDescent="0.25">
      <c r="A2484" s="37">
        <v>27708</v>
      </c>
      <c r="B2484" s="39">
        <v>90.970000999999996</v>
      </c>
      <c r="C2484" s="36">
        <f>IF(ISBLANK(B2485), "", GSPC[[#This Row],[Adj Close]]/B2485-1)</f>
        <v>1.8358882383099129E-2</v>
      </c>
      <c r="D248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8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84" s="11" t="e">
        <f>IF(ISBLANK(GSPC[[#This Row],[Long Exp.]]), "", (GSPC[[#This Row],[Long Exp.]]/D2485-1)+(E2485/GSPC[[#This Row],[Short Exp.]]-1))</f>
        <v>#VALUE!</v>
      </c>
    </row>
    <row r="2485" spans="1:6" x14ac:dyDescent="0.25">
      <c r="A2485" s="37">
        <v>27701</v>
      </c>
      <c r="B2485" s="39">
        <v>89.330001999999993</v>
      </c>
      <c r="C2485" s="36">
        <f>IF(ISBLANK(B2486), "", GSPC[[#This Row],[Adj Close]]/B2486-1)</f>
        <v>3.2569743569521581E-3</v>
      </c>
      <c r="D248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8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85" s="11" t="e">
        <f>IF(ISBLANK(GSPC[[#This Row],[Long Exp.]]), "", (GSPC[[#This Row],[Long Exp.]]/D2486-1)+(E2486/GSPC[[#This Row],[Short Exp.]]-1))</f>
        <v>#VALUE!</v>
      </c>
    </row>
    <row r="2486" spans="1:6" x14ac:dyDescent="0.25">
      <c r="A2486" s="37">
        <v>27694</v>
      </c>
      <c r="B2486" s="39">
        <v>89.040001000000004</v>
      </c>
      <c r="C2486" s="36">
        <f>IF(ISBLANK(B2487), "", GSPC[[#This Row],[Adj Close]]/B2487-1)</f>
        <v>-8.7944003385416192E-3</v>
      </c>
      <c r="D248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8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86" s="11" t="e">
        <f>IF(ISBLANK(GSPC[[#This Row],[Long Exp.]]), "", (GSPC[[#This Row],[Long Exp.]]/D2487-1)+(E2487/GSPC[[#This Row],[Short Exp.]]-1))</f>
        <v>#VALUE!</v>
      </c>
    </row>
    <row r="2487" spans="1:6" x14ac:dyDescent="0.25">
      <c r="A2487" s="37">
        <v>27687</v>
      </c>
      <c r="B2487" s="39">
        <v>89.830001999999993</v>
      </c>
      <c r="C2487" s="36">
        <f>IF(ISBLANK(B2488), "", GSPC[[#This Row],[Adj Close]]/B2488-1)</f>
        <v>1.0916058846319299E-2</v>
      </c>
      <c r="D248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8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87" s="11" t="e">
        <f>IF(ISBLANK(GSPC[[#This Row],[Long Exp.]]), "", (GSPC[[#This Row],[Long Exp.]]/D2488-1)+(E2488/GSPC[[#This Row],[Short Exp.]]-1))</f>
        <v>#VALUE!</v>
      </c>
    </row>
    <row r="2488" spans="1:6" x14ac:dyDescent="0.25">
      <c r="A2488" s="37">
        <v>27680</v>
      </c>
      <c r="B2488" s="39">
        <v>88.860000999999997</v>
      </c>
      <c r="C2488" s="36">
        <f>IF(ISBLANK(B2489), "", GSPC[[#This Row],[Adj Close]]/B2489-1)</f>
        <v>7.3688018066977445E-3</v>
      </c>
      <c r="D248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8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88" s="11" t="e">
        <f>IF(ISBLANK(GSPC[[#This Row],[Long Exp.]]), "", (GSPC[[#This Row],[Long Exp.]]/D2489-1)+(E2489/GSPC[[#This Row],[Short Exp.]]-1))</f>
        <v>#VALUE!</v>
      </c>
    </row>
    <row r="2489" spans="1:6" x14ac:dyDescent="0.25">
      <c r="A2489" s="37">
        <v>27673</v>
      </c>
      <c r="B2489" s="39">
        <v>88.209998999999996</v>
      </c>
      <c r="C2489" s="36">
        <f>IF(ISBLANK(B2490), "", GSPC[[#This Row],[Adj Close]]/B2490-1)</f>
        <v>2.6294381371531728E-2</v>
      </c>
      <c r="D248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8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89" s="11" t="e">
        <f>IF(ISBLANK(GSPC[[#This Row],[Long Exp.]]), "", (GSPC[[#This Row],[Long Exp.]]/D2490-1)+(E2490/GSPC[[#This Row],[Short Exp.]]-1))</f>
        <v>#VALUE!</v>
      </c>
    </row>
    <row r="2490" spans="1:6" x14ac:dyDescent="0.25">
      <c r="A2490" s="37">
        <v>27666</v>
      </c>
      <c r="B2490" s="39">
        <v>85.949996999999996</v>
      </c>
      <c r="C2490" s="36">
        <f>IF(ISBLANK(B2491), "", GSPC[[#This Row],[Adj Close]]/B2491-1)</f>
        <v>-2.7846037177260419E-3</v>
      </c>
      <c r="D249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9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90" s="11" t="e">
        <f>IF(ISBLANK(GSPC[[#This Row],[Long Exp.]]), "", (GSPC[[#This Row],[Long Exp.]]/D2491-1)+(E2491/GSPC[[#This Row],[Short Exp.]]-1))</f>
        <v>#VALUE!</v>
      </c>
    </row>
    <row r="2491" spans="1:6" x14ac:dyDescent="0.25">
      <c r="A2491" s="37">
        <v>27659</v>
      </c>
      <c r="B2491" s="39">
        <v>86.190002000000007</v>
      </c>
      <c r="C2491" s="36">
        <f>IF(ISBLANK(B2492), "", GSPC[[#This Row],[Adj Close]]/B2492-1)</f>
        <v>3.6097462835262828E-3</v>
      </c>
      <c r="D249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9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91" s="11" t="e">
        <f>IF(ISBLANK(GSPC[[#This Row],[Long Exp.]]), "", (GSPC[[#This Row],[Long Exp.]]/D2492-1)+(E2492/GSPC[[#This Row],[Short Exp.]]-1))</f>
        <v>#VALUE!</v>
      </c>
    </row>
    <row r="2492" spans="1:6" x14ac:dyDescent="0.25">
      <c r="A2492" s="37">
        <v>27652</v>
      </c>
      <c r="B2492" s="39">
        <v>85.879997000000003</v>
      </c>
      <c r="C2492" s="36">
        <f>IF(ISBLANK(B2493), "", GSPC[[#This Row],[Adj Close]]/B2493-1)</f>
        <v>3.0972315811321094E-2</v>
      </c>
      <c r="D249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9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92" s="11" t="e">
        <f>IF(ISBLANK(GSPC[[#This Row],[Long Exp.]]), "", (GSPC[[#This Row],[Long Exp.]]/D2493-1)+(E2493/GSPC[[#This Row],[Short Exp.]]-1))</f>
        <v>#VALUE!</v>
      </c>
    </row>
    <row r="2493" spans="1:6" x14ac:dyDescent="0.25">
      <c r="A2493" s="37">
        <v>27645</v>
      </c>
      <c r="B2493" s="39">
        <v>83.300003000000004</v>
      </c>
      <c r="C2493" s="36">
        <f>IF(ISBLANK(B2494), "", GSPC[[#This Row],[Adj Close]]/B2494-1)</f>
        <v>-2.709647183731112E-2</v>
      </c>
      <c r="D249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9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93" s="11" t="e">
        <f>IF(ISBLANK(GSPC[[#This Row],[Long Exp.]]), "", (GSPC[[#This Row],[Long Exp.]]/D2494-1)+(E2494/GSPC[[#This Row],[Short Exp.]]-1))</f>
        <v>#VALUE!</v>
      </c>
    </row>
    <row r="2494" spans="1:6" x14ac:dyDescent="0.25">
      <c r="A2494" s="37">
        <v>27638</v>
      </c>
      <c r="B2494" s="39">
        <v>85.620002999999997</v>
      </c>
      <c r="C2494" s="36">
        <f>IF(ISBLANK(B2495), "", GSPC[[#This Row],[Adj Close]]/B2495-1)</f>
        <v>-1.450269387094949E-2</v>
      </c>
      <c r="D249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9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94" s="11" t="e">
        <f>IF(ISBLANK(GSPC[[#This Row],[Long Exp.]]), "", (GSPC[[#This Row],[Long Exp.]]/D2495-1)+(E2495/GSPC[[#This Row],[Short Exp.]]-1))</f>
        <v>#VALUE!</v>
      </c>
    </row>
    <row r="2495" spans="1:6" x14ac:dyDescent="0.25">
      <c r="A2495" s="37">
        <v>27631</v>
      </c>
      <c r="B2495" s="39">
        <v>86.879997000000003</v>
      </c>
      <c r="C2495" s="36">
        <f>IF(ISBLANK(B2496), "", GSPC[[#This Row],[Adj Close]]/B2496-1)</f>
        <v>3.0849525757588037E-2</v>
      </c>
      <c r="D249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9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95" s="11" t="e">
        <f>IF(ISBLANK(GSPC[[#This Row],[Long Exp.]]), "", (GSPC[[#This Row],[Long Exp.]]/D2496-1)+(E2496/GSPC[[#This Row],[Short Exp.]]-1))</f>
        <v>#VALUE!</v>
      </c>
    </row>
    <row r="2496" spans="1:6" x14ac:dyDescent="0.25">
      <c r="A2496" s="37">
        <v>27624</v>
      </c>
      <c r="B2496" s="39">
        <v>84.279999000000004</v>
      </c>
      <c r="C2496" s="36">
        <f>IF(ISBLANK(B2497), "", GSPC[[#This Row],[Adj Close]]/B2497-1)</f>
        <v>-2.4085247521013708E-2</v>
      </c>
      <c r="D249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9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96" s="11" t="e">
        <f>IF(ISBLANK(GSPC[[#This Row],[Long Exp.]]), "", (GSPC[[#This Row],[Long Exp.]]/D2497-1)+(E2497/GSPC[[#This Row],[Short Exp.]]-1))</f>
        <v>#VALUE!</v>
      </c>
    </row>
    <row r="2497" spans="1:6" x14ac:dyDescent="0.25">
      <c r="A2497" s="37">
        <v>27617</v>
      </c>
      <c r="B2497" s="39">
        <v>86.360000999999997</v>
      </c>
      <c r="C2497" s="36">
        <f>IF(ISBLANK(B2498), "", GSPC[[#This Row],[Adj Close]]/B2498-1)</f>
        <v>3.9526158086240493E-3</v>
      </c>
      <c r="D249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9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97" s="11" t="e">
        <f>IF(ISBLANK(GSPC[[#This Row],[Long Exp.]]), "", (GSPC[[#This Row],[Long Exp.]]/D2498-1)+(E2498/GSPC[[#This Row],[Short Exp.]]-1))</f>
        <v>#VALUE!</v>
      </c>
    </row>
    <row r="2498" spans="1:6" x14ac:dyDescent="0.25">
      <c r="A2498" s="37">
        <v>27610</v>
      </c>
      <c r="B2498" s="39">
        <v>86.019997000000004</v>
      </c>
      <c r="C2498" s="36">
        <f>IF(ISBLANK(B2499), "", GSPC[[#This Row],[Adj Close]]/B2499-1)</f>
        <v>-2.2388919704259935E-2</v>
      </c>
      <c r="D249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9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98" s="11" t="e">
        <f>IF(ISBLANK(GSPC[[#This Row],[Long Exp.]]), "", (GSPC[[#This Row],[Long Exp.]]/D2499-1)+(E2499/GSPC[[#This Row],[Short Exp.]]-1))</f>
        <v>#VALUE!</v>
      </c>
    </row>
    <row r="2499" spans="1:6" x14ac:dyDescent="0.25">
      <c r="A2499" s="37">
        <v>27603</v>
      </c>
      <c r="B2499" s="39">
        <v>87.989998</v>
      </c>
      <c r="C2499" s="36">
        <f>IF(ISBLANK(B2500), "", GSPC[[#This Row],[Adj Close]]/B2500-1)</f>
        <v>-1.4559334588875261E-2</v>
      </c>
      <c r="D249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49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499" s="11" t="e">
        <f>IF(ISBLANK(GSPC[[#This Row],[Long Exp.]]), "", (GSPC[[#This Row],[Long Exp.]]/D2500-1)+(E2500/GSPC[[#This Row],[Short Exp.]]-1))</f>
        <v>#VALUE!</v>
      </c>
    </row>
    <row r="2500" spans="1:6" x14ac:dyDescent="0.25">
      <c r="A2500" s="37">
        <v>27596</v>
      </c>
      <c r="B2500" s="39">
        <v>89.290001000000004</v>
      </c>
      <c r="C2500" s="36">
        <f>IF(ISBLANK(B2501), "", GSPC[[#This Row],[Adj Close]]/B2501-1)</f>
        <v>-4.1952748131526163E-2</v>
      </c>
      <c r="D250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0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00" s="11" t="e">
        <f>IF(ISBLANK(GSPC[[#This Row],[Long Exp.]]), "", (GSPC[[#This Row],[Long Exp.]]/D2501-1)+(E2501/GSPC[[#This Row],[Short Exp.]]-1))</f>
        <v>#VALUE!</v>
      </c>
    </row>
    <row r="2501" spans="1:6" x14ac:dyDescent="0.25">
      <c r="A2501" s="37">
        <v>27589</v>
      </c>
      <c r="B2501" s="39">
        <v>93.199996999999996</v>
      </c>
      <c r="C2501" s="36">
        <f>IF(ISBLANK(B2502), "", GSPC[[#This Row],[Adj Close]]/B2502-1)</f>
        <v>-1.5423694678905808E-2</v>
      </c>
      <c r="D250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0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01" s="11" t="e">
        <f>IF(ISBLANK(GSPC[[#This Row],[Long Exp.]]), "", (GSPC[[#This Row],[Long Exp.]]/D2502-1)+(E2502/GSPC[[#This Row],[Short Exp.]]-1))</f>
        <v>#VALUE!</v>
      </c>
    </row>
    <row r="2502" spans="1:6" x14ac:dyDescent="0.25">
      <c r="A2502" s="37">
        <v>27582</v>
      </c>
      <c r="B2502" s="39">
        <v>94.660004000000001</v>
      </c>
      <c r="C2502" s="36">
        <f>IF(ISBLANK(B2503), "", GSPC[[#This Row],[Adj Close]]/B2503-1)</f>
        <v>3.1793450277730617E-3</v>
      </c>
      <c r="D250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0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02" s="11" t="e">
        <f>IF(ISBLANK(GSPC[[#This Row],[Long Exp.]]), "", (GSPC[[#This Row],[Long Exp.]]/D2503-1)+(E2503/GSPC[[#This Row],[Short Exp.]]-1))</f>
        <v>#VALUE!</v>
      </c>
    </row>
    <row r="2503" spans="1:6" x14ac:dyDescent="0.25">
      <c r="A2503" s="37">
        <v>27575</v>
      </c>
      <c r="B2503" s="39">
        <v>94.360000999999997</v>
      </c>
      <c r="C2503" s="36">
        <f>IF(ISBLANK(B2504), "", GSPC[[#This Row],[Adj Close]]/B2504-1)</f>
        <v>-4.7463032327033083E-3</v>
      </c>
      <c r="D250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0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03" s="11" t="e">
        <f>IF(ISBLANK(GSPC[[#This Row],[Long Exp.]]), "", (GSPC[[#This Row],[Long Exp.]]/D2504-1)+(E2504/GSPC[[#This Row],[Short Exp.]]-1))</f>
        <v>#VALUE!</v>
      </c>
    </row>
    <row r="2504" spans="1:6" x14ac:dyDescent="0.25">
      <c r="A2504" s="37">
        <v>27568</v>
      </c>
      <c r="B2504" s="39">
        <v>94.809997999999993</v>
      </c>
      <c r="C2504" s="36">
        <f>IF(ISBLANK(B2505), "", GSPC[[#This Row],[Adj Close]]/B2505-1)</f>
        <v>2.3755501309194349E-2</v>
      </c>
      <c r="D250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0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04" s="11" t="e">
        <f>IF(ISBLANK(GSPC[[#This Row],[Long Exp.]]), "", (GSPC[[#This Row],[Long Exp.]]/D2505-1)+(E2505/GSPC[[#This Row],[Short Exp.]]-1))</f>
        <v>#VALUE!</v>
      </c>
    </row>
    <row r="2505" spans="1:6" x14ac:dyDescent="0.25">
      <c r="A2505" s="37">
        <v>27561</v>
      </c>
      <c r="B2505" s="39">
        <v>92.610000999999997</v>
      </c>
      <c r="C2505" s="36">
        <f>IF(ISBLANK(B2506), "", GSPC[[#This Row],[Adj Close]]/B2506-1)</f>
        <v>2.308886510457997E-2</v>
      </c>
      <c r="D250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0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05" s="11" t="e">
        <f>IF(ISBLANK(GSPC[[#This Row],[Long Exp.]]), "", (GSPC[[#This Row],[Long Exp.]]/D2506-1)+(E2506/GSPC[[#This Row],[Short Exp.]]-1))</f>
        <v>#VALUE!</v>
      </c>
    </row>
    <row r="2506" spans="1:6" x14ac:dyDescent="0.25">
      <c r="A2506" s="37">
        <v>27554</v>
      </c>
      <c r="B2506" s="39">
        <v>90.519997000000004</v>
      </c>
      <c r="C2506" s="36">
        <f>IF(ISBLANK(B2507), "", GSPC[[#This Row],[Adj Close]]/B2507-1)</f>
        <v>-2.1193835817673978E-2</v>
      </c>
      <c r="D250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0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06" s="11" t="e">
        <f>IF(ISBLANK(GSPC[[#This Row],[Long Exp.]]), "", (GSPC[[#This Row],[Long Exp.]]/D2507-1)+(E2507/GSPC[[#This Row],[Short Exp.]]-1))</f>
        <v>#VALUE!</v>
      </c>
    </row>
    <row r="2507" spans="1:6" x14ac:dyDescent="0.25">
      <c r="A2507" s="37">
        <v>27547</v>
      </c>
      <c r="B2507" s="39">
        <v>92.480002999999996</v>
      </c>
      <c r="C2507" s="36">
        <f>IF(ISBLANK(B2508), "", GSPC[[#This Row],[Adj Close]]/B2508-1)</f>
        <v>1.4591343618401531E-2</v>
      </c>
      <c r="D250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0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07" s="11" t="e">
        <f>IF(ISBLANK(GSPC[[#This Row],[Long Exp.]]), "", (GSPC[[#This Row],[Long Exp.]]/D2508-1)+(E2508/GSPC[[#This Row],[Short Exp.]]-1))</f>
        <v>#VALUE!</v>
      </c>
    </row>
    <row r="2508" spans="1:6" x14ac:dyDescent="0.25">
      <c r="A2508" s="37">
        <v>27540</v>
      </c>
      <c r="B2508" s="39">
        <v>91.150002000000001</v>
      </c>
      <c r="C2508" s="36">
        <f>IF(ISBLANK(B2509), "", GSPC[[#This Row],[Adj Close]]/B2509-1)</f>
        <v>6.2927797241603134E-3</v>
      </c>
      <c r="D250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0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08" s="11" t="e">
        <f>IF(ISBLANK(GSPC[[#This Row],[Long Exp.]]), "", (GSPC[[#This Row],[Long Exp.]]/D2509-1)+(E2509/GSPC[[#This Row],[Short Exp.]]-1))</f>
        <v>#VALUE!</v>
      </c>
    </row>
    <row r="2509" spans="1:6" x14ac:dyDescent="0.25">
      <c r="A2509" s="37">
        <v>27533</v>
      </c>
      <c r="B2509" s="39">
        <v>90.580001999999993</v>
      </c>
      <c r="C2509" s="36">
        <f>IF(ISBLANK(B2510), "", GSPC[[#This Row],[Adj Close]]/B2510-1)</f>
        <v>1.6587636846177034E-3</v>
      </c>
      <c r="D250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0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09" s="11" t="e">
        <f>IF(ISBLANK(GSPC[[#This Row],[Long Exp.]]), "", (GSPC[[#This Row],[Long Exp.]]/D2510-1)+(E2510/GSPC[[#This Row],[Short Exp.]]-1))</f>
        <v>#VALUE!</v>
      </c>
    </row>
    <row r="2510" spans="1:6" x14ac:dyDescent="0.25">
      <c r="A2510" s="37">
        <v>27526</v>
      </c>
      <c r="B2510" s="39">
        <v>90.43</v>
      </c>
      <c r="C2510" s="36">
        <f>IF(ISBLANK(B2511), "", GSPC[[#This Row],[Adj Close]]/B2511-1)</f>
        <v>-1.1045951740261684E-3</v>
      </c>
      <c r="D251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1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10" s="11" t="e">
        <f>IF(ISBLANK(GSPC[[#This Row],[Long Exp.]]), "", (GSPC[[#This Row],[Long Exp.]]/D2511-1)+(E2511/GSPC[[#This Row],[Short Exp.]]-1))</f>
        <v>#VALUE!</v>
      </c>
    </row>
    <row r="2511" spans="1:6" x14ac:dyDescent="0.25">
      <c r="A2511" s="37">
        <v>27519</v>
      </c>
      <c r="B2511" s="39">
        <v>90.529999000000004</v>
      </c>
      <c r="C2511" s="36">
        <f>IF(ISBLANK(B2512), "", GSPC[[#This Row],[Adj Close]]/B2512-1)</f>
        <v>1.4682783964550916E-2</v>
      </c>
      <c r="D251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1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11" s="11" t="e">
        <f>IF(ISBLANK(GSPC[[#This Row],[Long Exp.]]), "", (GSPC[[#This Row],[Long Exp.]]/D2512-1)+(E2512/GSPC[[#This Row],[Short Exp.]]-1))</f>
        <v>#VALUE!</v>
      </c>
    </row>
    <row r="2512" spans="1:6" x14ac:dyDescent="0.25">
      <c r="A2512" s="37">
        <v>27512</v>
      </c>
      <c r="B2512" s="39">
        <v>89.220000999999996</v>
      </c>
      <c r="C2512" s="36">
        <f>IF(ISBLANK(B2513), "", GSPC[[#This Row],[Adj Close]]/B2513-1)</f>
        <v>3.0016138420129179E-2</v>
      </c>
      <c r="D251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1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12" s="11" t="e">
        <f>IF(ISBLANK(GSPC[[#This Row],[Long Exp.]]), "", (GSPC[[#This Row],[Long Exp.]]/D2513-1)+(E2513/GSPC[[#This Row],[Short Exp.]]-1))</f>
        <v>#VALUE!</v>
      </c>
    </row>
    <row r="2513" spans="1:6" x14ac:dyDescent="0.25">
      <c r="A2513" s="37">
        <v>27505</v>
      </c>
      <c r="B2513" s="39">
        <v>86.620002999999997</v>
      </c>
      <c r="C2513" s="36">
        <f>IF(ISBLANK(B2514), "", GSPC[[#This Row],[Adj Close]]/B2514-1)</f>
        <v>3.7079952361067647E-3</v>
      </c>
      <c r="D251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1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13" s="11" t="e">
        <f>IF(ISBLANK(GSPC[[#This Row],[Long Exp.]]), "", (GSPC[[#This Row],[Long Exp.]]/D2514-1)+(E2514/GSPC[[#This Row],[Short Exp.]]-1))</f>
        <v>#VALUE!</v>
      </c>
    </row>
    <row r="2514" spans="1:6" x14ac:dyDescent="0.25">
      <c r="A2514" s="37">
        <v>27498</v>
      </c>
      <c r="B2514" s="39">
        <v>86.300003000000004</v>
      </c>
      <c r="C2514" s="36">
        <f>IF(ISBLANK(B2515), "", GSPC[[#This Row],[Adj Close]]/B2515-1)</f>
        <v>2.5184164884770599E-2</v>
      </c>
      <c r="D251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1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14" s="11" t="e">
        <f>IF(ISBLANK(GSPC[[#This Row],[Long Exp.]]), "", (GSPC[[#This Row],[Long Exp.]]/D2515-1)+(E2515/GSPC[[#This Row],[Short Exp.]]-1))</f>
        <v>#VALUE!</v>
      </c>
    </row>
    <row r="2515" spans="1:6" x14ac:dyDescent="0.25">
      <c r="A2515" s="37">
        <v>27491</v>
      </c>
      <c r="B2515" s="39">
        <v>84.18</v>
      </c>
      <c r="C2515" s="36">
        <f>IF(ISBLANK(B2516), "", GSPC[[#This Row],[Adj Close]]/B2516-1)</f>
        <v>4.0801225549006892E-2</v>
      </c>
      <c r="D251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1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15" s="11" t="e">
        <f>IF(ISBLANK(GSPC[[#This Row],[Long Exp.]]), "", (GSPC[[#This Row],[Long Exp.]]/D2516-1)+(E2516/GSPC[[#This Row],[Short Exp.]]-1))</f>
        <v>#VALUE!</v>
      </c>
    </row>
    <row r="2516" spans="1:6" x14ac:dyDescent="0.25">
      <c r="A2516" s="37">
        <v>27484</v>
      </c>
      <c r="B2516" s="39">
        <v>80.879997000000003</v>
      </c>
      <c r="C2516" s="36">
        <f>IF(ISBLANK(B2517), "", GSPC[[#This Row],[Adj Close]]/B2517-1)</f>
        <v>-3.5420406330838539E-2</v>
      </c>
      <c r="D251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1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16" s="11" t="e">
        <f>IF(ISBLANK(GSPC[[#This Row],[Long Exp.]]), "", (GSPC[[#This Row],[Long Exp.]]/D2517-1)+(E2517/GSPC[[#This Row],[Short Exp.]]-1))</f>
        <v>#VALUE!</v>
      </c>
    </row>
    <row r="2517" spans="1:6" x14ac:dyDescent="0.25">
      <c r="A2517" s="37">
        <v>27477</v>
      </c>
      <c r="B2517" s="39">
        <v>83.849997999999999</v>
      </c>
      <c r="C2517" s="36">
        <f>IF(ISBLANK(B2518), "", GSPC[[#This Row],[Adj Close]]/B2518-1)</f>
        <v>5.5162370250176895E-3</v>
      </c>
      <c r="D251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1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17" s="11" t="e">
        <f>IF(ISBLANK(GSPC[[#This Row],[Long Exp.]]), "", (GSPC[[#This Row],[Long Exp.]]/D2518-1)+(E2518/GSPC[[#This Row],[Short Exp.]]-1))</f>
        <v>#VALUE!</v>
      </c>
    </row>
    <row r="2518" spans="1:6" x14ac:dyDescent="0.25">
      <c r="A2518" s="37">
        <v>27470</v>
      </c>
      <c r="B2518" s="39">
        <v>83.389999000000003</v>
      </c>
      <c r="C2518" s="36">
        <f>IF(ISBLANK(B2519), "", GSPC[[#This Row],[Adj Close]]/B2519-1)</f>
        <v>-1.6163319580856039E-2</v>
      </c>
      <c r="D251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1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18" s="11" t="e">
        <f>IF(ISBLANK(GSPC[[#This Row],[Long Exp.]]), "", (GSPC[[#This Row],[Long Exp.]]/D2519-1)+(E2519/GSPC[[#This Row],[Short Exp.]]-1))</f>
        <v>#VALUE!</v>
      </c>
    </row>
    <row r="2519" spans="1:6" x14ac:dyDescent="0.25">
      <c r="A2519" s="37">
        <v>27463</v>
      </c>
      <c r="B2519" s="39">
        <v>84.760002</v>
      </c>
      <c r="C2519" s="36">
        <f>IF(ISBLANK(B2520), "", GSPC[[#This Row],[Adj Close]]/B2520-1)</f>
        <v>5.4566901972707971E-3</v>
      </c>
      <c r="D251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1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19" s="11" t="e">
        <f>IF(ISBLANK(GSPC[[#This Row],[Long Exp.]]), "", (GSPC[[#This Row],[Long Exp.]]/D2520-1)+(E2520/GSPC[[#This Row],[Short Exp.]]-1))</f>
        <v>#VALUE!</v>
      </c>
    </row>
    <row r="2520" spans="1:6" x14ac:dyDescent="0.25">
      <c r="A2520" s="37">
        <v>27456</v>
      </c>
      <c r="B2520" s="39">
        <v>84.300003000000004</v>
      </c>
      <c r="C2520" s="36">
        <f>IF(ISBLANK(B2521), "", GSPC[[#This Row],[Adj Close]]/B2521-1)</f>
        <v>3.3214942184823792E-2</v>
      </c>
      <c r="D252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2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20" s="11" t="e">
        <f>IF(ISBLANK(GSPC[[#This Row],[Long Exp.]]), "", (GSPC[[#This Row],[Long Exp.]]/D2521-1)+(E2521/GSPC[[#This Row],[Short Exp.]]-1))</f>
        <v>#VALUE!</v>
      </c>
    </row>
    <row r="2521" spans="1:6" x14ac:dyDescent="0.25">
      <c r="A2521" s="37">
        <v>27449</v>
      </c>
      <c r="B2521" s="39">
        <v>81.589995999999999</v>
      </c>
      <c r="C2521" s="36">
        <f>IF(ISBLANK(B2522), "", GSPC[[#This Row],[Adj Close]]/B2522-1)</f>
        <v>-1.2466799353662572E-2</v>
      </c>
      <c r="D252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2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21" s="11" t="e">
        <f>IF(ISBLANK(GSPC[[#This Row],[Long Exp.]]), "", (GSPC[[#This Row],[Long Exp.]]/D2522-1)+(E2522/GSPC[[#This Row],[Short Exp.]]-1))</f>
        <v>#VALUE!</v>
      </c>
    </row>
    <row r="2522" spans="1:6" x14ac:dyDescent="0.25">
      <c r="A2522" s="37">
        <v>27442</v>
      </c>
      <c r="B2522" s="39">
        <v>82.620002999999997</v>
      </c>
      <c r="C2522" s="36">
        <f>IF(ISBLANK(B2523), "", GSPC[[#This Row],[Adj Close]]/B2523-1)</f>
        <v>1.374236809815943E-2</v>
      </c>
      <c r="D252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2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22" s="11" t="e">
        <f>IF(ISBLANK(GSPC[[#This Row],[Long Exp.]]), "", (GSPC[[#This Row],[Long Exp.]]/D2523-1)+(E2523/GSPC[[#This Row],[Short Exp.]]-1))</f>
        <v>#VALUE!</v>
      </c>
    </row>
    <row r="2523" spans="1:6" x14ac:dyDescent="0.25">
      <c r="A2523" s="37">
        <v>27435</v>
      </c>
      <c r="B2523" s="39">
        <v>81.5</v>
      </c>
      <c r="C2523" s="36">
        <f>IF(ISBLANK(B2524), "", GSPC[[#This Row],[Adj Close]]/B2524-1)</f>
        <v>3.6500103134939677E-2</v>
      </c>
      <c r="D252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2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23" s="11" t="e">
        <f>IF(ISBLANK(GSPC[[#This Row],[Long Exp.]]), "", (GSPC[[#This Row],[Long Exp.]]/D2524-1)+(E2524/GSPC[[#This Row],[Short Exp.]]-1))</f>
        <v>#VALUE!</v>
      </c>
    </row>
    <row r="2524" spans="1:6" x14ac:dyDescent="0.25">
      <c r="A2524" s="37">
        <v>27428</v>
      </c>
      <c r="B2524" s="39">
        <v>78.629997000000003</v>
      </c>
      <c r="C2524" s="36">
        <f>IF(ISBLANK(B2525), "", GSPC[[#This Row],[Adj Close]]/B2525-1)</f>
        <v>2.1434059959701601E-2</v>
      </c>
      <c r="D252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2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24" s="11" t="e">
        <f>IF(ISBLANK(GSPC[[#This Row],[Long Exp.]]), "", (GSPC[[#This Row],[Long Exp.]]/D2525-1)+(E2525/GSPC[[#This Row],[Short Exp.]]-1))</f>
        <v>#VALUE!</v>
      </c>
    </row>
    <row r="2525" spans="1:6" x14ac:dyDescent="0.25">
      <c r="A2525" s="37">
        <v>27421</v>
      </c>
      <c r="B2525" s="39">
        <v>76.980002999999996</v>
      </c>
      <c r="C2525" s="36">
        <f>IF(ISBLANK(B2526), "", GSPC[[#This Row],[Adj Close]]/B2526-1)</f>
        <v>5.4809534606349741E-2</v>
      </c>
      <c r="D252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2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25" s="11" t="e">
        <f>IF(ISBLANK(GSPC[[#This Row],[Long Exp.]]), "", (GSPC[[#This Row],[Long Exp.]]/D2526-1)+(E2526/GSPC[[#This Row],[Short Exp.]]-1))</f>
        <v>#VALUE!</v>
      </c>
    </row>
    <row r="2526" spans="1:6" x14ac:dyDescent="0.25">
      <c r="A2526" s="37">
        <v>27414</v>
      </c>
      <c r="B2526" s="39">
        <v>72.980002999999996</v>
      </c>
      <c r="C2526" s="36">
        <f>IF(ISBLANK(B2527), "", GSPC[[#This Row],[Adj Close]]/B2527-1)</f>
        <v>2.8466798597333698E-2</v>
      </c>
      <c r="D252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2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26" s="11" t="e">
        <f>IF(ISBLANK(GSPC[[#This Row],[Long Exp.]]), "", (GSPC[[#This Row],[Long Exp.]]/D2527-1)+(E2527/GSPC[[#This Row],[Short Exp.]]-1))</f>
        <v>#VALUE!</v>
      </c>
    </row>
    <row r="2527" spans="1:6" x14ac:dyDescent="0.25">
      <c r="A2527" s="37">
        <v>27407</v>
      </c>
      <c r="B2527" s="39">
        <v>70.959998999999996</v>
      </c>
      <c r="C2527" s="36">
        <f>IF(ISBLANK(B2528), "", GSPC[[#This Row],[Adj Close]]/B2528-1)</f>
        <v>-2.2724169911525038E-2</v>
      </c>
      <c r="D252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2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27" s="11" t="e">
        <f>IF(ISBLANK(GSPC[[#This Row],[Long Exp.]]), "", (GSPC[[#This Row],[Long Exp.]]/D2528-1)+(E2528/GSPC[[#This Row],[Short Exp.]]-1))</f>
        <v>#VALUE!</v>
      </c>
    </row>
    <row r="2528" spans="1:6" x14ac:dyDescent="0.25">
      <c r="A2528" s="37">
        <v>27400</v>
      </c>
      <c r="B2528" s="39">
        <v>72.610000999999997</v>
      </c>
      <c r="C2528" s="36">
        <f>IF(ISBLANK(B2529), "", GSPC[[#This Row],[Adj Close]]/B2529-1)</f>
        <v>2.6870344037199123E-2</v>
      </c>
      <c r="D252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2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28" s="11" t="e">
        <f>IF(ISBLANK(GSPC[[#This Row],[Long Exp.]]), "", (GSPC[[#This Row],[Long Exp.]]/D2529-1)+(E2529/GSPC[[#This Row],[Short Exp.]]-1))</f>
        <v>#VALUE!</v>
      </c>
    </row>
    <row r="2529" spans="1:6" x14ac:dyDescent="0.25">
      <c r="A2529" s="37">
        <v>27393</v>
      </c>
      <c r="B2529" s="39">
        <v>70.709998999999996</v>
      </c>
      <c r="C2529" s="36">
        <f>IF(ISBLANK(B2530), "", GSPC[[#This Row],[Adj Close]]/B2530-1)</f>
        <v>5.3172476216450271E-2</v>
      </c>
      <c r="D252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2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29" s="11" t="e">
        <f>IF(ISBLANK(GSPC[[#This Row],[Long Exp.]]), "", (GSPC[[#This Row],[Long Exp.]]/D2530-1)+(E2530/GSPC[[#This Row],[Short Exp.]]-1))</f>
        <v>#VALUE!</v>
      </c>
    </row>
    <row r="2530" spans="1:6" x14ac:dyDescent="0.25">
      <c r="A2530" s="37">
        <v>27386</v>
      </c>
      <c r="B2530" s="39">
        <v>67.139999000000003</v>
      </c>
      <c r="C2530" s="36">
        <f>IF(ISBLANK(B2531), "", GSPC[[#This Row],[Adj Close]]/B2531-1)</f>
        <v>3.4373783627332788E-3</v>
      </c>
      <c r="D253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3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30" s="11" t="e">
        <f>IF(ISBLANK(GSPC[[#This Row],[Long Exp.]]), "", (GSPC[[#This Row],[Long Exp.]]/D2531-1)+(E2531/GSPC[[#This Row],[Short Exp.]]-1))</f>
        <v>#VALUE!</v>
      </c>
    </row>
    <row r="2531" spans="1:6" x14ac:dyDescent="0.25">
      <c r="A2531" s="37">
        <v>27379</v>
      </c>
      <c r="B2531" s="39">
        <v>66.910004000000001</v>
      </c>
      <c r="C2531" s="36">
        <f>IF(ISBLANK(B2532), "", GSPC[[#This Row],[Adj Close]]/B2532-1)</f>
        <v>-2.3855076785447293E-3</v>
      </c>
      <c r="D253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3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31" s="11" t="e">
        <f>IF(ISBLANK(GSPC[[#This Row],[Long Exp.]]), "", (GSPC[[#This Row],[Long Exp.]]/D2532-1)+(E2532/GSPC[[#This Row],[Short Exp.]]-1))</f>
        <v>#VALUE!</v>
      </c>
    </row>
    <row r="2532" spans="1:6" x14ac:dyDescent="0.25">
      <c r="A2532" s="37">
        <v>27372</v>
      </c>
      <c r="B2532" s="39">
        <v>67.069999999999993</v>
      </c>
      <c r="C2532" s="36">
        <f>IF(ISBLANK(B2533), "", GSPC[[#This Row],[Adj Close]]/B2533-1)</f>
        <v>3.1687400963316348E-2</v>
      </c>
      <c r="D253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3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32" s="11" t="e">
        <f>IF(ISBLANK(GSPC[[#This Row],[Long Exp.]]), "", (GSPC[[#This Row],[Long Exp.]]/D2533-1)+(E2533/GSPC[[#This Row],[Short Exp.]]-1))</f>
        <v>#VALUE!</v>
      </c>
    </row>
    <row r="2533" spans="1:6" x14ac:dyDescent="0.25">
      <c r="A2533" s="37">
        <v>27365</v>
      </c>
      <c r="B2533" s="39">
        <v>65.010002</v>
      </c>
      <c r="C2533" s="36">
        <f>IF(ISBLANK(B2534), "", GSPC[[#This Row],[Adj Close]]/B2534-1)</f>
        <v>-7.0887507919286663E-2</v>
      </c>
      <c r="D253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3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33" s="11" t="e">
        <f>IF(ISBLANK(GSPC[[#This Row],[Long Exp.]]), "", (GSPC[[#This Row],[Long Exp.]]/D2534-1)+(E2534/GSPC[[#This Row],[Short Exp.]]-1))</f>
        <v>#VALUE!</v>
      </c>
    </row>
    <row r="2534" spans="1:6" x14ac:dyDescent="0.25">
      <c r="A2534" s="37">
        <v>27358</v>
      </c>
      <c r="B2534" s="39">
        <v>69.970000999999996</v>
      </c>
      <c r="C2534" s="36">
        <f>IF(ISBLANK(B2535), "", GSPC[[#This Row],[Adj Close]]/B2535-1)</f>
        <v>1.5529738301023555E-2</v>
      </c>
      <c r="D253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3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34" s="11" t="e">
        <f>IF(ISBLANK(GSPC[[#This Row],[Long Exp.]]), "", (GSPC[[#This Row],[Long Exp.]]/D2535-1)+(E2535/GSPC[[#This Row],[Short Exp.]]-1))</f>
        <v>#VALUE!</v>
      </c>
    </row>
    <row r="2535" spans="1:6" x14ac:dyDescent="0.25">
      <c r="A2535" s="37">
        <v>27351</v>
      </c>
      <c r="B2535" s="39">
        <v>68.900002000000001</v>
      </c>
      <c r="C2535" s="36">
        <f>IF(ISBLANK(B2536), "", GSPC[[#This Row],[Adj Close]]/B2536-1)</f>
        <v>-4.1857903387128137E-2</v>
      </c>
      <c r="D253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3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35" s="11" t="e">
        <f>IF(ISBLANK(GSPC[[#This Row],[Long Exp.]]), "", (GSPC[[#This Row],[Long Exp.]]/D2536-1)+(E2536/GSPC[[#This Row],[Short Exp.]]-1))</f>
        <v>#VALUE!</v>
      </c>
    </row>
    <row r="2536" spans="1:6" x14ac:dyDescent="0.25">
      <c r="A2536" s="37">
        <v>27344</v>
      </c>
      <c r="B2536" s="39">
        <v>71.910004000000001</v>
      </c>
      <c r="C2536" s="36">
        <f>IF(ISBLANK(B2537), "", GSPC[[#This Row],[Adj Close]]/B2537-1)</f>
        <v>-4.0048055530740645E-2</v>
      </c>
      <c r="D253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3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36" s="11" t="e">
        <f>IF(ISBLANK(GSPC[[#This Row],[Long Exp.]]), "", (GSPC[[#This Row],[Long Exp.]]/D2537-1)+(E2537/GSPC[[#This Row],[Short Exp.]]-1))</f>
        <v>#VALUE!</v>
      </c>
    </row>
    <row r="2537" spans="1:6" x14ac:dyDescent="0.25">
      <c r="A2537" s="37">
        <v>27337</v>
      </c>
      <c r="B2537" s="39">
        <v>74.910004000000001</v>
      </c>
      <c r="C2537" s="36">
        <f>IF(ISBLANK(B2538), "", GSPC[[#This Row],[Adj Close]]/B2538-1)</f>
        <v>1.3941622114575836E-2</v>
      </c>
      <c r="D253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3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37" s="11" t="e">
        <f>IF(ISBLANK(GSPC[[#This Row],[Long Exp.]]), "", (GSPC[[#This Row],[Long Exp.]]/D2538-1)+(E2538/GSPC[[#This Row],[Short Exp.]]-1))</f>
        <v>#VALUE!</v>
      </c>
    </row>
    <row r="2538" spans="1:6" x14ac:dyDescent="0.25">
      <c r="A2538" s="37">
        <v>27330</v>
      </c>
      <c r="B2538" s="39">
        <v>73.879997000000003</v>
      </c>
      <c r="C2538" s="36">
        <f>IF(ISBLANK(B2539), "", GSPC[[#This Row],[Adj Close]]/B2539-1)</f>
        <v>5.3622273803952902E-2</v>
      </c>
      <c r="D253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3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38" s="11" t="e">
        <f>IF(ISBLANK(GSPC[[#This Row],[Long Exp.]]), "", (GSPC[[#This Row],[Long Exp.]]/D2539-1)+(E2539/GSPC[[#This Row],[Short Exp.]]-1))</f>
        <v>#VALUE!</v>
      </c>
    </row>
    <row r="2539" spans="1:6" x14ac:dyDescent="0.25">
      <c r="A2539" s="37">
        <v>27323</v>
      </c>
      <c r="B2539" s="39">
        <v>70.120002999999997</v>
      </c>
      <c r="C2539" s="36">
        <f>IF(ISBLANK(B2540), "", GSPC[[#This Row],[Adj Close]]/B2540-1)</f>
        <v>-2.9883730352569637E-2</v>
      </c>
      <c r="D253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3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39" s="11" t="e">
        <f>IF(ISBLANK(GSPC[[#This Row],[Long Exp.]]), "", (GSPC[[#This Row],[Long Exp.]]/D2540-1)+(E2540/GSPC[[#This Row],[Short Exp.]]-1))</f>
        <v>#VALUE!</v>
      </c>
    </row>
    <row r="2540" spans="1:6" x14ac:dyDescent="0.25">
      <c r="A2540" s="37">
        <v>27316</v>
      </c>
      <c r="B2540" s="39">
        <v>72.279999000000004</v>
      </c>
      <c r="C2540" s="36">
        <f>IF(ISBLANK(B2541), "", GSPC[[#This Row],[Adj Close]]/B2541-1)</f>
        <v>1.6024740174652052E-2</v>
      </c>
      <c r="D254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4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40" s="11" t="e">
        <f>IF(ISBLANK(GSPC[[#This Row],[Long Exp.]]), "", (GSPC[[#This Row],[Long Exp.]]/D2541-1)+(E2541/GSPC[[#This Row],[Short Exp.]]-1))</f>
        <v>#VALUE!</v>
      </c>
    </row>
    <row r="2541" spans="1:6" x14ac:dyDescent="0.25">
      <c r="A2541" s="37">
        <v>27309</v>
      </c>
      <c r="B2541" s="39">
        <v>71.139999000000003</v>
      </c>
      <c r="C2541" s="36">
        <f>IF(ISBLANK(B2542), "", GSPC[[#This Row],[Adj Close]]/B2542-1)</f>
        <v>0.14116135707410971</v>
      </c>
      <c r="D254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4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41" s="11" t="e">
        <f>IF(ISBLANK(GSPC[[#This Row],[Long Exp.]]), "", (GSPC[[#This Row],[Long Exp.]]/D2542-1)+(E2542/GSPC[[#This Row],[Short Exp.]]-1))</f>
        <v>#VALUE!</v>
      </c>
    </row>
    <row r="2542" spans="1:6" x14ac:dyDescent="0.25">
      <c r="A2542" s="37">
        <v>27302</v>
      </c>
      <c r="B2542" s="39">
        <v>62.34</v>
      </c>
      <c r="C2542" s="36">
        <f>IF(ISBLANK(B2543), "", GSPC[[#This Row],[Adj Close]]/B2543-1)</f>
        <v>-4.0036986755867421E-2</v>
      </c>
      <c r="D254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4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42" s="11" t="e">
        <f>IF(ISBLANK(GSPC[[#This Row],[Long Exp.]]), "", (GSPC[[#This Row],[Long Exp.]]/D2543-1)+(E2543/GSPC[[#This Row],[Short Exp.]]-1))</f>
        <v>#VALUE!</v>
      </c>
    </row>
    <row r="2543" spans="1:6" x14ac:dyDescent="0.25">
      <c r="A2543" s="37">
        <v>27295</v>
      </c>
      <c r="B2543" s="39">
        <v>64.940002000000007</v>
      </c>
      <c r="C2543" s="36">
        <f>IF(ISBLANK(B2544), "", GSPC[[#This Row],[Adj Close]]/B2544-1)</f>
        <v>-7.4137397692292439E-2</v>
      </c>
      <c r="D254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4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43" s="11" t="e">
        <f>IF(ISBLANK(GSPC[[#This Row],[Long Exp.]]), "", (GSPC[[#This Row],[Long Exp.]]/D2544-1)+(E2544/GSPC[[#This Row],[Short Exp.]]-1))</f>
        <v>#VALUE!</v>
      </c>
    </row>
    <row r="2544" spans="1:6" x14ac:dyDescent="0.25">
      <c r="A2544" s="37">
        <v>27288</v>
      </c>
      <c r="B2544" s="39">
        <v>70.139999000000003</v>
      </c>
      <c r="C2544" s="36">
        <f>IF(ISBLANK(B2545), "", GSPC[[#This Row],[Adj Close]]/B2545-1)</f>
        <v>7.5766905326698275E-2</v>
      </c>
      <c r="D254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4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44" s="11" t="e">
        <f>IF(ISBLANK(GSPC[[#This Row],[Long Exp.]]), "", (GSPC[[#This Row],[Long Exp.]]/D2545-1)+(E2545/GSPC[[#This Row],[Short Exp.]]-1))</f>
        <v>#VALUE!</v>
      </c>
    </row>
    <row r="2545" spans="1:6" x14ac:dyDescent="0.25">
      <c r="A2545" s="37">
        <v>27281</v>
      </c>
      <c r="B2545" s="39">
        <v>65.199996999999996</v>
      </c>
      <c r="C2545" s="36">
        <f>IF(ISBLANK(B2546), "", GSPC[[#This Row],[Adj Close]]/B2546-1)</f>
        <v>-8.7090467294608565E-2</v>
      </c>
      <c r="D254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4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45" s="11" t="e">
        <f>IF(ISBLANK(GSPC[[#This Row],[Long Exp.]]), "", (GSPC[[#This Row],[Long Exp.]]/D2546-1)+(E2546/GSPC[[#This Row],[Short Exp.]]-1))</f>
        <v>#VALUE!</v>
      </c>
    </row>
    <row r="2546" spans="1:6" x14ac:dyDescent="0.25">
      <c r="A2546" s="37">
        <v>27274</v>
      </c>
      <c r="B2546" s="39">
        <v>71.419998000000007</v>
      </c>
      <c r="C2546" s="36">
        <f>IF(ISBLANK(B2547), "", GSPC[[#This Row],[Adj Close]]/B2547-1)</f>
        <v>-1.0117865277397997E-2</v>
      </c>
      <c r="D254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4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46" s="11" t="e">
        <f>IF(ISBLANK(GSPC[[#This Row],[Long Exp.]]), "", (GSPC[[#This Row],[Long Exp.]]/D2547-1)+(E2547/GSPC[[#This Row],[Short Exp.]]-1))</f>
        <v>#VALUE!</v>
      </c>
    </row>
    <row r="2547" spans="1:6" x14ac:dyDescent="0.25">
      <c r="A2547" s="37">
        <v>27267</v>
      </c>
      <c r="B2547" s="39">
        <v>72.150002000000001</v>
      </c>
      <c r="C2547" s="36">
        <f>IF(ISBLANK(B2548), "", GSPC[[#This Row],[Adj Close]]/B2548-1)</f>
        <v>8.3857299069574065E-3</v>
      </c>
      <c r="D254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4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47" s="11" t="e">
        <f>IF(ISBLANK(GSPC[[#This Row],[Long Exp.]]), "", (GSPC[[#This Row],[Long Exp.]]/D2548-1)+(E2548/GSPC[[#This Row],[Short Exp.]]-1))</f>
        <v>#VALUE!</v>
      </c>
    </row>
    <row r="2548" spans="1:6" x14ac:dyDescent="0.25">
      <c r="A2548" s="37">
        <v>27260</v>
      </c>
      <c r="B2548" s="39">
        <v>71.550003000000004</v>
      </c>
      <c r="C2548" s="36">
        <f>IF(ISBLANK(B2549), "", GSPC[[#This Row],[Adj Close]]/B2549-1)</f>
        <v>-5.4446876026083668E-2</v>
      </c>
      <c r="D254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4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48" s="11" t="e">
        <f>IF(ISBLANK(GSPC[[#This Row],[Long Exp.]]), "", (GSPC[[#This Row],[Long Exp.]]/D2549-1)+(E2549/GSPC[[#This Row],[Short Exp.]]-1))</f>
        <v>#VALUE!</v>
      </c>
    </row>
    <row r="2549" spans="1:6" x14ac:dyDescent="0.25">
      <c r="A2549" s="37">
        <v>27253</v>
      </c>
      <c r="B2549" s="39">
        <v>75.669998000000007</v>
      </c>
      <c r="C2549" s="36">
        <f>IF(ISBLANK(B2550), "", GSPC[[#This Row],[Adj Close]]/B2550-1)</f>
        <v>-6.4185047437731124E-2</v>
      </c>
      <c r="D254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4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49" s="11" t="e">
        <f>IF(ISBLANK(GSPC[[#This Row],[Long Exp.]]), "", (GSPC[[#This Row],[Long Exp.]]/D2550-1)+(E2550/GSPC[[#This Row],[Short Exp.]]-1))</f>
        <v>#VALUE!</v>
      </c>
    </row>
    <row r="2550" spans="1:6" x14ac:dyDescent="0.25">
      <c r="A2550" s="37">
        <v>27246</v>
      </c>
      <c r="B2550" s="39">
        <v>80.860000999999997</v>
      </c>
      <c r="C2550" s="36">
        <f>IF(ISBLANK(B2551), "", GSPC[[#This Row],[Adj Close]]/B2551-1)</f>
        <v>2.8884147035711738E-2</v>
      </c>
      <c r="D255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5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50" s="11" t="e">
        <f>IF(ISBLANK(GSPC[[#This Row],[Long Exp.]]), "", (GSPC[[#This Row],[Long Exp.]]/D2551-1)+(E2551/GSPC[[#This Row],[Short Exp.]]-1))</f>
        <v>#VALUE!</v>
      </c>
    </row>
    <row r="2551" spans="1:6" x14ac:dyDescent="0.25">
      <c r="A2551" s="37">
        <v>27239</v>
      </c>
      <c r="B2551" s="39">
        <v>78.589995999999999</v>
      </c>
      <c r="C2551" s="36">
        <f>IF(ISBLANK(B2552), "", GSPC[[#This Row],[Adj Close]]/B2552-1)</f>
        <v>-4.6237935770923944E-2</v>
      </c>
      <c r="D255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5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51" s="11" t="e">
        <f>IF(ISBLANK(GSPC[[#This Row],[Long Exp.]]), "", (GSPC[[#This Row],[Long Exp.]]/D2552-1)+(E2552/GSPC[[#This Row],[Short Exp.]]-1))</f>
        <v>#VALUE!</v>
      </c>
    </row>
    <row r="2552" spans="1:6" x14ac:dyDescent="0.25">
      <c r="A2552" s="37">
        <v>27232</v>
      </c>
      <c r="B2552" s="39">
        <v>82.400002000000001</v>
      </c>
      <c r="C2552" s="36">
        <f>IF(ISBLANK(B2553), "", GSPC[[#This Row],[Adj Close]]/B2553-1)</f>
        <v>-1.3646145395664999E-2</v>
      </c>
      <c r="D255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5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52" s="11" t="e">
        <f>IF(ISBLANK(GSPC[[#This Row],[Long Exp.]]), "", (GSPC[[#This Row],[Long Exp.]]/D2553-1)+(E2553/GSPC[[#This Row],[Short Exp.]]-1))</f>
        <v>#VALUE!</v>
      </c>
    </row>
    <row r="2553" spans="1:6" x14ac:dyDescent="0.25">
      <c r="A2553" s="37">
        <v>27225</v>
      </c>
      <c r="B2553" s="39">
        <v>83.540001000000004</v>
      </c>
      <c r="C2553" s="36">
        <f>IF(ISBLANK(B2554), "", GSPC[[#This Row],[Adj Close]]/B2554-1)</f>
        <v>4.6903065618688622E-3</v>
      </c>
      <c r="D255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5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53" s="11" t="e">
        <f>IF(ISBLANK(GSPC[[#This Row],[Long Exp.]]), "", (GSPC[[#This Row],[Long Exp.]]/D2554-1)+(E2554/GSPC[[#This Row],[Short Exp.]]-1))</f>
        <v>#VALUE!</v>
      </c>
    </row>
    <row r="2554" spans="1:6" x14ac:dyDescent="0.25">
      <c r="A2554" s="37">
        <v>27218</v>
      </c>
      <c r="B2554" s="39">
        <v>83.150002000000001</v>
      </c>
      <c r="C2554" s="36">
        <f>IF(ISBLANK(B2555), "", GSPC[[#This Row],[Adj Close]]/B2555-1)</f>
        <v>-6.0961268899771826E-3</v>
      </c>
      <c r="D255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5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54" s="11" t="e">
        <f>IF(ISBLANK(GSPC[[#This Row],[Long Exp.]]), "", (GSPC[[#This Row],[Long Exp.]]/D2555-1)+(E2555/GSPC[[#This Row],[Short Exp.]]-1))</f>
        <v>#VALUE!</v>
      </c>
    </row>
    <row r="2555" spans="1:6" x14ac:dyDescent="0.25">
      <c r="A2555" s="37">
        <v>27211</v>
      </c>
      <c r="B2555" s="39">
        <v>83.660004000000001</v>
      </c>
      <c r="C2555" s="36">
        <f>IF(ISBLANK(B2556), "", GSPC[[#This Row],[Adj Close]]/B2556-1)</f>
        <v>-2.7209255813953503E-2</v>
      </c>
      <c r="D255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5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55" s="11" t="e">
        <f>IF(ISBLANK(GSPC[[#This Row],[Long Exp.]]), "", (GSPC[[#This Row],[Long Exp.]]/D2556-1)+(E2556/GSPC[[#This Row],[Short Exp.]]-1))</f>
        <v>#VALUE!</v>
      </c>
    </row>
    <row r="2556" spans="1:6" x14ac:dyDescent="0.25">
      <c r="A2556" s="37">
        <v>27204</v>
      </c>
      <c r="B2556" s="39">
        <v>86</v>
      </c>
      <c r="C2556" s="36">
        <f>IF(ISBLANK(B2557), "", GSPC[[#This Row],[Adj Close]]/B2557-1)</f>
        <v>-1.6693334286454697E-2</v>
      </c>
      <c r="D255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5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56" s="11" t="e">
        <f>IF(ISBLANK(GSPC[[#This Row],[Long Exp.]]), "", (GSPC[[#This Row],[Long Exp.]]/D2557-1)+(E2557/GSPC[[#This Row],[Short Exp.]]-1))</f>
        <v>#VALUE!</v>
      </c>
    </row>
    <row r="2557" spans="1:6" x14ac:dyDescent="0.25">
      <c r="A2557" s="37">
        <v>27197</v>
      </c>
      <c r="B2557" s="39">
        <v>87.459998999999996</v>
      </c>
      <c r="C2557" s="36">
        <f>IF(ISBLANK(B2558), "", GSPC[[#This Row],[Adj Close]]/B2558-1)</f>
        <v>-4.2059188103203082E-2</v>
      </c>
      <c r="D255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5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57" s="11" t="e">
        <f>IF(ISBLANK(GSPC[[#This Row],[Long Exp.]]), "", (GSPC[[#This Row],[Long Exp.]]/D2558-1)+(E2558/GSPC[[#This Row],[Short Exp.]]-1))</f>
        <v>#VALUE!</v>
      </c>
    </row>
    <row r="2558" spans="1:6" x14ac:dyDescent="0.25">
      <c r="A2558" s="37">
        <v>27190</v>
      </c>
      <c r="B2558" s="39">
        <v>91.300003000000004</v>
      </c>
      <c r="C2558" s="36">
        <f>IF(ISBLANK(B2559), "", GSPC[[#This Row],[Adj Close]]/B2559-1)</f>
        <v>-1.3506212420111963E-2</v>
      </c>
      <c r="D255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5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58" s="11" t="e">
        <f>IF(ISBLANK(GSPC[[#This Row],[Long Exp.]]), "", (GSPC[[#This Row],[Long Exp.]]/D2559-1)+(E2559/GSPC[[#This Row],[Short Exp.]]-1))</f>
        <v>#VALUE!</v>
      </c>
    </row>
    <row r="2559" spans="1:6" x14ac:dyDescent="0.25">
      <c r="A2559" s="37">
        <v>27183</v>
      </c>
      <c r="B2559" s="39">
        <v>92.550003000000004</v>
      </c>
      <c r="C2559" s="36">
        <f>IF(ISBLANK(B2560), "", GSPC[[#This Row],[Adj Close]]/B2560-1)</f>
        <v>6.0380431489235109E-2</v>
      </c>
      <c r="D255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5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59" s="11" t="e">
        <f>IF(ISBLANK(GSPC[[#This Row],[Long Exp.]]), "", (GSPC[[#This Row],[Long Exp.]]/D2560-1)+(E2560/GSPC[[#This Row],[Short Exp.]]-1))</f>
        <v>#VALUE!</v>
      </c>
    </row>
    <row r="2560" spans="1:6" x14ac:dyDescent="0.25">
      <c r="A2560" s="37">
        <v>27176</v>
      </c>
      <c r="B2560" s="39">
        <v>87.279999000000004</v>
      </c>
      <c r="C2560" s="36">
        <f>IF(ISBLANK(B2561), "", GSPC[[#This Row],[Adj Close]]/B2561-1)</f>
        <v>-1.4676032633189506E-2</v>
      </c>
      <c r="D256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6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60" s="11" t="e">
        <f>IF(ISBLANK(GSPC[[#This Row],[Long Exp.]]), "", (GSPC[[#This Row],[Long Exp.]]/D2561-1)+(E2561/GSPC[[#This Row],[Short Exp.]]-1))</f>
        <v>#VALUE!</v>
      </c>
    </row>
    <row r="2561" spans="1:6" x14ac:dyDescent="0.25">
      <c r="A2561" s="37">
        <v>27169</v>
      </c>
      <c r="B2561" s="39">
        <v>88.580001999999993</v>
      </c>
      <c r="C2561" s="36">
        <f>IF(ISBLANK(B2562), "", GSPC[[#This Row],[Adj Close]]/B2562-1)</f>
        <v>4.1945698242213947E-3</v>
      </c>
      <c r="D256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6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61" s="11" t="e">
        <f>IF(ISBLANK(GSPC[[#This Row],[Long Exp.]]), "", (GSPC[[#This Row],[Long Exp.]]/D2562-1)+(E2562/GSPC[[#This Row],[Short Exp.]]-1))</f>
        <v>#VALUE!</v>
      </c>
    </row>
    <row r="2562" spans="1:6" x14ac:dyDescent="0.25">
      <c r="A2562" s="37">
        <v>27162</v>
      </c>
      <c r="B2562" s="39">
        <v>88.209998999999996</v>
      </c>
      <c r="C2562" s="36">
        <f>IF(ISBLANK(B2563), "", GSPC[[#This Row],[Adj Close]]/B2563-1)</f>
        <v>-3.5640122054880097E-2</v>
      </c>
      <c r="D256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6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62" s="11" t="e">
        <f>IF(ISBLANK(GSPC[[#This Row],[Long Exp.]]), "", (GSPC[[#This Row],[Long Exp.]]/D2563-1)+(E2563/GSPC[[#This Row],[Short Exp.]]-1))</f>
        <v>#VALUE!</v>
      </c>
    </row>
    <row r="2563" spans="1:6" x14ac:dyDescent="0.25">
      <c r="A2563" s="37">
        <v>27155</v>
      </c>
      <c r="B2563" s="39">
        <v>91.470000999999996</v>
      </c>
      <c r="C2563" s="36">
        <f>IF(ISBLANK(B2564), "", GSPC[[#This Row],[Adj Close]]/B2564-1)</f>
        <v>1.971738394438205E-3</v>
      </c>
      <c r="D256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6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63" s="11" t="e">
        <f>IF(ISBLANK(GSPC[[#This Row],[Long Exp.]]), "", (GSPC[[#This Row],[Long Exp.]]/D2564-1)+(E2564/GSPC[[#This Row],[Short Exp.]]-1))</f>
        <v>#VALUE!</v>
      </c>
    </row>
    <row r="2564" spans="1:6" x14ac:dyDescent="0.25">
      <c r="A2564" s="37">
        <v>27148</v>
      </c>
      <c r="B2564" s="39">
        <v>91.290001000000004</v>
      </c>
      <c r="C2564" s="36">
        <f>IF(ISBLANK(B2565), "", GSPC[[#This Row],[Adj Close]]/B2565-1)</f>
        <v>1.2308726990463592E-2</v>
      </c>
      <c r="D256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6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64" s="11" t="e">
        <f>IF(ISBLANK(GSPC[[#This Row],[Long Exp.]]), "", (GSPC[[#This Row],[Long Exp.]]/D2565-1)+(E2565/GSPC[[#This Row],[Short Exp.]]-1))</f>
        <v>#VALUE!</v>
      </c>
    </row>
    <row r="2565" spans="1:6" x14ac:dyDescent="0.25">
      <c r="A2565" s="37">
        <v>27141</v>
      </c>
      <c r="B2565" s="39">
        <v>90.18</v>
      </c>
      <c r="C2565" s="36">
        <f>IF(ISBLANK(B2566), "", GSPC[[#This Row],[Adj Close]]/B2566-1)</f>
        <v>-3.8079999999999892E-2</v>
      </c>
      <c r="D256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6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65" s="11" t="e">
        <f>IF(ISBLANK(GSPC[[#This Row],[Long Exp.]]), "", (GSPC[[#This Row],[Long Exp.]]/D2566-1)+(E2566/GSPC[[#This Row],[Short Exp.]]-1))</f>
        <v>#VALUE!</v>
      </c>
    </row>
    <row r="2566" spans="1:6" x14ac:dyDescent="0.25">
      <c r="A2566" s="37">
        <v>27134</v>
      </c>
      <c r="B2566" s="39">
        <v>93.75</v>
      </c>
      <c r="C2566" s="36">
        <f>IF(ISBLANK(B2567), "", GSPC[[#This Row],[Adj Close]]/B2567-1)</f>
        <v>1.7694278624806437E-2</v>
      </c>
      <c r="D256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6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66" s="11" t="e">
        <f>IF(ISBLANK(GSPC[[#This Row],[Long Exp.]]), "", (GSPC[[#This Row],[Long Exp.]]/D2567-1)+(E2567/GSPC[[#This Row],[Short Exp.]]-1))</f>
        <v>#VALUE!</v>
      </c>
    </row>
    <row r="2567" spans="1:6" x14ac:dyDescent="0.25">
      <c r="A2567" s="37">
        <v>27127</v>
      </c>
      <c r="B2567" s="39">
        <v>92.120002999999997</v>
      </c>
      <c r="C2567" s="36">
        <f>IF(ISBLANK(B2568), "", GSPC[[#This Row],[Adj Close]]/B2568-1)</f>
        <v>-9.5688526057660095E-3</v>
      </c>
      <c r="D256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6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67" s="11" t="e">
        <f>IF(ISBLANK(GSPC[[#This Row],[Long Exp.]]), "", (GSPC[[#This Row],[Long Exp.]]/D2568-1)+(E2568/GSPC[[#This Row],[Short Exp.]]-1))</f>
        <v>#VALUE!</v>
      </c>
    </row>
    <row r="2568" spans="1:6" x14ac:dyDescent="0.25">
      <c r="A2568" s="37">
        <v>27120</v>
      </c>
      <c r="B2568" s="39">
        <v>93.010002</v>
      </c>
      <c r="C2568" s="36">
        <f>IF(ISBLANK(B2569), "", GSPC[[#This Row],[Adj Close]]/B2569-1)</f>
        <v>-1.0321355278100963E-2</v>
      </c>
      <c r="D256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6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68" s="11" t="e">
        <f>IF(ISBLANK(GSPC[[#This Row],[Long Exp.]]), "", (GSPC[[#This Row],[Long Exp.]]/D2569-1)+(E2569/GSPC[[#This Row],[Short Exp.]]-1))</f>
        <v>#VALUE!</v>
      </c>
    </row>
    <row r="2569" spans="1:6" x14ac:dyDescent="0.25">
      <c r="A2569" s="37">
        <v>27113</v>
      </c>
      <c r="B2569" s="39">
        <v>93.980002999999996</v>
      </c>
      <c r="C2569" s="36">
        <f>IF(ISBLANK(B2570), "", GSPC[[#This Row],[Adj Close]]/B2570-1)</f>
        <v>-3.3823317584763646E-2</v>
      </c>
      <c r="D256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6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69" s="11" t="e">
        <f>IF(ISBLANK(GSPC[[#This Row],[Long Exp.]]), "", (GSPC[[#This Row],[Long Exp.]]/D2570-1)+(E2570/GSPC[[#This Row],[Short Exp.]]-1))</f>
        <v>#VALUE!</v>
      </c>
    </row>
    <row r="2570" spans="1:6" x14ac:dyDescent="0.25">
      <c r="A2570" s="37">
        <v>27106</v>
      </c>
      <c r="B2570" s="39">
        <v>97.269997000000004</v>
      </c>
      <c r="C2570" s="36">
        <f>IF(ISBLANK(B2571), "", GSPC[[#This Row],[Adj Close]]/B2571-1)</f>
        <v>-2.0245789889663524E-2</v>
      </c>
      <c r="D257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7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70" s="11" t="e">
        <f>IF(ISBLANK(GSPC[[#This Row],[Long Exp.]]), "", (GSPC[[#This Row],[Long Exp.]]/D2571-1)+(E2571/GSPC[[#This Row],[Short Exp.]]-1))</f>
        <v>#VALUE!</v>
      </c>
    </row>
    <row r="2571" spans="1:6" x14ac:dyDescent="0.25">
      <c r="A2571" s="37">
        <v>27099</v>
      </c>
      <c r="B2571" s="39">
        <v>99.279999000000004</v>
      </c>
      <c r="C2571" s="36">
        <f>IF(ISBLANK(B2572), "", GSPC[[#This Row],[Adj Close]]/B2572-1)</f>
        <v>1.5340560598696706E-2</v>
      </c>
      <c r="D257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7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71" s="11" t="e">
        <f>IF(ISBLANK(GSPC[[#This Row],[Long Exp.]]), "", (GSPC[[#This Row],[Long Exp.]]/D2572-1)+(E2572/GSPC[[#This Row],[Short Exp.]]-1))</f>
        <v>#VALUE!</v>
      </c>
    </row>
    <row r="2572" spans="1:6" x14ac:dyDescent="0.25">
      <c r="A2572" s="37">
        <v>27092</v>
      </c>
      <c r="B2572" s="39">
        <v>97.779999000000004</v>
      </c>
      <c r="C2572" s="36">
        <f>IF(ISBLANK(B2573), "", GSPC[[#This Row],[Adj Close]]/B2573-1)</f>
        <v>2.355281088195138E-2</v>
      </c>
      <c r="D257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7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72" s="11" t="e">
        <f>IF(ISBLANK(GSPC[[#This Row],[Long Exp.]]), "", (GSPC[[#This Row],[Long Exp.]]/D2573-1)+(E2573/GSPC[[#This Row],[Short Exp.]]-1))</f>
        <v>#VALUE!</v>
      </c>
    </row>
    <row r="2573" spans="1:6" x14ac:dyDescent="0.25">
      <c r="A2573" s="37">
        <v>27085</v>
      </c>
      <c r="B2573" s="39">
        <v>95.529999000000004</v>
      </c>
      <c r="C2573" s="36">
        <f>IF(ISBLANK(B2574), "", GSPC[[#This Row],[Adj Close]]/B2574-1)</f>
        <v>1.467659099147367E-3</v>
      </c>
      <c r="D257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7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73" s="11" t="e">
        <f>IF(ISBLANK(GSPC[[#This Row],[Long Exp.]]), "", (GSPC[[#This Row],[Long Exp.]]/D2574-1)+(E2574/GSPC[[#This Row],[Short Exp.]]-1))</f>
        <v>#VALUE!</v>
      </c>
    </row>
    <row r="2574" spans="1:6" x14ac:dyDescent="0.25">
      <c r="A2574" s="37">
        <v>27078</v>
      </c>
      <c r="B2574" s="39">
        <v>95.389999000000003</v>
      </c>
      <c r="C2574" s="36">
        <f>IF(ISBLANK(B2575), "", GSPC[[#This Row],[Adj Close]]/B2575-1)</f>
        <v>3.3813830079565399E-2</v>
      </c>
      <c r="D257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7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74" s="11" t="e">
        <f>IF(ISBLANK(GSPC[[#This Row],[Long Exp.]]), "", (GSPC[[#This Row],[Long Exp.]]/D2575-1)+(E2575/GSPC[[#This Row],[Short Exp.]]-1))</f>
        <v>#VALUE!</v>
      </c>
    </row>
    <row r="2575" spans="1:6" x14ac:dyDescent="0.25">
      <c r="A2575" s="37">
        <v>27071</v>
      </c>
      <c r="B2575" s="39">
        <v>92.269997000000004</v>
      </c>
      <c r="C2575" s="36">
        <f>IF(ISBLANK(B2576), "", GSPC[[#This Row],[Adj Close]]/B2576-1)</f>
        <v>-6.4989709412099916E-4</v>
      </c>
      <c r="D257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7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75" s="11" t="e">
        <f>IF(ISBLANK(GSPC[[#This Row],[Long Exp.]]), "", (GSPC[[#This Row],[Long Exp.]]/D2576-1)+(E2576/GSPC[[#This Row],[Short Exp.]]-1))</f>
        <v>#VALUE!</v>
      </c>
    </row>
    <row r="2576" spans="1:6" x14ac:dyDescent="0.25">
      <c r="A2576" s="37">
        <v>27064</v>
      </c>
      <c r="B2576" s="39">
        <v>92.330001999999993</v>
      </c>
      <c r="C2576" s="36">
        <f>IF(ISBLANK(B2577), "", GSPC[[#This Row],[Adj Close]]/B2577-1)</f>
        <v>-3.136800251783467E-2</v>
      </c>
      <c r="D257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7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76" s="11" t="e">
        <f>IF(ISBLANK(GSPC[[#This Row],[Long Exp.]]), "", (GSPC[[#This Row],[Long Exp.]]/D2577-1)+(E2577/GSPC[[#This Row],[Short Exp.]]-1))</f>
        <v>#VALUE!</v>
      </c>
    </row>
    <row r="2577" spans="1:6" x14ac:dyDescent="0.25">
      <c r="A2577" s="37">
        <v>27057</v>
      </c>
      <c r="B2577" s="39">
        <v>95.32</v>
      </c>
      <c r="C2577" s="36">
        <f>IF(ISBLANK(B2578), "", GSPC[[#This Row],[Adj Close]]/B2578-1)</f>
        <v>-1.3556835772229325E-2</v>
      </c>
      <c r="D257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7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77" s="11" t="e">
        <f>IF(ISBLANK(GSPC[[#This Row],[Long Exp.]]), "", (GSPC[[#This Row],[Long Exp.]]/D2578-1)+(E2578/GSPC[[#This Row],[Short Exp.]]-1))</f>
        <v>#VALUE!</v>
      </c>
    </row>
    <row r="2578" spans="1:6" x14ac:dyDescent="0.25">
      <c r="A2578" s="37">
        <v>27050</v>
      </c>
      <c r="B2578" s="39">
        <v>96.629997000000003</v>
      </c>
      <c r="C2578" s="36">
        <f>IF(ISBLANK(B2579), "", GSPC[[#This Row],[Adj Close]]/B2579-1)</f>
        <v>1.119714339048028E-2</v>
      </c>
      <c r="D257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7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78" s="11" t="e">
        <f>IF(ISBLANK(GSPC[[#This Row],[Long Exp.]]), "", (GSPC[[#This Row],[Long Exp.]]/D2579-1)+(E2579/GSPC[[#This Row],[Short Exp.]]-1))</f>
        <v>#VALUE!</v>
      </c>
    </row>
    <row r="2579" spans="1:6" x14ac:dyDescent="0.25">
      <c r="A2579" s="37">
        <v>27043</v>
      </c>
      <c r="B2579" s="39">
        <v>95.559997999999993</v>
      </c>
      <c r="C2579" s="36">
        <f>IF(ISBLANK(B2580), "", GSPC[[#This Row],[Adj Close]]/B2580-1)</f>
        <v>2.028607643450453E-2</v>
      </c>
      <c r="D257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7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79" s="11" t="e">
        <f>IF(ISBLANK(GSPC[[#This Row],[Long Exp.]]), "", (GSPC[[#This Row],[Long Exp.]]/D2580-1)+(E2580/GSPC[[#This Row],[Short Exp.]]-1))</f>
        <v>#VALUE!</v>
      </c>
    </row>
    <row r="2580" spans="1:6" x14ac:dyDescent="0.25">
      <c r="A2580" s="37">
        <v>27036</v>
      </c>
      <c r="B2580" s="39">
        <v>93.660004000000001</v>
      </c>
      <c r="C2580" s="36">
        <f>IF(ISBLANK(B2581), "", GSPC[[#This Row],[Adj Close]]/B2581-1)</f>
        <v>-5.2982789626232818E-2</v>
      </c>
      <c r="D258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8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80" s="11" t="e">
        <f>IF(ISBLANK(GSPC[[#This Row],[Long Exp.]]), "", (GSPC[[#This Row],[Long Exp.]]/D2581-1)+(E2581/GSPC[[#This Row],[Short Exp.]]-1))</f>
        <v>#VALUE!</v>
      </c>
    </row>
    <row r="2581" spans="1:6" x14ac:dyDescent="0.25">
      <c r="A2581" s="37">
        <v>27029</v>
      </c>
      <c r="B2581" s="39">
        <v>98.900002000000001</v>
      </c>
      <c r="C2581" s="36">
        <f>IF(ISBLANK(B2582), "", GSPC[[#This Row],[Adj Close]]/B2582-1)</f>
        <v>1.3943007853772782E-2</v>
      </c>
      <c r="D258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8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81" s="11" t="e">
        <f>IF(ISBLANK(GSPC[[#This Row],[Long Exp.]]), "", (GSPC[[#This Row],[Long Exp.]]/D2582-1)+(E2582/GSPC[[#This Row],[Short Exp.]]-1))</f>
        <v>#VALUE!</v>
      </c>
    </row>
    <row r="2582" spans="1:6" x14ac:dyDescent="0.25">
      <c r="A2582" s="37">
        <v>27022</v>
      </c>
      <c r="B2582" s="39">
        <v>97.540001000000004</v>
      </c>
      <c r="C2582" s="36">
        <f>IF(ISBLANK(B2583), "", GSPC[[#This Row],[Adj Close]]/B2583-1)</f>
        <v>4.2762454107735159E-2</v>
      </c>
      <c r="D258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8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82" s="11" t="e">
        <f>IF(ISBLANK(GSPC[[#This Row],[Long Exp.]]), "", (GSPC[[#This Row],[Long Exp.]]/D2583-1)+(E2583/GSPC[[#This Row],[Short Exp.]]-1))</f>
        <v>#VALUE!</v>
      </c>
    </row>
    <row r="2583" spans="1:6" x14ac:dyDescent="0.25">
      <c r="A2583" s="37">
        <v>27015</v>
      </c>
      <c r="B2583" s="39">
        <v>93.540001000000004</v>
      </c>
      <c r="C2583" s="36">
        <f>IF(ISBLANK(B2584), "", GSPC[[#This Row],[Adj Close]]/B2584-1)</f>
        <v>2.6798155999590012E-3</v>
      </c>
      <c r="D258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8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83" s="11" t="e">
        <f>IF(ISBLANK(GSPC[[#This Row],[Long Exp.]]), "", (GSPC[[#This Row],[Long Exp.]]/D2584-1)+(E2584/GSPC[[#This Row],[Short Exp.]]-1))</f>
        <v>#VALUE!</v>
      </c>
    </row>
    <row r="2584" spans="1:6" x14ac:dyDescent="0.25">
      <c r="A2584" s="37">
        <v>27008</v>
      </c>
      <c r="B2584" s="39">
        <v>93.290001000000004</v>
      </c>
      <c r="C2584" s="36">
        <f>IF(ISBLANK(B2585), "", GSPC[[#This Row],[Adj Close]]/B2585-1)</f>
        <v>-3.3364427865207102E-2</v>
      </c>
      <c r="D258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8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84" s="11" t="e">
        <f>IF(ISBLANK(GSPC[[#This Row],[Long Exp.]]), "", (GSPC[[#This Row],[Long Exp.]]/D2585-1)+(E2585/GSPC[[#This Row],[Short Exp.]]-1))</f>
        <v>#VALUE!</v>
      </c>
    </row>
    <row r="2585" spans="1:6" x14ac:dyDescent="0.25">
      <c r="A2585" s="37">
        <v>27001</v>
      </c>
      <c r="B2585" s="39">
        <v>96.510002</v>
      </c>
      <c r="C2585" s="36">
        <f>IF(ISBLANK(B2586), "", GSPC[[#This Row],[Adj Close]]/B2586-1)</f>
        <v>5.7315861372613242E-3</v>
      </c>
      <c r="D258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8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85" s="11" t="e">
        <f>IF(ISBLANK(GSPC[[#This Row],[Long Exp.]]), "", (GSPC[[#This Row],[Long Exp.]]/D2586-1)+(E2586/GSPC[[#This Row],[Short Exp.]]-1))</f>
        <v>#VALUE!</v>
      </c>
    </row>
    <row r="2586" spans="1:6" x14ac:dyDescent="0.25">
      <c r="A2586" s="37">
        <v>26994</v>
      </c>
      <c r="B2586" s="39">
        <v>95.959998999999996</v>
      </c>
      <c r="C2586" s="36">
        <f>IF(ISBLANK(B2587), "", GSPC[[#This Row],[Adj Close]]/B2587-1)</f>
        <v>-3.4996006938938007E-2</v>
      </c>
      <c r="D258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8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86" s="11" t="e">
        <f>IF(ISBLANK(GSPC[[#This Row],[Long Exp.]]), "", (GSPC[[#This Row],[Long Exp.]]/D2587-1)+(E2587/GSPC[[#This Row],[Short Exp.]]-1))</f>
        <v>#VALUE!</v>
      </c>
    </row>
    <row r="2587" spans="1:6" x14ac:dyDescent="0.25">
      <c r="A2587" s="37">
        <v>26987</v>
      </c>
      <c r="B2587" s="39">
        <v>99.440002000000007</v>
      </c>
      <c r="C2587" s="36">
        <f>IF(ISBLANK(B2588), "", GSPC[[#This Row],[Adj Close]]/B2588-1)</f>
        <v>-4.2741578053761331E-2</v>
      </c>
      <c r="D258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8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87" s="11" t="e">
        <f>IF(ISBLANK(GSPC[[#This Row],[Long Exp.]]), "", (GSPC[[#This Row],[Long Exp.]]/D2588-1)+(E2588/GSPC[[#This Row],[Short Exp.]]-1))</f>
        <v>#VALUE!</v>
      </c>
    </row>
    <row r="2588" spans="1:6" x14ac:dyDescent="0.25">
      <c r="A2588" s="37">
        <v>26980</v>
      </c>
      <c r="B2588" s="39">
        <v>103.879997</v>
      </c>
      <c r="C2588" s="36">
        <f>IF(ISBLANK(B2589), "", GSPC[[#This Row],[Adj Close]]/B2589-1)</f>
        <v>-1.3485336747806165E-2</v>
      </c>
      <c r="D258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8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88" s="11" t="e">
        <f>IF(ISBLANK(GSPC[[#This Row],[Long Exp.]]), "", (GSPC[[#This Row],[Long Exp.]]/D2589-1)+(E2589/GSPC[[#This Row],[Short Exp.]]-1))</f>
        <v>#VALUE!</v>
      </c>
    </row>
    <row r="2589" spans="1:6" x14ac:dyDescent="0.25">
      <c r="A2589" s="37">
        <v>26973</v>
      </c>
      <c r="B2589" s="39">
        <v>105.300003</v>
      </c>
      <c r="C2589" s="36">
        <f>IF(ISBLANK(B2590), "", GSPC[[#This Row],[Adj Close]]/B2590-1)</f>
        <v>-1.6531213224992847E-2</v>
      </c>
      <c r="D258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8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89" s="11" t="e">
        <f>IF(ISBLANK(GSPC[[#This Row],[Long Exp.]]), "", (GSPC[[#This Row],[Long Exp.]]/D2590-1)+(E2590/GSPC[[#This Row],[Short Exp.]]-1))</f>
        <v>#VALUE!</v>
      </c>
    </row>
    <row r="2590" spans="1:6" x14ac:dyDescent="0.25">
      <c r="A2590" s="37">
        <v>26966</v>
      </c>
      <c r="B2590" s="39">
        <v>107.07</v>
      </c>
      <c r="C2590" s="36">
        <f>IF(ISBLANK(B2591), "", GSPC[[#This Row],[Adj Close]]/B2591-1)</f>
        <v>-3.8696328928793267E-2</v>
      </c>
      <c r="D259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9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90" s="11" t="e">
        <f>IF(ISBLANK(GSPC[[#This Row],[Long Exp.]]), "", (GSPC[[#This Row],[Long Exp.]]/D2591-1)+(E2591/GSPC[[#This Row],[Short Exp.]]-1))</f>
        <v>#VALUE!</v>
      </c>
    </row>
    <row r="2591" spans="1:6" x14ac:dyDescent="0.25">
      <c r="A2591" s="37">
        <v>26959</v>
      </c>
      <c r="B2591" s="39">
        <v>111.379997</v>
      </c>
      <c r="C2591" s="36">
        <f>IF(ISBLANK(B2592), "", GSPC[[#This Row],[Adj Close]]/B2592-1)</f>
        <v>1.0524369347447271E-2</v>
      </c>
      <c r="D259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9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91" s="11" t="e">
        <f>IF(ISBLANK(GSPC[[#This Row],[Long Exp.]]), "", (GSPC[[#This Row],[Long Exp.]]/D2592-1)+(E2592/GSPC[[#This Row],[Short Exp.]]-1))</f>
        <v>#VALUE!</v>
      </c>
    </row>
    <row r="2592" spans="1:6" x14ac:dyDescent="0.25">
      <c r="A2592" s="37">
        <v>26952</v>
      </c>
      <c r="B2592" s="39">
        <v>110.220001</v>
      </c>
      <c r="C2592" s="36">
        <f>IF(ISBLANK(B2593), "", GSPC[[#This Row],[Adj Close]]/B2593-1)</f>
        <v>-1.0947603895412827E-2</v>
      </c>
      <c r="D259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9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92" s="11" t="e">
        <f>IF(ISBLANK(GSPC[[#This Row],[Long Exp.]]), "", (GSPC[[#This Row],[Long Exp.]]/D2593-1)+(E2593/GSPC[[#This Row],[Short Exp.]]-1))</f>
        <v>#VALUE!</v>
      </c>
    </row>
    <row r="2593" spans="1:6" x14ac:dyDescent="0.25">
      <c r="A2593" s="37">
        <v>26945</v>
      </c>
      <c r="B2593" s="39">
        <v>111.44000200000001</v>
      </c>
      <c r="C2593" s="36">
        <f>IF(ISBLANK(B2594), "", GSPC[[#This Row],[Adj Close]]/B2594-1)</f>
        <v>1.4474319790156009E-2</v>
      </c>
      <c r="D259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9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93" s="11" t="e">
        <f>IF(ISBLANK(GSPC[[#This Row],[Long Exp.]]), "", (GSPC[[#This Row],[Long Exp.]]/D2594-1)+(E2594/GSPC[[#This Row],[Short Exp.]]-1))</f>
        <v>#VALUE!</v>
      </c>
    </row>
    <row r="2594" spans="1:6" x14ac:dyDescent="0.25">
      <c r="A2594" s="37">
        <v>26938</v>
      </c>
      <c r="B2594" s="39">
        <v>109.849998</v>
      </c>
      <c r="C2594" s="36">
        <f>IF(ISBLANK(B2595), "", GSPC[[#This Row],[Adj Close]]/B2595-1)</f>
        <v>1.30959881951489E-2</v>
      </c>
      <c r="D259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9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94" s="11" t="e">
        <f>IF(ISBLANK(GSPC[[#This Row],[Long Exp.]]), "", (GSPC[[#This Row],[Long Exp.]]/D2595-1)+(E2595/GSPC[[#This Row],[Short Exp.]]-1))</f>
        <v>#VALUE!</v>
      </c>
    </row>
    <row r="2595" spans="1:6" x14ac:dyDescent="0.25">
      <c r="A2595" s="37">
        <v>26931</v>
      </c>
      <c r="B2595" s="39">
        <v>108.43</v>
      </c>
      <c r="C2595" s="36">
        <f>IF(ISBLANK(B2596), "", GSPC[[#This Row],[Adj Close]]/B2596-1)</f>
        <v>1.147390890318789E-2</v>
      </c>
      <c r="D259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9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95" s="11" t="e">
        <f>IF(ISBLANK(GSPC[[#This Row],[Long Exp.]]), "", (GSPC[[#This Row],[Long Exp.]]/D2596-1)+(E2596/GSPC[[#This Row],[Short Exp.]]-1))</f>
        <v>#VALUE!</v>
      </c>
    </row>
    <row r="2596" spans="1:6" x14ac:dyDescent="0.25">
      <c r="A2596" s="37">
        <v>26924</v>
      </c>
      <c r="B2596" s="39">
        <v>107.199997</v>
      </c>
      <c r="C2596" s="36">
        <f>IF(ISBLANK(B2597), "", GSPC[[#This Row],[Adj Close]]/B2597-1)</f>
        <v>2.6426608073025326E-2</v>
      </c>
      <c r="D259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9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96" s="11" t="e">
        <f>IF(ISBLANK(GSPC[[#This Row],[Long Exp.]]), "", (GSPC[[#This Row],[Long Exp.]]/D2597-1)+(E2597/GSPC[[#This Row],[Short Exp.]]-1))</f>
        <v>#VALUE!</v>
      </c>
    </row>
    <row r="2597" spans="1:6" x14ac:dyDescent="0.25">
      <c r="A2597" s="37">
        <v>26917</v>
      </c>
      <c r="B2597" s="39">
        <v>104.44000200000001</v>
      </c>
      <c r="C2597" s="36">
        <f>IF(ISBLANK(B2598), "", GSPC[[#This Row],[Adj Close]]/B2598-1)</f>
        <v>-3.0546009344291081E-3</v>
      </c>
      <c r="D259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9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97" s="11" t="e">
        <f>IF(ISBLANK(GSPC[[#This Row],[Long Exp.]]), "", (GSPC[[#This Row],[Long Exp.]]/D2598-1)+(E2598/GSPC[[#This Row],[Short Exp.]]-1))</f>
        <v>#VALUE!</v>
      </c>
    </row>
    <row r="2598" spans="1:6" x14ac:dyDescent="0.25">
      <c r="A2598" s="37">
        <v>26910</v>
      </c>
      <c r="B2598" s="39">
        <v>104.760002</v>
      </c>
      <c r="C2598" s="36">
        <f>IF(ISBLANK(B2599), "", GSPC[[#This Row],[Adj Close]]/B2599-1)</f>
        <v>4.8921055155874971E-3</v>
      </c>
      <c r="D259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9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98" s="11" t="e">
        <f>IF(ISBLANK(GSPC[[#This Row],[Long Exp.]]), "", (GSPC[[#This Row],[Long Exp.]]/D2599-1)+(E2599/GSPC[[#This Row],[Short Exp.]]-1))</f>
        <v>#VALUE!</v>
      </c>
    </row>
    <row r="2599" spans="1:6" x14ac:dyDescent="0.25">
      <c r="A2599" s="37">
        <v>26903</v>
      </c>
      <c r="B2599" s="39">
        <v>104.25</v>
      </c>
      <c r="C2599" s="36">
        <f>IF(ISBLANK(B2600), "", GSPC[[#This Row],[Adj Close]]/B2600-1)</f>
        <v>2.5880701853551402E-2</v>
      </c>
      <c r="D259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59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599" s="11" t="e">
        <f>IF(ISBLANK(GSPC[[#This Row],[Long Exp.]]), "", (GSPC[[#This Row],[Long Exp.]]/D2600-1)+(E2600/GSPC[[#This Row],[Short Exp.]]-1))</f>
        <v>#VALUE!</v>
      </c>
    </row>
    <row r="2600" spans="1:6" x14ac:dyDescent="0.25">
      <c r="A2600" s="37">
        <v>26896</v>
      </c>
      <c r="B2600" s="39">
        <v>101.620003</v>
      </c>
      <c r="C2600" s="36">
        <f>IF(ISBLANK(B2601), "", GSPC[[#This Row],[Adj Close]]/B2601-1)</f>
        <v>-6.7441600380052646E-3</v>
      </c>
      <c r="D260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0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00" s="11" t="e">
        <f>IF(ISBLANK(GSPC[[#This Row],[Long Exp.]]), "", (GSPC[[#This Row],[Long Exp.]]/D2601-1)+(E2601/GSPC[[#This Row],[Short Exp.]]-1))</f>
        <v>#VALUE!</v>
      </c>
    </row>
    <row r="2601" spans="1:6" x14ac:dyDescent="0.25">
      <c r="A2601" s="37">
        <v>26889</v>
      </c>
      <c r="B2601" s="39">
        <v>102.30999799999999</v>
      </c>
      <c r="C2601" s="36">
        <f>IF(ISBLANK(B2602), "", GSPC[[#This Row],[Adj Close]]/B2602-1)</f>
        <v>-2.3479994945499572E-2</v>
      </c>
      <c r="D260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0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01" s="11" t="e">
        <f>IF(ISBLANK(GSPC[[#This Row],[Long Exp.]]), "", (GSPC[[#This Row],[Long Exp.]]/D2602-1)+(E2602/GSPC[[#This Row],[Short Exp.]]-1))</f>
        <v>#VALUE!</v>
      </c>
    </row>
    <row r="2602" spans="1:6" x14ac:dyDescent="0.25">
      <c r="A2602" s="37">
        <v>26882</v>
      </c>
      <c r="B2602" s="39">
        <v>104.769997</v>
      </c>
      <c r="C2602" s="36">
        <f>IF(ISBLANK(B2603), "", GSPC[[#This Row],[Adj Close]]/B2603-1)</f>
        <v>-1.6151761032054845E-2</v>
      </c>
      <c r="D260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0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02" s="11" t="e">
        <f>IF(ISBLANK(GSPC[[#This Row],[Long Exp.]]), "", (GSPC[[#This Row],[Long Exp.]]/D2603-1)+(E2603/GSPC[[#This Row],[Short Exp.]]-1))</f>
        <v>#VALUE!</v>
      </c>
    </row>
    <row r="2603" spans="1:6" x14ac:dyDescent="0.25">
      <c r="A2603" s="37">
        <v>26875</v>
      </c>
      <c r="B2603" s="39">
        <v>106.489998</v>
      </c>
      <c r="C2603" s="36">
        <f>IF(ISBLANK(B2604), "", GSPC[[#This Row],[Adj Close]]/B2604-1)</f>
        <v>-2.8287235269175426E-2</v>
      </c>
      <c r="D260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0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03" s="11" t="e">
        <f>IF(ISBLANK(GSPC[[#This Row],[Long Exp.]]), "", (GSPC[[#This Row],[Long Exp.]]/D2604-1)+(E2604/GSPC[[#This Row],[Short Exp.]]-1))</f>
        <v>#VALUE!</v>
      </c>
    </row>
    <row r="2604" spans="1:6" x14ac:dyDescent="0.25">
      <c r="A2604" s="37">
        <v>26868</v>
      </c>
      <c r="B2604" s="39">
        <v>109.589996</v>
      </c>
      <c r="C2604" s="36">
        <f>IF(ISBLANK(B2605), "", GSPC[[#This Row],[Adj Close]]/B2605-1)</f>
        <v>2.2867248673392293E-2</v>
      </c>
      <c r="D260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0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04" s="11" t="e">
        <f>IF(ISBLANK(GSPC[[#This Row],[Long Exp.]]), "", (GSPC[[#This Row],[Long Exp.]]/D2605-1)+(E2605/GSPC[[#This Row],[Short Exp.]]-1))</f>
        <v>#VALUE!</v>
      </c>
    </row>
    <row r="2605" spans="1:6" x14ac:dyDescent="0.25">
      <c r="A2605" s="37">
        <v>26861</v>
      </c>
      <c r="B2605" s="39">
        <v>107.139999</v>
      </c>
      <c r="C2605" s="36">
        <f>IF(ISBLANK(B2606), "", GSPC[[#This Row],[Adj Close]]/B2606-1)</f>
        <v>2.9301595899763555E-2</v>
      </c>
      <c r="D260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0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05" s="11" t="e">
        <f>IF(ISBLANK(GSPC[[#This Row],[Long Exp.]]), "", (GSPC[[#This Row],[Long Exp.]]/D2606-1)+(E2606/GSPC[[#This Row],[Short Exp.]]-1))</f>
        <v>#VALUE!</v>
      </c>
    </row>
    <row r="2606" spans="1:6" x14ac:dyDescent="0.25">
      <c r="A2606" s="37">
        <v>26854</v>
      </c>
      <c r="B2606" s="39">
        <v>104.089996</v>
      </c>
      <c r="C2606" s="36">
        <f>IF(ISBLANK(B2607), "", GSPC[[#This Row],[Adj Close]]/B2607-1)</f>
        <v>2.7744836371888182E-2</v>
      </c>
      <c r="D260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0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06" s="11" t="e">
        <f>IF(ISBLANK(GSPC[[#This Row],[Long Exp.]]), "", (GSPC[[#This Row],[Long Exp.]]/D2607-1)+(E2607/GSPC[[#This Row],[Short Exp.]]-1))</f>
        <v>#VALUE!</v>
      </c>
    </row>
    <row r="2607" spans="1:6" x14ac:dyDescent="0.25">
      <c r="A2607" s="37">
        <v>26847</v>
      </c>
      <c r="B2607" s="39">
        <v>101.279999</v>
      </c>
      <c r="C2607" s="36">
        <f>IF(ISBLANK(B2608), "", GSPC[[#This Row],[Adj Close]]/B2608-1)</f>
        <v>-2.8582418404327292E-2</v>
      </c>
      <c r="D260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0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07" s="11" t="e">
        <f>IF(ISBLANK(GSPC[[#This Row],[Long Exp.]]), "", (GSPC[[#This Row],[Long Exp.]]/D2608-1)+(E2608/GSPC[[#This Row],[Short Exp.]]-1))</f>
        <v>#VALUE!</v>
      </c>
    </row>
    <row r="2608" spans="1:6" x14ac:dyDescent="0.25">
      <c r="A2608" s="37">
        <v>26840</v>
      </c>
      <c r="B2608" s="39">
        <v>104.260002</v>
      </c>
      <c r="C2608" s="36">
        <f>IF(ISBLANK(B2609), "", GSPC[[#This Row],[Adj Close]]/B2609-1)</f>
        <v>5.4002412362654795E-3</v>
      </c>
      <c r="D260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0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08" s="11" t="e">
        <f>IF(ISBLANK(GSPC[[#This Row],[Long Exp.]]), "", (GSPC[[#This Row],[Long Exp.]]/D2609-1)+(E2609/GSPC[[#This Row],[Short Exp.]]-1))</f>
        <v>#VALUE!</v>
      </c>
    </row>
    <row r="2609" spans="1:6" x14ac:dyDescent="0.25">
      <c r="A2609" s="37">
        <v>26833</v>
      </c>
      <c r="B2609" s="39">
        <v>103.699997</v>
      </c>
      <c r="C2609" s="36">
        <f>IF(ISBLANK(B2610), "", GSPC[[#This Row],[Adj Close]]/B2610-1)</f>
        <v>-1.3320656771087735E-2</v>
      </c>
      <c r="D260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0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09" s="11" t="e">
        <f>IF(ISBLANK(GSPC[[#This Row],[Long Exp.]]), "", (GSPC[[#This Row],[Long Exp.]]/D2610-1)+(E2610/GSPC[[#This Row],[Short Exp.]]-1))</f>
        <v>#VALUE!</v>
      </c>
    </row>
    <row r="2610" spans="1:6" x14ac:dyDescent="0.25">
      <c r="A2610" s="37">
        <v>26826</v>
      </c>
      <c r="B2610" s="39">
        <v>105.099998</v>
      </c>
      <c r="C2610" s="36">
        <f>IF(ISBLANK(B2611), "", GSPC[[#This Row],[Adj Close]]/B2611-1)</f>
        <v>-1.8032336896499523E-2</v>
      </c>
      <c r="D261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1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10" s="11" t="e">
        <f>IF(ISBLANK(GSPC[[#This Row],[Long Exp.]]), "", (GSPC[[#This Row],[Long Exp.]]/D2611-1)+(E2611/GSPC[[#This Row],[Short Exp.]]-1))</f>
        <v>#VALUE!</v>
      </c>
    </row>
    <row r="2611" spans="1:6" x14ac:dyDescent="0.25">
      <c r="A2611" s="37">
        <v>26819</v>
      </c>
      <c r="B2611" s="39">
        <v>107.029999</v>
      </c>
      <c r="C2611" s="36">
        <f>IF(ISBLANK(B2612), "", GSPC[[#This Row],[Adj Close]]/B2612-1)</f>
        <v>2.9827759068603799E-2</v>
      </c>
      <c r="D261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1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11" s="11" t="e">
        <f>IF(ISBLANK(GSPC[[#This Row],[Long Exp.]]), "", (GSPC[[#This Row],[Long Exp.]]/D2612-1)+(E2612/GSPC[[#This Row],[Short Exp.]]-1))</f>
        <v>#VALUE!</v>
      </c>
    </row>
    <row r="2612" spans="1:6" x14ac:dyDescent="0.25">
      <c r="A2612" s="37">
        <v>26812</v>
      </c>
      <c r="B2612" s="39">
        <v>103.93</v>
      </c>
      <c r="C2612" s="36">
        <f>IF(ISBLANK(B2613), "", GSPC[[#This Row],[Adj Close]]/B2613-1)</f>
        <v>-3.7150286508240038E-2</v>
      </c>
      <c r="D261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1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12" s="11" t="e">
        <f>IF(ISBLANK(GSPC[[#This Row],[Long Exp.]]), "", (GSPC[[#This Row],[Long Exp.]]/D2613-1)+(E2613/GSPC[[#This Row],[Short Exp.]]-1))</f>
        <v>#VALUE!</v>
      </c>
    </row>
    <row r="2613" spans="1:6" x14ac:dyDescent="0.25">
      <c r="A2613" s="37">
        <v>26805</v>
      </c>
      <c r="B2613" s="39">
        <v>107.94000200000001</v>
      </c>
      <c r="C2613" s="36">
        <f>IF(ISBLANK(B2614), "", GSPC[[#This Row],[Adj Close]]/B2614-1)</f>
        <v>3.9283660318855773E-2</v>
      </c>
      <c r="D261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1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13" s="11" t="e">
        <f>IF(ISBLANK(GSPC[[#This Row],[Long Exp.]]), "", (GSPC[[#This Row],[Long Exp.]]/D2614-1)+(E2614/GSPC[[#This Row],[Short Exp.]]-1))</f>
        <v>#VALUE!</v>
      </c>
    </row>
    <row r="2614" spans="1:6" x14ac:dyDescent="0.25">
      <c r="A2614" s="37">
        <v>26798</v>
      </c>
      <c r="B2614" s="39">
        <v>103.860001</v>
      </c>
      <c r="C2614" s="36">
        <f>IF(ISBLANK(B2615), "", GSPC[[#This Row],[Adj Close]]/B2615-1)</f>
        <v>-3.9844661918178148E-2</v>
      </c>
      <c r="D261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1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14" s="11" t="e">
        <f>IF(ISBLANK(GSPC[[#This Row],[Long Exp.]]), "", (GSPC[[#This Row],[Long Exp.]]/D2615-1)+(E2615/GSPC[[#This Row],[Short Exp.]]-1))</f>
        <v>#VALUE!</v>
      </c>
    </row>
    <row r="2615" spans="1:6" x14ac:dyDescent="0.25">
      <c r="A2615" s="37">
        <v>26791</v>
      </c>
      <c r="B2615" s="39">
        <v>108.16999800000001</v>
      </c>
      <c r="C2615" s="36">
        <f>IF(ISBLANK(B2616), "", GSPC[[#This Row],[Adj Close]]/B2616-1)</f>
        <v>-2.5495513513513424E-2</v>
      </c>
      <c r="D261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1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15" s="11" t="e">
        <f>IF(ISBLANK(GSPC[[#This Row],[Long Exp.]]), "", (GSPC[[#This Row],[Long Exp.]]/D2616-1)+(E2616/GSPC[[#This Row],[Short Exp.]]-1))</f>
        <v>#VALUE!</v>
      </c>
    </row>
    <row r="2616" spans="1:6" x14ac:dyDescent="0.25">
      <c r="A2616" s="37">
        <v>26784</v>
      </c>
      <c r="B2616" s="39">
        <v>111</v>
      </c>
      <c r="C2616" s="36">
        <f>IF(ISBLANK(B2617), "", GSPC[[#This Row],[Adj Close]]/B2617-1)</f>
        <v>3.5158042474362272E-2</v>
      </c>
      <c r="D261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1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16" s="11" t="e">
        <f>IF(ISBLANK(GSPC[[#This Row],[Long Exp.]]), "", (GSPC[[#This Row],[Long Exp.]]/D2617-1)+(E2617/GSPC[[#This Row],[Short Exp.]]-1))</f>
        <v>#VALUE!</v>
      </c>
    </row>
    <row r="2617" spans="1:6" x14ac:dyDescent="0.25">
      <c r="A2617" s="37">
        <v>26777</v>
      </c>
      <c r="B2617" s="39">
        <v>107.230003</v>
      </c>
      <c r="C2617" s="36">
        <f>IF(ISBLANK(B2618), "", GSPC[[#This Row],[Adj Close]]/B2618-1)</f>
        <v>-4.404025218936003E-2</v>
      </c>
      <c r="D261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1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17" s="11" t="e">
        <f>IF(ISBLANK(GSPC[[#This Row],[Long Exp.]]), "", (GSPC[[#This Row],[Long Exp.]]/D2618-1)+(E2618/GSPC[[#This Row],[Short Exp.]]-1))</f>
        <v>#VALUE!</v>
      </c>
    </row>
    <row r="2618" spans="1:6" x14ac:dyDescent="0.25">
      <c r="A2618" s="37">
        <v>26770</v>
      </c>
      <c r="B2618" s="39">
        <v>112.16999800000001</v>
      </c>
      <c r="C2618" s="36">
        <f>IF(ISBLANK(B2619), "", GSPC[[#This Row],[Adj Close]]/B2619-1)</f>
        <v>8.0296215555031303E-4</v>
      </c>
      <c r="D261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1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18" s="11" t="e">
        <f>IF(ISBLANK(GSPC[[#This Row],[Long Exp.]]), "", (GSPC[[#This Row],[Long Exp.]]/D2619-1)+(E2619/GSPC[[#This Row],[Short Exp.]]-1))</f>
        <v>#VALUE!</v>
      </c>
    </row>
    <row r="2619" spans="1:6" x14ac:dyDescent="0.25">
      <c r="A2619" s="37">
        <v>26763</v>
      </c>
      <c r="B2619" s="39">
        <v>112.08000199999999</v>
      </c>
      <c r="C2619" s="36">
        <f>IF(ISBLANK(B2620), "", GSPC[[#This Row],[Adj Close]]/B2620-1)</f>
        <v>2.5622282445298961E-2</v>
      </c>
      <c r="D261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1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19" s="11" t="e">
        <f>IF(ISBLANK(GSPC[[#This Row],[Long Exp.]]), "", (GSPC[[#This Row],[Long Exp.]]/D2620-1)+(E2620/GSPC[[#This Row],[Short Exp.]]-1))</f>
        <v>#VALUE!</v>
      </c>
    </row>
    <row r="2620" spans="1:6" x14ac:dyDescent="0.25">
      <c r="A2620" s="37">
        <v>26756</v>
      </c>
      <c r="B2620" s="39">
        <v>109.279999</v>
      </c>
      <c r="C2620" s="36">
        <f>IF(ISBLANK(B2621), "", GSPC[[#This Row],[Adj Close]]/B2621-1)</f>
        <v>-2.0086065820105747E-2</v>
      </c>
      <c r="D262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2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20" s="11" t="e">
        <f>IF(ISBLANK(GSPC[[#This Row],[Long Exp.]]), "", (GSPC[[#This Row],[Long Exp.]]/D2621-1)+(E2621/GSPC[[#This Row],[Short Exp.]]-1))</f>
        <v>#VALUE!</v>
      </c>
    </row>
    <row r="2621" spans="1:6" x14ac:dyDescent="0.25">
      <c r="A2621" s="37">
        <v>26749</v>
      </c>
      <c r="B2621" s="39">
        <v>111.519997</v>
      </c>
      <c r="C2621" s="36">
        <f>IF(ISBLANK(B2622), "", GSPC[[#This Row],[Adj Close]]/B2622-1)</f>
        <v>2.4246877964186675E-2</v>
      </c>
      <c r="D262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2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21" s="11" t="e">
        <f>IF(ISBLANK(GSPC[[#This Row],[Long Exp.]]), "", (GSPC[[#This Row],[Long Exp.]]/D2622-1)+(E2622/GSPC[[#This Row],[Short Exp.]]-1))</f>
        <v>#VALUE!</v>
      </c>
    </row>
    <row r="2622" spans="1:6" x14ac:dyDescent="0.25">
      <c r="A2622" s="37">
        <v>26742</v>
      </c>
      <c r="B2622" s="39">
        <v>108.879997</v>
      </c>
      <c r="C2622" s="36">
        <f>IF(ISBLANK(B2623), "", GSPC[[#This Row],[Adj Close]]/B2623-1)</f>
        <v>-4.104283916643614E-2</v>
      </c>
      <c r="D262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2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22" s="11" t="e">
        <f>IF(ISBLANK(GSPC[[#This Row],[Long Exp.]]), "", (GSPC[[#This Row],[Long Exp.]]/D2623-1)+(E2623/GSPC[[#This Row],[Short Exp.]]-1))</f>
        <v>#VALUE!</v>
      </c>
    </row>
    <row r="2623" spans="1:6" x14ac:dyDescent="0.25">
      <c r="A2623" s="37">
        <v>26735</v>
      </c>
      <c r="B2623" s="39">
        <v>113.540001</v>
      </c>
      <c r="C2623" s="36">
        <f>IF(ISBLANK(B2624), "", GSPC[[#This Row],[Adj Close]]/B2624-1)</f>
        <v>-2.1970295966514675E-3</v>
      </c>
      <c r="D262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2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23" s="11" t="e">
        <f>IF(ISBLANK(GSPC[[#This Row],[Long Exp.]]), "", (GSPC[[#This Row],[Long Exp.]]/D2624-1)+(E2624/GSPC[[#This Row],[Short Exp.]]-1))</f>
        <v>#VALUE!</v>
      </c>
    </row>
    <row r="2624" spans="1:6" x14ac:dyDescent="0.25">
      <c r="A2624" s="37">
        <v>26728</v>
      </c>
      <c r="B2624" s="39">
        <v>113.790001</v>
      </c>
      <c r="C2624" s="36">
        <f>IF(ISBLANK(B2625), "", GSPC[[#This Row],[Adj Close]]/B2625-1)</f>
        <v>1.3448539485647837E-2</v>
      </c>
      <c r="D262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2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24" s="11" t="e">
        <f>IF(ISBLANK(GSPC[[#This Row],[Long Exp.]]), "", (GSPC[[#This Row],[Long Exp.]]/D2625-1)+(E2625/GSPC[[#This Row],[Short Exp.]]-1))</f>
        <v>#VALUE!</v>
      </c>
    </row>
    <row r="2625" spans="1:6" x14ac:dyDescent="0.25">
      <c r="A2625" s="37">
        <v>26721</v>
      </c>
      <c r="B2625" s="39">
        <v>112.279999</v>
      </c>
      <c r="C2625" s="36">
        <f>IF(ISBLANK(B2626), "", GSPC[[#This Row],[Adj Close]]/B2626-1)</f>
        <v>-7.7766434154596942E-3</v>
      </c>
      <c r="D262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2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25" s="11" t="e">
        <f>IF(ISBLANK(GSPC[[#This Row],[Long Exp.]]), "", (GSPC[[#This Row],[Long Exp.]]/D2626-1)+(E2626/GSPC[[#This Row],[Short Exp.]]-1))</f>
        <v>#VALUE!</v>
      </c>
    </row>
    <row r="2626" spans="1:6" x14ac:dyDescent="0.25">
      <c r="A2626" s="37">
        <v>26714</v>
      </c>
      <c r="B2626" s="39">
        <v>113.160004</v>
      </c>
      <c r="C2626" s="36">
        <f>IF(ISBLANK(B2627), "", GSPC[[#This Row],[Adj Close]]/B2627-1)</f>
        <v>-1.5828830688063178E-2</v>
      </c>
      <c r="D262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2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26" s="11" t="e">
        <f>IF(ISBLANK(GSPC[[#This Row],[Long Exp.]]), "", (GSPC[[#This Row],[Long Exp.]]/D2627-1)+(E2627/GSPC[[#This Row],[Short Exp.]]-1))</f>
        <v>#VALUE!</v>
      </c>
    </row>
    <row r="2627" spans="1:6" x14ac:dyDescent="0.25">
      <c r="A2627" s="37">
        <v>26707</v>
      </c>
      <c r="B2627" s="39">
        <v>114.980003</v>
      </c>
      <c r="C2627" s="36">
        <f>IF(ISBLANK(B2628), "", GSPC[[#This Row],[Adj Close]]/B2628-1)</f>
        <v>2.6160010463898153E-3</v>
      </c>
      <c r="D262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2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27" s="11" t="e">
        <f>IF(ISBLANK(GSPC[[#This Row],[Long Exp.]]), "", (GSPC[[#This Row],[Long Exp.]]/D2628-1)+(E2628/GSPC[[#This Row],[Short Exp.]]-1))</f>
        <v>#VALUE!</v>
      </c>
    </row>
    <row r="2628" spans="1:6" x14ac:dyDescent="0.25">
      <c r="A2628" s="37">
        <v>26700</v>
      </c>
      <c r="B2628" s="39">
        <v>114.68</v>
      </c>
      <c r="C2628" s="36">
        <f>IF(ISBLANK(B2629), "", GSPC[[#This Row],[Adj Close]]/B2629-1)</f>
        <v>2.8858942349960781E-3</v>
      </c>
      <c r="D262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2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28" s="11" t="e">
        <f>IF(ISBLANK(GSPC[[#This Row],[Long Exp.]]), "", (GSPC[[#This Row],[Long Exp.]]/D2629-1)+(E2629/GSPC[[#This Row],[Short Exp.]]-1))</f>
        <v>#VALUE!</v>
      </c>
    </row>
    <row r="2629" spans="1:6" x14ac:dyDescent="0.25">
      <c r="A2629" s="37">
        <v>26693</v>
      </c>
      <c r="B2629" s="39">
        <v>114.349998</v>
      </c>
      <c r="C2629" s="36">
        <f>IF(ISBLANK(B2630), "", GSPC[[#This Row],[Adj Close]]/B2630-1)</f>
        <v>-1.8033482645774535E-2</v>
      </c>
      <c r="D262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2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29" s="11" t="e">
        <f>IF(ISBLANK(GSPC[[#This Row],[Long Exp.]]), "", (GSPC[[#This Row],[Long Exp.]]/D2630-1)+(E2630/GSPC[[#This Row],[Short Exp.]]-1))</f>
        <v>#VALUE!</v>
      </c>
    </row>
    <row r="2630" spans="1:6" x14ac:dyDescent="0.25">
      <c r="A2630" s="37">
        <v>26686</v>
      </c>
      <c r="B2630" s="39">
        <v>116.449997</v>
      </c>
      <c r="C2630" s="36">
        <f>IF(ISBLANK(B2631), "", GSPC[[#This Row],[Adj Close]]/B2631-1)</f>
        <v>-1.9616113989022743E-2</v>
      </c>
      <c r="D263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3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30" s="11" t="e">
        <f>IF(ISBLANK(GSPC[[#This Row],[Long Exp.]]), "", (GSPC[[#This Row],[Long Exp.]]/D2631-1)+(E2631/GSPC[[#This Row],[Short Exp.]]-1))</f>
        <v>#VALUE!</v>
      </c>
    </row>
    <row r="2631" spans="1:6" x14ac:dyDescent="0.25">
      <c r="A2631" s="37">
        <v>26679</v>
      </c>
      <c r="B2631" s="39">
        <v>118.779999</v>
      </c>
      <c r="C2631" s="36">
        <f>IF(ISBLANK(B2632), "", GSPC[[#This Row],[Adj Close]]/B2632-1)</f>
        <v>-4.3587928493178385E-3</v>
      </c>
      <c r="D263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3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31" s="11" t="e">
        <f>IF(ISBLANK(GSPC[[#This Row],[Long Exp.]]), "", (GSPC[[#This Row],[Long Exp.]]/D2632-1)+(E2632/GSPC[[#This Row],[Short Exp.]]-1))</f>
        <v>#VALUE!</v>
      </c>
    </row>
    <row r="2632" spans="1:6" x14ac:dyDescent="0.25">
      <c r="A2632" s="37">
        <v>26672</v>
      </c>
      <c r="B2632" s="39">
        <v>119.300003</v>
      </c>
      <c r="C2632" s="36">
        <f>IF(ISBLANK(B2633), "", GSPC[[#This Row],[Adj Close]]/B2633-1)</f>
        <v>-4.7551512950241293E-3</v>
      </c>
      <c r="D263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3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32" s="11" t="e">
        <f>IF(ISBLANK(GSPC[[#This Row],[Long Exp.]]), "", (GSPC[[#This Row],[Long Exp.]]/D2633-1)+(E2633/GSPC[[#This Row],[Short Exp.]]-1))</f>
        <v>#VALUE!</v>
      </c>
    </row>
    <row r="2633" spans="1:6" x14ac:dyDescent="0.25">
      <c r="A2633" s="37">
        <v>26665</v>
      </c>
      <c r="B2633" s="39">
        <v>119.870003</v>
      </c>
      <c r="C2633" s="36">
        <f>IF(ISBLANK(B2634), "", GSPC[[#This Row],[Adj Close]]/B2634-1)</f>
        <v>1.5417195711549425E-2</v>
      </c>
      <c r="D263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3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33" s="11" t="e">
        <f>IF(ISBLANK(GSPC[[#This Row],[Long Exp.]]), "", (GSPC[[#This Row],[Long Exp.]]/D2634-1)+(E2634/GSPC[[#This Row],[Short Exp.]]-1))</f>
        <v>#VALUE!</v>
      </c>
    </row>
    <row r="2634" spans="1:6" x14ac:dyDescent="0.25">
      <c r="A2634" s="37">
        <v>26658</v>
      </c>
      <c r="B2634" s="39">
        <v>118.050003</v>
      </c>
      <c r="C2634" s="36">
        <f>IF(ISBLANK(B2635), "", GSPC[[#This Row],[Adj Close]]/B2635-1)</f>
        <v>1.9166027468427549E-2</v>
      </c>
      <c r="D263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3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34" s="11" t="e">
        <f>IF(ISBLANK(GSPC[[#This Row],[Long Exp.]]), "", (GSPC[[#This Row],[Long Exp.]]/D2635-1)+(E2635/GSPC[[#This Row],[Short Exp.]]-1))</f>
        <v>#VALUE!</v>
      </c>
    </row>
    <row r="2635" spans="1:6" x14ac:dyDescent="0.25">
      <c r="A2635" s="37">
        <v>26651</v>
      </c>
      <c r="B2635" s="39">
        <v>115.83000199999999</v>
      </c>
      <c r="C2635" s="36">
        <f>IF(ISBLANK(B2636), "", GSPC[[#This Row],[Adj Close]]/B2636-1)</f>
        <v>-2.0547944857974954E-2</v>
      </c>
      <c r="D263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3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35" s="11" t="e">
        <f>IF(ISBLANK(GSPC[[#This Row],[Long Exp.]]), "", (GSPC[[#This Row],[Long Exp.]]/D2636-1)+(E2636/GSPC[[#This Row],[Short Exp.]]-1))</f>
        <v>#VALUE!</v>
      </c>
    </row>
    <row r="2636" spans="1:6" x14ac:dyDescent="0.25">
      <c r="A2636" s="37">
        <v>26644</v>
      </c>
      <c r="B2636" s="39">
        <v>118.260002</v>
      </c>
      <c r="C2636" s="36">
        <f>IF(ISBLANK(B2637), "", GSPC[[#This Row],[Adj Close]]/B2637-1)</f>
        <v>-5.0479471222618644E-3</v>
      </c>
      <c r="D263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3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36" s="11" t="e">
        <f>IF(ISBLANK(GSPC[[#This Row],[Long Exp.]]), "", (GSPC[[#This Row],[Long Exp.]]/D2637-1)+(E2637/GSPC[[#This Row],[Short Exp.]]-1))</f>
        <v>#VALUE!</v>
      </c>
    </row>
    <row r="2637" spans="1:6" x14ac:dyDescent="0.25">
      <c r="A2637" s="37">
        <v>26637</v>
      </c>
      <c r="B2637" s="39">
        <v>118.860001</v>
      </c>
      <c r="C2637" s="36">
        <f>IF(ISBLANK(B2638), "", GSPC[[#This Row],[Adj Close]]/B2638-1)</f>
        <v>1.2608655970573812E-2</v>
      </c>
      <c r="D263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3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37" s="11" t="e">
        <f>IF(ISBLANK(GSPC[[#This Row],[Long Exp.]]), "", (GSPC[[#This Row],[Long Exp.]]/D2638-1)+(E2638/GSPC[[#This Row],[Short Exp.]]-1))</f>
        <v>#VALUE!</v>
      </c>
    </row>
    <row r="2638" spans="1:6" x14ac:dyDescent="0.25">
      <c r="A2638" s="37">
        <v>26630</v>
      </c>
      <c r="B2638" s="39">
        <v>117.379997</v>
      </c>
      <c r="C2638" s="36">
        <f>IF(ISBLANK(B2639), "", GSPC[[#This Row],[Adj Close]]/B2639-1)</f>
        <v>9.3800633422036483E-4</v>
      </c>
      <c r="D263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3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38" s="11" t="e">
        <f>IF(ISBLANK(GSPC[[#This Row],[Long Exp.]]), "", (GSPC[[#This Row],[Long Exp.]]/D2639-1)+(E2639/GSPC[[#This Row],[Short Exp.]]-1))</f>
        <v>#VALUE!</v>
      </c>
    </row>
    <row r="2639" spans="1:6" x14ac:dyDescent="0.25">
      <c r="A2639" s="37">
        <v>26623</v>
      </c>
      <c r="B2639" s="39">
        <v>117.269997</v>
      </c>
      <c r="C2639" s="36">
        <f>IF(ISBLANK(B2640), "", GSPC[[#This Row],[Adj Close]]/B2640-1)</f>
        <v>1.5412581442767026E-2</v>
      </c>
      <c r="D263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3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39" s="11" t="e">
        <f>IF(ISBLANK(GSPC[[#This Row],[Long Exp.]]), "", (GSPC[[#This Row],[Long Exp.]]/D2640-1)+(E2640/GSPC[[#This Row],[Short Exp.]]-1))</f>
        <v>#VALUE!</v>
      </c>
    </row>
    <row r="2640" spans="1:6" x14ac:dyDescent="0.25">
      <c r="A2640" s="37">
        <v>26616</v>
      </c>
      <c r="B2640" s="39">
        <v>115.489998</v>
      </c>
      <c r="C2640" s="36">
        <f>IF(ISBLANK(B2641), "", GSPC[[#This Row],[Adj Close]]/B2641-1)</f>
        <v>1.5475204023339462E-2</v>
      </c>
      <c r="D264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4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40" s="11" t="e">
        <f>IF(ISBLANK(GSPC[[#This Row],[Long Exp.]]), "", (GSPC[[#This Row],[Long Exp.]]/D2641-1)+(E2641/GSPC[[#This Row],[Short Exp.]]-1))</f>
        <v>#VALUE!</v>
      </c>
    </row>
    <row r="2641" spans="1:6" x14ac:dyDescent="0.25">
      <c r="A2641" s="37">
        <v>26609</v>
      </c>
      <c r="B2641" s="39">
        <v>113.730003</v>
      </c>
      <c r="C2641" s="36">
        <f>IF(ISBLANK(B2642), "", GSPC[[#This Row],[Adj Close]]/B2642-1)</f>
        <v>-4.2899491832433245E-3</v>
      </c>
      <c r="D264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4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41" s="11" t="e">
        <f>IF(ISBLANK(GSPC[[#This Row],[Long Exp.]]), "", (GSPC[[#This Row],[Long Exp.]]/D2642-1)+(E2642/GSPC[[#This Row],[Short Exp.]]-1))</f>
        <v>#VALUE!</v>
      </c>
    </row>
    <row r="2642" spans="1:6" x14ac:dyDescent="0.25">
      <c r="A2642" s="37">
        <v>26602</v>
      </c>
      <c r="B2642" s="39">
        <v>114.220001</v>
      </c>
      <c r="C2642" s="36">
        <f>IF(ISBLANK(B2643), "", GSPC[[#This Row],[Adj Close]]/B2643-1)</f>
        <v>3.2543824827052203E-2</v>
      </c>
      <c r="D264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4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42" s="11" t="e">
        <f>IF(ISBLANK(GSPC[[#This Row],[Long Exp.]]), "", (GSPC[[#This Row],[Long Exp.]]/D2643-1)+(E2643/GSPC[[#This Row],[Short Exp.]]-1))</f>
        <v>#VALUE!</v>
      </c>
    </row>
    <row r="2643" spans="1:6" x14ac:dyDescent="0.25">
      <c r="A2643" s="37">
        <v>26595</v>
      </c>
      <c r="B2643" s="39">
        <v>110.620003</v>
      </c>
      <c r="C2643" s="36">
        <f>IF(ISBLANK(B2644), "", GSPC[[#This Row],[Adj Close]]/B2644-1)</f>
        <v>1.2632781263873571E-2</v>
      </c>
      <c r="D264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4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43" s="11" t="e">
        <f>IF(ISBLANK(GSPC[[#This Row],[Long Exp.]]), "", (GSPC[[#This Row],[Long Exp.]]/D2644-1)+(E2644/GSPC[[#This Row],[Short Exp.]]-1))</f>
        <v>#VALUE!</v>
      </c>
    </row>
    <row r="2644" spans="1:6" x14ac:dyDescent="0.25">
      <c r="A2644" s="37">
        <v>26588</v>
      </c>
      <c r="B2644" s="39">
        <v>109.239998</v>
      </c>
      <c r="C2644" s="36">
        <f>IF(ISBLANK(B2645), "", GSPC[[#This Row],[Adj Close]]/B2645-1)</f>
        <v>1.2231282658103693E-2</v>
      </c>
      <c r="D264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4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44" s="11" t="e">
        <f>IF(ISBLANK(GSPC[[#This Row],[Long Exp.]]), "", (GSPC[[#This Row],[Long Exp.]]/D2645-1)+(E2645/GSPC[[#This Row],[Short Exp.]]-1))</f>
        <v>#VALUE!</v>
      </c>
    </row>
    <row r="2645" spans="1:6" x14ac:dyDescent="0.25">
      <c r="A2645" s="37">
        <v>26581</v>
      </c>
      <c r="B2645" s="39">
        <v>107.91999800000001</v>
      </c>
      <c r="C2645" s="36">
        <f>IF(ISBLANK(B2646), "", GSPC[[#This Row],[Adj Close]]/B2646-1)</f>
        <v>-1.5508164144093173E-2</v>
      </c>
      <c r="D264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4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45" s="11" t="e">
        <f>IF(ISBLANK(GSPC[[#This Row],[Long Exp.]]), "", (GSPC[[#This Row],[Long Exp.]]/D2646-1)+(E2646/GSPC[[#This Row],[Short Exp.]]-1))</f>
        <v>#VALUE!</v>
      </c>
    </row>
    <row r="2646" spans="1:6" x14ac:dyDescent="0.25">
      <c r="A2646" s="37">
        <v>26574</v>
      </c>
      <c r="B2646" s="39">
        <v>109.620003</v>
      </c>
      <c r="C2646" s="36">
        <f>IF(ISBLANK(B2647), "", GSPC[[#This Row],[Adj Close]]/B2647-1)</f>
        <v>-8.4124828110588856E-3</v>
      </c>
      <c r="D264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4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46" s="11" t="e">
        <f>IF(ISBLANK(GSPC[[#This Row],[Long Exp.]]), "", (GSPC[[#This Row],[Long Exp.]]/D2647-1)+(E2647/GSPC[[#This Row],[Short Exp.]]-1))</f>
        <v>#VALUE!</v>
      </c>
    </row>
    <row r="2647" spans="1:6" x14ac:dyDescent="0.25">
      <c r="A2647" s="37">
        <v>26567</v>
      </c>
      <c r="B2647" s="39">
        <v>110.550003</v>
      </c>
      <c r="C2647" s="36">
        <f>IF(ISBLANK(B2648), "", GSPC[[#This Row],[Adj Close]]/B2648-1)</f>
        <v>1.870628507297134E-2</v>
      </c>
      <c r="D264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4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47" s="11" t="e">
        <f>IF(ISBLANK(GSPC[[#This Row],[Long Exp.]]), "", (GSPC[[#This Row],[Long Exp.]]/D2648-1)+(E2648/GSPC[[#This Row],[Short Exp.]]-1))</f>
        <v>#VALUE!</v>
      </c>
    </row>
    <row r="2648" spans="1:6" x14ac:dyDescent="0.25">
      <c r="A2648" s="37">
        <v>26560</v>
      </c>
      <c r="B2648" s="39">
        <v>108.519997</v>
      </c>
      <c r="C2648" s="36">
        <f>IF(ISBLANK(B2649), "", GSPC[[#This Row],[Adj Close]]/B2649-1)</f>
        <v>-2.6652054529032743E-3</v>
      </c>
      <c r="D264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4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48" s="11" t="e">
        <f>IF(ISBLANK(GSPC[[#This Row],[Long Exp.]]), "", (GSPC[[#This Row],[Long Exp.]]/D2649-1)+(E2649/GSPC[[#This Row],[Short Exp.]]-1))</f>
        <v>#VALUE!</v>
      </c>
    </row>
    <row r="2649" spans="1:6" x14ac:dyDescent="0.25">
      <c r="A2649" s="37">
        <v>26553</v>
      </c>
      <c r="B2649" s="39">
        <v>108.80999799999999</v>
      </c>
      <c r="C2649" s="36">
        <f>IF(ISBLANK(B2650), "", GSPC[[#This Row],[Adj Close]]/B2650-1)</f>
        <v>-1.2165265326096075E-2</v>
      </c>
      <c r="D264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4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49" s="11" t="e">
        <f>IF(ISBLANK(GSPC[[#This Row],[Long Exp.]]), "", (GSPC[[#This Row],[Long Exp.]]/D2650-1)+(E2650/GSPC[[#This Row],[Short Exp.]]-1))</f>
        <v>#VALUE!</v>
      </c>
    </row>
    <row r="2650" spans="1:6" x14ac:dyDescent="0.25">
      <c r="A2650" s="37">
        <v>26546</v>
      </c>
      <c r="B2650" s="39">
        <v>110.150002</v>
      </c>
      <c r="C2650" s="36">
        <f>IF(ISBLANK(B2651), "", GSPC[[#This Row],[Adj Close]]/B2651-1)</f>
        <v>-1.2196215367299534E-2</v>
      </c>
      <c r="D265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5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50" s="11" t="e">
        <f>IF(ISBLANK(GSPC[[#This Row],[Long Exp.]]), "", (GSPC[[#This Row],[Long Exp.]]/D2651-1)+(E2651/GSPC[[#This Row],[Short Exp.]]-1))</f>
        <v>#VALUE!</v>
      </c>
    </row>
    <row r="2651" spans="1:6" x14ac:dyDescent="0.25">
      <c r="A2651" s="37">
        <v>26539</v>
      </c>
      <c r="B2651" s="39">
        <v>111.510002</v>
      </c>
      <c r="C2651" s="36">
        <f>IF(ISBLANK(B2652), "", GSPC[[#This Row],[Adj Close]]/B2652-1)</f>
        <v>7.5901691079816036E-3</v>
      </c>
      <c r="D265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5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51" s="11" t="e">
        <f>IF(ISBLANK(GSPC[[#This Row],[Long Exp.]]), "", (GSPC[[#This Row],[Long Exp.]]/D2652-1)+(E2652/GSPC[[#This Row],[Short Exp.]]-1))</f>
        <v>#VALUE!</v>
      </c>
    </row>
    <row r="2652" spans="1:6" x14ac:dyDescent="0.25">
      <c r="A2652" s="37">
        <v>26532</v>
      </c>
      <c r="B2652" s="39">
        <v>110.66999800000001</v>
      </c>
      <c r="C2652" s="36">
        <f>IF(ISBLANK(B2653), "", GSPC[[#This Row],[Adj Close]]/B2653-1)</f>
        <v>-9.7530778498017279E-3</v>
      </c>
      <c r="D265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5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52" s="11" t="e">
        <f>IF(ISBLANK(GSPC[[#This Row],[Long Exp.]]), "", (GSPC[[#This Row],[Long Exp.]]/D2653-1)+(E2653/GSPC[[#This Row],[Short Exp.]]-1))</f>
        <v>#VALUE!</v>
      </c>
    </row>
    <row r="2653" spans="1:6" x14ac:dyDescent="0.25">
      <c r="A2653" s="37">
        <v>26525</v>
      </c>
      <c r="B2653" s="39">
        <v>111.760002</v>
      </c>
      <c r="C2653" s="36">
        <f>IF(ISBLANK(B2654), "", GSPC[[#This Row],[Adj Close]]/B2654-1)</f>
        <v>-1.6971416265424422E-3</v>
      </c>
      <c r="D265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5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53" s="11" t="e">
        <f>IF(ISBLANK(GSPC[[#This Row],[Long Exp.]]), "", (GSPC[[#This Row],[Long Exp.]]/D2654-1)+(E2654/GSPC[[#This Row],[Short Exp.]]-1))</f>
        <v>#VALUE!</v>
      </c>
    </row>
    <row r="2654" spans="1:6" x14ac:dyDescent="0.25">
      <c r="A2654" s="37">
        <v>26518</v>
      </c>
      <c r="B2654" s="39">
        <v>111.949997</v>
      </c>
      <c r="C2654" s="36">
        <f>IF(ISBLANK(B2655), "", GSPC[[#This Row],[Adj Close]]/B2655-1)</f>
        <v>1.3764348456035469E-2</v>
      </c>
      <c r="D265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5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54" s="11" t="e">
        <f>IF(ISBLANK(GSPC[[#This Row],[Long Exp.]]), "", (GSPC[[#This Row],[Long Exp.]]/D2655-1)+(E2655/GSPC[[#This Row],[Short Exp.]]-1))</f>
        <v>#VALUE!</v>
      </c>
    </row>
    <row r="2655" spans="1:6" x14ac:dyDescent="0.25">
      <c r="A2655" s="37">
        <v>26511</v>
      </c>
      <c r="B2655" s="39">
        <v>110.43</v>
      </c>
      <c r="C2655" s="36">
        <f>IF(ISBLANK(B2656), "", GSPC[[#This Row],[Adj Close]]/B2656-1)</f>
        <v>2.8403828321954538E-2</v>
      </c>
      <c r="D265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5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55" s="11" t="e">
        <f>IF(ISBLANK(GSPC[[#This Row],[Long Exp.]]), "", (GSPC[[#This Row],[Long Exp.]]/D2656-1)+(E2656/GSPC[[#This Row],[Short Exp.]]-1))</f>
        <v>#VALUE!</v>
      </c>
    </row>
    <row r="2656" spans="1:6" x14ac:dyDescent="0.25">
      <c r="A2656" s="37">
        <v>26504</v>
      </c>
      <c r="B2656" s="39">
        <v>107.379997</v>
      </c>
      <c r="C2656" s="36">
        <f>IF(ISBLANK(B2657), "", GSPC[[#This Row],[Adj Close]]/B2657-1)</f>
        <v>6.7503560191128908E-3</v>
      </c>
      <c r="D265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5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56" s="11" t="e">
        <f>IF(ISBLANK(GSPC[[#This Row],[Long Exp.]]), "", (GSPC[[#This Row],[Long Exp.]]/D2657-1)+(E2657/GSPC[[#This Row],[Short Exp.]]-1))</f>
        <v>#VALUE!</v>
      </c>
    </row>
    <row r="2657" spans="1:6" x14ac:dyDescent="0.25">
      <c r="A2657" s="37">
        <v>26497</v>
      </c>
      <c r="B2657" s="39">
        <v>106.660004</v>
      </c>
      <c r="C2657" s="36">
        <f>IF(ISBLANK(B2658), "", GSPC[[#This Row],[Adj Close]]/B2658-1)</f>
        <v>-1.3108520231034371E-3</v>
      </c>
      <c r="D265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5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57" s="11" t="e">
        <f>IF(ISBLANK(GSPC[[#This Row],[Long Exp.]]), "", (GSPC[[#This Row],[Long Exp.]]/D2658-1)+(E2658/GSPC[[#This Row],[Short Exp.]]-1))</f>
        <v>#VALUE!</v>
      </c>
    </row>
    <row r="2658" spans="1:6" x14ac:dyDescent="0.25">
      <c r="A2658" s="37">
        <v>26490</v>
      </c>
      <c r="B2658" s="39">
        <v>106.800003</v>
      </c>
      <c r="C2658" s="36">
        <f>IF(ISBLANK(B2659), "", GSPC[[#This Row],[Adj Close]]/B2659-1)</f>
        <v>-1.738889470256888E-2</v>
      </c>
      <c r="D265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5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58" s="11" t="e">
        <f>IF(ISBLANK(GSPC[[#This Row],[Long Exp.]]), "", (GSPC[[#This Row],[Long Exp.]]/D2659-1)+(E2659/GSPC[[#This Row],[Short Exp.]]-1))</f>
        <v>#VALUE!</v>
      </c>
    </row>
    <row r="2659" spans="1:6" x14ac:dyDescent="0.25">
      <c r="A2659" s="37">
        <v>26483</v>
      </c>
      <c r="B2659" s="39">
        <v>108.69000200000001</v>
      </c>
      <c r="C2659" s="36">
        <f>IF(ISBLANK(B2660), "", GSPC[[#This Row],[Adj Close]]/B2660-1)</f>
        <v>1.4467080590508496E-2</v>
      </c>
      <c r="D265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5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59" s="11" t="e">
        <f>IF(ISBLANK(GSPC[[#This Row],[Long Exp.]]), "", (GSPC[[#This Row],[Long Exp.]]/D2660-1)+(E2660/GSPC[[#This Row],[Short Exp.]]-1))</f>
        <v>#VALUE!</v>
      </c>
    </row>
    <row r="2660" spans="1:6" x14ac:dyDescent="0.25">
      <c r="A2660" s="37">
        <v>26476</v>
      </c>
      <c r="B2660" s="39">
        <v>107.139999</v>
      </c>
      <c r="C2660" s="36">
        <f>IF(ISBLANK(B2661), "", GSPC[[#This Row],[Adj Close]]/B2661-1)</f>
        <v>-1.0436852602849878E-2</v>
      </c>
      <c r="D266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6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60" s="11" t="e">
        <f>IF(ISBLANK(GSPC[[#This Row],[Long Exp.]]), "", (GSPC[[#This Row],[Long Exp.]]/D2661-1)+(E2661/GSPC[[#This Row],[Short Exp.]]-1))</f>
        <v>#VALUE!</v>
      </c>
    </row>
    <row r="2661" spans="1:6" x14ac:dyDescent="0.25">
      <c r="A2661" s="37">
        <v>26469</v>
      </c>
      <c r="B2661" s="39">
        <v>108.269997</v>
      </c>
      <c r="C2661" s="36">
        <f>IF(ISBLANK(B2662), "", GSPC[[#This Row],[Adj Close]]/B2662-1)</f>
        <v>-8.3060169037829645E-4</v>
      </c>
      <c r="D266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6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61" s="11" t="e">
        <f>IF(ISBLANK(GSPC[[#This Row],[Long Exp.]]), "", (GSPC[[#This Row],[Long Exp.]]/D2662-1)+(E2662/GSPC[[#This Row],[Short Exp.]]-1))</f>
        <v>#VALUE!</v>
      </c>
    </row>
    <row r="2662" spans="1:6" x14ac:dyDescent="0.25">
      <c r="A2662" s="37">
        <v>26462</v>
      </c>
      <c r="B2662" s="39">
        <v>108.360001</v>
      </c>
      <c r="C2662" s="36">
        <f>IF(ISBLANK(B2663), "", GSPC[[#This Row],[Adj Close]]/B2663-1)</f>
        <v>1.4037057701318911E-2</v>
      </c>
      <c r="D266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6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62" s="11" t="e">
        <f>IF(ISBLANK(GSPC[[#This Row],[Long Exp.]]), "", (GSPC[[#This Row],[Long Exp.]]/D2663-1)+(E2663/GSPC[[#This Row],[Short Exp.]]-1))</f>
        <v>#VALUE!</v>
      </c>
    </row>
    <row r="2663" spans="1:6" x14ac:dyDescent="0.25">
      <c r="A2663" s="37">
        <v>26455</v>
      </c>
      <c r="B2663" s="39">
        <v>106.860001</v>
      </c>
      <c r="C2663" s="36">
        <f>IF(ISBLANK(B2664), "", GSPC[[#This Row],[Adj Close]]/B2664-1)</f>
        <v>-2.615512550382415E-2</v>
      </c>
      <c r="D266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6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63" s="11" t="e">
        <f>IF(ISBLANK(GSPC[[#This Row],[Long Exp.]]), "", (GSPC[[#This Row],[Long Exp.]]/D2664-1)+(E2664/GSPC[[#This Row],[Short Exp.]]-1))</f>
        <v>#VALUE!</v>
      </c>
    </row>
    <row r="2664" spans="1:6" x14ac:dyDescent="0.25">
      <c r="A2664" s="37">
        <v>26448</v>
      </c>
      <c r="B2664" s="39">
        <v>109.730003</v>
      </c>
      <c r="C2664" s="36">
        <f>IF(ISBLANK(B2665), "", GSPC[[#This Row],[Adj Close]]/B2665-1)</f>
        <v>-8.4041294630714525E-3</v>
      </c>
      <c r="D266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6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64" s="11" t="e">
        <f>IF(ISBLANK(GSPC[[#This Row],[Long Exp.]]), "", (GSPC[[#This Row],[Long Exp.]]/D2665-1)+(E2665/GSPC[[#This Row],[Short Exp.]]-1))</f>
        <v>#VALUE!</v>
      </c>
    </row>
    <row r="2665" spans="1:6" x14ac:dyDescent="0.25">
      <c r="A2665" s="37">
        <v>26441</v>
      </c>
      <c r="B2665" s="39">
        <v>110.660004</v>
      </c>
      <c r="C2665" s="36">
        <f>IF(ISBLANK(B2666), "", GSPC[[#This Row],[Adj Close]]/B2666-1)</f>
        <v>1.5415681352110022E-2</v>
      </c>
      <c r="D266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6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65" s="11" t="e">
        <f>IF(ISBLANK(GSPC[[#This Row],[Long Exp.]]), "", (GSPC[[#This Row],[Long Exp.]]/D2666-1)+(E2666/GSPC[[#This Row],[Short Exp.]]-1))</f>
        <v>#VALUE!</v>
      </c>
    </row>
    <row r="2666" spans="1:6" x14ac:dyDescent="0.25">
      <c r="A2666" s="37">
        <v>26434</v>
      </c>
      <c r="B2666" s="39">
        <v>108.980003</v>
      </c>
      <c r="C2666" s="36">
        <f>IF(ISBLANK(B2667), "", GSPC[[#This Row],[Adj Close]]/B2667-1)</f>
        <v>2.4440741429988977E-2</v>
      </c>
      <c r="D266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6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66" s="11" t="e">
        <f>IF(ISBLANK(GSPC[[#This Row],[Long Exp.]]), "", (GSPC[[#This Row],[Long Exp.]]/D2667-1)+(E2667/GSPC[[#This Row],[Short Exp.]]-1))</f>
        <v>#VALUE!</v>
      </c>
    </row>
    <row r="2667" spans="1:6" x14ac:dyDescent="0.25">
      <c r="A2667" s="37">
        <v>26427</v>
      </c>
      <c r="B2667" s="39">
        <v>106.379997</v>
      </c>
      <c r="C2667" s="36">
        <f>IF(ISBLANK(B2668), "", GSPC[[#This Row],[Adj Close]]/B2668-1)</f>
        <v>-2.344556007068066E-3</v>
      </c>
      <c r="D266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6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67" s="11" t="e">
        <f>IF(ISBLANK(GSPC[[#This Row],[Long Exp.]]), "", (GSPC[[#This Row],[Long Exp.]]/D2668-1)+(E2668/GSPC[[#This Row],[Short Exp.]]-1))</f>
        <v>#VALUE!</v>
      </c>
    </row>
    <row r="2668" spans="1:6" x14ac:dyDescent="0.25">
      <c r="A2668" s="37">
        <v>26420</v>
      </c>
      <c r="B2668" s="39">
        <v>106.629997</v>
      </c>
      <c r="C2668" s="36">
        <f>IF(ISBLANK(B2669), "", GSPC[[#This Row],[Adj Close]]/B2669-1)</f>
        <v>-9.6591531468218639E-3</v>
      </c>
      <c r="D266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6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68" s="11" t="e">
        <f>IF(ISBLANK(GSPC[[#This Row],[Long Exp.]]), "", (GSPC[[#This Row],[Long Exp.]]/D2669-1)+(E2669/GSPC[[#This Row],[Short Exp.]]-1))</f>
        <v>#VALUE!</v>
      </c>
    </row>
    <row r="2669" spans="1:6" x14ac:dyDescent="0.25">
      <c r="A2669" s="37">
        <v>26413</v>
      </c>
      <c r="B2669" s="39">
        <v>107.66999800000001</v>
      </c>
      <c r="C2669" s="36">
        <f>IF(ISBLANK(B2670), "", GSPC[[#This Row],[Adj Close]]/B2670-1)</f>
        <v>-1.1203976592928377E-2</v>
      </c>
      <c r="D266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6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69" s="11" t="e">
        <f>IF(ISBLANK(GSPC[[#This Row],[Long Exp.]]), "", (GSPC[[#This Row],[Long Exp.]]/D2670-1)+(E2670/GSPC[[#This Row],[Short Exp.]]-1))</f>
        <v>#VALUE!</v>
      </c>
    </row>
    <row r="2670" spans="1:6" x14ac:dyDescent="0.25">
      <c r="A2670" s="37">
        <v>26406</v>
      </c>
      <c r="B2670" s="39">
        <v>108.889999</v>
      </c>
      <c r="C2670" s="36">
        <f>IF(ISBLANK(B2671), "", GSPC[[#This Row],[Adj Close]]/B2671-1)</f>
        <v>-8.6489169209365002E-3</v>
      </c>
      <c r="D267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7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70" s="11" t="e">
        <f>IF(ISBLANK(GSPC[[#This Row],[Long Exp.]]), "", (GSPC[[#This Row],[Long Exp.]]/D2671-1)+(E2671/GSPC[[#This Row],[Short Exp.]]-1))</f>
        <v>#VALUE!</v>
      </c>
    </row>
    <row r="2671" spans="1:6" x14ac:dyDescent="0.25">
      <c r="A2671" s="37">
        <v>26399</v>
      </c>
      <c r="B2671" s="39">
        <v>109.839996</v>
      </c>
      <c r="C2671" s="36">
        <f>IF(ISBLANK(B2672), "", GSPC[[#This Row],[Adj Close]]/B2672-1)</f>
        <v>2.0068691295329621E-3</v>
      </c>
      <c r="D267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7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71" s="11" t="e">
        <f>IF(ISBLANK(GSPC[[#This Row],[Long Exp.]]), "", (GSPC[[#This Row],[Long Exp.]]/D2672-1)+(E2672/GSPC[[#This Row],[Short Exp.]]-1))</f>
        <v>#VALUE!</v>
      </c>
    </row>
    <row r="2672" spans="1:6" x14ac:dyDescent="0.25">
      <c r="A2672" s="37">
        <v>26392</v>
      </c>
      <c r="B2672" s="39">
        <v>109.620003</v>
      </c>
      <c r="C2672" s="36">
        <f>IF(ISBLANK(B2673), "", GSPC[[#This Row],[Adj Close]]/B2673-1)</f>
        <v>2.2574683467575074E-2</v>
      </c>
      <c r="D267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7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72" s="11" t="e">
        <f>IF(ISBLANK(GSPC[[#This Row],[Long Exp.]]), "", (GSPC[[#This Row],[Long Exp.]]/D2673-1)+(E2673/GSPC[[#This Row],[Short Exp.]]-1))</f>
        <v>#VALUE!</v>
      </c>
    </row>
    <row r="2673" spans="1:6" x14ac:dyDescent="0.25">
      <c r="A2673" s="37">
        <v>26385</v>
      </c>
      <c r="B2673" s="39">
        <v>107.199997</v>
      </c>
      <c r="C2673" s="36">
        <f>IF(ISBLANK(B2674), "", GSPC[[#This Row],[Adj Close]]/B2674-1)</f>
        <v>-2.9761905592315951E-3</v>
      </c>
      <c r="D267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7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73" s="11" t="e">
        <f>IF(ISBLANK(GSPC[[#This Row],[Long Exp.]]), "", (GSPC[[#This Row],[Long Exp.]]/D2674-1)+(E2674/GSPC[[#This Row],[Short Exp.]]-1))</f>
        <v>#VALUE!</v>
      </c>
    </row>
    <row r="2674" spans="1:6" x14ac:dyDescent="0.25">
      <c r="A2674" s="37">
        <v>26378</v>
      </c>
      <c r="B2674" s="39">
        <v>107.519997</v>
      </c>
      <c r="C2674" s="36">
        <f>IF(ISBLANK(B2675), "", GSPC[[#This Row],[Adj Close]]/B2675-1)</f>
        <v>-3.7064585564577923E-3</v>
      </c>
      <c r="D267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7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74" s="11" t="e">
        <f>IF(ISBLANK(GSPC[[#This Row],[Long Exp.]]), "", (GSPC[[#This Row],[Long Exp.]]/D2675-1)+(E2675/GSPC[[#This Row],[Short Exp.]]-1))</f>
        <v>#VALUE!</v>
      </c>
    </row>
    <row r="2675" spans="1:6" x14ac:dyDescent="0.25">
      <c r="A2675" s="37">
        <v>26371</v>
      </c>
      <c r="B2675" s="39">
        <v>107.91999800000001</v>
      </c>
      <c r="C2675" s="36">
        <f>IF(ISBLANK(B2676), "", GSPC[[#This Row],[Adj Close]]/B2676-1)</f>
        <v>-4.2443164120035126E-3</v>
      </c>
      <c r="D267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7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75" s="11" t="e">
        <f>IF(ISBLANK(GSPC[[#This Row],[Long Exp.]]), "", (GSPC[[#This Row],[Long Exp.]]/D2676-1)+(E2676/GSPC[[#This Row],[Short Exp.]]-1))</f>
        <v>#VALUE!</v>
      </c>
    </row>
    <row r="2676" spans="1:6" x14ac:dyDescent="0.25">
      <c r="A2676" s="37">
        <v>26364</v>
      </c>
      <c r="B2676" s="39">
        <v>108.379997</v>
      </c>
      <c r="C2676" s="36">
        <f>IF(ISBLANK(B2677), "", GSPC[[#This Row],[Adj Close]]/B2677-1)</f>
        <v>4.0762923091293146E-3</v>
      </c>
      <c r="D267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7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76" s="11" t="e">
        <f>IF(ISBLANK(GSPC[[#This Row],[Long Exp.]]), "", (GSPC[[#This Row],[Long Exp.]]/D2677-1)+(E2677/GSPC[[#This Row],[Short Exp.]]-1))</f>
        <v>#VALUE!</v>
      </c>
    </row>
    <row r="2677" spans="1:6" x14ac:dyDescent="0.25">
      <c r="A2677" s="37">
        <v>26357</v>
      </c>
      <c r="B2677" s="39">
        <v>107.94000200000001</v>
      </c>
      <c r="C2677" s="36">
        <f>IF(ISBLANK(B2678), "", GSPC[[#This Row],[Adj Close]]/B2678-1)</f>
        <v>1.6575645130909811E-2</v>
      </c>
      <c r="D267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7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77" s="11" t="e">
        <f>IF(ISBLANK(GSPC[[#This Row],[Long Exp.]]), "", (GSPC[[#This Row],[Long Exp.]]/D2678-1)+(E2678/GSPC[[#This Row],[Short Exp.]]-1))</f>
        <v>#VALUE!</v>
      </c>
    </row>
    <row r="2678" spans="1:6" x14ac:dyDescent="0.25">
      <c r="A2678" s="37">
        <v>26350</v>
      </c>
      <c r="B2678" s="39">
        <v>106.18</v>
      </c>
      <c r="C2678" s="36">
        <f>IF(ISBLANK(B2679), "", GSPC[[#This Row],[Adj Close]]/B2679-1)</f>
        <v>8.5486417985243257E-3</v>
      </c>
      <c r="D267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7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78" s="11" t="e">
        <f>IF(ISBLANK(GSPC[[#This Row],[Long Exp.]]), "", (GSPC[[#This Row],[Long Exp.]]/D2679-1)+(E2679/GSPC[[#This Row],[Short Exp.]]-1))</f>
        <v>#VALUE!</v>
      </c>
    </row>
    <row r="2679" spans="1:6" x14ac:dyDescent="0.25">
      <c r="A2679" s="37">
        <v>26343</v>
      </c>
      <c r="B2679" s="39">
        <v>105.279999</v>
      </c>
      <c r="C2679" s="36">
        <f>IF(ISBLANK(B2680), "", GSPC[[#This Row],[Adj Close]]/B2680-1)</f>
        <v>1.9032831765648517E-3</v>
      </c>
      <c r="D267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7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79" s="11" t="e">
        <f>IF(ISBLANK(GSPC[[#This Row],[Long Exp.]]), "", (GSPC[[#This Row],[Long Exp.]]/D2680-1)+(E2680/GSPC[[#This Row],[Short Exp.]]-1))</f>
        <v>#VALUE!</v>
      </c>
    </row>
    <row r="2680" spans="1:6" x14ac:dyDescent="0.25">
      <c r="A2680" s="37">
        <v>26336</v>
      </c>
      <c r="B2680" s="39">
        <v>105.08000199999999</v>
      </c>
      <c r="C2680" s="36">
        <f>IF(ISBLANK(B2681), "", GSPC[[#This Row],[Adj Close]]/B2681-1)</f>
        <v>2.098044992389303E-3</v>
      </c>
      <c r="D268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8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80" s="11" t="e">
        <f>IF(ISBLANK(GSPC[[#This Row],[Long Exp.]]), "", (GSPC[[#This Row],[Long Exp.]]/D2681-1)+(E2681/GSPC[[#This Row],[Short Exp.]]-1))</f>
        <v>#VALUE!</v>
      </c>
    </row>
    <row r="2681" spans="1:6" x14ac:dyDescent="0.25">
      <c r="A2681" s="37">
        <v>26329</v>
      </c>
      <c r="B2681" s="39">
        <v>104.860001</v>
      </c>
      <c r="C2681" s="36">
        <f>IF(ISBLANK(B2682), "", GSPC[[#This Row],[Adj Close]]/B2682-1)</f>
        <v>6.7204010476036302E-3</v>
      </c>
      <c r="D268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8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81" s="11" t="e">
        <f>IF(ISBLANK(GSPC[[#This Row],[Long Exp.]]), "", (GSPC[[#This Row],[Long Exp.]]/D2682-1)+(E2682/GSPC[[#This Row],[Short Exp.]]-1))</f>
        <v>#VALUE!</v>
      </c>
    </row>
    <row r="2682" spans="1:6" x14ac:dyDescent="0.25">
      <c r="A2682" s="37">
        <v>26322</v>
      </c>
      <c r="B2682" s="39">
        <v>104.160004</v>
      </c>
      <c r="C2682" s="36">
        <f>IF(ISBLANK(B2683), "", GSPC[[#This Row],[Adj Close]]/B2683-1)</f>
        <v>4.9204244106044737E-3</v>
      </c>
      <c r="D268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8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82" s="11" t="e">
        <f>IF(ISBLANK(GSPC[[#This Row],[Long Exp.]]), "", (GSPC[[#This Row],[Long Exp.]]/D2683-1)+(E2683/GSPC[[#This Row],[Short Exp.]]-1))</f>
        <v>#VALUE!</v>
      </c>
    </row>
    <row r="2683" spans="1:6" x14ac:dyDescent="0.25">
      <c r="A2683" s="37">
        <v>26315</v>
      </c>
      <c r="B2683" s="39">
        <v>103.650002</v>
      </c>
      <c r="C2683" s="36">
        <f>IF(ISBLANK(B2684), "", GSPC[[#This Row],[Adj Close]]/B2684-1)</f>
        <v>2.5147790164887773E-3</v>
      </c>
      <c r="D268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8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83" s="11" t="e">
        <f>IF(ISBLANK(GSPC[[#This Row],[Long Exp.]]), "", (GSPC[[#This Row],[Long Exp.]]/D2684-1)+(E2684/GSPC[[#This Row],[Short Exp.]]-1))</f>
        <v>#VALUE!</v>
      </c>
    </row>
    <row r="2684" spans="1:6" x14ac:dyDescent="0.25">
      <c r="A2684" s="37">
        <v>26308</v>
      </c>
      <c r="B2684" s="39">
        <v>103.389999</v>
      </c>
      <c r="C2684" s="36">
        <f>IF(ISBLANK(B2685), "", GSPC[[#This Row],[Adj Close]]/B2685-1)</f>
        <v>-7.7319028923172883E-4</v>
      </c>
      <c r="D268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8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84" s="11" t="e">
        <f>IF(ISBLANK(GSPC[[#This Row],[Long Exp.]]), "", (GSPC[[#This Row],[Long Exp.]]/D2685-1)+(E2685/GSPC[[#This Row],[Short Exp.]]-1))</f>
        <v>#VALUE!</v>
      </c>
    </row>
    <row r="2685" spans="1:6" x14ac:dyDescent="0.25">
      <c r="A2685" s="37">
        <v>26301</v>
      </c>
      <c r="B2685" s="39">
        <v>103.470001</v>
      </c>
      <c r="C2685" s="36">
        <f>IF(ISBLANK(B2686), "", GSPC[[#This Row],[Adj Close]]/B2686-1)</f>
        <v>1.3517534078461457E-2</v>
      </c>
      <c r="D268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8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85" s="11" t="e">
        <f>IF(ISBLANK(GSPC[[#This Row],[Long Exp.]]), "", (GSPC[[#This Row],[Long Exp.]]/D2686-1)+(E2686/GSPC[[#This Row],[Short Exp.]]-1))</f>
        <v>#VALUE!</v>
      </c>
    </row>
    <row r="2686" spans="1:6" x14ac:dyDescent="0.25">
      <c r="A2686" s="37">
        <v>26294</v>
      </c>
      <c r="B2686" s="39">
        <v>102.089996</v>
      </c>
      <c r="C2686" s="36">
        <f>IF(ISBLANK(B2687), "", GSPC[[#This Row],[Adj Close]]/B2687-1)</f>
        <v>1.3400814242620962E-2</v>
      </c>
      <c r="D268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8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86" s="11" t="e">
        <f>IF(ISBLANK(GSPC[[#This Row],[Long Exp.]]), "", (GSPC[[#This Row],[Long Exp.]]/D2687-1)+(E2687/GSPC[[#This Row],[Short Exp.]]-1))</f>
        <v>#VALUE!</v>
      </c>
    </row>
    <row r="2687" spans="1:6" x14ac:dyDescent="0.25">
      <c r="A2687" s="37">
        <v>26287</v>
      </c>
      <c r="B2687" s="44">
        <v>100.739998</v>
      </c>
      <c r="C2687" s="36">
        <f>IF(ISBLANK(B2688), "", GSPC[[#This Row],[Adj Close]]/B2688-1)</f>
        <v>4.7875123720824142E-3</v>
      </c>
      <c r="D268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8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87" s="11" t="e">
        <f>IF(ISBLANK(GSPC[[#This Row],[Long Exp.]]), "", (GSPC[[#This Row],[Long Exp.]]/D2688-1)+(E2688/GSPC[[#This Row],[Short Exp.]]-1))</f>
        <v>#VALUE!</v>
      </c>
    </row>
    <row r="2688" spans="1:6" x14ac:dyDescent="0.25">
      <c r="A2688" s="37">
        <v>26280</v>
      </c>
      <c r="B2688" s="44">
        <v>100.260002</v>
      </c>
      <c r="C2688" s="36">
        <f>IF(ISBLANK(B2689), "", GSPC[[#This Row],[Adj Close]]/B2689-1)</f>
        <v>2.6307707517500001E-2</v>
      </c>
      <c r="D268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8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88" s="11" t="e">
        <f>IF(ISBLANK(GSPC[[#This Row],[Long Exp.]]), "", (GSPC[[#This Row],[Long Exp.]]/D2689-1)+(E2689/GSPC[[#This Row],[Short Exp.]]-1))</f>
        <v>#VALUE!</v>
      </c>
    </row>
    <row r="2689" spans="1:6" x14ac:dyDescent="0.25">
      <c r="A2689" s="37">
        <v>26273</v>
      </c>
      <c r="B2689" s="44">
        <v>97.690002000000007</v>
      </c>
      <c r="C2689" s="36">
        <f>IF(ISBLANK(B2690), "", GSPC[[#This Row],[Adj Close]]/B2690-1)</f>
        <v>6.4908717595482113E-3</v>
      </c>
      <c r="D268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8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89" s="11" t="e">
        <f>IF(ISBLANK(GSPC[[#This Row],[Long Exp.]]), "", (GSPC[[#This Row],[Long Exp.]]/D2690-1)+(E2690/GSPC[[#This Row],[Short Exp.]]-1))</f>
        <v>#VALUE!</v>
      </c>
    </row>
    <row r="2690" spans="1:6" x14ac:dyDescent="0.25">
      <c r="A2690" s="37">
        <v>26266</v>
      </c>
      <c r="B2690" s="44">
        <v>97.059997999999993</v>
      </c>
      <c r="C2690" s="36">
        <f>IF(ISBLANK(B2691), "", GSPC[[#This Row],[Adj Close]]/B2691-1)</f>
        <v>5.5688447777062056E-2</v>
      </c>
      <c r="D269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9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90" s="11" t="e">
        <f>IF(ISBLANK(GSPC[[#This Row],[Long Exp.]]), "", (GSPC[[#This Row],[Long Exp.]]/D2691-1)+(E2691/GSPC[[#This Row],[Short Exp.]]-1))</f>
        <v>#VALUE!</v>
      </c>
    </row>
    <row r="2691" spans="1:6" x14ac:dyDescent="0.25">
      <c r="A2691" s="37">
        <v>26259</v>
      </c>
      <c r="B2691" s="44">
        <v>91.940002000000007</v>
      </c>
      <c r="C2691" s="36">
        <f>IF(ISBLANK(B2692), "", GSPC[[#This Row],[Adj Close]]/B2692-1)</f>
        <v>3.6022377076494472E-3</v>
      </c>
      <c r="D269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9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91" s="11" t="e">
        <f>IF(ISBLANK(GSPC[[#This Row],[Long Exp.]]), "", (GSPC[[#This Row],[Long Exp.]]/D2692-1)+(E2692/GSPC[[#This Row],[Short Exp.]]-1))</f>
        <v>#VALUE!</v>
      </c>
    </row>
    <row r="2692" spans="1:6" x14ac:dyDescent="0.25">
      <c r="A2692" s="37">
        <v>26252</v>
      </c>
      <c r="B2692" s="44">
        <v>91.610000999999997</v>
      </c>
      <c r="C2692" s="36">
        <f>IF(ISBLANK(B2693), "", GSPC[[#This Row],[Adj Close]]/B2693-1)</f>
        <v>-5.5362785865302744E-3</v>
      </c>
      <c r="D269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9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92" s="11" t="e">
        <f>IF(ISBLANK(GSPC[[#This Row],[Long Exp.]]), "", (GSPC[[#This Row],[Long Exp.]]/D2693-1)+(E2693/GSPC[[#This Row],[Short Exp.]]-1))</f>
        <v>#VALUE!</v>
      </c>
    </row>
    <row r="2693" spans="1:6" x14ac:dyDescent="0.25">
      <c r="A2693" s="37">
        <v>26245</v>
      </c>
      <c r="B2693" s="44">
        <v>92.120002999999997</v>
      </c>
      <c r="C2693" s="36">
        <f>IF(ISBLANK(B2694), "", GSPC[[#This Row],[Adj Close]]/B2694-1)</f>
        <v>-2.4772348346097317E-2</v>
      </c>
      <c r="D269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9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93" s="11" t="e">
        <f>IF(ISBLANK(GSPC[[#This Row],[Long Exp.]]), "", (GSPC[[#This Row],[Long Exp.]]/D2694-1)+(E2694/GSPC[[#This Row],[Short Exp.]]-1))</f>
        <v>#VALUE!</v>
      </c>
    </row>
    <row r="2694" spans="1:6" x14ac:dyDescent="0.25">
      <c r="A2694" s="37">
        <v>26238</v>
      </c>
      <c r="B2694" s="44">
        <v>94.459998999999996</v>
      </c>
      <c r="C2694" s="36">
        <f>IF(ISBLANK(B2695), "", GSPC[[#This Row],[Adj Close]]/B2695-1)</f>
        <v>2.4407937246908595E-3</v>
      </c>
      <c r="D269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9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94" s="11" t="e">
        <f>IF(ISBLANK(GSPC[[#This Row],[Long Exp.]]), "", (GSPC[[#This Row],[Long Exp.]]/D2695-1)+(E2695/GSPC[[#This Row],[Short Exp.]]-1))</f>
        <v>#VALUE!</v>
      </c>
    </row>
    <row r="2695" spans="1:6" x14ac:dyDescent="0.25">
      <c r="A2695" s="37">
        <v>26231</v>
      </c>
      <c r="B2695" s="44">
        <v>94.230002999999996</v>
      </c>
      <c r="C2695" s="36">
        <f>IF(ISBLANK(B2696), "", GSPC[[#This Row],[Adj Close]]/B2696-1)</f>
        <v>-1.4021104949251795E-2</v>
      </c>
      <c r="D269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9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95" s="11" t="e">
        <f>IF(ISBLANK(GSPC[[#This Row],[Long Exp.]]), "", (GSPC[[#This Row],[Long Exp.]]/D2696-1)+(E2696/GSPC[[#This Row],[Short Exp.]]-1))</f>
        <v>#VALUE!</v>
      </c>
    </row>
    <row r="2696" spans="1:6" x14ac:dyDescent="0.25">
      <c r="A2696" s="37">
        <v>26224</v>
      </c>
      <c r="B2696" s="44">
        <v>95.57</v>
      </c>
      <c r="C2696" s="36">
        <f>IF(ISBLANK(B2697), "", GSPC[[#This Row],[Adj Close]]/B2697-1)</f>
        <v>-2.2701717734924798E-2</v>
      </c>
      <c r="D269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9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96" s="11" t="e">
        <f>IF(ISBLANK(GSPC[[#This Row],[Long Exp.]]), "", (GSPC[[#This Row],[Long Exp.]]/D2697-1)+(E2697/GSPC[[#This Row],[Short Exp.]]-1))</f>
        <v>#VALUE!</v>
      </c>
    </row>
    <row r="2697" spans="1:6" x14ac:dyDescent="0.25">
      <c r="A2697" s="37">
        <v>26217</v>
      </c>
      <c r="B2697" s="44">
        <v>97.790001000000004</v>
      </c>
      <c r="C2697" s="36">
        <f>IF(ISBLANK(B2698), "", GSPC[[#This Row],[Adj Close]]/B2698-1)</f>
        <v>-1.5801127055141584E-2</v>
      </c>
      <c r="D269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9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97" s="11" t="e">
        <f>IF(ISBLANK(GSPC[[#This Row],[Long Exp.]]), "", (GSPC[[#This Row],[Long Exp.]]/D2698-1)+(E2698/GSPC[[#This Row],[Short Exp.]]-1))</f>
        <v>#VALUE!</v>
      </c>
    </row>
    <row r="2698" spans="1:6" x14ac:dyDescent="0.25">
      <c r="A2698" s="37">
        <v>26210</v>
      </c>
      <c r="B2698" s="44">
        <v>99.360000999999997</v>
      </c>
      <c r="C2698" s="36">
        <f>IF(ISBLANK(B2699), "", GSPC[[#This Row],[Adj Close]]/B2699-1)</f>
        <v>4.3465177398158694E-3</v>
      </c>
      <c r="D269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9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98" s="11" t="e">
        <f>IF(ISBLANK(GSPC[[#This Row],[Long Exp.]]), "", (GSPC[[#This Row],[Long Exp.]]/D2699-1)+(E2699/GSPC[[#This Row],[Short Exp.]]-1))</f>
        <v>#VALUE!</v>
      </c>
    </row>
    <row r="2699" spans="1:6" x14ac:dyDescent="0.25">
      <c r="A2699" s="37">
        <v>26203</v>
      </c>
      <c r="B2699" s="44">
        <v>98.93</v>
      </c>
      <c r="C2699" s="36">
        <f>IF(ISBLANK(B2700), "", GSPC[[#This Row],[Adj Close]]/B2700-1)</f>
        <v>7.9469993286398477E-3</v>
      </c>
      <c r="D269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69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699" s="11" t="e">
        <f>IF(ISBLANK(GSPC[[#This Row],[Long Exp.]]), "", (GSPC[[#This Row],[Long Exp.]]/D2700-1)+(E2700/GSPC[[#This Row],[Short Exp.]]-1))</f>
        <v>#VALUE!</v>
      </c>
    </row>
    <row r="2700" spans="1:6" x14ac:dyDescent="0.25">
      <c r="A2700" s="37">
        <v>26196</v>
      </c>
      <c r="B2700" s="44">
        <v>98.150002000000001</v>
      </c>
      <c r="C2700" s="36">
        <f>IF(ISBLANK(B2701), "", GSPC[[#This Row],[Adj Close]]/B2701-1)</f>
        <v>-1.8107213066298589E-2</v>
      </c>
      <c r="D270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0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00" s="11" t="e">
        <f>IF(ISBLANK(GSPC[[#This Row],[Long Exp.]]), "", (GSPC[[#This Row],[Long Exp.]]/D2701-1)+(E2701/GSPC[[#This Row],[Short Exp.]]-1))</f>
        <v>#VALUE!</v>
      </c>
    </row>
    <row r="2701" spans="1:6" x14ac:dyDescent="0.25">
      <c r="A2701" s="37">
        <v>26189</v>
      </c>
      <c r="B2701" s="44">
        <v>99.959998999999996</v>
      </c>
      <c r="C2701" s="36">
        <f>IF(ISBLANK(B2702), "", GSPC[[#This Row],[Adj Close]]/B2702-1)</f>
        <v>-4.5807509376768474E-3</v>
      </c>
      <c r="D270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0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01" s="11" t="e">
        <f>IF(ISBLANK(GSPC[[#This Row],[Long Exp.]]), "", (GSPC[[#This Row],[Long Exp.]]/D2702-1)+(E2702/GSPC[[#This Row],[Short Exp.]]-1))</f>
        <v>#VALUE!</v>
      </c>
    </row>
    <row r="2702" spans="1:6" x14ac:dyDescent="0.25">
      <c r="A2702" s="37">
        <v>26182</v>
      </c>
      <c r="B2702" s="44">
        <v>100.41999800000001</v>
      </c>
      <c r="C2702" s="36">
        <f>IF(ISBLANK(B2703), "", GSPC[[#This Row],[Adj Close]]/B2703-1)</f>
        <v>-2.6815373387319985E-3</v>
      </c>
      <c r="D270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0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02" s="11" t="e">
        <f>IF(ISBLANK(GSPC[[#This Row],[Long Exp.]]), "", (GSPC[[#This Row],[Long Exp.]]/D2703-1)+(E2703/GSPC[[#This Row],[Short Exp.]]-1))</f>
        <v>#VALUE!</v>
      </c>
    </row>
    <row r="2703" spans="1:6" x14ac:dyDescent="0.25">
      <c r="A2703" s="37">
        <v>26175</v>
      </c>
      <c r="B2703" s="44">
        <v>100.69000200000001</v>
      </c>
      <c r="C2703" s="36">
        <f>IF(ISBLANK(B2704), "", GSPC[[#This Row],[Adj Close]]/B2704-1)</f>
        <v>2.0899581382378685E-3</v>
      </c>
      <c r="D270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0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03" s="11" t="e">
        <f>IF(ISBLANK(GSPC[[#This Row],[Long Exp.]]), "", (GSPC[[#This Row],[Long Exp.]]/D2704-1)+(E2704/GSPC[[#This Row],[Short Exp.]]-1))</f>
        <v>#VALUE!</v>
      </c>
    </row>
    <row r="2704" spans="1:6" x14ac:dyDescent="0.25">
      <c r="A2704" s="37">
        <v>26168</v>
      </c>
      <c r="B2704" s="44">
        <v>100.480003</v>
      </c>
      <c r="C2704" s="36">
        <f>IF(ISBLANK(B2705), "", GSPC[[#This Row],[Adj Close]]/B2705-1)</f>
        <v>2.186515769622388E-2</v>
      </c>
      <c r="D270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0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04" s="11" t="e">
        <f>IF(ISBLANK(GSPC[[#This Row],[Long Exp.]]), "", (GSPC[[#This Row],[Long Exp.]]/D2705-1)+(E2705/GSPC[[#This Row],[Short Exp.]]-1))</f>
        <v>#VALUE!</v>
      </c>
    </row>
    <row r="2705" spans="1:6" x14ac:dyDescent="0.25">
      <c r="A2705" s="37">
        <v>26161</v>
      </c>
      <c r="B2705" s="44">
        <v>98.330001999999993</v>
      </c>
      <c r="C2705" s="36">
        <f>IF(ISBLANK(B2706), "", GSPC[[#This Row],[Adj Close]]/B2706-1)</f>
        <v>2.7589089192411098E-2</v>
      </c>
      <c r="D270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0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05" s="11" t="e">
        <f>IF(ISBLANK(GSPC[[#This Row],[Long Exp.]]), "", (GSPC[[#This Row],[Long Exp.]]/D2706-1)+(E2706/GSPC[[#This Row],[Short Exp.]]-1))</f>
        <v>#VALUE!</v>
      </c>
    </row>
    <row r="2706" spans="1:6" x14ac:dyDescent="0.25">
      <c r="A2706" s="37">
        <v>26154</v>
      </c>
      <c r="B2706" s="44">
        <v>95.690002000000007</v>
      </c>
      <c r="C2706" s="36">
        <f>IF(ISBLANK(B2707), "", GSPC[[#This Row],[Adj Close]]/B2707-1)</f>
        <v>1.5278535809018612E-2</v>
      </c>
      <c r="D270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0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06" s="11" t="e">
        <f>IF(ISBLANK(GSPC[[#This Row],[Long Exp.]]), "", (GSPC[[#This Row],[Long Exp.]]/D2707-1)+(E2707/GSPC[[#This Row],[Short Exp.]]-1))</f>
        <v>#VALUE!</v>
      </c>
    </row>
    <row r="2707" spans="1:6" x14ac:dyDescent="0.25">
      <c r="A2707" s="37">
        <v>26147</v>
      </c>
      <c r="B2707" s="44">
        <v>94.25</v>
      </c>
      <c r="C2707" s="36">
        <f>IF(ISBLANK(B2708), "", GSPC[[#This Row],[Adj Close]]/B2708-1)</f>
        <v>-1.3915065622199907E-2</v>
      </c>
      <c r="D270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0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07" s="11" t="e">
        <f>IF(ISBLANK(GSPC[[#This Row],[Long Exp.]]), "", (GSPC[[#This Row],[Long Exp.]]/D2708-1)+(E2708/GSPC[[#This Row],[Short Exp.]]-1))</f>
        <v>#VALUE!</v>
      </c>
    </row>
    <row r="2708" spans="1:6" x14ac:dyDescent="0.25">
      <c r="A2708" s="37">
        <v>26140</v>
      </c>
      <c r="B2708" s="44">
        <v>95.580001999999993</v>
      </c>
      <c r="C2708" s="36">
        <f>IF(ISBLANK(B2709), "", GSPC[[#This Row],[Adj Close]]/B2709-1)</f>
        <v>-3.3959975056398473E-2</v>
      </c>
      <c r="D270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0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08" s="11" t="e">
        <f>IF(ISBLANK(GSPC[[#This Row],[Long Exp.]]), "", (GSPC[[#This Row],[Long Exp.]]/D2709-1)+(E2709/GSPC[[#This Row],[Short Exp.]]-1))</f>
        <v>#VALUE!</v>
      </c>
    </row>
    <row r="2709" spans="1:6" x14ac:dyDescent="0.25">
      <c r="A2709" s="37">
        <v>26133</v>
      </c>
      <c r="B2709" s="44">
        <v>98.940002000000007</v>
      </c>
      <c r="C2709" s="36">
        <f>IF(ISBLANK(B2710), "", GSPC[[#This Row],[Adj Close]]/B2710-1)</f>
        <v>-1.7152557591033624E-3</v>
      </c>
      <c r="D270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0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09" s="11" t="e">
        <f>IF(ISBLANK(GSPC[[#This Row],[Long Exp.]]), "", (GSPC[[#This Row],[Long Exp.]]/D2710-1)+(E2710/GSPC[[#This Row],[Short Exp.]]-1))</f>
        <v>#VALUE!</v>
      </c>
    </row>
    <row r="2710" spans="1:6" x14ac:dyDescent="0.25">
      <c r="A2710" s="37">
        <v>26126</v>
      </c>
      <c r="B2710" s="44">
        <v>99.110000999999997</v>
      </c>
      <c r="C2710" s="36">
        <f>IF(ISBLANK(B2711), "", GSPC[[#This Row],[Adj Close]]/B2711-1)</f>
        <v>-1.5691736702915238E-2</v>
      </c>
      <c r="D271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1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10" s="11" t="e">
        <f>IF(ISBLANK(GSPC[[#This Row],[Long Exp.]]), "", (GSPC[[#This Row],[Long Exp.]]/D2711-1)+(E2711/GSPC[[#This Row],[Short Exp.]]-1))</f>
        <v>#VALUE!</v>
      </c>
    </row>
    <row r="2711" spans="1:6" x14ac:dyDescent="0.25">
      <c r="A2711" s="37">
        <v>26119</v>
      </c>
      <c r="B2711" s="44">
        <v>100.69000200000001</v>
      </c>
      <c r="C2711" s="36">
        <f>IF(ISBLANK(B2712), "", GSPC[[#This Row],[Adj Close]]/B2712-1)</f>
        <v>9.1200942986580102E-3</v>
      </c>
      <c r="D271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1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11" s="11" t="e">
        <f>IF(ISBLANK(GSPC[[#This Row],[Long Exp.]]), "", (GSPC[[#This Row],[Long Exp.]]/D2712-1)+(E2712/GSPC[[#This Row],[Short Exp.]]-1))</f>
        <v>#VALUE!</v>
      </c>
    </row>
    <row r="2712" spans="1:6" x14ac:dyDescent="0.25">
      <c r="A2712" s="37">
        <v>26112</v>
      </c>
      <c r="B2712" s="44">
        <v>99.779999000000004</v>
      </c>
      <c r="C2712" s="36">
        <f>IF(ISBLANK(B2713), "", GSPC[[#This Row],[Adj Close]]/B2713-1)</f>
        <v>1.8267180697360663E-2</v>
      </c>
      <c r="D271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1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12" s="11" t="e">
        <f>IF(ISBLANK(GSPC[[#This Row],[Long Exp.]]), "", (GSPC[[#This Row],[Long Exp.]]/D2713-1)+(E2713/GSPC[[#This Row],[Short Exp.]]-1))</f>
        <v>#VALUE!</v>
      </c>
    </row>
    <row r="2713" spans="1:6" x14ac:dyDescent="0.25">
      <c r="A2713" s="37">
        <v>26105</v>
      </c>
      <c r="B2713" s="44">
        <v>97.989998</v>
      </c>
      <c r="C2713" s="36">
        <f>IF(ISBLANK(B2714), "", GSPC[[#This Row],[Adj Close]]/B2714-1)</f>
        <v>-9.9020207143374339E-3</v>
      </c>
      <c r="D271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1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13" s="11" t="e">
        <f>IF(ISBLANK(GSPC[[#This Row],[Long Exp.]]), "", (GSPC[[#This Row],[Long Exp.]]/D2714-1)+(E2714/GSPC[[#This Row],[Short Exp.]]-1))</f>
        <v>#VALUE!</v>
      </c>
    </row>
    <row r="2714" spans="1:6" x14ac:dyDescent="0.25">
      <c r="A2714" s="37">
        <v>26098</v>
      </c>
      <c r="B2714" s="44">
        <v>98.970000999999996</v>
      </c>
      <c r="C2714" s="36">
        <f>IF(ISBLANK(B2715), "", GSPC[[#This Row],[Adj Close]]/B2715-1)</f>
        <v>-2.077766894231714E-2</v>
      </c>
      <c r="D271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1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14" s="11" t="e">
        <f>IF(ISBLANK(GSPC[[#This Row],[Long Exp.]]), "", (GSPC[[#This Row],[Long Exp.]]/D2715-1)+(E2715/GSPC[[#This Row],[Short Exp.]]-1))</f>
        <v>#VALUE!</v>
      </c>
    </row>
    <row r="2715" spans="1:6" x14ac:dyDescent="0.25">
      <c r="A2715" s="37">
        <v>26091</v>
      </c>
      <c r="B2715" s="44">
        <v>101.07</v>
      </c>
      <c r="C2715" s="36">
        <f>IF(ISBLANK(B2716), "", GSPC[[#This Row],[Adj Close]]/B2716-1)</f>
        <v>-2.2705132595111088E-3</v>
      </c>
      <c r="D271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1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15" s="11" t="e">
        <f>IF(ISBLANK(GSPC[[#This Row],[Long Exp.]]), "", (GSPC[[#This Row],[Long Exp.]]/D2716-1)+(E2716/GSPC[[#This Row],[Short Exp.]]-1))</f>
        <v>#VALUE!</v>
      </c>
    </row>
    <row r="2716" spans="1:6" x14ac:dyDescent="0.25">
      <c r="A2716" s="37">
        <v>26084</v>
      </c>
      <c r="B2716" s="44">
        <v>101.300003</v>
      </c>
      <c r="C2716" s="36">
        <f>IF(ISBLANK(B2717), "", GSPC[[#This Row],[Adj Close]]/B2717-1)</f>
        <v>1.6762080199600904E-2</v>
      </c>
      <c r="D271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1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16" s="11" t="e">
        <f>IF(ISBLANK(GSPC[[#This Row],[Long Exp.]]), "", (GSPC[[#This Row],[Long Exp.]]/D2717-1)+(E2717/GSPC[[#This Row],[Short Exp.]]-1))</f>
        <v>#VALUE!</v>
      </c>
    </row>
    <row r="2717" spans="1:6" x14ac:dyDescent="0.25">
      <c r="A2717" s="37">
        <v>26077</v>
      </c>
      <c r="B2717" s="44">
        <v>99.629997000000003</v>
      </c>
      <c r="C2717" s="36">
        <f>IF(ISBLANK(B2718), "", GSPC[[#This Row],[Adj Close]]/B2718-1)</f>
        <v>-1.3466690037957973E-2</v>
      </c>
      <c r="D271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1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17" s="11" t="e">
        <f>IF(ISBLANK(GSPC[[#This Row],[Long Exp.]]), "", (GSPC[[#This Row],[Long Exp.]]/D2718-1)+(E2718/GSPC[[#This Row],[Short Exp.]]-1))</f>
        <v>#VALUE!</v>
      </c>
    </row>
    <row r="2718" spans="1:6" x14ac:dyDescent="0.25">
      <c r="A2718" s="37">
        <v>26070</v>
      </c>
      <c r="B2718" s="44">
        <v>100.989998</v>
      </c>
      <c r="C2718" s="36">
        <f>IF(ISBLANK(B2719), "", GSPC[[#This Row],[Adj Close]]/B2719-1)</f>
        <v>-1.1936219664770764E-2</v>
      </c>
      <c r="D271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1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18" s="11" t="e">
        <f>IF(ISBLANK(GSPC[[#This Row],[Long Exp.]]), "", (GSPC[[#This Row],[Long Exp.]]/D2719-1)+(E2719/GSPC[[#This Row],[Short Exp.]]-1))</f>
        <v>#VALUE!</v>
      </c>
    </row>
    <row r="2719" spans="1:6" x14ac:dyDescent="0.25">
      <c r="A2719" s="37">
        <v>26063</v>
      </c>
      <c r="B2719" s="44">
        <v>102.209999</v>
      </c>
      <c r="C2719" s="36">
        <f>IF(ISBLANK(B2720), "", GSPC[[#This Row],[Adj Close]]/B2720-1)</f>
        <v>-6.4159033805024634E-3</v>
      </c>
      <c r="D271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1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19" s="11" t="e">
        <f>IF(ISBLANK(GSPC[[#This Row],[Long Exp.]]), "", (GSPC[[#This Row],[Long Exp.]]/D2720-1)+(E2720/GSPC[[#This Row],[Short Exp.]]-1))</f>
        <v>#VALUE!</v>
      </c>
    </row>
    <row r="2720" spans="1:6" x14ac:dyDescent="0.25">
      <c r="A2720" s="37">
        <v>26056</v>
      </c>
      <c r="B2720" s="44">
        <v>102.870003</v>
      </c>
      <c r="C2720" s="36">
        <f>IF(ISBLANK(B2721), "", GSPC[[#This Row],[Adj Close]]/B2721-1)</f>
        <v>-1.0389552969395477E-2</v>
      </c>
      <c r="D272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2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20" s="11" t="e">
        <f>IF(ISBLANK(GSPC[[#This Row],[Long Exp.]]), "", (GSPC[[#This Row],[Long Exp.]]/D2721-1)+(E2721/GSPC[[#This Row],[Short Exp.]]-1))</f>
        <v>#VALUE!</v>
      </c>
    </row>
    <row r="2721" spans="1:6" x14ac:dyDescent="0.25">
      <c r="A2721" s="37">
        <v>26049</v>
      </c>
      <c r="B2721" s="44">
        <v>103.949997</v>
      </c>
      <c r="C2721" s="36">
        <f>IF(ISBLANK(B2722), "", GSPC[[#This Row],[Adj Close]]/B2722-1)</f>
        <v>-9.6113404244690948E-4</v>
      </c>
      <c r="D272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2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21" s="11" t="e">
        <f>IF(ISBLANK(GSPC[[#This Row],[Long Exp.]]), "", (GSPC[[#This Row],[Long Exp.]]/D2722-1)+(E2722/GSPC[[#This Row],[Short Exp.]]-1))</f>
        <v>#VALUE!</v>
      </c>
    </row>
    <row r="2722" spans="1:6" x14ac:dyDescent="0.25">
      <c r="A2722" s="37">
        <v>26042</v>
      </c>
      <c r="B2722" s="44">
        <v>104.050003</v>
      </c>
      <c r="C2722" s="36">
        <f>IF(ISBLANK(B2723), "", GSPC[[#This Row],[Adj Close]]/B2723-1)</f>
        <v>5.4111992542507092E-3</v>
      </c>
      <c r="D272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2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22" s="11" t="e">
        <f>IF(ISBLANK(GSPC[[#This Row],[Long Exp.]]), "", (GSPC[[#This Row],[Long Exp.]]/D2723-1)+(E2723/GSPC[[#This Row],[Short Exp.]]-1))</f>
        <v>#VALUE!</v>
      </c>
    </row>
    <row r="2723" spans="1:6" x14ac:dyDescent="0.25">
      <c r="A2723" s="37">
        <v>26035</v>
      </c>
      <c r="B2723" s="44">
        <v>103.489998</v>
      </c>
      <c r="C2723" s="36">
        <f>IF(ISBLANK(B2724), "", GSPC[[#This Row],[Adj Close]]/B2724-1)</f>
        <v>1.361410408646635E-2</v>
      </c>
      <c r="D272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2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23" s="11" t="e">
        <f>IF(ISBLANK(GSPC[[#This Row],[Long Exp.]]), "", (GSPC[[#This Row],[Long Exp.]]/D2724-1)+(E2724/GSPC[[#This Row],[Short Exp.]]-1))</f>
        <v>#VALUE!</v>
      </c>
    </row>
    <row r="2724" spans="1:6" x14ac:dyDescent="0.25">
      <c r="A2724" s="37">
        <v>26028</v>
      </c>
      <c r="B2724" s="44">
        <v>102.099998</v>
      </c>
      <c r="C2724" s="36">
        <f>IF(ISBLANK(B2725), "", GSPC[[#This Row],[Adj Close]]/B2725-1)</f>
        <v>1.5314240559153536E-2</v>
      </c>
      <c r="D272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2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24" s="11" t="e">
        <f>IF(ISBLANK(GSPC[[#This Row],[Long Exp.]]), "", (GSPC[[#This Row],[Long Exp.]]/D2725-1)+(E2725/GSPC[[#This Row],[Short Exp.]]-1))</f>
        <v>#VALUE!</v>
      </c>
    </row>
    <row r="2725" spans="1:6" x14ac:dyDescent="0.25">
      <c r="A2725" s="37">
        <v>26021</v>
      </c>
      <c r="B2725" s="44">
        <v>100.55999799999999</v>
      </c>
      <c r="C2725" s="36">
        <f>IF(ISBLANK(B2726), "", GSPC[[#This Row],[Adj Close]]/B2726-1)</f>
        <v>6.1030617139488097E-3</v>
      </c>
      <c r="D272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2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25" s="11" t="e">
        <f>IF(ISBLANK(GSPC[[#This Row],[Long Exp.]]), "", (GSPC[[#This Row],[Long Exp.]]/D2726-1)+(E2726/GSPC[[#This Row],[Short Exp.]]-1))</f>
        <v>#VALUE!</v>
      </c>
    </row>
    <row r="2726" spans="1:6" x14ac:dyDescent="0.25">
      <c r="A2726" s="37">
        <v>26014</v>
      </c>
      <c r="B2726" s="44">
        <v>99.949996999999996</v>
      </c>
      <c r="C2726" s="36">
        <f>IF(ISBLANK(B2727), "", GSPC[[#This Row],[Adj Close]]/B2727-1)</f>
        <v>-1.0494059786277488E-2</v>
      </c>
      <c r="D272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2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26" s="11" t="e">
        <f>IF(ISBLANK(GSPC[[#This Row],[Long Exp.]]), "", (GSPC[[#This Row],[Long Exp.]]/D2727-1)+(E2727/GSPC[[#This Row],[Short Exp.]]-1))</f>
        <v>#VALUE!</v>
      </c>
    </row>
    <row r="2727" spans="1:6" x14ac:dyDescent="0.25">
      <c r="A2727" s="37">
        <v>26007</v>
      </c>
      <c r="B2727" s="44">
        <v>101.010002</v>
      </c>
      <c r="C2727" s="36">
        <f>IF(ISBLANK(B2728), "", GSPC[[#This Row],[Adj Close]]/B2728-1)</f>
        <v>1.4462207492216494E-2</v>
      </c>
      <c r="D272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2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27" s="11" t="e">
        <f>IF(ISBLANK(GSPC[[#This Row],[Long Exp.]]), "", (GSPC[[#This Row],[Long Exp.]]/D2728-1)+(E2728/GSPC[[#This Row],[Short Exp.]]-1))</f>
        <v>#VALUE!</v>
      </c>
    </row>
    <row r="2728" spans="1:6" x14ac:dyDescent="0.25">
      <c r="A2728" s="37">
        <v>26000</v>
      </c>
      <c r="B2728" s="44">
        <v>99.57</v>
      </c>
      <c r="C2728" s="36">
        <f>IF(ISBLANK(B2729), "", GSPC[[#This Row],[Adj Close]]/B2729-1)</f>
        <v>6.1641168771635613E-3</v>
      </c>
      <c r="D272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2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28" s="11" t="e">
        <f>IF(ISBLANK(GSPC[[#This Row],[Long Exp.]]), "", (GSPC[[#This Row],[Long Exp.]]/D2729-1)+(E2729/GSPC[[#This Row],[Short Exp.]]-1))</f>
        <v>#VALUE!</v>
      </c>
    </row>
    <row r="2729" spans="1:6" x14ac:dyDescent="0.25">
      <c r="A2729" s="37">
        <v>25993</v>
      </c>
      <c r="B2729" s="44">
        <v>98.959998999999996</v>
      </c>
      <c r="C2729" s="36">
        <f>IF(ISBLANK(B2730), "", GSPC[[#This Row],[Adj Close]]/B2730-1)</f>
        <v>2.2842366925064583E-2</v>
      </c>
      <c r="D272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2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29" s="11" t="e">
        <f>IF(ISBLANK(GSPC[[#This Row],[Long Exp.]]), "", (GSPC[[#This Row],[Long Exp.]]/D2730-1)+(E2730/GSPC[[#This Row],[Short Exp.]]-1))</f>
        <v>#VALUE!</v>
      </c>
    </row>
    <row r="2730" spans="1:6" x14ac:dyDescent="0.25">
      <c r="A2730" s="37">
        <v>25986</v>
      </c>
      <c r="B2730" s="44">
        <v>96.75</v>
      </c>
      <c r="C2730" s="36">
        <f>IF(ISBLANK(B2731), "", GSPC[[#This Row],[Adj Close]]/B2731-1)</f>
        <v>1.0339053345864713E-4</v>
      </c>
      <c r="D273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3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30" s="11" t="e">
        <f>IF(ISBLANK(GSPC[[#This Row],[Long Exp.]]), "", (GSPC[[#This Row],[Long Exp.]]/D2731-1)+(E2731/GSPC[[#This Row],[Short Exp.]]-1))</f>
        <v>#VALUE!</v>
      </c>
    </row>
    <row r="2731" spans="1:6" x14ac:dyDescent="0.25">
      <c r="A2731" s="37">
        <v>25979</v>
      </c>
      <c r="B2731" s="44">
        <v>96.739998</v>
      </c>
      <c r="C2731" s="36">
        <f>IF(ISBLANK(B2732), "", GSPC[[#This Row],[Adj Close]]/B2732-1)</f>
        <v>-1.716958244437683E-2</v>
      </c>
      <c r="D273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3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31" s="11" t="e">
        <f>IF(ISBLANK(GSPC[[#This Row],[Long Exp.]]), "", (GSPC[[#This Row],[Long Exp.]]/D2732-1)+(E2732/GSPC[[#This Row],[Short Exp.]]-1))</f>
        <v>#VALUE!</v>
      </c>
    </row>
    <row r="2732" spans="1:6" x14ac:dyDescent="0.25">
      <c r="A2732" s="37">
        <v>25972</v>
      </c>
      <c r="B2732" s="44">
        <v>98.43</v>
      </c>
      <c r="C2732" s="36">
        <f>IF(ISBLANK(B2733), "", GSPC[[#This Row],[Adj Close]]/B2733-1)</f>
        <v>1.5475085112968134E-2</v>
      </c>
      <c r="D273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3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32" s="11" t="e">
        <f>IF(ISBLANK(GSPC[[#This Row],[Long Exp.]]), "", (GSPC[[#This Row],[Long Exp.]]/D2733-1)+(E2733/GSPC[[#This Row],[Short Exp.]]-1))</f>
        <v>#VALUE!</v>
      </c>
    </row>
    <row r="2733" spans="1:6" x14ac:dyDescent="0.25">
      <c r="A2733" s="37">
        <v>25965</v>
      </c>
      <c r="B2733" s="44">
        <v>96.93</v>
      </c>
      <c r="C2733" s="36">
        <f>IF(ISBLANK(B2734), "", GSPC[[#This Row],[Adj Close]]/B2734-1)</f>
        <v>1.0951220617998247E-2</v>
      </c>
      <c r="D273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3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33" s="11" t="e">
        <f>IF(ISBLANK(GSPC[[#This Row],[Long Exp.]]), "", (GSPC[[#This Row],[Long Exp.]]/D2734-1)+(E2734/GSPC[[#This Row],[Short Exp.]]-1))</f>
        <v>#VALUE!</v>
      </c>
    </row>
    <row r="2734" spans="1:6" x14ac:dyDescent="0.25">
      <c r="A2734" s="37">
        <v>25958</v>
      </c>
      <c r="B2734" s="44">
        <v>95.879997000000003</v>
      </c>
      <c r="C2734" s="36">
        <f>IF(ISBLANK(B2735), "", GSPC[[#This Row],[Adj Close]]/B2735-1)</f>
        <v>1.053962933831043E-2</v>
      </c>
      <c r="D273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3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34" s="11" t="e">
        <f>IF(ISBLANK(GSPC[[#This Row],[Long Exp.]]), "", (GSPC[[#This Row],[Long Exp.]]/D2735-1)+(E2735/GSPC[[#This Row],[Short Exp.]]-1))</f>
        <v>#VALUE!</v>
      </c>
    </row>
    <row r="2735" spans="1:6" x14ac:dyDescent="0.25">
      <c r="A2735" s="37">
        <v>25951</v>
      </c>
      <c r="B2735" s="44">
        <v>94.879997000000003</v>
      </c>
      <c r="C2735" s="36">
        <f>IF(ISBLANK(B2736), "", GSPC[[#This Row],[Adj Close]]/B2736-1)</f>
        <v>1.9886036976094035E-2</v>
      </c>
      <c r="D273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3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35" s="11" t="e">
        <f>IF(ISBLANK(GSPC[[#This Row],[Long Exp.]]), "", (GSPC[[#This Row],[Long Exp.]]/D2736-1)+(E2736/GSPC[[#This Row],[Short Exp.]]-1))</f>
        <v>#VALUE!</v>
      </c>
    </row>
    <row r="2736" spans="1:6" x14ac:dyDescent="0.25">
      <c r="A2736" s="37">
        <v>25944</v>
      </c>
      <c r="B2736" s="44">
        <v>93.029999000000004</v>
      </c>
      <c r="C2736" s="36">
        <f>IF(ISBLANK(B2737), "", GSPC[[#This Row],[Adj Close]]/B2737-1)</f>
        <v>9.1115845729128342E-3</v>
      </c>
      <c r="D273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3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36" s="11" t="e">
        <f>IF(ISBLANK(GSPC[[#This Row],[Long Exp.]]), "", (GSPC[[#This Row],[Long Exp.]]/D2737-1)+(E2737/GSPC[[#This Row],[Short Exp.]]-1))</f>
        <v>#VALUE!</v>
      </c>
    </row>
    <row r="2737" spans="1:6" x14ac:dyDescent="0.25">
      <c r="A2737" s="37">
        <v>25937</v>
      </c>
      <c r="B2737" s="44">
        <v>92.190002000000007</v>
      </c>
      <c r="C2737" s="36">
        <f>IF(ISBLANK(B2738), "", GSPC[[#This Row],[Adj Close]]/B2738-1)</f>
        <v>4.3407486849544874E-4</v>
      </c>
      <c r="D273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3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37" s="11" t="e">
        <f>IF(ISBLANK(GSPC[[#This Row],[Long Exp.]]), "", (GSPC[[#This Row],[Long Exp.]]/D2738-1)+(E2738/GSPC[[#This Row],[Short Exp.]]-1))</f>
        <v>#VALUE!</v>
      </c>
    </row>
    <row r="2738" spans="1:6" x14ac:dyDescent="0.25">
      <c r="A2738" s="37">
        <v>25930</v>
      </c>
      <c r="B2738" s="44">
        <v>92.150002000000001</v>
      </c>
      <c r="C2738" s="36">
        <f>IF(ISBLANK(B2739), "", GSPC[[#This Row],[Adj Close]]/B2739-1)</f>
        <v>1.6995927414237721E-2</v>
      </c>
      <c r="D273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3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38" s="11" t="e">
        <f>IF(ISBLANK(GSPC[[#This Row],[Long Exp.]]), "", (GSPC[[#This Row],[Long Exp.]]/D2739-1)+(E2739/GSPC[[#This Row],[Short Exp.]]-1))</f>
        <v>#VALUE!</v>
      </c>
    </row>
    <row r="2739" spans="1:6" x14ac:dyDescent="0.25">
      <c r="A2739" s="37">
        <v>25923</v>
      </c>
      <c r="B2739" s="44">
        <v>90.610000999999997</v>
      </c>
      <c r="C2739" s="36">
        <f>IF(ISBLANK(B2740), "", GSPC[[#This Row],[Adj Close]]/B2740-1)</f>
        <v>4.3227665226914791E-3</v>
      </c>
      <c r="D273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3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39" s="11" t="e">
        <f>IF(ISBLANK(GSPC[[#This Row],[Long Exp.]]), "", (GSPC[[#This Row],[Long Exp.]]/D2740-1)+(E2740/GSPC[[#This Row],[Short Exp.]]-1))</f>
        <v>#VALUE!</v>
      </c>
    </row>
    <row r="2740" spans="1:6" x14ac:dyDescent="0.25">
      <c r="A2740" s="37">
        <v>25916</v>
      </c>
      <c r="B2740" s="44">
        <v>90.220000999999996</v>
      </c>
      <c r="C2740" s="36">
        <f>IF(ISBLANK(B2741), "", GSPC[[#This Row],[Adj Close]]/B2741-1)</f>
        <v>-4.4317526161818943E-4</v>
      </c>
      <c r="D274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4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40" s="11" t="e">
        <f>IF(ISBLANK(GSPC[[#This Row],[Long Exp.]]), "", (GSPC[[#This Row],[Long Exp.]]/D2741-1)+(E2741/GSPC[[#This Row],[Short Exp.]]-1))</f>
        <v>#VALUE!</v>
      </c>
    </row>
    <row r="2741" spans="1:6" x14ac:dyDescent="0.25">
      <c r="A2741" s="37">
        <v>25909</v>
      </c>
      <c r="B2741" s="44">
        <v>90.260002</v>
      </c>
      <c r="C2741" s="36">
        <f>IF(ISBLANK(B2742), "", GSPC[[#This Row],[Adj Close]]/B2742-1)</f>
        <v>8.9425777883140878E-3</v>
      </c>
      <c r="D274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4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41" s="11" t="e">
        <f>IF(ISBLANK(GSPC[[#This Row],[Long Exp.]]), "", (GSPC[[#This Row],[Long Exp.]]/D2742-1)+(E2742/GSPC[[#This Row],[Short Exp.]]-1))</f>
        <v>#VALUE!</v>
      </c>
    </row>
    <row r="2742" spans="1:6" x14ac:dyDescent="0.25">
      <c r="A2742" s="37">
        <v>25902</v>
      </c>
      <c r="B2742" s="44">
        <v>89.459998999999996</v>
      </c>
      <c r="C2742" s="36">
        <f>IF(ISBLANK(B2743), "", GSPC[[#This Row],[Adj Close]]/B2743-1)</f>
        <v>4.1079937158151836E-2</v>
      </c>
      <c r="D274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4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42" s="11" t="e">
        <f>IF(ISBLANK(GSPC[[#This Row],[Long Exp.]]), "", (GSPC[[#This Row],[Long Exp.]]/D2743-1)+(E2743/GSPC[[#This Row],[Short Exp.]]-1))</f>
        <v>#VALUE!</v>
      </c>
    </row>
    <row r="2743" spans="1:6" x14ac:dyDescent="0.25">
      <c r="A2743" s="37">
        <v>25895</v>
      </c>
      <c r="B2743" s="44">
        <v>85.93</v>
      </c>
      <c r="C2743" s="36">
        <f>IF(ISBLANK(B2744), "", GSPC[[#This Row],[Adj Close]]/B2744-1)</f>
        <v>2.6397503268066336E-2</v>
      </c>
      <c r="D274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4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43" s="11" t="e">
        <f>IF(ISBLANK(GSPC[[#This Row],[Long Exp.]]), "", (GSPC[[#This Row],[Long Exp.]]/D2744-1)+(E2744/GSPC[[#This Row],[Short Exp.]]-1))</f>
        <v>#VALUE!</v>
      </c>
    </row>
    <row r="2744" spans="1:6" x14ac:dyDescent="0.25">
      <c r="A2744" s="37">
        <v>25888</v>
      </c>
      <c r="B2744" s="44">
        <v>83.720000999999996</v>
      </c>
      <c r="C2744" s="36">
        <f>IF(ISBLANK(B2745), "", GSPC[[#This Row],[Adj Close]]/B2745-1)</f>
        <v>4.1981286722516664E-3</v>
      </c>
      <c r="D274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4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44" s="11" t="e">
        <f>IF(ISBLANK(GSPC[[#This Row],[Long Exp.]]), "", (GSPC[[#This Row],[Long Exp.]]/D2745-1)+(E2745/GSPC[[#This Row],[Short Exp.]]-1))</f>
        <v>#VALUE!</v>
      </c>
    </row>
    <row r="2745" spans="1:6" x14ac:dyDescent="0.25">
      <c r="A2745" s="37">
        <v>25881</v>
      </c>
      <c r="B2745" s="44">
        <v>83.370002999999997</v>
      </c>
      <c r="C2745" s="36">
        <f>IF(ISBLANK(B2746), "", GSPC[[#This Row],[Adj Close]]/B2746-1)</f>
        <v>-1.0092590713695171E-2</v>
      </c>
      <c r="D274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4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45" s="11" t="e">
        <f>IF(ISBLANK(GSPC[[#This Row],[Long Exp.]]), "", (GSPC[[#This Row],[Long Exp.]]/D2746-1)+(E2746/GSPC[[#This Row],[Short Exp.]]-1))</f>
        <v>#VALUE!</v>
      </c>
    </row>
    <row r="2746" spans="1:6" x14ac:dyDescent="0.25">
      <c r="A2746" s="37">
        <v>25874</v>
      </c>
      <c r="B2746" s="44">
        <v>84.220000999999996</v>
      </c>
      <c r="C2746" s="36">
        <f>IF(ISBLANK(B2747), "", GSPC[[#This Row],[Adj Close]]/B2747-1)</f>
        <v>1.1651663663663658E-2</v>
      </c>
      <c r="D274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4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46" s="11" t="e">
        <f>IF(ISBLANK(GSPC[[#This Row],[Long Exp.]]), "", (GSPC[[#This Row],[Long Exp.]]/D2747-1)+(E2747/GSPC[[#This Row],[Short Exp.]]-1))</f>
        <v>#VALUE!</v>
      </c>
    </row>
    <row r="2747" spans="1:6" x14ac:dyDescent="0.25">
      <c r="A2747" s="37">
        <v>25867</v>
      </c>
      <c r="B2747" s="44">
        <v>83.25</v>
      </c>
      <c r="C2747" s="36">
        <f>IF(ISBLANK(B2748), "", GSPC[[#This Row],[Adj Close]]/B2748-1)</f>
        <v>-6.2074372522659127E-3</v>
      </c>
      <c r="D274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4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47" s="11" t="e">
        <f>IF(ISBLANK(GSPC[[#This Row],[Long Exp.]]), "", (GSPC[[#This Row],[Long Exp.]]/D2748-1)+(E2748/GSPC[[#This Row],[Short Exp.]]-1))</f>
        <v>#VALUE!</v>
      </c>
    </row>
    <row r="2748" spans="1:6" x14ac:dyDescent="0.25">
      <c r="A2748" s="37">
        <v>25860</v>
      </c>
      <c r="B2748" s="44">
        <v>83.769997000000004</v>
      </c>
      <c r="C2748" s="36">
        <f>IF(ISBLANK(B2749), "", GSPC[[#This Row],[Adj Close]]/B2749-1)</f>
        <v>-6.0512815146094301E-3</v>
      </c>
      <c r="D274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4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48" s="11" t="e">
        <f>IF(ISBLANK(GSPC[[#This Row],[Long Exp.]]), "", (GSPC[[#This Row],[Long Exp.]]/D2749-1)+(E2749/GSPC[[#This Row],[Short Exp.]]-1))</f>
        <v>#VALUE!</v>
      </c>
    </row>
    <row r="2749" spans="1:6" x14ac:dyDescent="0.25">
      <c r="A2749" s="37">
        <v>25853</v>
      </c>
      <c r="B2749" s="44">
        <v>84.279999000000004</v>
      </c>
      <c r="C2749" s="36">
        <f>IF(ISBLANK(B2750), "", GSPC[[#This Row],[Adj Close]]/B2750-1)</f>
        <v>-9.4029499435130948E-3</v>
      </c>
      <c r="D274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4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49" s="11" t="e">
        <f>IF(ISBLANK(GSPC[[#This Row],[Long Exp.]]), "", (GSPC[[#This Row],[Long Exp.]]/D2750-1)+(E2750/GSPC[[#This Row],[Short Exp.]]-1))</f>
        <v>#VALUE!</v>
      </c>
    </row>
    <row r="2750" spans="1:6" x14ac:dyDescent="0.25">
      <c r="A2750" s="37">
        <v>25846</v>
      </c>
      <c r="B2750" s="44">
        <v>85.080001999999993</v>
      </c>
      <c r="C2750" s="36">
        <f>IF(ISBLANK(B2751), "", GSPC[[#This Row],[Adj Close]]/B2751-1)</f>
        <v>-9.3943161393006402E-4</v>
      </c>
      <c r="D275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5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50" s="11" t="e">
        <f>IF(ISBLANK(GSPC[[#This Row],[Long Exp.]]), "", (GSPC[[#This Row],[Long Exp.]]/D2751-1)+(E2751/GSPC[[#This Row],[Short Exp.]]-1))</f>
        <v>#VALUE!</v>
      </c>
    </row>
    <row r="2751" spans="1:6" x14ac:dyDescent="0.25">
      <c r="A2751" s="37">
        <v>25839</v>
      </c>
      <c r="B2751" s="44">
        <v>85.160004000000001</v>
      </c>
      <c r="C2751" s="36">
        <f>IF(ISBLANK(B2752), "", GSPC[[#This Row],[Adj Close]]/B2752-1)</f>
        <v>2.8129928090548706E-2</v>
      </c>
      <c r="D275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5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51" s="11" t="e">
        <f>IF(ISBLANK(GSPC[[#This Row],[Long Exp.]]), "", (GSPC[[#This Row],[Long Exp.]]/D2752-1)+(E2752/GSPC[[#This Row],[Short Exp.]]-1))</f>
        <v>#VALUE!</v>
      </c>
    </row>
    <row r="2752" spans="1:6" x14ac:dyDescent="0.25">
      <c r="A2752" s="37">
        <v>25832</v>
      </c>
      <c r="B2752" s="44">
        <v>82.830001999999993</v>
      </c>
      <c r="C2752" s="36">
        <f>IF(ISBLANK(B2753), "", GSPC[[#This Row],[Adj Close]]/B2753-1)</f>
        <v>2.5417452478184721E-3</v>
      </c>
      <c r="D275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5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52" s="11" t="e">
        <f>IF(ISBLANK(GSPC[[#This Row],[Long Exp.]]), "", (GSPC[[#This Row],[Long Exp.]]/D2753-1)+(E2753/GSPC[[#This Row],[Short Exp.]]-1))</f>
        <v>#VALUE!</v>
      </c>
    </row>
    <row r="2753" spans="1:6" x14ac:dyDescent="0.25">
      <c r="A2753" s="37">
        <v>25825</v>
      </c>
      <c r="B2753" s="44">
        <v>82.620002999999997</v>
      </c>
      <c r="C2753" s="36">
        <f>IF(ISBLANK(B2754), "", GSPC[[#This Row],[Adj Close]]/B2754-1)</f>
        <v>1.2119001894776993E-3</v>
      </c>
      <c r="D275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5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53" s="11" t="e">
        <f>IF(ISBLANK(GSPC[[#This Row],[Long Exp.]]), "", (GSPC[[#This Row],[Long Exp.]]/D2754-1)+(E2754/GSPC[[#This Row],[Short Exp.]]-1))</f>
        <v>#VALUE!</v>
      </c>
    </row>
    <row r="2754" spans="1:6" x14ac:dyDescent="0.25">
      <c r="A2754" s="37">
        <v>25818</v>
      </c>
      <c r="B2754" s="44">
        <v>82.519997000000004</v>
      </c>
      <c r="C2754" s="36">
        <f>IF(ISBLANK(B2755), "", GSPC[[#This Row],[Adj Close]]/B2755-1)</f>
        <v>-3.7426656104631029E-3</v>
      </c>
      <c r="D275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5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54" s="11" t="e">
        <f>IF(ISBLANK(GSPC[[#This Row],[Long Exp.]]), "", (GSPC[[#This Row],[Long Exp.]]/D2755-1)+(E2755/GSPC[[#This Row],[Short Exp.]]-1))</f>
        <v>#VALUE!</v>
      </c>
    </row>
    <row r="2755" spans="1:6" x14ac:dyDescent="0.25">
      <c r="A2755" s="37">
        <v>25811</v>
      </c>
      <c r="B2755" s="44">
        <v>82.830001999999993</v>
      </c>
      <c r="C2755" s="36">
        <f>IF(ISBLANK(B2756), "", GSPC[[#This Row],[Adj Close]]/B2756-1)</f>
        <v>1.1849511216106556E-2</v>
      </c>
      <c r="D275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5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55" s="11" t="e">
        <f>IF(ISBLANK(GSPC[[#This Row],[Long Exp.]]), "", (GSPC[[#This Row],[Long Exp.]]/D2756-1)+(E2756/GSPC[[#This Row],[Short Exp.]]-1))</f>
        <v>#VALUE!</v>
      </c>
    </row>
    <row r="2756" spans="1:6" x14ac:dyDescent="0.25">
      <c r="A2756" s="37">
        <v>25804</v>
      </c>
      <c r="B2756" s="44">
        <v>81.860000999999997</v>
      </c>
      <c r="C2756" s="36">
        <f>IF(ISBLANK(B2757), "", GSPC[[#This Row],[Adj Close]]/B2757-1)</f>
        <v>3.3064147730039073E-2</v>
      </c>
      <c r="D275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5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56" s="11" t="e">
        <f>IF(ISBLANK(GSPC[[#This Row],[Long Exp.]]), "", (GSPC[[#This Row],[Long Exp.]]/D2757-1)+(E2757/GSPC[[#This Row],[Short Exp.]]-1))</f>
        <v>#VALUE!</v>
      </c>
    </row>
    <row r="2757" spans="1:6" x14ac:dyDescent="0.25">
      <c r="A2757" s="37">
        <v>25797</v>
      </c>
      <c r="B2757" s="44">
        <v>79.239998</v>
      </c>
      <c r="C2757" s="36">
        <f>IF(ISBLANK(B2758), "", GSPC[[#This Row],[Adj Close]]/B2758-1)</f>
        <v>5.4003697791965788E-2</v>
      </c>
      <c r="D275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5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57" s="11" t="e">
        <f>IF(ISBLANK(GSPC[[#This Row],[Long Exp.]]), "", (GSPC[[#This Row],[Long Exp.]]/D2758-1)+(E2758/GSPC[[#This Row],[Short Exp.]]-1))</f>
        <v>#VALUE!</v>
      </c>
    </row>
    <row r="2758" spans="1:6" x14ac:dyDescent="0.25">
      <c r="A2758" s="37">
        <v>25790</v>
      </c>
      <c r="B2758" s="44">
        <v>75.180000000000007</v>
      </c>
      <c r="C2758" s="36">
        <f>IF(ISBLANK(B2759), "", GSPC[[#This Row],[Adj Close]]/B2759-1)</f>
        <v>-2.7173900455148781E-2</v>
      </c>
      <c r="D275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5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58" s="11" t="e">
        <f>IF(ISBLANK(GSPC[[#This Row],[Long Exp.]]), "", (GSPC[[#This Row],[Long Exp.]]/D2759-1)+(E2759/GSPC[[#This Row],[Short Exp.]]-1))</f>
        <v>#VALUE!</v>
      </c>
    </row>
    <row r="2759" spans="1:6" x14ac:dyDescent="0.25">
      <c r="A2759" s="37">
        <v>25783</v>
      </c>
      <c r="B2759" s="44">
        <v>77.279999000000004</v>
      </c>
      <c r="C2759" s="36">
        <f>IF(ISBLANK(B2760), "", GSPC[[#This Row],[Adj Close]]/B2760-1)</f>
        <v>-9.8655217220171565E-3</v>
      </c>
      <c r="D275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5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59" s="11" t="e">
        <f>IF(ISBLANK(GSPC[[#This Row],[Long Exp.]]), "", (GSPC[[#This Row],[Long Exp.]]/D2760-1)+(E2760/GSPC[[#This Row],[Short Exp.]]-1))</f>
        <v>#VALUE!</v>
      </c>
    </row>
    <row r="2760" spans="1:6" x14ac:dyDescent="0.25">
      <c r="A2760" s="37">
        <v>25776</v>
      </c>
      <c r="B2760" s="44">
        <v>78.050003000000004</v>
      </c>
      <c r="C2760" s="36">
        <f>IF(ISBLANK(B2761), "", GSPC[[#This Row],[Adj Close]]/B2761-1)</f>
        <v>2.9555769725007064E-3</v>
      </c>
      <c r="D276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6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60" s="11" t="e">
        <f>IF(ISBLANK(GSPC[[#This Row],[Long Exp.]]), "", (GSPC[[#This Row],[Long Exp.]]/D2761-1)+(E2761/GSPC[[#This Row],[Short Exp.]]-1))</f>
        <v>#VALUE!</v>
      </c>
    </row>
    <row r="2761" spans="1:6" x14ac:dyDescent="0.25">
      <c r="A2761" s="37">
        <v>25769</v>
      </c>
      <c r="B2761" s="44">
        <v>77.819999999999993</v>
      </c>
      <c r="C2761" s="36">
        <f>IF(ISBLANK(B2762), "", GSPC[[#This Row],[Adj Close]]/B2762-1)</f>
        <v>1.6732912428034652E-3</v>
      </c>
      <c r="D276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6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61" s="11" t="e">
        <f>IF(ISBLANK(GSPC[[#This Row],[Long Exp.]]), "", (GSPC[[#This Row],[Long Exp.]]/D2762-1)+(E2762/GSPC[[#This Row],[Short Exp.]]-1))</f>
        <v>#VALUE!</v>
      </c>
    </row>
    <row r="2762" spans="1:6" x14ac:dyDescent="0.25">
      <c r="A2762" s="37">
        <v>25762</v>
      </c>
      <c r="B2762" s="44">
        <v>77.690002000000007</v>
      </c>
      <c r="C2762" s="36">
        <f>IF(ISBLANK(B2763), "", GSPC[[#This Row],[Adj Close]]/B2763-1)</f>
        <v>4.3519209275455273E-2</v>
      </c>
      <c r="D276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6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62" s="11" t="e">
        <f>IF(ISBLANK(GSPC[[#This Row],[Long Exp.]]), "", (GSPC[[#This Row],[Long Exp.]]/D2763-1)+(E2763/GSPC[[#This Row],[Short Exp.]]-1))</f>
        <v>#VALUE!</v>
      </c>
    </row>
    <row r="2763" spans="1:6" x14ac:dyDescent="0.25">
      <c r="A2763" s="37">
        <v>25755</v>
      </c>
      <c r="B2763" s="44">
        <v>74.449996999999996</v>
      </c>
      <c r="C2763" s="36">
        <f>IF(ISBLANK(B2764), "", GSPC[[#This Row],[Adj Close]]/B2764-1)</f>
        <v>2.0981884832196318E-2</v>
      </c>
      <c r="D276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6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63" s="11" t="e">
        <f>IF(ISBLANK(GSPC[[#This Row],[Long Exp.]]), "", (GSPC[[#This Row],[Long Exp.]]/D2764-1)+(E2764/GSPC[[#This Row],[Short Exp.]]-1))</f>
        <v>#VALUE!</v>
      </c>
    </row>
    <row r="2764" spans="1:6" x14ac:dyDescent="0.25">
      <c r="A2764" s="37">
        <v>25748</v>
      </c>
      <c r="B2764" s="44">
        <v>72.919998000000007</v>
      </c>
      <c r="C2764" s="36">
        <f>IF(ISBLANK(B2765), "", GSPC[[#This Row],[Adj Close]]/B2765-1)</f>
        <v>-7.4860894584715121E-3</v>
      </c>
      <c r="D276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6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64" s="11" t="e">
        <f>IF(ISBLANK(GSPC[[#This Row],[Long Exp.]]), "", (GSPC[[#This Row],[Long Exp.]]/D2765-1)+(E2765/GSPC[[#This Row],[Short Exp.]]-1))</f>
        <v>#VALUE!</v>
      </c>
    </row>
    <row r="2765" spans="1:6" x14ac:dyDescent="0.25">
      <c r="A2765" s="37">
        <v>25741</v>
      </c>
      <c r="B2765" s="44">
        <v>73.470000999999996</v>
      </c>
      <c r="C2765" s="36">
        <f>IF(ISBLANK(B2766), "", GSPC[[#This Row],[Adj Close]]/B2766-1)</f>
        <v>-4.6463359644515645E-2</v>
      </c>
      <c r="D276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6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65" s="11" t="e">
        <f>IF(ISBLANK(GSPC[[#This Row],[Long Exp.]]), "", (GSPC[[#This Row],[Long Exp.]]/D2766-1)+(E2766/GSPC[[#This Row],[Short Exp.]]-1))</f>
        <v>#VALUE!</v>
      </c>
    </row>
    <row r="2766" spans="1:6" x14ac:dyDescent="0.25">
      <c r="A2766" s="37">
        <v>25734</v>
      </c>
      <c r="B2766" s="44">
        <v>77.050003000000004</v>
      </c>
      <c r="C2766" s="36">
        <f>IF(ISBLANK(B2767), "", GSPC[[#This Row],[Adj Close]]/B2767-1)</f>
        <v>4.2907500388772446E-2</v>
      </c>
      <c r="D276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6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66" s="11" t="e">
        <f>IF(ISBLANK(GSPC[[#This Row],[Long Exp.]]), "", (GSPC[[#This Row],[Long Exp.]]/D2767-1)+(E2767/GSPC[[#This Row],[Short Exp.]]-1))</f>
        <v>#VALUE!</v>
      </c>
    </row>
    <row r="2767" spans="1:6" x14ac:dyDescent="0.25">
      <c r="A2767" s="37">
        <v>25727</v>
      </c>
      <c r="B2767" s="44">
        <v>73.879997000000003</v>
      </c>
      <c r="C2767" s="36">
        <f>IF(ISBLANK(B2768), "", GSPC[[#This Row],[Adj Close]]/B2768-1)</f>
        <v>-3.0064343706560193E-2</v>
      </c>
      <c r="D276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6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67" s="11" t="e">
        <f>IF(ISBLANK(GSPC[[#This Row],[Long Exp.]]), "", (GSPC[[#This Row],[Long Exp.]]/D2768-1)+(E2768/GSPC[[#This Row],[Short Exp.]]-1))</f>
        <v>#VALUE!</v>
      </c>
    </row>
    <row r="2768" spans="1:6" x14ac:dyDescent="0.25">
      <c r="A2768" s="37">
        <v>25720</v>
      </c>
      <c r="B2768" s="44">
        <v>76.169998000000007</v>
      </c>
      <c r="C2768" s="36">
        <f>IF(ISBLANK(B2769), "", GSPC[[#This Row],[Adj Close]]/B2769-1)</f>
        <v>-4.9641408897135308E-3</v>
      </c>
      <c r="D276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6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68" s="11" t="e">
        <f>IF(ISBLANK(GSPC[[#This Row],[Long Exp.]]), "", (GSPC[[#This Row],[Long Exp.]]/D2769-1)+(E2769/GSPC[[#This Row],[Short Exp.]]-1))</f>
        <v>#VALUE!</v>
      </c>
    </row>
    <row r="2769" spans="1:6" x14ac:dyDescent="0.25">
      <c r="A2769" s="37">
        <v>25713</v>
      </c>
      <c r="B2769" s="44">
        <v>76.550003000000004</v>
      </c>
      <c r="C2769" s="36">
        <f>IF(ISBLANK(B2770), "", GSPC[[#This Row],[Adj Close]]/B2770-1)</f>
        <v>5.9515612456747524E-2</v>
      </c>
      <c r="D276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6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69" s="11" t="e">
        <f>IF(ISBLANK(GSPC[[#This Row],[Long Exp.]]), "", (GSPC[[#This Row],[Long Exp.]]/D2770-1)+(E2770/GSPC[[#This Row],[Short Exp.]]-1))</f>
        <v>#VALUE!</v>
      </c>
    </row>
    <row r="2770" spans="1:6" x14ac:dyDescent="0.25">
      <c r="A2770" s="37">
        <v>25706</v>
      </c>
      <c r="B2770" s="44">
        <v>72.25</v>
      </c>
      <c r="C2770" s="36">
        <f>IF(ISBLANK(B2771), "", GSPC[[#This Row],[Adj Close]]/B2771-1)</f>
        <v>-6.0468164877290898E-2</v>
      </c>
      <c r="D277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7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70" s="11" t="e">
        <f>IF(ISBLANK(GSPC[[#This Row],[Long Exp.]]), "", (GSPC[[#This Row],[Long Exp.]]/D2771-1)+(E2771/GSPC[[#This Row],[Short Exp.]]-1))</f>
        <v>#VALUE!</v>
      </c>
    </row>
    <row r="2771" spans="1:6" x14ac:dyDescent="0.25">
      <c r="A2771" s="37">
        <v>25699</v>
      </c>
      <c r="B2771" s="44">
        <v>76.900002000000001</v>
      </c>
      <c r="C2771" s="36">
        <f>IF(ISBLANK(B2772), "", GSPC[[#This Row],[Adj Close]]/B2772-1)</f>
        <v>-3.1973815912038961E-2</v>
      </c>
      <c r="D277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7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71" s="11" t="e">
        <f>IF(ISBLANK(GSPC[[#This Row],[Long Exp.]]), "", (GSPC[[#This Row],[Long Exp.]]/D2772-1)+(E2772/GSPC[[#This Row],[Short Exp.]]-1))</f>
        <v>#VALUE!</v>
      </c>
    </row>
    <row r="2772" spans="1:6" x14ac:dyDescent="0.25">
      <c r="A2772" s="37">
        <v>25692</v>
      </c>
      <c r="B2772" s="44">
        <v>79.440002000000007</v>
      </c>
      <c r="C2772" s="36">
        <f>IF(ISBLANK(B2773), "", GSPC[[#This Row],[Adj Close]]/B2773-1)</f>
        <v>-2.4557956174902862E-2</v>
      </c>
      <c r="D277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7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72" s="11" t="e">
        <f>IF(ISBLANK(GSPC[[#This Row],[Long Exp.]]), "", (GSPC[[#This Row],[Long Exp.]]/D2773-1)+(E2773/GSPC[[#This Row],[Short Exp.]]-1))</f>
        <v>#VALUE!</v>
      </c>
    </row>
    <row r="2773" spans="1:6" x14ac:dyDescent="0.25">
      <c r="A2773" s="37">
        <v>25685</v>
      </c>
      <c r="B2773" s="44">
        <v>81.440002000000007</v>
      </c>
      <c r="C2773" s="36">
        <f>IF(ISBLANK(B2774), "", GSPC[[#This Row],[Adj Close]]/B2774-1)</f>
        <v>-1.6068564071592184E-2</v>
      </c>
      <c r="D277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7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73" s="11" t="e">
        <f>IF(ISBLANK(GSPC[[#This Row],[Long Exp.]]), "", (GSPC[[#This Row],[Long Exp.]]/D2774-1)+(E2774/GSPC[[#This Row],[Short Exp.]]-1))</f>
        <v>#VALUE!</v>
      </c>
    </row>
    <row r="2774" spans="1:6" x14ac:dyDescent="0.25">
      <c r="A2774" s="37">
        <v>25678</v>
      </c>
      <c r="B2774" s="44">
        <v>82.769997000000004</v>
      </c>
      <c r="C2774" s="36">
        <f>IF(ISBLANK(B2775), "", GSPC[[#This Row],[Adj Close]]/B2775-1)</f>
        <v>-3.3850835388136713E-2</v>
      </c>
      <c r="D277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7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74" s="11" t="e">
        <f>IF(ISBLANK(GSPC[[#This Row],[Long Exp.]]), "", (GSPC[[#This Row],[Long Exp.]]/D2775-1)+(E2775/GSPC[[#This Row],[Short Exp.]]-1))</f>
        <v>#VALUE!</v>
      </c>
    </row>
    <row r="2775" spans="1:6" x14ac:dyDescent="0.25">
      <c r="A2775" s="37">
        <v>25671</v>
      </c>
      <c r="B2775" s="44">
        <v>85.669998000000007</v>
      </c>
      <c r="C2775" s="36">
        <f>IF(ISBLANK(B2776), "", GSPC[[#This Row],[Adj Close]]/B2776-1)</f>
        <v>-2.9125113987423124E-2</v>
      </c>
      <c r="D277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7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75" s="11" t="e">
        <f>IF(ISBLANK(GSPC[[#This Row],[Long Exp.]]), "", (GSPC[[#This Row],[Long Exp.]]/D2776-1)+(E2776/GSPC[[#This Row],[Short Exp.]]-1))</f>
        <v>#VALUE!</v>
      </c>
    </row>
    <row r="2776" spans="1:6" x14ac:dyDescent="0.25">
      <c r="A2776" s="37">
        <v>25664</v>
      </c>
      <c r="B2776" s="44">
        <v>88.239998</v>
      </c>
      <c r="C2776" s="36">
        <f>IF(ISBLANK(B2777), "", GSPC[[#This Row],[Adj Close]]/B2777-1)</f>
        <v>-1.2864985041559307E-2</v>
      </c>
      <c r="D277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7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76" s="11" t="e">
        <f>IF(ISBLANK(GSPC[[#This Row],[Long Exp.]]), "", (GSPC[[#This Row],[Long Exp.]]/D2777-1)+(E2777/GSPC[[#This Row],[Short Exp.]]-1))</f>
        <v>#VALUE!</v>
      </c>
    </row>
    <row r="2777" spans="1:6" x14ac:dyDescent="0.25">
      <c r="A2777" s="37">
        <v>25657</v>
      </c>
      <c r="B2777" s="44">
        <v>89.389999000000003</v>
      </c>
      <c r="C2777" s="36">
        <f>IF(ISBLANK(B2778), "", GSPC[[#This Row],[Adj Close]]/B2778-1)</f>
        <v>-5.8941171239794699E-3</v>
      </c>
      <c r="D277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7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77" s="11" t="e">
        <f>IF(ISBLANK(GSPC[[#This Row],[Long Exp.]]), "", (GSPC[[#This Row],[Long Exp.]]/D2778-1)+(E2778/GSPC[[#This Row],[Short Exp.]]-1))</f>
        <v>#VALUE!</v>
      </c>
    </row>
    <row r="2778" spans="1:6" x14ac:dyDescent="0.25">
      <c r="A2778" s="37">
        <v>25650</v>
      </c>
      <c r="B2778" s="44">
        <v>89.919998000000007</v>
      </c>
      <c r="C2778" s="36">
        <f>IF(ISBLANK(B2779), "", GSPC[[#This Row],[Adj Close]]/B2779-1)</f>
        <v>3.285090817484293E-2</v>
      </c>
      <c r="D277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7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78" s="11" t="e">
        <f>IF(ISBLANK(GSPC[[#This Row],[Long Exp.]]), "", (GSPC[[#This Row],[Long Exp.]]/D2779-1)+(E2779/GSPC[[#This Row],[Short Exp.]]-1))</f>
        <v>#VALUE!</v>
      </c>
    </row>
    <row r="2779" spans="1:6" x14ac:dyDescent="0.25">
      <c r="A2779" s="37">
        <v>25643</v>
      </c>
      <c r="B2779" s="44">
        <v>87.059997999999993</v>
      </c>
      <c r="C2779" s="36">
        <f>IF(ISBLANK(B2780), "", GSPC[[#This Row],[Adj Close]]/B2780-1)</f>
        <v>-9.105428988101294E-3</v>
      </c>
      <c r="D277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7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79" s="11" t="e">
        <f>IF(ISBLANK(GSPC[[#This Row],[Long Exp.]]), "", (GSPC[[#This Row],[Long Exp.]]/D2780-1)+(E2780/GSPC[[#This Row],[Short Exp.]]-1))</f>
        <v>#VALUE!</v>
      </c>
    </row>
    <row r="2780" spans="1:6" x14ac:dyDescent="0.25">
      <c r="A2780" s="37">
        <v>25636</v>
      </c>
      <c r="B2780" s="44">
        <v>87.860000999999997</v>
      </c>
      <c r="C2780" s="36">
        <f>IF(ISBLANK(B2781), "", GSPC[[#This Row],[Adj Close]]/B2781-1)</f>
        <v>-1.7665484846478563E-2</v>
      </c>
      <c r="D2780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80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80" s="11" t="e">
        <f>IF(ISBLANK(GSPC[[#This Row],[Long Exp.]]), "", (GSPC[[#This Row],[Long Exp.]]/D2781-1)+(E2781/GSPC[[#This Row],[Short Exp.]]-1))</f>
        <v>#VALUE!</v>
      </c>
    </row>
    <row r="2781" spans="1:6" x14ac:dyDescent="0.25">
      <c r="A2781" s="37">
        <v>25629</v>
      </c>
      <c r="B2781" s="44">
        <v>89.440002000000007</v>
      </c>
      <c r="C2781" s="36">
        <f>IF(ISBLANK(B2782), "", GSPC[[#This Row],[Adj Close]]/B2782-1)</f>
        <v>-6.7036871508374674E-4</v>
      </c>
      <c r="D2781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81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81" s="11" t="e">
        <f>IF(ISBLANK(GSPC[[#This Row],[Long Exp.]]), "", (GSPC[[#This Row],[Long Exp.]]/D2782-1)+(E2782/GSPC[[#This Row],[Short Exp.]]-1))</f>
        <v>#VALUE!</v>
      </c>
    </row>
    <row r="2782" spans="1:6" x14ac:dyDescent="0.25">
      <c r="A2782" s="37">
        <v>25622</v>
      </c>
      <c r="B2782" s="44">
        <v>89.5</v>
      </c>
      <c r="C2782" s="36">
        <f>IF(ISBLANK(B2783), "", GSPC[[#This Row],[Adj Close]]/B2783-1)</f>
        <v>1.669886421332345E-2</v>
      </c>
      <c r="D2782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82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82" s="11" t="e">
        <f>IF(ISBLANK(GSPC[[#This Row],[Long Exp.]]), "", (GSPC[[#This Row],[Long Exp.]]/D2783-1)+(E2783/GSPC[[#This Row],[Short Exp.]]-1))</f>
        <v>#VALUE!</v>
      </c>
    </row>
    <row r="2783" spans="1:6" x14ac:dyDescent="0.25">
      <c r="A2783" s="37">
        <v>25615</v>
      </c>
      <c r="B2783" s="44">
        <v>88.029999000000004</v>
      </c>
      <c r="C2783" s="36">
        <f>IF(ISBLANK(B2784), "", GSPC[[#This Row],[Adj Close]]/B2784-1)</f>
        <v>1.7217448379738265E-2</v>
      </c>
      <c r="D2783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83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83" s="11" t="e">
        <f>IF(ISBLANK(GSPC[[#This Row],[Long Exp.]]), "", (GSPC[[#This Row],[Long Exp.]]/D2784-1)+(E2784/GSPC[[#This Row],[Short Exp.]]-1))</f>
        <v>#VALUE!</v>
      </c>
    </row>
    <row r="2784" spans="1:6" x14ac:dyDescent="0.25">
      <c r="A2784" s="37">
        <v>25608</v>
      </c>
      <c r="B2784" s="44">
        <v>86.540001000000004</v>
      </c>
      <c r="C2784" s="36">
        <f>IF(ISBLANK(B2785), "", GSPC[[#This Row],[Adj Close]]/B2785-1)</f>
        <v>2.432514712556344E-3</v>
      </c>
      <c r="D2784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84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84" s="11" t="e">
        <f>IF(ISBLANK(GSPC[[#This Row],[Long Exp.]]), "", (GSPC[[#This Row],[Long Exp.]]/D2785-1)+(E2785/GSPC[[#This Row],[Short Exp.]]-1))</f>
        <v>#VALUE!</v>
      </c>
    </row>
    <row r="2785" spans="1:6" x14ac:dyDescent="0.25">
      <c r="A2785" s="37">
        <v>25601</v>
      </c>
      <c r="B2785" s="44">
        <v>86.330001999999993</v>
      </c>
      <c r="C2785" s="36">
        <f>IF(ISBLANK(B2786), "", GSPC[[#This Row],[Adj Close]]/B2786-1)</f>
        <v>1.5408198614732749E-2</v>
      </c>
      <c r="D2785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85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85" s="11" t="e">
        <f>IF(ISBLANK(GSPC[[#This Row],[Long Exp.]]), "", (GSPC[[#This Row],[Long Exp.]]/D2786-1)+(E2786/GSPC[[#This Row],[Short Exp.]]-1))</f>
        <v>#VALUE!</v>
      </c>
    </row>
    <row r="2786" spans="1:6" x14ac:dyDescent="0.25">
      <c r="A2786" s="37">
        <v>25594</v>
      </c>
      <c r="B2786" s="44">
        <v>85.019997000000004</v>
      </c>
      <c r="C2786" s="36">
        <f>IF(ISBLANK(B2787), "", GSPC[[#This Row],[Adj Close]]/B2787-1)</f>
        <v>-4.8674117197914812E-2</v>
      </c>
      <c r="D2786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86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86" s="11" t="e">
        <f>IF(ISBLANK(GSPC[[#This Row],[Long Exp.]]), "", (GSPC[[#This Row],[Long Exp.]]/D2787-1)+(E2787/GSPC[[#This Row],[Short Exp.]]-1))</f>
        <v>#VALUE!</v>
      </c>
    </row>
    <row r="2787" spans="1:6" x14ac:dyDescent="0.25">
      <c r="A2787" s="37">
        <v>25587</v>
      </c>
      <c r="B2787" s="44">
        <v>89.370002999999997</v>
      </c>
      <c r="C2787" s="36">
        <f>IF(ISBLANK(B2788), "", GSPC[[#This Row],[Adj Close]]/B2788-1)</f>
        <v>-1.7047899627098628E-2</v>
      </c>
      <c r="D2787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87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87" s="11" t="e">
        <f>IF(ISBLANK(GSPC[[#This Row],[Long Exp.]]), "", (GSPC[[#This Row],[Long Exp.]]/D2788-1)+(E2788/GSPC[[#This Row],[Short Exp.]]-1))</f>
        <v>#VALUE!</v>
      </c>
    </row>
    <row r="2788" spans="1:6" x14ac:dyDescent="0.25">
      <c r="A2788" s="37">
        <v>25580</v>
      </c>
      <c r="B2788" s="44">
        <v>90.919998000000007</v>
      </c>
      <c r="C2788" s="36">
        <f>IF(ISBLANK(B2789), "", GSPC[[#This Row],[Adj Close]]/B2789-1)</f>
        <v>-1.6017358960663142E-2</v>
      </c>
      <c r="D2788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88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88" s="11" t="e">
        <f>IF(ISBLANK(GSPC[[#This Row],[Long Exp.]]), "", (GSPC[[#This Row],[Long Exp.]]/D2789-1)+(E2789/GSPC[[#This Row],[Short Exp.]]-1))</f>
        <v>#VALUE!</v>
      </c>
    </row>
    <row r="2789" spans="1:6" x14ac:dyDescent="0.25">
      <c r="A2789" s="37">
        <v>25573</v>
      </c>
      <c r="B2789" s="44">
        <v>92.400002000000001</v>
      </c>
      <c r="C2789" s="36" t="str">
        <f>IF(ISBLANK(B2790), "", GSPC[[#This Row],[Adj Close]]/B2790-1)</f>
        <v/>
      </c>
      <c r="D2789" s="39" t="e">
        <f>IF(ISBLANK(Summary!$E$3), 0, Long0[[#This Row],[Adj Close]]*Summary!$E$3) +IF(ISBLANK(Summary!$E$4), 0, Long1[[#This Row],[Adj Close]]*Summary!$E$4) +IF(ISBLANK(Summary!$E$5), 0, Long2[[#This Row],[Adj Close]]*Summary!$E$5) +IF(ISBLANK(Summary!$E$6), 0, Long3[[#This Row],[Adj Close]]*Summary!$E$6) +IF(ISBLANK(Summary!$E$7), 0, Long4[[#This Row],[Adj Close]]*Summary!$E$7) +IF(ISBLANK(Summary!$E$8), 0, Long5[[#This Row],[Adj Close]]*Summary!$E$8) +IF(ISBLANK(Summary!$E$9), 0, Long6[[#This Row],[Adj Close]]*Summary!$E$9) +IF(ISBLANK(Summary!$E$10), 0, Long7[[#This Row],[Adj Close]]*Summary!$E$10) +IF(ISBLANK(Summary!$E$11), 0, Long8[[#This Row],[Adj Close]]*Summary!$E$11)</f>
        <v>#VALUE!</v>
      </c>
      <c r="E2789" s="39" t="e">
        <f>IF(ISBLANK(Summary!$E$15), 0, Short0[[#This Row],[Adj Close]]*Summary!$E$15) +IF(ISBLANK(Summary!$E$16), 0, Short1[[#This Row],[Adj Close]]*Summary!$E$16) +IF(ISBLANK(Summary!$E$17), 0, Short2[[#This Row],[Adj Close]]*Summary!$E$17) +IF(ISBLANK(Summary!$E$18), 0, Short3[[#This Row],[Adj Close]]*Summary!$E$18) +IF(ISBLANK(Summary!$E$19), 0, Short4[[#This Row],[Adj Close]]*Summary!$E$19) +IF(ISBLANK(Summary!$E$20), 0, Short5[[#This Row],[Adj Close]]*Summary!$E$20) +IF(ISBLANK(Summary!$E$21), 0, Short6[[#This Row],[Adj Close]]*Summary!$E$21) +IF(ISBLANK(Summary!$E$22), 0, Short7[[#This Row],[Adj Close]]*Summary!$E$22) +IF(ISBLANK(Summary!$E$23), 0, Short8[[#This Row],[Adj Close]]*Summary!$E$23)</f>
        <v>#VALUE!</v>
      </c>
      <c r="F2789" s="11" t="e">
        <f>IF(ISBLANK(GSPC[[#This Row],[Long Exp.]]), "", (GSPC[[#This Row],[Long Exp.]]/D2790-1)+(E2790/GSPC[[#This Row],[Short Exp.]]-1))</f>
        <v>#VALUE!</v>
      </c>
    </row>
  </sheetData>
  <mergeCells count="20">
    <mergeCell ref="AZ1:BB1"/>
    <mergeCell ref="BC1:BE1"/>
    <mergeCell ref="BF1:BH1"/>
    <mergeCell ref="AK1:AM1"/>
    <mergeCell ref="AN1:AP1"/>
    <mergeCell ref="AQ1:AS1"/>
    <mergeCell ref="AT1:AV1"/>
    <mergeCell ref="AW1:AY1"/>
    <mergeCell ref="A1:C1"/>
    <mergeCell ref="G1:I1"/>
    <mergeCell ref="J1:L1"/>
    <mergeCell ref="M1:O1"/>
    <mergeCell ref="AH1:AJ1"/>
    <mergeCell ref="AE1:AG1"/>
    <mergeCell ref="P1:R1"/>
    <mergeCell ref="S1:U1"/>
    <mergeCell ref="V1:X1"/>
    <mergeCell ref="Y1:AA1"/>
    <mergeCell ref="AB1:AD1"/>
    <mergeCell ref="D1:F1"/>
  </mergeCells>
  <pageMargins left="0.7" right="0.7" top="0.75" bottom="0.75" header="0.3" footer="0.3"/>
  <pageSetup paperSize="9" orientation="portrait" r:id="rId1"/>
  <tableParts count="1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C7943CB-1A39-4C1C-BA98-15316D24E76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4</vt:i4>
      </vt:variant>
      <vt:variant>
        <vt:lpstr>Plages nommées</vt:lpstr>
      </vt:variant>
      <vt:variant>
        <vt:i4>3</vt:i4>
      </vt:variant>
    </vt:vector>
  </HeadingPairs>
  <TitlesOfParts>
    <vt:vector size="7" baseType="lpstr">
      <vt:lpstr>Summary</vt:lpstr>
      <vt:lpstr>DOR</vt:lpstr>
      <vt:lpstr>Portfolio Volatility</vt:lpstr>
      <vt:lpstr>Data</vt:lpstr>
      <vt:lpstr>LastRow</vt:lpstr>
      <vt:lpstr>LongTickers</vt:lpstr>
      <vt:lpstr>ShortTickers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2023-05-17T06:16:00Z</dcterms:created>
  <dcterms:modified xsi:type="dcterms:W3CDTF">2023-05-30T15:02:07Z</dcterms:modified>
</cp:coreProperties>
</file>