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\OneDrive\Desktop\JUST a project\"/>
    </mc:Choice>
  </mc:AlternateContent>
  <xr:revisionPtr revIDLastSave="0" documentId="13_ncr:1_{6FDFC3E9-115B-4EAA-8CF0-6E09AC3828B3}" xr6:coauthVersionLast="47" xr6:coauthVersionMax="47" xr10:uidLastSave="{00000000-0000-0000-0000-000000000000}"/>
  <bookViews>
    <workbookView xWindow="-110" yWindow="-110" windowWidth="19420" windowHeight="10300" activeTab="4" xr2:uid="{DF439BFC-C986-4F42-9707-EAC4B206FA5A}"/>
  </bookViews>
  <sheets>
    <sheet name="Read Me" sheetId="1" r:id="rId1"/>
    <sheet name="Assumptions" sheetId="2" r:id="rId2"/>
    <sheet name="Calculations" sheetId="3" r:id="rId3"/>
    <sheet name="Financials" sheetId="4" r:id="rId4"/>
    <sheet name="Power BI expo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3" l="1"/>
  <c r="D22" i="3"/>
  <c r="D14" i="4" s="1"/>
  <c r="D15" i="4" s="1"/>
  <c r="E22" i="3"/>
  <c r="E14" i="4" s="1"/>
  <c r="E15" i="4" s="1"/>
  <c r="F16" i="4" s="1"/>
  <c r="F22" i="3"/>
  <c r="G22" i="3"/>
  <c r="H22" i="3"/>
  <c r="H14" i="4" s="1"/>
  <c r="H15" i="4" s="1"/>
  <c r="I22" i="3"/>
  <c r="I14" i="4" s="1"/>
  <c r="I15" i="4" s="1"/>
  <c r="J22" i="3"/>
  <c r="K22" i="3"/>
  <c r="L22" i="3"/>
  <c r="L14" i="4" s="1"/>
  <c r="L15" i="4" s="1"/>
  <c r="M22" i="3"/>
  <c r="M14" i="4" s="1"/>
  <c r="M15" i="4" s="1"/>
  <c r="N16" i="4" s="1"/>
  <c r="N22" i="3"/>
  <c r="O22" i="3"/>
  <c r="P22" i="3"/>
  <c r="P14" i="4" s="1"/>
  <c r="P15" i="4" s="1"/>
  <c r="Q22" i="3"/>
  <c r="Q14" i="4" s="1"/>
  <c r="Q15" i="4" s="1"/>
  <c r="R16" i="4" s="1"/>
  <c r="D23" i="3"/>
  <c r="D24" i="3"/>
  <c r="E21" i="3" s="1"/>
  <c r="C21" i="3"/>
  <c r="C24" i="3"/>
  <c r="C22" i="3"/>
  <c r="C23" i="3"/>
  <c r="S16" i="4"/>
  <c r="T16" i="4"/>
  <c r="U16" i="4"/>
  <c r="V16" i="4"/>
  <c r="W16" i="4"/>
  <c r="X16" i="4"/>
  <c r="Y16" i="4"/>
  <c r="Z16" i="4"/>
  <c r="AA16" i="4"/>
  <c r="B16" i="4"/>
  <c r="D3" i="5" a="1"/>
  <c r="D3" i="5" s="1"/>
  <c r="C3" i="5" a="1"/>
  <c r="C3" i="5" s="1"/>
  <c r="B3" i="5" a="1"/>
  <c r="B3" i="5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G15" i="4"/>
  <c r="H16" i="4" s="1"/>
  <c r="K15" i="4"/>
  <c r="L16" i="4" s="1"/>
  <c r="O15" i="4"/>
  <c r="P16" i="4" s="1"/>
  <c r="R15" i="4"/>
  <c r="S15" i="4"/>
  <c r="T15" i="4"/>
  <c r="U15" i="4"/>
  <c r="V15" i="4"/>
  <c r="W15" i="4"/>
  <c r="X15" i="4"/>
  <c r="Y15" i="4"/>
  <c r="Z15" i="4"/>
  <c r="AA15" i="4"/>
  <c r="B15" i="4"/>
  <c r="F14" i="4"/>
  <c r="F15" i="4" s="1"/>
  <c r="G16" i="4" s="1"/>
  <c r="G14" i="4"/>
  <c r="J14" i="4"/>
  <c r="J15" i="4" s="1"/>
  <c r="K16" i="4" s="1"/>
  <c r="K14" i="4"/>
  <c r="N14" i="4"/>
  <c r="N15" i="4" s="1"/>
  <c r="O16" i="4" s="1"/>
  <c r="O14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C13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C12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C11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C10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9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8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C6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5" i="4"/>
  <c r="E2" i="3"/>
  <c r="F2" i="3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D2" i="3"/>
  <c r="B24" i="3"/>
  <c r="B20" i="3"/>
  <c r="B19" i="2"/>
  <c r="B18" i="2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C18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C17" i="3"/>
  <c r="E11" i="3"/>
  <c r="E13" i="3"/>
  <c r="F11" i="3" s="1"/>
  <c r="F13" i="3" s="1"/>
  <c r="G11" i="3" s="1"/>
  <c r="G13" i="3" s="1"/>
  <c r="H11" i="3" s="1"/>
  <c r="H13" i="3" s="1"/>
  <c r="I11" i="3" s="1"/>
  <c r="I13" i="3" s="1"/>
  <c r="J11" i="3" s="1"/>
  <c r="J13" i="3" s="1"/>
  <c r="K11" i="3" s="1"/>
  <c r="K13" i="3" s="1"/>
  <c r="L11" i="3" s="1"/>
  <c r="L13" i="3" s="1"/>
  <c r="M11" i="3" s="1"/>
  <c r="M13" i="3" s="1"/>
  <c r="N11" i="3" s="1"/>
  <c r="N13" i="3" s="1"/>
  <c r="O11" i="3" s="1"/>
  <c r="O13" i="3" s="1"/>
  <c r="P11" i="3" s="1"/>
  <c r="P13" i="3" s="1"/>
  <c r="Q11" i="3" s="1"/>
  <c r="Q13" i="3" s="1"/>
  <c r="R11" i="3" s="1"/>
  <c r="R13" i="3" s="1"/>
  <c r="S11" i="3" s="1"/>
  <c r="S13" i="3" s="1"/>
  <c r="T11" i="3" s="1"/>
  <c r="T13" i="3" s="1"/>
  <c r="U11" i="3" s="1"/>
  <c r="U13" i="3" s="1"/>
  <c r="V11" i="3" s="1"/>
  <c r="V13" i="3" s="1"/>
  <c r="W11" i="3" s="1"/>
  <c r="W13" i="3" s="1"/>
  <c r="X11" i="3" s="1"/>
  <c r="X13" i="3" s="1"/>
  <c r="Y11" i="3" s="1"/>
  <c r="Y13" i="3" s="1"/>
  <c r="Z11" i="3" s="1"/>
  <c r="Z13" i="3" s="1"/>
  <c r="AA11" i="3" s="1"/>
  <c r="AA13" i="3" s="1"/>
  <c r="E14" i="3"/>
  <c r="E15" i="3" s="1"/>
  <c r="D15" i="3"/>
  <c r="D14" i="3"/>
  <c r="D13" i="3"/>
  <c r="D11" i="3"/>
  <c r="C15" i="3"/>
  <c r="C14" i="3"/>
  <c r="C13" i="3"/>
  <c r="B14" i="3" s="1"/>
  <c r="C11" i="3"/>
  <c r="B13" i="3"/>
  <c r="B12" i="3"/>
  <c r="E9" i="3"/>
  <c r="F9" i="3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Y9" i="3" s="1"/>
  <c r="Z9" i="3" s="1"/>
  <c r="AA9" i="3" s="1"/>
  <c r="D9" i="3"/>
  <c r="C9" i="3"/>
  <c r="B8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C6" i="3"/>
  <c r="E5" i="3"/>
  <c r="F5" i="3"/>
  <c r="G5" i="3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D5" i="3"/>
  <c r="C5" i="3"/>
  <c r="J16" i="4" l="1"/>
  <c r="Q16" i="4"/>
  <c r="M16" i="4"/>
  <c r="I16" i="4"/>
  <c r="E16" i="4"/>
  <c r="E24" i="3"/>
  <c r="F21" i="3" s="1"/>
  <c r="E23" i="3"/>
  <c r="G3" i="5" a="1"/>
  <c r="G3" i="5" s="1"/>
  <c r="C14" i="4"/>
  <c r="C15" i="4" s="1"/>
  <c r="F14" i="3"/>
  <c r="F15" i="3" s="1"/>
  <c r="B15" i="3"/>
  <c r="F24" i="3" l="1"/>
  <c r="G21" i="3" s="1"/>
  <c r="F23" i="3"/>
  <c r="B23" i="2"/>
  <c r="D16" i="4"/>
  <c r="C16" i="4"/>
  <c r="B24" i="2" s="1" a="1"/>
  <c r="B24" i="2" s="1"/>
  <c r="E2" i="5" a="1"/>
  <c r="E2" i="5" s="1"/>
  <c r="B21" i="2"/>
  <c r="G14" i="3"/>
  <c r="G15" i="3"/>
  <c r="G24" i="3" l="1"/>
  <c r="G23" i="3"/>
  <c r="H15" i="3"/>
  <c r="H14" i="3"/>
  <c r="H21" i="3" l="1"/>
  <c r="I14" i="3"/>
  <c r="I15" i="3" s="1"/>
  <c r="H23" i="3" l="1"/>
  <c r="H24" i="3"/>
  <c r="J14" i="3"/>
  <c r="J15" i="3" s="1"/>
  <c r="I21" i="3" l="1"/>
  <c r="K14" i="3"/>
  <c r="K15" i="3" s="1"/>
  <c r="I24" i="3" l="1"/>
  <c r="I23" i="3"/>
  <c r="L15" i="3"/>
  <c r="L14" i="3"/>
  <c r="J21" i="3" l="1"/>
  <c r="M15" i="3"/>
  <c r="M14" i="3"/>
  <c r="J24" i="3" l="1"/>
  <c r="J23" i="3"/>
  <c r="N15" i="3"/>
  <c r="N14" i="3"/>
  <c r="K21" i="3" l="1"/>
  <c r="O14" i="3"/>
  <c r="O15" i="3" s="1"/>
  <c r="K23" i="3" l="1"/>
  <c r="K24" i="3"/>
  <c r="L21" i="3" s="1"/>
  <c r="P14" i="3"/>
  <c r="P15" i="3" s="1"/>
  <c r="L23" i="3" l="1"/>
  <c r="L24" i="3"/>
  <c r="M21" i="3" s="1"/>
  <c r="Q14" i="3"/>
  <c r="Q15" i="3"/>
  <c r="M23" i="3" l="1"/>
  <c r="M24" i="3"/>
  <c r="N21" i="3" s="1"/>
  <c r="R14" i="3"/>
  <c r="R15" i="3" s="1"/>
  <c r="N24" i="3" l="1"/>
  <c r="O21" i="3" s="1"/>
  <c r="N23" i="3"/>
  <c r="S14" i="3"/>
  <c r="S15" i="3"/>
  <c r="O23" i="3" l="1"/>
  <c r="O24" i="3"/>
  <c r="P21" i="3" s="1"/>
  <c r="T14" i="3"/>
  <c r="T15" i="3" s="1"/>
  <c r="P23" i="3" l="1"/>
  <c r="P24" i="3"/>
  <c r="Q21" i="3" s="1"/>
  <c r="U14" i="3"/>
  <c r="U15" i="3" s="1"/>
  <c r="Q24" i="3" l="1"/>
  <c r="F2" i="5" s="1" a="1"/>
  <c r="F2" i="5" s="1"/>
  <c r="Q23" i="3"/>
  <c r="H3" i="5" s="1" a="1"/>
  <c r="H3" i="5" s="1"/>
  <c r="V15" i="3"/>
  <c r="V14" i="3"/>
  <c r="W14" i="3" l="1"/>
  <c r="W15" i="3" s="1"/>
  <c r="X14" i="3" l="1"/>
  <c r="X15" i="3" s="1"/>
  <c r="Y14" i="3" l="1"/>
  <c r="Y15" i="3" s="1"/>
  <c r="Z14" i="3" l="1"/>
  <c r="Z15" i="3" s="1"/>
  <c r="AA14" i="3" l="1"/>
  <c r="AA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<sst xmlns="http://schemas.openxmlformats.org/spreadsheetml/2006/main" count="117" uniqueCount="83">
  <si>
    <t>Plant Capacity (MW)</t>
  </si>
  <si>
    <t>Capacity Utilization Factor (CUF)</t>
  </si>
  <si>
    <t>Capital Cost (CAPEX) per MW</t>
  </si>
  <si>
    <t>Annual OPEX Inflation</t>
  </si>
  <si>
    <t>Annual Degradation Rate</t>
  </si>
  <si>
    <t>PPA Tariff (per kWh)</t>
  </si>
  <si>
    <t>Debt : Equity Ratio</t>
  </si>
  <si>
    <t>Cost of Debt (Interest Rate)</t>
  </si>
  <si>
    <t>Loan Tenure (Years)</t>
  </si>
  <si>
    <t>Corporate Tax Rate</t>
  </si>
  <si>
    <t>Annual OPEX (% of CAPEX)</t>
  </si>
  <si>
    <t>Year 0</t>
  </si>
  <si>
    <t>Energy Generation (kWh)</t>
  </si>
  <si>
    <t>Revenue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</si>
  <si>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</si>
  <si>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</si>
  <si>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</si>
  <si>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</si>
  <si>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</si>
  <si>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</si>
  <si>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</si>
  <si>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</si>
  <si>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</si>
  <si>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</si>
  <si>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</si>
  <si>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</si>
  <si>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</si>
  <si>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</si>
  <si>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</si>
  <si>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</si>
  <si>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</si>
  <si>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</si>
  <si>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</si>
  <si>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</si>
  <si>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</si>
  <si>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</si>
  <si>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</si>
  <si>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</si>
  <si>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</si>
  <si>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Capital Expenditure (CAPEX)</t>
  </si>
  <si>
    <t>Operating Expenditure (OPEX)</t>
  </si>
  <si>
    <t>Depreciation Rate (WDV)</t>
  </si>
  <si>
    <t>Gross Block (Opening)</t>
  </si>
  <si>
    <t>CAPEX Addition</t>
  </si>
  <si>
    <t>Gross Block (Closing)</t>
  </si>
  <si>
    <t>Depreciation</t>
  </si>
  <si>
    <t>Net Block (Closing)</t>
  </si>
  <si>
    <t>Earnings Before Tax (EBT)</t>
  </si>
  <si>
    <t>Taxes</t>
  </si>
  <si>
    <t>Total CAPEX</t>
  </si>
  <si>
    <t>Total Debt Amount</t>
  </si>
  <si>
    <t>Debt Drawdown</t>
  </si>
  <si>
    <t>Opening Debt Balance</t>
  </si>
  <si>
    <t>Principal Repayment</t>
  </si>
  <si>
    <t>Interest Paid</t>
  </si>
  <si>
    <t>Closing Debt Balance</t>
  </si>
  <si>
    <t xml:space="preserve">Interest Paid </t>
  </si>
  <si>
    <t>Profit After Tax (PAT)</t>
  </si>
  <si>
    <t>+ Depreciation</t>
  </si>
  <si>
    <t>- Capital Expenditure (CAPEX)</t>
  </si>
  <si>
    <t>+ Debt Drawdown</t>
  </si>
  <si>
    <t>- Principal Repayment</t>
  </si>
  <si>
    <t>'= Free Cash Flow to Equity (FCFE)</t>
  </si>
  <si>
    <t>Equity IRR</t>
  </si>
  <si>
    <r>
      <t>Project Description:</t>
    </r>
    <r>
      <rPr>
        <sz val="11"/>
        <color theme="1"/>
        <rFont val="Calibri"/>
        <family val="2"/>
        <scheme val="minor"/>
      </rPr>
      <t xml:space="preserve"> A comprehensive financial feasibility model for a 10 MW ground-mounted solar project located in Rajasthan, India, operating under a 25-year Power Purchase Agreement (PPA).</t>
    </r>
  </si>
  <si>
    <t>Key Assumptions:</t>
  </si>
  <si>
    <t>Capacity: 10 MW</t>
  </si>
  <si>
    <t>Total Project Cost: ₹ 40 Crore</t>
  </si>
  <si>
    <t>Debt/Equity Ratio: 70:30</t>
  </si>
  <si>
    <t>PPA Tariff: ₹ 2.75 / kWh</t>
  </si>
  <si>
    <t>Key Outputs:</t>
  </si>
  <si>
    <r>
      <rPr>
        <b/>
        <sz val="11"/>
        <color theme="1"/>
        <rFont val="Calibri"/>
        <family val="2"/>
        <scheme val="minor"/>
      </rPr>
      <t>Project Title:</t>
    </r>
    <r>
      <rPr>
        <sz val="11"/>
        <color theme="1"/>
        <rFont val="Calibri"/>
        <family val="2"/>
        <scheme val="minor"/>
      </rPr>
      <t xml:space="preserve"> Project Finance Model: 10 MW Solar Farm</t>
    </r>
  </si>
  <si>
    <r>
      <t>Equity IRR:</t>
    </r>
    <r>
      <rPr>
        <sz val="11"/>
        <color theme="1"/>
        <rFont val="Calibri"/>
        <family val="2"/>
        <scheme val="minor"/>
      </rPr>
      <t xml:space="preserve"> 37.75%</t>
    </r>
  </si>
  <si>
    <t>Author:</t>
  </si>
  <si>
    <t>Modeled by: Priyam Kashyap Baishya</t>
  </si>
  <si>
    <t>Year</t>
  </si>
  <si>
    <t>OPEX</t>
  </si>
  <si>
    <t>PAT</t>
  </si>
  <si>
    <t>FCFE</t>
  </si>
  <si>
    <t>Discount Rate</t>
  </si>
  <si>
    <t>NPV</t>
  </si>
  <si>
    <t>Cumulative FCFE</t>
  </si>
  <si>
    <t>Payback Period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</si>
</sst>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9" fontId="0" fillId="0" borderId="0" xfId="0" applyNumberFormat="1"/>
    <xf numFmtId="9" fontId="2" fillId="0" borderId="0" xfId="0" applyNumberFormat="1" applyFont="1"/>
    <xf numFmtId="3" fontId="2" fillId="0" borderId="0" xfId="0" applyNumberFormat="1" applyFont="1"/>
    <xf numFmtId="10" fontId="0" fillId="0" borderId="0" xfId="0" applyNumberFormat="1"/>
    <xf numFmtId="10" fontId="2" fillId="0" borderId="0" xfId="0" applyNumberFormat="1" applyFont="1"/>
    <xf numFmtId="10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9" fontId="2" fillId="0" borderId="1" xfId="0" applyNumberFormat="1" applyFont="1" applyBorder="1" applyAlignment="1">
      <alignment horizontal="right" wrapText="1"/>
    </xf>
    <xf numFmtId="2" fontId="0" fillId="0" borderId="0" xfId="0" applyNumberFormat="1"/>
    <xf numFmtId="0" fontId="4" fillId="0" borderId="0" xfId="0" applyFont="1"/>
    <xf numFmtId="8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center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C80D-EB1A-46B1-B660-3477A32C9434}">
  <dimension ref="A1:A19"/>
  <sheetViews>
    <sheetView topLeftCell="A29" workbookViewId="0">
      <selection activeCell="A12" sqref="A12"/>
    </sheetView>
  </sheetViews>
  <sheetFormatPr defaultRowHeight="14.5"/>
  <cols>
    <col min="1" max="1" width="78.6328125" customWidth="1"/>
  </cols>
  <sheetData>
    <row r="1" spans="1:1">
      <c r="A1" t="s">
        <v>71</v>
      </c>
    </row>
    <row r="2" spans="1:1">
      <c r="A2" s="14" t="s">
        <v>64</v>
      </c>
    </row>
    <row r="3" spans="1:1">
      <c r="A3" s="14" t="s">
        <v>65</v>
      </c>
    </row>
    <row r="4" spans="1:1">
      <c r="A4" s="15"/>
    </row>
    <row r="5" spans="1:1">
      <c r="A5" s="15" t="s">
        <v>66</v>
      </c>
    </row>
    <row r="6" spans="1:1">
      <c r="A6" s="15"/>
    </row>
    <row r="7" spans="1:1">
      <c r="A7" s="15" t="s">
        <v>67</v>
      </c>
    </row>
    <row r="8" spans="1:1">
      <c r="A8" s="15"/>
    </row>
    <row r="9" spans="1:1">
      <c r="A9" s="15" t="s">
        <v>68</v>
      </c>
    </row>
    <row r="10" spans="1:1">
      <c r="A10" s="15"/>
    </row>
    <row r="11" spans="1:1">
      <c r="A11" s="15" t="s">
        <v>69</v>
      </c>
    </row>
    <row r="13" spans="1:1">
      <c r="A13" s="14" t="s">
        <v>70</v>
      </c>
    </row>
    <row r="14" spans="1:1">
      <c r="A14" s="15"/>
    </row>
    <row r="15" spans="1:1">
      <c r="A15" s="15" t="s">
        <v>72</v>
      </c>
    </row>
    <row r="17" spans="1:1">
      <c r="A17" s="14" t="s">
        <v>73</v>
      </c>
    </row>
    <row r="18" spans="1:1">
      <c r="A18" s="15"/>
    </row>
    <row r="19" spans="1:1">
      <c r="A19" s="1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3CD1-94F1-4ED5-87D0-701B862C685E}">
  <dimension ref="A3:B24"/>
  <sheetViews>
    <sheetView topLeftCell="A3" workbookViewId="0">
      <selection activeCell="B25" sqref="B25"/>
    </sheetView>
  </sheetViews>
  <sheetFormatPr defaultRowHeight="14.5"/>
  <cols>
    <col min="1" max="1" width="27.54296875" customWidth="1"/>
    <col min="2" max="2" width="29.453125" customWidth="1"/>
  </cols>
  <sheetData>
    <row r="3" spans="1:2">
      <c r="A3" t="s">
        <v>0</v>
      </c>
      <c r="B3" s="1">
        <v>10</v>
      </c>
    </row>
    <row r="4" spans="1:2">
      <c r="A4" t="s">
        <v>1</v>
      </c>
      <c r="B4" s="3">
        <v>0.22</v>
      </c>
    </row>
    <row r="5" spans="1:2">
      <c r="A5" t="s">
        <v>2</v>
      </c>
      <c r="B5" s="4">
        <v>40000000</v>
      </c>
    </row>
    <row r="6" spans="1:2" ht="15" thickBot="1">
      <c r="A6" t="s">
        <v>10</v>
      </c>
      <c r="B6" s="6">
        <v>0.01</v>
      </c>
    </row>
    <row r="7" spans="1:2" ht="15" thickBot="1">
      <c r="A7" s="1" t="s">
        <v>3</v>
      </c>
      <c r="B7" s="7">
        <v>0.05</v>
      </c>
    </row>
    <row r="8" spans="1:2" ht="15" thickBot="1">
      <c r="A8" s="1" t="s">
        <v>4</v>
      </c>
      <c r="B8" s="7">
        <v>6.0000000000000001E-3</v>
      </c>
    </row>
    <row r="9" spans="1:2" ht="15" thickBot="1">
      <c r="A9" s="1" t="s">
        <v>5</v>
      </c>
      <c r="B9" s="8">
        <v>2.75</v>
      </c>
    </row>
    <row r="11" spans="1:2" ht="15" thickBot="1"/>
    <row r="12" spans="1:2" ht="15" thickBot="1">
      <c r="A12" s="9" t="s">
        <v>6</v>
      </c>
      <c r="B12" s="10">
        <v>0.7</v>
      </c>
    </row>
    <row r="13" spans="1:2" ht="15" thickBot="1">
      <c r="A13" s="9" t="s">
        <v>7</v>
      </c>
      <c r="B13" s="7">
        <v>9.5000000000000001E-2</v>
      </c>
    </row>
    <row r="14" spans="1:2" ht="15" thickBot="1">
      <c r="A14" s="9" t="s">
        <v>8</v>
      </c>
      <c r="B14" s="8">
        <v>15</v>
      </c>
    </row>
    <row r="15" spans="1:2" ht="15" thickBot="1">
      <c r="A15" s="9" t="s">
        <v>9</v>
      </c>
      <c r="B15" s="7">
        <v>0.25169999999999998</v>
      </c>
    </row>
    <row r="16" spans="1:2">
      <c r="A16" t="s">
        <v>41</v>
      </c>
      <c r="B16" s="2">
        <v>0.4</v>
      </c>
    </row>
    <row r="18" spans="1:2">
      <c r="A18" t="s">
        <v>49</v>
      </c>
      <c r="B18">
        <f>B5*B3</f>
        <v>400000000</v>
      </c>
    </row>
    <row r="19" spans="1:2">
      <c r="A19" t="s">
        <v>50</v>
      </c>
      <c r="B19">
        <f>B18*B12</f>
        <v>280000000</v>
      </c>
    </row>
    <row r="21" spans="1:2">
      <c r="A21" t="s">
        <v>63</v>
      </c>
      <c r="B21" s="5">
        <f>IRR(Financials!B15:AA15)</f>
        <v>0.37753637313437283</v>
      </c>
    </row>
    <row r="22" spans="1:2">
      <c r="A22" t="s">
        <v>79</v>
      </c>
      <c r="B22" s="2">
        <v>0.1</v>
      </c>
    </row>
    <row r="23" spans="1:2">
      <c r="A23" t="s">
        <v>80</v>
      </c>
      <c r="B23" s="13">
        <f>NPV(B22,Financials!C15:AA15)+Financials!B15</f>
        <v>116498301.53918715</v>
      </c>
    </row>
    <row r="24" spans="1:2">
      <c r="A24" t="s">
        <v>82</v>
      </c>
      <c r="B24" cm="1">
        <f t="array" ref="B24">MATCH(TRUE,Financials!B16:AA16&gt;0,0)-2</f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D922-AB56-4F6E-9639-4FE5311DDF85}">
  <dimension ref="A2:AA28"/>
  <sheetViews>
    <sheetView topLeftCell="D5" zoomScale="90" workbookViewId="0">
      <selection activeCell="R23" sqref="R23"/>
    </sheetView>
  </sheetViews>
  <sheetFormatPr defaultRowHeight="14.5"/>
  <cols>
    <col min="1" max="1" width="27.6328125" customWidth="1"/>
    <col min="2" max="2" width="13.36328125" customWidth="1"/>
    <col min="3" max="3" width="17.26953125" customWidth="1"/>
    <col min="4" max="4" width="18.08984375" customWidth="1"/>
    <col min="5" max="5" width="15.90625" customWidth="1"/>
    <col min="6" max="6" width="15.81640625" customWidth="1"/>
    <col min="7" max="7" width="16.90625" customWidth="1"/>
    <col min="8" max="8" width="18" customWidth="1"/>
    <col min="9" max="9" width="18.26953125" customWidth="1"/>
    <col min="10" max="10" width="15.54296875" customWidth="1"/>
    <col min="11" max="11" width="19.453125" customWidth="1"/>
    <col min="12" max="12" width="17.90625" customWidth="1"/>
    <col min="13" max="13" width="15.7265625" customWidth="1"/>
    <col min="14" max="14" width="17.90625" customWidth="1"/>
    <col min="15" max="15" width="16" customWidth="1"/>
    <col min="16" max="16" width="14.81640625" customWidth="1"/>
    <col min="17" max="17" width="16.26953125" customWidth="1"/>
    <col min="18" max="27" width="12.36328125" bestFit="1" customWidth="1"/>
  </cols>
  <sheetData>
    <row r="2" spans="1:27">
      <c r="C2">
        <v>1</v>
      </c>
      <c r="D2">
        <f>C2+1</f>
        <v>2</v>
      </c>
      <c r="E2">
        <f t="shared" ref="E2:Q2" si="0">D2+1</f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</row>
    <row r="3" spans="1:27">
      <c r="B3" t="s">
        <v>11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</row>
    <row r="5" spans="1:27">
      <c r="A5" t="s">
        <v>12</v>
      </c>
      <c r="C5">
        <f>Assumptions!$B$3 * 1000 * 24 * 365 * Assumptions!$B$4</f>
        <v>19272000</v>
      </c>
      <c r="D5">
        <f>C5*(1-Assumptions!$B$8)</f>
        <v>19156368</v>
      </c>
      <c r="E5">
        <f>D5*(1-Assumptions!$B$8)</f>
        <v>19041429.791999999</v>
      </c>
      <c r="F5">
        <f>E5*(1-Assumptions!$B$8)</f>
        <v>18927181.213248</v>
      </c>
      <c r="G5">
        <f>F5*(1-Assumptions!$B$8)</f>
        <v>18813618.125968512</v>
      </c>
      <c r="H5">
        <f>G5*(1-Assumptions!$B$8)</f>
        <v>18700736.417212702</v>
      </c>
      <c r="I5">
        <f>H5*(1-Assumptions!$B$8)</f>
        <v>18588531.998709425</v>
      </c>
      <c r="J5">
        <f>I5*(1-Assumptions!$B$8)</f>
        <v>18477000.806717169</v>
      </c>
      <c r="K5">
        <f>J5*(1-Assumptions!$B$8)</f>
        <v>18366138.801876865</v>
      </c>
      <c r="L5">
        <f>K5*(1-Assumptions!$B$8)</f>
        <v>18255941.969065603</v>
      </c>
      <c r="M5">
        <f>L5*(1-Assumptions!$B$8)</f>
        <v>18146406.317251209</v>
      </c>
      <c r="N5">
        <f>M5*(1-Assumptions!$B$8)</f>
        <v>18037527.879347701</v>
      </c>
      <c r="O5">
        <f>N5*(1-Assumptions!$B$8)</f>
        <v>17929302.712071612</v>
      </c>
      <c r="P5">
        <f>O5*(1-Assumptions!$B$8)</f>
        <v>17821726.895799182</v>
      </c>
      <c r="Q5">
        <f>P5*(1-Assumptions!$B$8)</f>
        <v>17714796.534424387</v>
      </c>
      <c r="R5">
        <f>Q5*(1-Assumptions!$B$8)</f>
        <v>17608507.755217839</v>
      </c>
      <c r="S5">
        <f>R5*(1-Assumptions!$B$8)</f>
        <v>17502856.708686531</v>
      </c>
      <c r="T5">
        <f>S5*(1-Assumptions!$B$8)</f>
        <v>17397839.56843441</v>
      </c>
      <c r="U5">
        <f>T5*(1-Assumptions!$B$8)</f>
        <v>17293452.531023804</v>
      </c>
      <c r="V5">
        <f>U5*(1-Assumptions!$B$8)</f>
        <v>17189691.815837663</v>
      </c>
      <c r="W5">
        <f>V5*(1-Assumptions!$B$8)</f>
        <v>17086553.664942637</v>
      </c>
      <c r="X5">
        <f>W5*(1-Assumptions!$B$8)</f>
        <v>16984034.342952982</v>
      </c>
      <c r="Y5">
        <f>X5*(1-Assumptions!$B$8)</f>
        <v>16882130.136895265</v>
      </c>
      <c r="Z5">
        <f>Y5*(1-Assumptions!$B$8)</f>
        <v>16780837.356073894</v>
      </c>
      <c r="AA5">
        <f>Z5*(1-Assumptions!$B$8)</f>
        <v>16680152.331937451</v>
      </c>
    </row>
    <row r="6" spans="1:27">
      <c r="A6" t="s">
        <v>13</v>
      </c>
      <c r="C6">
        <f>C5*Assumptions!$B$9</f>
        <v>52998000</v>
      </c>
      <c r="D6">
        <f>D5*Assumptions!$B$9</f>
        <v>52680012</v>
      </c>
      <c r="E6">
        <f>E5*Assumptions!$B$9</f>
        <v>52363931.927999996</v>
      </c>
      <c r="F6">
        <f>F5*Assumptions!$B$9</f>
        <v>52049748.336431995</v>
      </c>
      <c r="G6">
        <f>G5*Assumptions!$B$9</f>
        <v>51737449.846413411</v>
      </c>
      <c r="H6">
        <f>H5*Assumptions!$B$9</f>
        <v>51427025.147334933</v>
      </c>
      <c r="I6">
        <f>I5*Assumptions!$B$9</f>
        <v>51118462.996450916</v>
      </c>
      <c r="J6">
        <f>J5*Assumptions!$B$9</f>
        <v>50811752.218472213</v>
      </c>
      <c r="K6">
        <f>K5*Assumptions!$B$9</f>
        <v>50506881.705161378</v>
      </c>
      <c r="L6">
        <f>L5*Assumptions!$B$9</f>
        <v>50203840.414930411</v>
      </c>
      <c r="M6">
        <f>M5*Assumptions!$B$9</f>
        <v>49902617.372440822</v>
      </c>
      <c r="N6">
        <f>N5*Assumptions!$B$9</f>
        <v>49603201.668206178</v>
      </c>
      <c r="O6">
        <f>O5*Assumptions!$B$9</f>
        <v>49305582.458196938</v>
      </c>
      <c r="P6">
        <f>P5*Assumptions!$B$9</f>
        <v>49009748.96344775</v>
      </c>
      <c r="Q6">
        <f>Q5*Assumptions!$B$9</f>
        <v>48715690.469667062</v>
      </c>
      <c r="R6">
        <f>R5*Assumptions!$B$9</f>
        <v>48423396.326849058</v>
      </c>
      <c r="S6">
        <f>S5*Assumptions!$B$9</f>
        <v>48132855.948887959</v>
      </c>
      <c r="T6">
        <f>T5*Assumptions!$B$9</f>
        <v>47844058.813194625</v>
      </c>
      <c r="U6">
        <f>U5*Assumptions!$B$9</f>
        <v>47556994.460315458</v>
      </c>
      <c r="V6">
        <f>V5*Assumptions!$B$9</f>
        <v>47271652.493553571</v>
      </c>
      <c r="W6">
        <f>W5*Assumptions!$B$9</f>
        <v>46988022.578592256</v>
      </c>
      <c r="X6">
        <f>X5*Assumptions!$B$9</f>
        <v>46706094.443120703</v>
      </c>
      <c r="Y6">
        <f>Y5*Assumptions!$B$9</f>
        <v>46425857.876461983</v>
      </c>
      <c r="Z6">
        <f>Z5*Assumptions!$B$9</f>
        <v>46147302.729203209</v>
      </c>
      <c r="AA6">
        <f>AA5*Assumptions!$B$9</f>
        <v>45870418.912827991</v>
      </c>
    </row>
    <row r="8" spans="1:27">
      <c r="A8" t="s">
        <v>39</v>
      </c>
      <c r="B8">
        <f>Assumptions!$B$5*Assumptions!$B$3</f>
        <v>400000000</v>
      </c>
    </row>
    <row r="9" spans="1:27">
      <c r="A9" t="s">
        <v>40</v>
      </c>
      <c r="C9">
        <f>B8*Assumptions!$B$6</f>
        <v>4000000</v>
      </c>
      <c r="D9">
        <f>C9*(1+Assumptions!$B$7)</f>
        <v>4200000</v>
      </c>
      <c r="E9">
        <f>D9*(1+Assumptions!$B$7)</f>
        <v>4410000</v>
      </c>
      <c r="F9">
        <f>E9*(1+Assumptions!$B$7)</f>
        <v>4630500</v>
      </c>
      <c r="G9">
        <f>F9*(1+Assumptions!$B$7)</f>
        <v>4862025</v>
      </c>
      <c r="H9">
        <f>G9*(1+Assumptions!$B$7)</f>
        <v>5105126.25</v>
      </c>
      <c r="I9">
        <f>H9*(1+Assumptions!$B$7)</f>
        <v>5360382.5625</v>
      </c>
      <c r="J9">
        <f>I9*(1+Assumptions!$B$7)</f>
        <v>5628401.6906249998</v>
      </c>
      <c r="K9">
        <f>J9*(1+Assumptions!$B$7)</f>
        <v>5909821.7751562502</v>
      </c>
      <c r="L9">
        <f>K9*(1+Assumptions!$B$7)</f>
        <v>6205312.8639140632</v>
      </c>
      <c r="M9">
        <f>L9*(1+Assumptions!$B$7)</f>
        <v>6515578.5071097668</v>
      </c>
      <c r="N9">
        <f>M9*(1+Assumptions!$B$7)</f>
        <v>6841357.4324652553</v>
      </c>
      <c r="O9">
        <f>N9*(1+Assumptions!$B$7)</f>
        <v>7183425.304088518</v>
      </c>
      <c r="P9">
        <f>O9*(1+Assumptions!$B$7)</f>
        <v>7542596.5692929439</v>
      </c>
      <c r="Q9">
        <f>P9*(1+Assumptions!$B$7)</f>
        <v>7919726.3977575917</v>
      </c>
      <c r="R9">
        <f>Q9*(1+Assumptions!$B$7)</f>
        <v>8315712.7176454719</v>
      </c>
      <c r="S9">
        <f>R9*(1+Assumptions!$B$7)</f>
        <v>8731498.3535277452</v>
      </c>
      <c r="T9">
        <f>S9*(1+Assumptions!$B$7)</f>
        <v>9168073.2712041326</v>
      </c>
      <c r="U9">
        <f>T9*(1+Assumptions!$B$7)</f>
        <v>9626476.9347643405</v>
      </c>
      <c r="V9">
        <f>U9*(1+Assumptions!$B$7)</f>
        <v>10107800.781502558</v>
      </c>
      <c r="W9">
        <f>V9*(1+Assumptions!$B$7)</f>
        <v>10613190.820577687</v>
      </c>
      <c r="X9">
        <f>W9*(1+Assumptions!$B$7)</f>
        <v>11143850.361606572</v>
      </c>
      <c r="Y9">
        <f>X9*(1+Assumptions!$B$7)</f>
        <v>11701042.879686901</v>
      </c>
      <c r="Z9">
        <f>Y9*(1+Assumptions!$B$7)</f>
        <v>12286095.023671247</v>
      </c>
      <c r="AA9">
        <f>Z9*(1+Assumptions!$B$7)</f>
        <v>12900399.774854809</v>
      </c>
    </row>
    <row r="11" spans="1:27" s="11" customFormat="1">
      <c r="A11" s="11" t="s">
        <v>42</v>
      </c>
      <c r="C11" s="11">
        <f>B13</f>
        <v>400000000</v>
      </c>
      <c r="D11" s="11">
        <f>C13</f>
        <v>400000000</v>
      </c>
      <c r="E11" s="11">
        <f t="shared" ref="E11:AA11" si="1">D13</f>
        <v>400000000</v>
      </c>
      <c r="F11" s="11">
        <f t="shared" si="1"/>
        <v>400000000</v>
      </c>
      <c r="G11" s="11">
        <f t="shared" si="1"/>
        <v>400000000</v>
      </c>
      <c r="H11" s="11">
        <f t="shared" si="1"/>
        <v>400000000</v>
      </c>
      <c r="I11" s="11">
        <f t="shared" si="1"/>
        <v>400000000</v>
      </c>
      <c r="J11" s="11">
        <f t="shared" si="1"/>
        <v>400000000</v>
      </c>
      <c r="K11" s="11">
        <f t="shared" si="1"/>
        <v>400000000</v>
      </c>
      <c r="L11" s="11">
        <f t="shared" si="1"/>
        <v>400000000</v>
      </c>
      <c r="M11" s="11">
        <f t="shared" si="1"/>
        <v>400000000</v>
      </c>
      <c r="N11" s="11">
        <f t="shared" si="1"/>
        <v>400000000</v>
      </c>
      <c r="O11" s="11">
        <f t="shared" si="1"/>
        <v>400000000</v>
      </c>
      <c r="P11" s="11">
        <f t="shared" si="1"/>
        <v>400000000</v>
      </c>
      <c r="Q11" s="11">
        <f t="shared" si="1"/>
        <v>400000000</v>
      </c>
      <c r="R11" s="11">
        <f t="shared" si="1"/>
        <v>400000000</v>
      </c>
      <c r="S11" s="11">
        <f t="shared" si="1"/>
        <v>400000000</v>
      </c>
      <c r="T11" s="11">
        <f t="shared" si="1"/>
        <v>400000000</v>
      </c>
      <c r="U11" s="11">
        <f t="shared" si="1"/>
        <v>400000000</v>
      </c>
      <c r="V11" s="11">
        <f t="shared" si="1"/>
        <v>400000000</v>
      </c>
      <c r="W11" s="11">
        <f t="shared" si="1"/>
        <v>400000000</v>
      </c>
      <c r="X11" s="11">
        <f t="shared" si="1"/>
        <v>400000000</v>
      </c>
      <c r="Y11" s="11">
        <f t="shared" si="1"/>
        <v>400000000</v>
      </c>
      <c r="Z11" s="11">
        <f t="shared" si="1"/>
        <v>400000000</v>
      </c>
      <c r="AA11" s="11">
        <f t="shared" si="1"/>
        <v>400000000</v>
      </c>
    </row>
    <row r="12" spans="1:27" s="11" customFormat="1">
      <c r="A12" s="11" t="s">
        <v>43</v>
      </c>
      <c r="B12">
        <f>B8</f>
        <v>400000000</v>
      </c>
    </row>
    <row r="13" spans="1:27" s="11" customFormat="1">
      <c r="A13" s="11" t="s">
        <v>44</v>
      </c>
      <c r="B13">
        <f>B11+B12</f>
        <v>400000000</v>
      </c>
      <c r="C13" s="11">
        <f>C11+C12</f>
        <v>400000000</v>
      </c>
      <c r="D13" s="11">
        <f>D11+D12</f>
        <v>400000000</v>
      </c>
      <c r="E13" s="11">
        <f t="shared" ref="E13:AA13" si="2">E11+E12</f>
        <v>400000000</v>
      </c>
      <c r="F13" s="11">
        <f t="shared" si="2"/>
        <v>400000000</v>
      </c>
      <c r="G13" s="11">
        <f t="shared" si="2"/>
        <v>400000000</v>
      </c>
      <c r="H13" s="11">
        <f t="shared" si="2"/>
        <v>400000000</v>
      </c>
      <c r="I13" s="11">
        <f t="shared" si="2"/>
        <v>400000000</v>
      </c>
      <c r="J13" s="11">
        <f t="shared" si="2"/>
        <v>400000000</v>
      </c>
      <c r="K13" s="11">
        <f t="shared" si="2"/>
        <v>400000000</v>
      </c>
      <c r="L13" s="11">
        <f t="shared" si="2"/>
        <v>400000000</v>
      </c>
      <c r="M13" s="11">
        <f t="shared" si="2"/>
        <v>400000000</v>
      </c>
      <c r="N13" s="11">
        <f t="shared" si="2"/>
        <v>400000000</v>
      </c>
      <c r="O13" s="11">
        <f t="shared" si="2"/>
        <v>400000000</v>
      </c>
      <c r="P13" s="11">
        <f t="shared" si="2"/>
        <v>400000000</v>
      </c>
      <c r="Q13" s="11">
        <f t="shared" si="2"/>
        <v>400000000</v>
      </c>
      <c r="R13" s="11">
        <f t="shared" si="2"/>
        <v>400000000</v>
      </c>
      <c r="S13" s="11">
        <f t="shared" si="2"/>
        <v>400000000</v>
      </c>
      <c r="T13" s="11">
        <f t="shared" si="2"/>
        <v>400000000</v>
      </c>
      <c r="U13" s="11">
        <f t="shared" si="2"/>
        <v>400000000</v>
      </c>
      <c r="V13" s="11">
        <f t="shared" si="2"/>
        <v>400000000</v>
      </c>
      <c r="W13" s="11">
        <f t="shared" si="2"/>
        <v>400000000</v>
      </c>
      <c r="X13" s="11">
        <f t="shared" si="2"/>
        <v>400000000</v>
      </c>
      <c r="Y13" s="11">
        <f t="shared" si="2"/>
        <v>400000000</v>
      </c>
      <c r="Z13" s="11">
        <f t="shared" si="2"/>
        <v>400000000</v>
      </c>
      <c r="AA13" s="11">
        <f t="shared" si="2"/>
        <v>400000000</v>
      </c>
    </row>
    <row r="14" spans="1:27" s="11" customFormat="1">
      <c r="A14" s="11" t="s">
        <v>45</v>
      </c>
      <c r="B14" s="12">
        <f>C13*Assumptions!$B$16</f>
        <v>160000000</v>
      </c>
      <c r="C14" s="12">
        <f>C11*Assumptions!$B$16</f>
        <v>160000000</v>
      </c>
      <c r="D14">
        <f>C15*Assumptions!$B$16</f>
        <v>96000000</v>
      </c>
      <c r="E14">
        <f>D15*Assumptions!$B$16</f>
        <v>57600000</v>
      </c>
      <c r="F14">
        <f>E15*Assumptions!$B$16</f>
        <v>34560000</v>
      </c>
      <c r="G14">
        <f>F15*Assumptions!$B$16</f>
        <v>20736000</v>
      </c>
      <c r="H14">
        <f>G15*Assumptions!$B$16</f>
        <v>12441600</v>
      </c>
      <c r="I14">
        <f>H15*Assumptions!$B$16</f>
        <v>7464960</v>
      </c>
      <c r="J14">
        <f>I15*Assumptions!$B$16</f>
        <v>4478976</v>
      </c>
      <c r="K14">
        <f>J15*Assumptions!$B$16</f>
        <v>2687385.6000000001</v>
      </c>
      <c r="L14">
        <f>K15*Assumptions!$B$16</f>
        <v>1612431.3600000001</v>
      </c>
      <c r="M14">
        <f>L15*Assumptions!$B$16</f>
        <v>967458.81600000011</v>
      </c>
      <c r="N14">
        <f>M15*Assumptions!$B$16</f>
        <v>580475.28960000002</v>
      </c>
      <c r="O14">
        <f>N15*Assumptions!$B$16</f>
        <v>348285.17375999998</v>
      </c>
      <c r="P14">
        <f>O15*Assumptions!$B$16</f>
        <v>208971.10425599999</v>
      </c>
      <c r="Q14">
        <f>P15*Assumptions!$B$16</f>
        <v>125382.66255359999</v>
      </c>
      <c r="R14">
        <f>Q15*Assumptions!$B$16</f>
        <v>75229.597532159998</v>
      </c>
      <c r="S14">
        <f>R15*Assumptions!$B$16</f>
        <v>45137.758519296003</v>
      </c>
      <c r="T14">
        <f>S15*Assumptions!$B$16</f>
        <v>27082.655111577595</v>
      </c>
      <c r="U14">
        <f>T15*Assumptions!$B$16</f>
        <v>16249.593066946558</v>
      </c>
      <c r="V14">
        <f>U15*Assumptions!$B$16</f>
        <v>9749.7558401679325</v>
      </c>
      <c r="W14">
        <f>V15*Assumptions!$B$16</f>
        <v>5849.8535041007599</v>
      </c>
      <c r="X14">
        <f>W15*Assumptions!$B$16</f>
        <v>3509.912102460456</v>
      </c>
      <c r="Y14">
        <f>X15*Assumptions!$B$16</f>
        <v>2105.947261476274</v>
      </c>
      <c r="Z14">
        <f>Y15*Assumptions!$B$16</f>
        <v>1263.5683568857642</v>
      </c>
      <c r="AA14">
        <f>Z15*Assumptions!$B$16</f>
        <v>758.14101413145852</v>
      </c>
    </row>
    <row r="15" spans="1:27" s="11" customFormat="1">
      <c r="A15" s="11" t="s">
        <v>46</v>
      </c>
      <c r="B15">
        <f>C13-C14</f>
        <v>240000000</v>
      </c>
      <c r="C15" s="11">
        <f>C11-C14</f>
        <v>240000000</v>
      </c>
      <c r="D15" s="11">
        <f>C15-D14</f>
        <v>144000000</v>
      </c>
      <c r="E15" s="11">
        <f t="shared" ref="E15:AA15" si="3">D15-E14</f>
        <v>86400000</v>
      </c>
      <c r="F15" s="11">
        <f t="shared" si="3"/>
        <v>51840000</v>
      </c>
      <c r="G15" s="11">
        <f t="shared" si="3"/>
        <v>31104000</v>
      </c>
      <c r="H15" s="11">
        <f t="shared" si="3"/>
        <v>18662400</v>
      </c>
      <c r="I15" s="11">
        <f t="shared" si="3"/>
        <v>11197440</v>
      </c>
      <c r="J15" s="11">
        <f t="shared" si="3"/>
        <v>6718464</v>
      </c>
      <c r="K15" s="11">
        <f t="shared" si="3"/>
        <v>4031078.3999999999</v>
      </c>
      <c r="L15" s="11">
        <f t="shared" si="3"/>
        <v>2418647.04</v>
      </c>
      <c r="M15" s="11">
        <f t="shared" si="3"/>
        <v>1451188.2239999999</v>
      </c>
      <c r="N15" s="11">
        <f t="shared" si="3"/>
        <v>870712.93439999991</v>
      </c>
      <c r="O15" s="11">
        <f t="shared" si="3"/>
        <v>522427.76063999993</v>
      </c>
      <c r="P15" s="11">
        <f t="shared" si="3"/>
        <v>313456.65638399997</v>
      </c>
      <c r="Q15" s="11">
        <f t="shared" si="3"/>
        <v>188073.9938304</v>
      </c>
      <c r="R15" s="11">
        <f t="shared" si="3"/>
        <v>112844.39629824</v>
      </c>
      <c r="S15" s="11">
        <f t="shared" si="3"/>
        <v>67706.637778943987</v>
      </c>
      <c r="T15" s="11">
        <f t="shared" si="3"/>
        <v>40623.982667366392</v>
      </c>
      <c r="U15" s="11">
        <f t="shared" si="3"/>
        <v>24374.389600419832</v>
      </c>
      <c r="V15" s="11">
        <f t="shared" si="3"/>
        <v>14624.6337602519</v>
      </c>
      <c r="W15" s="11">
        <f t="shared" si="3"/>
        <v>8774.7802561511398</v>
      </c>
      <c r="X15" s="11">
        <f t="shared" si="3"/>
        <v>5264.8681536906843</v>
      </c>
      <c r="Y15" s="11">
        <f t="shared" si="3"/>
        <v>3158.9208922144103</v>
      </c>
      <c r="Z15" s="11">
        <f t="shared" si="3"/>
        <v>1895.3525353286461</v>
      </c>
      <c r="AA15" s="11">
        <f t="shared" si="3"/>
        <v>1137.2115211971877</v>
      </c>
    </row>
    <row r="17" spans="1:27">
      <c r="A17" t="s">
        <v>47</v>
      </c>
      <c r="C17">
        <f>C6-C9-C14</f>
        <v>-111002000</v>
      </c>
      <c r="D17">
        <f t="shared" ref="D17:AA17" si="4">D6-D9-D14</f>
        <v>-47519988</v>
      </c>
      <c r="E17">
        <f t="shared" si="4"/>
        <v>-9646068.0720000044</v>
      </c>
      <c r="F17">
        <f t="shared" si="4"/>
        <v>12859248.336431995</v>
      </c>
      <c r="G17">
        <f t="shared" si="4"/>
        <v>26139424.846413411</v>
      </c>
      <c r="H17">
        <f t="shared" si="4"/>
        <v>33880298.897334933</v>
      </c>
      <c r="I17">
        <f t="shared" si="4"/>
        <v>38293120.433950916</v>
      </c>
      <c r="J17">
        <f t="shared" si="4"/>
        <v>40704374.527847216</v>
      </c>
      <c r="K17">
        <f t="shared" si="4"/>
        <v>41909674.330005124</v>
      </c>
      <c r="L17">
        <f t="shared" si="4"/>
        <v>42386096.191016346</v>
      </c>
      <c r="M17">
        <f t="shared" si="4"/>
        <v>42419580.049331054</v>
      </c>
      <c r="N17">
        <f t="shared" si="4"/>
        <v>42181368.946140923</v>
      </c>
      <c r="O17">
        <f t="shared" si="4"/>
        <v>41773871.980348423</v>
      </c>
      <c r="P17">
        <f t="shared" si="4"/>
        <v>41258181.289898805</v>
      </c>
      <c r="Q17">
        <f t="shared" si="4"/>
        <v>40670581.409355871</v>
      </c>
      <c r="R17">
        <f t="shared" si="4"/>
        <v>40032454.011671424</v>
      </c>
      <c r="S17">
        <f t="shared" si="4"/>
        <v>39356219.836840913</v>
      </c>
      <c r="T17">
        <f t="shared" si="4"/>
        <v>38648902.886878908</v>
      </c>
      <c r="U17">
        <f t="shared" si="4"/>
        <v>37914267.932484172</v>
      </c>
      <c r="V17">
        <f t="shared" si="4"/>
        <v>37154101.956210844</v>
      </c>
      <c r="W17">
        <f t="shared" si="4"/>
        <v>36368981.904510468</v>
      </c>
      <c r="X17">
        <f t="shared" si="4"/>
        <v>35558734.169411674</v>
      </c>
      <c r="Y17">
        <f t="shared" si="4"/>
        <v>34722709.049513608</v>
      </c>
      <c r="Z17">
        <f t="shared" si="4"/>
        <v>33859944.137175076</v>
      </c>
      <c r="AA17">
        <f t="shared" si="4"/>
        <v>32969260.996959049</v>
      </c>
    </row>
    <row r="18" spans="1:27">
      <c r="A18" t="s">
        <v>48</v>
      </c>
      <c r="C18">
        <f>MAX(0,C17)*Assumptions!$B$15</f>
        <v>0</v>
      </c>
      <c r="D18">
        <f>MAX(0,D17)*Assumptions!$B$15</f>
        <v>0</v>
      </c>
      <c r="E18">
        <f>MAX(0,E17)*Assumptions!$B$15</f>
        <v>0</v>
      </c>
      <c r="F18">
        <f>MAX(0,F17)*Assumptions!$B$15</f>
        <v>3236672.8062799331</v>
      </c>
      <c r="G18">
        <f>MAX(0,G17)*Assumptions!$B$15</f>
        <v>6579293.2338422546</v>
      </c>
      <c r="H18">
        <f>MAX(0,H17)*Assumptions!$B$15</f>
        <v>8527671.2324592024</v>
      </c>
      <c r="I18">
        <f>MAX(0,I17)*Assumptions!$B$15</f>
        <v>9638378.413225444</v>
      </c>
      <c r="J18">
        <f>MAX(0,J17)*Assumptions!$B$15</f>
        <v>10245291.068659144</v>
      </c>
      <c r="K18">
        <f>MAX(0,K17)*Assumptions!$B$15</f>
        <v>10548665.028862288</v>
      </c>
      <c r="L18">
        <f>MAX(0,L17)*Assumptions!$B$15</f>
        <v>10668580.411278814</v>
      </c>
      <c r="M18">
        <f>MAX(0,M17)*Assumptions!$B$15</f>
        <v>10677008.298416626</v>
      </c>
      <c r="N18">
        <f>MAX(0,N17)*Assumptions!$B$15</f>
        <v>10617050.56374367</v>
      </c>
      <c r="O18">
        <f>MAX(0,O17)*Assumptions!$B$15</f>
        <v>10514483.577453697</v>
      </c>
      <c r="P18">
        <f>MAX(0,P17)*Assumptions!$B$15</f>
        <v>10384684.230667528</v>
      </c>
      <c r="Q18">
        <f>MAX(0,Q17)*Assumptions!$B$15</f>
        <v>10236785.340734871</v>
      </c>
      <c r="R18">
        <f>MAX(0,R17)*Assumptions!$B$15</f>
        <v>10076168.674737697</v>
      </c>
      <c r="S18">
        <f>MAX(0,S17)*Assumptions!$B$15</f>
        <v>9905960.5329328571</v>
      </c>
      <c r="T18">
        <f>MAX(0,T17)*Assumptions!$B$15</f>
        <v>9727928.8566274196</v>
      </c>
      <c r="U18">
        <f>MAX(0,U17)*Assumptions!$B$15</f>
        <v>9543021.2386062648</v>
      </c>
      <c r="V18">
        <f>MAX(0,V17)*Assumptions!$B$15</f>
        <v>9351687.4623782691</v>
      </c>
      <c r="W18">
        <f>MAX(0,W17)*Assumptions!$B$15</f>
        <v>9154072.7453652844</v>
      </c>
      <c r="X18">
        <f>MAX(0,X17)*Assumptions!$B$15</f>
        <v>8950133.3904409185</v>
      </c>
      <c r="Y18">
        <f>MAX(0,Y17)*Assumptions!$B$15</f>
        <v>8739705.8677625749</v>
      </c>
      <c r="Z18">
        <f>MAX(0,Z17)*Assumptions!$B$15</f>
        <v>8522547.9393269662</v>
      </c>
      <c r="AA18">
        <f>MAX(0,AA17)*Assumptions!$B$15</f>
        <v>8298362.9929345921</v>
      </c>
    </row>
    <row r="20" spans="1:27">
      <c r="A20" t="s">
        <v>51</v>
      </c>
      <c r="B20">
        <f>Assumptions!$B$19</f>
        <v>280000000</v>
      </c>
    </row>
    <row r="21" spans="1:27">
      <c r="A21" t="s">
        <v>52</v>
      </c>
      <c r="C21">
        <f>B24</f>
        <v>280000000</v>
      </c>
      <c r="D21">
        <f t="shared" ref="D21:Q21" si="5">C24</f>
        <v>270831765.3979246</v>
      </c>
      <c r="E21">
        <f t="shared" si="5"/>
        <v>260792548.50865206</v>
      </c>
      <c r="F21">
        <f t="shared" si="5"/>
        <v>249799606.01489863</v>
      </c>
      <c r="G21">
        <f t="shared" si="5"/>
        <v>237762333.98423862</v>
      </c>
      <c r="H21">
        <f t="shared" si="5"/>
        <v>224581521.11066592</v>
      </c>
      <c r="I21">
        <f t="shared" si="5"/>
        <v>210148531.01410383</v>
      </c>
      <c r="J21">
        <f t="shared" si="5"/>
        <v>194344406.85836834</v>
      </c>
      <c r="K21">
        <f t="shared" si="5"/>
        <v>177038890.90783796</v>
      </c>
      <c r="L21">
        <f t="shared" si="5"/>
        <v>158089350.94200718</v>
      </c>
      <c r="M21">
        <f t="shared" si="5"/>
        <v>137339604.6794225</v>
      </c>
      <c r="N21">
        <f t="shared" si="5"/>
        <v>114618632.52189228</v>
      </c>
      <c r="O21">
        <f t="shared" si="5"/>
        <v>89739168.009396672</v>
      </c>
      <c r="P21">
        <f t="shared" si="5"/>
        <v>62496154.368213996</v>
      </c>
      <c r="Q21">
        <f t="shared" si="5"/>
        <v>32665054.431118961</v>
      </c>
    </row>
    <row r="22" spans="1:27">
      <c r="A22" t="s">
        <v>53</v>
      </c>
      <c r="C22" s="13">
        <f>-PPMT(Assumptions!$B$13, C2, Assumptions!$B$14, Assumptions!$B$19)</f>
        <v>9168234.6020753719</v>
      </c>
      <c r="D22" s="13">
        <f>-PPMT(Assumptions!$B$13, D2, Assumptions!$B$14, Assumptions!$B$19)</f>
        <v>10039216.889272531</v>
      </c>
      <c r="E22" s="13">
        <f>-PPMT(Assumptions!$B$13, E2, Assumptions!$B$14, Assumptions!$B$19)</f>
        <v>10992942.49375342</v>
      </c>
      <c r="F22" s="13">
        <f>-PPMT(Assumptions!$B$13, F2, Assumptions!$B$14, Assumptions!$B$19)</f>
        <v>12037272.030659994</v>
      </c>
      <c r="G22" s="13">
        <f>-PPMT(Assumptions!$B$13, G2, Assumptions!$B$14, Assumptions!$B$19)</f>
        <v>13180812.873572696</v>
      </c>
      <c r="H22" s="13">
        <f>-PPMT(Assumptions!$B$13, H2, Assumptions!$B$14, Assumptions!$B$19)</f>
        <v>14432990.096562099</v>
      </c>
      <c r="I22" s="13">
        <f>-PPMT(Assumptions!$B$13, I2, Assumptions!$B$14, Assumptions!$B$19)</f>
        <v>15804124.1557355</v>
      </c>
      <c r="J22" s="13">
        <f>-PPMT(Assumptions!$B$13, J2, Assumptions!$B$14, Assumptions!$B$19)</f>
        <v>17305515.950530373</v>
      </c>
      <c r="K22" s="13">
        <f>-PPMT(Assumptions!$B$13, K2, Assumptions!$B$14, Assumptions!$B$19)</f>
        <v>18949539.965830758</v>
      </c>
      <c r="L22" s="13">
        <f>-PPMT(Assumptions!$B$13, L2, Assumptions!$B$14, Assumptions!$B$19)</f>
        <v>20749746.262584683</v>
      </c>
      <c r="M22" s="13">
        <f>-PPMT(Assumptions!$B$13, M2, Assumptions!$B$14, Assumptions!$B$19)</f>
        <v>22720972.157530226</v>
      </c>
      <c r="N22" s="13">
        <f>-PPMT(Assumptions!$B$13, N2, Assumptions!$B$14, Assumptions!$B$19)</f>
        <v>24879464.5124956</v>
      </c>
      <c r="O22" s="13">
        <f>-PPMT(Assumptions!$B$13, O2, Assumptions!$B$14, Assumptions!$B$19)</f>
        <v>27243013.64118268</v>
      </c>
      <c r="P22" s="13">
        <f>-PPMT(Assumptions!$B$13, P2, Assumptions!$B$14, Assumptions!$B$19)</f>
        <v>29831099.937095035</v>
      </c>
      <c r="Q22" s="13">
        <f>-PPMT(Assumptions!$B$13, Q2, Assumptions!$B$14, Assumptions!$B$19)</f>
        <v>32665054.431119062</v>
      </c>
    </row>
    <row r="23" spans="1:27">
      <c r="A23" t="s">
        <v>56</v>
      </c>
      <c r="C23">
        <f>C21*Assumptions!$B$13</f>
        <v>26600000</v>
      </c>
      <c r="D23">
        <f>D21*Assumptions!$B$13</f>
        <v>25729017.712802839</v>
      </c>
      <c r="E23">
        <f>E21*Assumptions!$B$13</f>
        <v>24775292.108321946</v>
      </c>
      <c r="F23">
        <f>F21*Assumptions!$B$13</f>
        <v>23730962.571415368</v>
      </c>
      <c r="G23">
        <f>G21*Assumptions!$B$13</f>
        <v>22587421.728502668</v>
      </c>
      <c r="H23">
        <f>H21*Assumptions!$B$13</f>
        <v>21335244.505513262</v>
      </c>
      <c r="I23">
        <f>I21*Assumptions!$B$13</f>
        <v>19964110.446339864</v>
      </c>
      <c r="J23">
        <f>J21*Assumptions!$B$13</f>
        <v>18462718.651544992</v>
      </c>
      <c r="K23">
        <f>K21*Assumptions!$B$13</f>
        <v>16818694.636244606</v>
      </c>
      <c r="L23">
        <f>L21*Assumptions!$B$13</f>
        <v>15018488.339490682</v>
      </c>
      <c r="M23">
        <f>M21*Assumptions!$B$13</f>
        <v>13047262.444545137</v>
      </c>
      <c r="N23">
        <f>N21*Assumptions!$B$13</f>
        <v>10888770.089579767</v>
      </c>
      <c r="O23">
        <f>O21*Assumptions!$B$13</f>
        <v>8525220.9608926848</v>
      </c>
      <c r="P23">
        <f>P21*Assumptions!$B$13</f>
        <v>5937134.6649803296</v>
      </c>
      <c r="Q23">
        <f>Q21*Assumptions!$B$13</f>
        <v>3103180.1709563015</v>
      </c>
    </row>
    <row r="24" spans="1:27">
      <c r="A24" s="12" t="s">
        <v>55</v>
      </c>
      <c r="B24">
        <f>B20</f>
        <v>280000000</v>
      </c>
      <c r="C24" s="13">
        <f>C21-C22</f>
        <v>270831765.3979246</v>
      </c>
      <c r="D24" s="13">
        <f t="shared" ref="D24:Q24" si="6">D21-D22</f>
        <v>260792548.50865206</v>
      </c>
      <c r="E24" s="13">
        <f t="shared" si="6"/>
        <v>249799606.01489863</v>
      </c>
      <c r="F24" s="13">
        <f t="shared" si="6"/>
        <v>237762333.98423862</v>
      </c>
      <c r="G24" s="13">
        <f t="shared" si="6"/>
        <v>224581521.11066592</v>
      </c>
      <c r="H24" s="13">
        <f t="shared" si="6"/>
        <v>210148531.01410383</v>
      </c>
      <c r="I24" s="13">
        <f t="shared" si="6"/>
        <v>194344406.85836834</v>
      </c>
      <c r="J24" s="13">
        <f t="shared" si="6"/>
        <v>177038890.90783796</v>
      </c>
      <c r="K24" s="13">
        <f t="shared" si="6"/>
        <v>158089350.94200718</v>
      </c>
      <c r="L24" s="13">
        <f t="shared" si="6"/>
        <v>137339604.6794225</v>
      </c>
      <c r="M24" s="13">
        <f t="shared" si="6"/>
        <v>114618632.52189228</v>
      </c>
      <c r="N24" s="13">
        <f t="shared" si="6"/>
        <v>89739168.009396672</v>
      </c>
      <c r="O24" s="13">
        <f t="shared" si="6"/>
        <v>62496154.368213996</v>
      </c>
      <c r="P24" s="13">
        <f t="shared" si="6"/>
        <v>32665054.431118961</v>
      </c>
      <c r="Q24" s="13">
        <f t="shared" si="6"/>
        <v>-1.0058283805847168E-7</v>
      </c>
    </row>
    <row r="26" spans="1:27">
      <c r="A26" s="12"/>
    </row>
    <row r="28" spans="1:27">
      <c r="A28" s="12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C76D-60FE-4551-9C29-6FA1C06633EF}">
  <dimension ref="A3:AA16"/>
  <sheetViews>
    <sheetView topLeftCell="A8" workbookViewId="0">
      <selection activeCell="C17" sqref="C17"/>
    </sheetView>
  </sheetViews>
  <sheetFormatPr defaultRowHeight="14.5"/>
  <cols>
    <col min="1" max="1" width="28.90625" customWidth="1"/>
    <col min="3" max="3" width="14.1796875" customWidth="1"/>
    <col min="4" max="4" width="15.26953125" customWidth="1"/>
    <col min="5" max="5" width="14.6328125" customWidth="1"/>
    <col min="6" max="6" width="16.90625" customWidth="1"/>
    <col min="7" max="7" width="16.36328125" customWidth="1"/>
    <col min="8" max="8" width="15.7265625" customWidth="1"/>
    <col min="9" max="9" width="15.36328125" customWidth="1"/>
    <col min="10" max="11" width="16" customWidth="1"/>
    <col min="12" max="12" width="16.453125" customWidth="1"/>
    <col min="13" max="13" width="16.36328125" customWidth="1"/>
    <col min="14" max="14" width="15.6328125" customWidth="1"/>
    <col min="15" max="15" width="16" customWidth="1"/>
    <col min="16" max="16" width="17" customWidth="1"/>
    <col min="17" max="17" width="16.81640625" customWidth="1"/>
  </cols>
  <sheetData>
    <row r="3" spans="1:27">
      <c r="B3" t="s">
        <v>11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</row>
    <row r="5" spans="1:27">
      <c r="A5" t="s">
        <v>13</v>
      </c>
      <c r="C5">
        <f>Calculations!C6</f>
        <v>52998000</v>
      </c>
      <c r="D5">
        <f>Calculations!D6</f>
        <v>52680012</v>
      </c>
      <c r="E5">
        <f>Calculations!E6</f>
        <v>52363931.927999996</v>
      </c>
      <c r="F5">
        <f>Calculations!F6</f>
        <v>52049748.336431995</v>
      </c>
      <c r="G5">
        <f>Calculations!G6</f>
        <v>51737449.846413411</v>
      </c>
      <c r="H5">
        <f>Calculations!H6</f>
        <v>51427025.147334933</v>
      </c>
      <c r="I5">
        <f>Calculations!I6</f>
        <v>51118462.996450916</v>
      </c>
      <c r="J5">
        <f>Calculations!J6</f>
        <v>50811752.218472213</v>
      </c>
      <c r="K5">
        <f>Calculations!K6</f>
        <v>50506881.705161378</v>
      </c>
      <c r="L5">
        <f>Calculations!L6</f>
        <v>50203840.414930411</v>
      </c>
      <c r="M5">
        <f>Calculations!M6</f>
        <v>49902617.372440822</v>
      </c>
      <c r="N5">
        <f>Calculations!N6</f>
        <v>49603201.668206178</v>
      </c>
      <c r="O5">
        <f>Calculations!O6</f>
        <v>49305582.458196938</v>
      </c>
      <c r="P5">
        <f>Calculations!P6</f>
        <v>49009748.96344775</v>
      </c>
      <c r="Q5">
        <f>Calculations!Q6</f>
        <v>48715690.469667062</v>
      </c>
      <c r="R5">
        <f>Calculations!R6</f>
        <v>48423396.326849058</v>
      </c>
      <c r="S5">
        <f>Calculations!S6</f>
        <v>48132855.948887959</v>
      </c>
      <c r="T5">
        <f>Calculations!T6</f>
        <v>47844058.813194625</v>
      </c>
      <c r="U5">
        <f>Calculations!U6</f>
        <v>47556994.460315458</v>
      </c>
      <c r="V5">
        <f>Calculations!V6</f>
        <v>47271652.493553571</v>
      </c>
      <c r="W5">
        <f>Calculations!W6</f>
        <v>46988022.578592256</v>
      </c>
      <c r="X5">
        <f>Calculations!X6</f>
        <v>46706094.443120703</v>
      </c>
      <c r="Y5">
        <f>Calculations!Y6</f>
        <v>46425857.876461983</v>
      </c>
      <c r="Z5">
        <f>Calculations!Z6</f>
        <v>46147302.729203209</v>
      </c>
      <c r="AA5">
        <f>Calculations!AA6</f>
        <v>45870418.912827991</v>
      </c>
    </row>
    <row r="6" spans="1:27">
      <c r="A6" t="s">
        <v>40</v>
      </c>
      <c r="C6">
        <f>Calculations!C9</f>
        <v>4000000</v>
      </c>
      <c r="D6">
        <f>Calculations!D9</f>
        <v>4200000</v>
      </c>
      <c r="E6">
        <f>Calculations!E9</f>
        <v>4410000</v>
      </c>
      <c r="F6">
        <f>Calculations!F9</f>
        <v>4630500</v>
      </c>
      <c r="G6">
        <f>Calculations!G9</f>
        <v>4862025</v>
      </c>
      <c r="H6">
        <f>Calculations!H9</f>
        <v>5105126.25</v>
      </c>
      <c r="I6">
        <f>Calculations!I9</f>
        <v>5360382.5625</v>
      </c>
      <c r="J6">
        <f>Calculations!J9</f>
        <v>5628401.6906249998</v>
      </c>
      <c r="K6">
        <f>Calculations!K9</f>
        <v>5909821.7751562502</v>
      </c>
      <c r="L6">
        <f>Calculations!L9</f>
        <v>6205312.8639140632</v>
      </c>
      <c r="M6">
        <f>Calculations!M9</f>
        <v>6515578.5071097668</v>
      </c>
      <c r="N6">
        <f>Calculations!N9</f>
        <v>6841357.4324652553</v>
      </c>
      <c r="O6">
        <f>Calculations!O9</f>
        <v>7183425.304088518</v>
      </c>
      <c r="P6">
        <f>Calculations!P9</f>
        <v>7542596.5692929439</v>
      </c>
      <c r="Q6">
        <f>Calculations!Q9</f>
        <v>7919726.3977575917</v>
      </c>
      <c r="R6">
        <f>Calculations!R9</f>
        <v>8315712.7176454719</v>
      </c>
      <c r="S6">
        <f>Calculations!S9</f>
        <v>8731498.3535277452</v>
      </c>
      <c r="T6">
        <f>Calculations!T9</f>
        <v>9168073.2712041326</v>
      </c>
      <c r="U6">
        <f>Calculations!U9</f>
        <v>9626476.9347643405</v>
      </c>
      <c r="V6">
        <f>Calculations!V9</f>
        <v>10107800.781502558</v>
      </c>
      <c r="W6">
        <f>Calculations!W9</f>
        <v>10613190.820577687</v>
      </c>
      <c r="X6">
        <f>Calculations!X9</f>
        <v>11143850.361606572</v>
      </c>
      <c r="Y6">
        <f>Calculations!Y9</f>
        <v>11701042.879686901</v>
      </c>
      <c r="Z6">
        <f>Calculations!Z9</f>
        <v>12286095.023671247</v>
      </c>
      <c r="AA6">
        <f>Calculations!AA9</f>
        <v>12900399.774854809</v>
      </c>
    </row>
    <row r="7" spans="1:27">
      <c r="A7" t="s">
        <v>45</v>
      </c>
      <c r="C7">
        <f>Calculations!C14</f>
        <v>160000000</v>
      </c>
      <c r="D7">
        <f>Calculations!D14</f>
        <v>96000000</v>
      </c>
      <c r="E7">
        <f>Calculations!E14</f>
        <v>57600000</v>
      </c>
      <c r="F7">
        <f>Calculations!F14</f>
        <v>34560000</v>
      </c>
      <c r="G7">
        <f>Calculations!G14</f>
        <v>20736000</v>
      </c>
      <c r="H7">
        <f>Calculations!H14</f>
        <v>12441600</v>
      </c>
      <c r="I7">
        <f>Calculations!I14</f>
        <v>7464960</v>
      </c>
      <c r="J7">
        <f>Calculations!J14</f>
        <v>4478976</v>
      </c>
      <c r="K7">
        <f>Calculations!K14</f>
        <v>2687385.6000000001</v>
      </c>
      <c r="L7">
        <f>Calculations!L14</f>
        <v>1612431.3600000001</v>
      </c>
      <c r="M7">
        <f>Calculations!M14</f>
        <v>967458.81600000011</v>
      </c>
      <c r="N7">
        <f>Calculations!N14</f>
        <v>580475.28960000002</v>
      </c>
      <c r="O7">
        <f>Calculations!O14</f>
        <v>348285.17375999998</v>
      </c>
      <c r="P7">
        <f>Calculations!P14</f>
        <v>208971.10425599999</v>
      </c>
      <c r="Q7">
        <f>Calculations!Q14</f>
        <v>125382.66255359999</v>
      </c>
      <c r="R7">
        <f>Calculations!R14</f>
        <v>75229.597532159998</v>
      </c>
      <c r="S7">
        <f>Calculations!S14</f>
        <v>45137.758519296003</v>
      </c>
      <c r="T7">
        <f>Calculations!T14</f>
        <v>27082.655111577595</v>
      </c>
      <c r="U7">
        <f>Calculations!U14</f>
        <v>16249.593066946558</v>
      </c>
      <c r="V7">
        <f>Calculations!V14</f>
        <v>9749.7558401679325</v>
      </c>
      <c r="W7">
        <f>Calculations!W14</f>
        <v>5849.8535041007599</v>
      </c>
      <c r="X7">
        <f>Calculations!X14</f>
        <v>3509.912102460456</v>
      </c>
      <c r="Y7">
        <f>Calculations!Y14</f>
        <v>2105.947261476274</v>
      </c>
      <c r="Z7">
        <f>Calculations!Z14</f>
        <v>1263.5683568857642</v>
      </c>
      <c r="AA7">
        <f>Calculations!AA14</f>
        <v>758.14101413145852</v>
      </c>
    </row>
    <row r="8" spans="1:27">
      <c r="A8" t="s">
        <v>47</v>
      </c>
      <c r="C8">
        <f>Calculations!C17</f>
        <v>-111002000</v>
      </c>
      <c r="D8">
        <f>Calculations!D17</f>
        <v>-47519988</v>
      </c>
      <c r="E8">
        <f>Calculations!E17</f>
        <v>-9646068.0720000044</v>
      </c>
      <c r="F8">
        <f>Calculations!F17</f>
        <v>12859248.336431995</v>
      </c>
      <c r="G8">
        <f>Calculations!G17</f>
        <v>26139424.846413411</v>
      </c>
      <c r="H8">
        <f>Calculations!H17</f>
        <v>33880298.897334933</v>
      </c>
      <c r="I8">
        <f>Calculations!I17</f>
        <v>38293120.433950916</v>
      </c>
      <c r="J8">
        <f>Calculations!J17</f>
        <v>40704374.527847216</v>
      </c>
      <c r="K8">
        <f>Calculations!K17</f>
        <v>41909674.330005124</v>
      </c>
      <c r="L8">
        <f>Calculations!L17</f>
        <v>42386096.191016346</v>
      </c>
      <c r="M8">
        <f>Calculations!M17</f>
        <v>42419580.049331054</v>
      </c>
      <c r="N8">
        <f>Calculations!N17</f>
        <v>42181368.946140923</v>
      </c>
      <c r="O8">
        <f>Calculations!O17</f>
        <v>41773871.980348423</v>
      </c>
      <c r="P8">
        <f>Calculations!P17</f>
        <v>41258181.289898805</v>
      </c>
      <c r="Q8">
        <f>Calculations!Q17</f>
        <v>40670581.409355871</v>
      </c>
      <c r="R8">
        <f>Calculations!R17</f>
        <v>40032454.011671424</v>
      </c>
      <c r="S8">
        <f>Calculations!S17</f>
        <v>39356219.836840913</v>
      </c>
      <c r="T8">
        <f>Calculations!T17</f>
        <v>38648902.886878908</v>
      </c>
      <c r="U8">
        <f>Calculations!U17</f>
        <v>37914267.932484172</v>
      </c>
      <c r="V8">
        <f>Calculations!V17</f>
        <v>37154101.956210844</v>
      </c>
      <c r="W8">
        <f>Calculations!W17</f>
        <v>36368981.904510468</v>
      </c>
      <c r="X8">
        <f>Calculations!X17</f>
        <v>35558734.169411674</v>
      </c>
      <c r="Y8">
        <f>Calculations!Y17</f>
        <v>34722709.049513608</v>
      </c>
      <c r="Z8">
        <f>Calculations!Z17</f>
        <v>33859944.137175076</v>
      </c>
      <c r="AA8">
        <f>Calculations!AA17</f>
        <v>32969260.996959049</v>
      </c>
    </row>
    <row r="9" spans="1:27">
      <c r="A9" t="s">
        <v>48</v>
      </c>
      <c r="C9">
        <f>Calculations!C18</f>
        <v>0</v>
      </c>
      <c r="D9">
        <f>Calculations!D18</f>
        <v>0</v>
      </c>
      <c r="E9">
        <f>Calculations!E18</f>
        <v>0</v>
      </c>
      <c r="F9">
        <f>Calculations!F18</f>
        <v>3236672.8062799331</v>
      </c>
      <c r="G9">
        <f>Calculations!G18</f>
        <v>6579293.2338422546</v>
      </c>
      <c r="H9">
        <f>Calculations!H18</f>
        <v>8527671.2324592024</v>
      </c>
      <c r="I9">
        <f>Calculations!I18</f>
        <v>9638378.413225444</v>
      </c>
      <c r="J9">
        <f>Calculations!J18</f>
        <v>10245291.068659144</v>
      </c>
      <c r="K9">
        <f>Calculations!K18</f>
        <v>10548665.028862288</v>
      </c>
      <c r="L9">
        <f>Calculations!L18</f>
        <v>10668580.411278814</v>
      </c>
      <c r="M9">
        <f>Calculations!M18</f>
        <v>10677008.298416626</v>
      </c>
      <c r="N9">
        <f>Calculations!N18</f>
        <v>10617050.56374367</v>
      </c>
      <c r="O9">
        <f>Calculations!O18</f>
        <v>10514483.577453697</v>
      </c>
      <c r="P9">
        <f>Calculations!P18</f>
        <v>10384684.230667528</v>
      </c>
      <c r="Q9">
        <f>Calculations!Q18</f>
        <v>10236785.340734871</v>
      </c>
      <c r="R9">
        <f>Calculations!R18</f>
        <v>10076168.674737697</v>
      </c>
      <c r="S9">
        <f>Calculations!S18</f>
        <v>9905960.5329328571</v>
      </c>
      <c r="T9">
        <f>Calculations!T18</f>
        <v>9727928.8566274196</v>
      </c>
      <c r="U9">
        <f>Calculations!U18</f>
        <v>9543021.2386062648</v>
      </c>
      <c r="V9">
        <f>Calculations!V18</f>
        <v>9351687.4623782691</v>
      </c>
      <c r="W9">
        <f>Calculations!W18</f>
        <v>9154072.7453652844</v>
      </c>
      <c r="X9">
        <f>Calculations!X18</f>
        <v>8950133.3904409185</v>
      </c>
      <c r="Y9">
        <f>Calculations!Y18</f>
        <v>8739705.8677625749</v>
      </c>
      <c r="Z9">
        <f>Calculations!Z18</f>
        <v>8522547.9393269662</v>
      </c>
      <c r="AA9">
        <f>Calculations!AA18</f>
        <v>8298362.9929345921</v>
      </c>
    </row>
    <row r="10" spans="1:27">
      <c r="A10" t="s">
        <v>57</v>
      </c>
      <c r="C10">
        <f>C8-C9</f>
        <v>-111002000</v>
      </c>
      <c r="D10">
        <f t="shared" ref="D10:AA10" si="0">D8-D9</f>
        <v>-47519988</v>
      </c>
      <c r="E10">
        <f t="shared" si="0"/>
        <v>-9646068.0720000044</v>
      </c>
      <c r="F10">
        <f t="shared" si="0"/>
        <v>9622575.530152062</v>
      </c>
      <c r="G10">
        <f t="shared" si="0"/>
        <v>19560131.612571158</v>
      </c>
      <c r="H10">
        <f t="shared" si="0"/>
        <v>25352627.664875731</v>
      </c>
      <c r="I10">
        <f t="shared" si="0"/>
        <v>28654742.020725474</v>
      </c>
      <c r="J10">
        <f t="shared" si="0"/>
        <v>30459083.459188074</v>
      </c>
      <c r="K10">
        <f t="shared" si="0"/>
        <v>31361009.301142834</v>
      </c>
      <c r="L10">
        <f t="shared" si="0"/>
        <v>31717515.779737532</v>
      </c>
      <c r="M10">
        <f t="shared" si="0"/>
        <v>31742571.750914428</v>
      </c>
      <c r="N10">
        <f t="shared" si="0"/>
        <v>31564318.382397253</v>
      </c>
      <c r="O10">
        <f t="shared" si="0"/>
        <v>31259388.402894728</v>
      </c>
      <c r="P10">
        <f t="shared" si="0"/>
        <v>30873497.059231278</v>
      </c>
      <c r="Q10">
        <f t="shared" si="0"/>
        <v>30433796.068621002</v>
      </c>
      <c r="R10">
        <f t="shared" si="0"/>
        <v>29956285.336933725</v>
      </c>
      <c r="S10">
        <f t="shared" si="0"/>
        <v>29450259.303908058</v>
      </c>
      <c r="T10">
        <f t="shared" si="0"/>
        <v>28920974.030251488</v>
      </c>
      <c r="U10">
        <f t="shared" si="0"/>
        <v>28371246.693877906</v>
      </c>
      <c r="V10">
        <f t="shared" si="0"/>
        <v>27802414.493832573</v>
      </c>
      <c r="W10">
        <f t="shared" si="0"/>
        <v>27214909.159145184</v>
      </c>
      <c r="X10">
        <f t="shared" si="0"/>
        <v>26608600.778970756</v>
      </c>
      <c r="Y10">
        <f t="shared" si="0"/>
        <v>25983003.181751035</v>
      </c>
      <c r="Z10">
        <f t="shared" si="0"/>
        <v>25337396.197848111</v>
      </c>
      <c r="AA10">
        <f t="shared" si="0"/>
        <v>24670898.004024457</v>
      </c>
    </row>
    <row r="11" spans="1:27">
      <c r="A11" t="s">
        <v>58</v>
      </c>
      <c r="C11">
        <f>Calculations!C14</f>
        <v>160000000</v>
      </c>
      <c r="D11">
        <f>Calculations!D14</f>
        <v>96000000</v>
      </c>
      <c r="E11">
        <f>Calculations!E14</f>
        <v>57600000</v>
      </c>
      <c r="F11">
        <f>Calculations!F14</f>
        <v>34560000</v>
      </c>
      <c r="G11">
        <f>Calculations!G14</f>
        <v>20736000</v>
      </c>
      <c r="H11">
        <f>Calculations!H14</f>
        <v>12441600</v>
      </c>
      <c r="I11">
        <f>Calculations!I14</f>
        <v>7464960</v>
      </c>
      <c r="J11">
        <f>Calculations!J14</f>
        <v>4478976</v>
      </c>
      <c r="K11">
        <f>Calculations!K14</f>
        <v>2687385.6000000001</v>
      </c>
      <c r="L11">
        <f>Calculations!L14</f>
        <v>1612431.3600000001</v>
      </c>
      <c r="M11">
        <f>Calculations!M14</f>
        <v>967458.81600000011</v>
      </c>
      <c r="N11">
        <f>Calculations!N14</f>
        <v>580475.28960000002</v>
      </c>
      <c r="O11">
        <f>Calculations!O14</f>
        <v>348285.17375999998</v>
      </c>
      <c r="P11">
        <f>Calculations!P14</f>
        <v>208971.10425599999</v>
      </c>
      <c r="Q11">
        <f>Calculations!Q14</f>
        <v>125382.66255359999</v>
      </c>
      <c r="R11">
        <f>Calculations!R14</f>
        <v>75229.597532159998</v>
      </c>
      <c r="S11">
        <f>Calculations!S14</f>
        <v>45137.758519296003</v>
      </c>
      <c r="T11">
        <f>Calculations!T14</f>
        <v>27082.655111577595</v>
      </c>
      <c r="U11">
        <f>Calculations!U14</f>
        <v>16249.593066946558</v>
      </c>
      <c r="V11">
        <f>Calculations!V14</f>
        <v>9749.7558401679325</v>
      </c>
      <c r="W11">
        <f>Calculations!W14</f>
        <v>5849.8535041007599</v>
      </c>
      <c r="X11">
        <f>Calculations!X14</f>
        <v>3509.912102460456</v>
      </c>
      <c r="Y11">
        <f>Calculations!Y14</f>
        <v>2105.947261476274</v>
      </c>
      <c r="Z11">
        <f>Calculations!Z14</f>
        <v>1263.5683568857642</v>
      </c>
      <c r="AA11">
        <f>Calculations!AA14</f>
        <v>758.14101413145852</v>
      </c>
    </row>
    <row r="12" spans="1:27">
      <c r="A12" t="s">
        <v>59</v>
      </c>
      <c r="C12">
        <f>-Calculations!B8</f>
        <v>-400000000</v>
      </c>
      <c r="D12">
        <f>-Calculations!C8</f>
        <v>0</v>
      </c>
      <c r="E12">
        <f>-Calculations!D8</f>
        <v>0</v>
      </c>
      <c r="F12">
        <f>-Calculations!E8</f>
        <v>0</v>
      </c>
      <c r="G12">
        <f>-Calculations!F8</f>
        <v>0</v>
      </c>
      <c r="H12">
        <f>-Calculations!G8</f>
        <v>0</v>
      </c>
      <c r="I12">
        <f>-Calculations!H8</f>
        <v>0</v>
      </c>
      <c r="J12">
        <f>-Calculations!I8</f>
        <v>0</v>
      </c>
      <c r="K12">
        <f>-Calculations!J8</f>
        <v>0</v>
      </c>
      <c r="L12">
        <f>-Calculations!K8</f>
        <v>0</v>
      </c>
      <c r="M12">
        <f>-Calculations!L8</f>
        <v>0</v>
      </c>
      <c r="N12">
        <f>-Calculations!M8</f>
        <v>0</v>
      </c>
      <c r="O12">
        <f>-Calculations!N8</f>
        <v>0</v>
      </c>
      <c r="P12">
        <f>-Calculations!O8</f>
        <v>0</v>
      </c>
      <c r="Q12">
        <f>-Calculations!P8</f>
        <v>0</v>
      </c>
      <c r="R12">
        <f>-Calculations!Q8</f>
        <v>0</v>
      </c>
      <c r="S12">
        <f>-Calculations!R8</f>
        <v>0</v>
      </c>
      <c r="T12">
        <f>-Calculations!S8</f>
        <v>0</v>
      </c>
      <c r="U12">
        <f>-Calculations!T8</f>
        <v>0</v>
      </c>
      <c r="V12">
        <f>-Calculations!U8</f>
        <v>0</v>
      </c>
      <c r="W12">
        <f>-Calculations!V8</f>
        <v>0</v>
      </c>
      <c r="X12">
        <f>-Calculations!W8</f>
        <v>0</v>
      </c>
      <c r="Y12">
        <f>-Calculations!X8</f>
        <v>0</v>
      </c>
      <c r="Z12">
        <f>-Calculations!Y8</f>
        <v>0</v>
      </c>
      <c r="AA12">
        <f>-Calculations!Z8</f>
        <v>0</v>
      </c>
    </row>
    <row r="13" spans="1:27">
      <c r="A13" t="s">
        <v>60</v>
      </c>
      <c r="C13">
        <f>Calculations!B20</f>
        <v>280000000</v>
      </c>
      <c r="D13">
        <f>Calculations!C20</f>
        <v>0</v>
      </c>
      <c r="E13">
        <f>Calculations!D20</f>
        <v>0</v>
      </c>
      <c r="F13">
        <f>Calculations!E20</f>
        <v>0</v>
      </c>
      <c r="G13">
        <f>Calculations!F20</f>
        <v>0</v>
      </c>
      <c r="H13">
        <f>Calculations!G20</f>
        <v>0</v>
      </c>
      <c r="I13">
        <f>Calculations!H20</f>
        <v>0</v>
      </c>
      <c r="J13">
        <f>Calculations!I20</f>
        <v>0</v>
      </c>
      <c r="K13">
        <f>Calculations!J20</f>
        <v>0</v>
      </c>
      <c r="L13">
        <f>Calculations!K20</f>
        <v>0</v>
      </c>
      <c r="M13">
        <f>Calculations!L20</f>
        <v>0</v>
      </c>
      <c r="N13">
        <f>Calculations!M20</f>
        <v>0</v>
      </c>
      <c r="O13">
        <f>Calculations!N20</f>
        <v>0</v>
      </c>
      <c r="P13">
        <f>Calculations!O20</f>
        <v>0</v>
      </c>
      <c r="Q13">
        <f>Calculations!P20</f>
        <v>0</v>
      </c>
      <c r="R13">
        <f>Calculations!Q20</f>
        <v>0</v>
      </c>
      <c r="S13">
        <f>Calculations!R20</f>
        <v>0</v>
      </c>
      <c r="T13">
        <f>Calculations!S20</f>
        <v>0</v>
      </c>
      <c r="U13">
        <f>Calculations!T20</f>
        <v>0</v>
      </c>
      <c r="V13">
        <f>Calculations!U20</f>
        <v>0</v>
      </c>
      <c r="W13">
        <f>Calculations!V20</f>
        <v>0</v>
      </c>
      <c r="X13">
        <f>Calculations!W20</f>
        <v>0</v>
      </c>
      <c r="Y13">
        <f>Calculations!X20</f>
        <v>0</v>
      </c>
      <c r="Z13">
        <f>Calculations!Y20</f>
        <v>0</v>
      </c>
      <c r="AA13">
        <f>Calculations!Z20</f>
        <v>0</v>
      </c>
    </row>
    <row r="14" spans="1:27">
      <c r="A14" t="s">
        <v>61</v>
      </c>
      <c r="C14" s="13">
        <f>-Calculations!C22</f>
        <v>-9168234.6020753719</v>
      </c>
      <c r="D14" s="13">
        <f>-Calculations!D22</f>
        <v>-10039216.889272531</v>
      </c>
      <c r="E14" s="13">
        <f>-Calculations!E22</f>
        <v>-10992942.49375342</v>
      </c>
      <c r="F14" s="13">
        <f>-Calculations!F22</f>
        <v>-12037272.030659994</v>
      </c>
      <c r="G14" s="13">
        <f>-Calculations!G22</f>
        <v>-13180812.873572696</v>
      </c>
      <c r="H14" s="13">
        <f>-Calculations!H22</f>
        <v>-14432990.096562099</v>
      </c>
      <c r="I14" s="13">
        <f>-Calculations!I22</f>
        <v>-15804124.1557355</v>
      </c>
      <c r="J14" s="13">
        <f>-Calculations!J22</f>
        <v>-17305515.950530373</v>
      </c>
      <c r="K14" s="13">
        <f>-Calculations!K22</f>
        <v>-18949539.965830758</v>
      </c>
      <c r="L14" s="13">
        <f>-Calculations!L22</f>
        <v>-20749746.262584683</v>
      </c>
      <c r="M14" s="13">
        <f>-Calculations!M22</f>
        <v>-22720972.157530226</v>
      </c>
      <c r="N14" s="13">
        <f>-Calculations!N22</f>
        <v>-24879464.5124956</v>
      </c>
      <c r="O14" s="13">
        <f>-Calculations!O22</f>
        <v>-27243013.64118268</v>
      </c>
      <c r="P14" s="13">
        <f>-Calculations!P22</f>
        <v>-29831099.937095035</v>
      </c>
      <c r="Q14" s="13">
        <f>-Calculations!Q22</f>
        <v>-32665054.431119062</v>
      </c>
    </row>
    <row r="15" spans="1:27">
      <c r="A15" t="s">
        <v>62</v>
      </c>
      <c r="B15">
        <f>B10+SUM(B11:B14)</f>
        <v>0</v>
      </c>
      <c r="C15">
        <f t="shared" ref="C15:AA15" si="1">C10+SUM(C11:C14)</f>
        <v>-80170234.602075368</v>
      </c>
      <c r="D15">
        <f t="shared" si="1"/>
        <v>38440795.110727474</v>
      </c>
      <c r="E15">
        <f t="shared" si="1"/>
        <v>36960989.434246577</v>
      </c>
      <c r="F15">
        <f t="shared" si="1"/>
        <v>32145303.499492064</v>
      </c>
      <c r="G15">
        <f t="shared" si="1"/>
        <v>27115318.738998462</v>
      </c>
      <c r="H15">
        <f t="shared" si="1"/>
        <v>23361237.568313632</v>
      </c>
      <c r="I15">
        <f t="shared" si="1"/>
        <v>20315577.864989974</v>
      </c>
      <c r="J15">
        <f t="shared" si="1"/>
        <v>17632543.508657701</v>
      </c>
      <c r="K15">
        <f t="shared" si="1"/>
        <v>15098854.935312076</v>
      </c>
      <c r="L15">
        <f t="shared" si="1"/>
        <v>12580200.877152849</v>
      </c>
      <c r="M15">
        <f t="shared" si="1"/>
        <v>9989058.4093842022</v>
      </c>
      <c r="N15">
        <f t="shared" si="1"/>
        <v>7265329.1595016532</v>
      </c>
      <c r="O15">
        <f t="shared" si="1"/>
        <v>4364659.9354720488</v>
      </c>
      <c r="P15">
        <f t="shared" si="1"/>
        <v>1251368.2263922431</v>
      </c>
      <c r="Q15">
        <f t="shared" si="1"/>
        <v>-2105875.6999444589</v>
      </c>
      <c r="R15">
        <f t="shared" si="1"/>
        <v>30031514.934465885</v>
      </c>
      <c r="S15">
        <f t="shared" si="1"/>
        <v>29495397.062427353</v>
      </c>
      <c r="T15">
        <f t="shared" si="1"/>
        <v>28948056.685363065</v>
      </c>
      <c r="U15">
        <f t="shared" si="1"/>
        <v>28387496.286944851</v>
      </c>
      <c r="V15">
        <f t="shared" si="1"/>
        <v>27812164.249672741</v>
      </c>
      <c r="W15">
        <f t="shared" si="1"/>
        <v>27220759.012649283</v>
      </c>
      <c r="X15">
        <f t="shared" si="1"/>
        <v>26612110.691073216</v>
      </c>
      <c r="Y15">
        <f t="shared" si="1"/>
        <v>25985109.12901251</v>
      </c>
      <c r="Z15">
        <f t="shared" si="1"/>
        <v>25338659.766204998</v>
      </c>
      <c r="AA15">
        <f t="shared" si="1"/>
        <v>24671656.14503859</v>
      </c>
    </row>
    <row r="16" spans="1:27">
      <c r="A16" t="s">
        <v>81</v>
      </c>
      <c r="B16">
        <f>B15</f>
        <v>0</v>
      </c>
      <c r="C16">
        <f>B15+C15</f>
        <v>-80170234.602075368</v>
      </c>
      <c r="D16">
        <f t="shared" ref="D16:AA16" si="2">C15+D15</f>
        <v>-41729439.491347894</v>
      </c>
      <c r="E16">
        <f t="shared" si="2"/>
        <v>75401784.544974059</v>
      </c>
      <c r="F16">
        <f t="shared" si="2"/>
        <v>69106292.933738649</v>
      </c>
      <c r="G16">
        <f t="shared" si="2"/>
        <v>59260622.238490522</v>
      </c>
      <c r="H16">
        <f t="shared" si="2"/>
        <v>50476556.307312094</v>
      </c>
      <c r="I16">
        <f t="shared" si="2"/>
        <v>43676815.433303609</v>
      </c>
      <c r="J16">
        <f t="shared" si="2"/>
        <v>37948121.373647675</v>
      </c>
      <c r="K16">
        <f t="shared" si="2"/>
        <v>32731398.443969779</v>
      </c>
      <c r="L16">
        <f t="shared" si="2"/>
        <v>27679055.812464923</v>
      </c>
      <c r="M16">
        <f t="shared" si="2"/>
        <v>22569259.286537051</v>
      </c>
      <c r="N16">
        <f t="shared" si="2"/>
        <v>17254387.568885855</v>
      </c>
      <c r="O16">
        <f t="shared" si="2"/>
        <v>11629989.094973702</v>
      </c>
      <c r="P16">
        <f t="shared" si="2"/>
        <v>5616028.1618642919</v>
      </c>
      <c r="Q16">
        <f t="shared" si="2"/>
        <v>-854507.47355221584</v>
      </c>
      <c r="R16">
        <f t="shared" si="2"/>
        <v>27925639.234521426</v>
      </c>
      <c r="S16">
        <f t="shared" si="2"/>
        <v>59526911.996893242</v>
      </c>
      <c r="T16">
        <f t="shared" si="2"/>
        <v>58443453.747790419</v>
      </c>
      <c r="U16">
        <f t="shared" si="2"/>
        <v>57335552.97230792</v>
      </c>
      <c r="V16">
        <f t="shared" si="2"/>
        <v>56199660.536617592</v>
      </c>
      <c r="W16">
        <f t="shared" si="2"/>
        <v>55032923.262322024</v>
      </c>
      <c r="X16">
        <f t="shared" si="2"/>
        <v>53832869.703722499</v>
      </c>
      <c r="Y16">
        <f t="shared" si="2"/>
        <v>52597219.820085727</v>
      </c>
      <c r="Z16">
        <f t="shared" si="2"/>
        <v>51323768.895217508</v>
      </c>
      <c r="AA16">
        <f t="shared" si="2"/>
        <v>50010315.911243588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C7DE-4667-437E-B96B-FB8500E3C41D}">
  <dimension ref="A1:H27"/>
  <sheetViews>
    <sheetView tabSelected="1" workbookViewId="0">
      <selection activeCell="H4" sqref="H4"/>
    </sheetView>
  </sheetViews>
  <sheetFormatPr defaultRowHeight="14.5"/>
  <cols>
    <col min="2" max="2" width="13.36328125" customWidth="1"/>
    <col min="4" max="4" width="10.453125" bestFit="1" customWidth="1"/>
    <col min="5" max="5" width="11.36328125" customWidth="1"/>
    <col min="6" max="6" width="18.1796875" customWidth="1"/>
    <col min="7" max="7" width="19.1796875" customWidth="1"/>
    <col min="8" max="8" width="11.81640625" customWidth="1"/>
  </cols>
  <sheetData>
    <row r="1" spans="1:8">
      <c r="A1" t="s">
        <v>75</v>
      </c>
      <c r="B1" t="s">
        <v>13</v>
      </c>
      <c r="C1" t="s">
        <v>76</v>
      </c>
      <c r="D1" t="s">
        <v>77</v>
      </c>
      <c r="E1" t="s">
        <v>78</v>
      </c>
      <c r="F1" t="s">
        <v>55</v>
      </c>
      <c r="G1" t="s">
        <v>53</v>
      </c>
      <c r="H1" t="s">
        <v>54</v>
      </c>
    </row>
    <row r="2" spans="1:8">
      <c r="A2">
        <v>0</v>
      </c>
      <c r="E2" cm="1">
        <f t="array" ref="E2:E27">TRANSPOSE(Financials!B15:AA15)</f>
        <v>0</v>
      </c>
      <c r="F2" cm="1">
        <f t="array" ref="F2:F27">TRANSPOSE(Calculations!B24:AA24)</f>
        <v>280000000</v>
      </c>
    </row>
    <row r="3" spans="1:8">
      <c r="A3">
        <v>1</v>
      </c>
      <c r="B3" s="16" cm="1">
        <f t="array" ref="B3:B27">TRANSPOSE(Financials!C5:AA5)</f>
        <v>52998000</v>
      </c>
      <c r="C3" cm="1">
        <f t="array" ref="C3:C27">TRANSPOSE(Financials!C6:AA6)</f>
        <v>4000000</v>
      </c>
      <c r="D3" cm="1">
        <f t="array" ref="D3:D27">TRANSPOSE(Financials!C10:AA10)</f>
        <v>-111002000</v>
      </c>
      <c r="E3">
        <v>-80170234.602075368</v>
      </c>
      <c r="F3">
        <v>270831765.3979246</v>
      </c>
      <c r="G3" cm="1">
        <f t="array" ref="G3:G17">TRANSPOSE(Calculations!C22:Q22)</f>
        <v>9168234.6020753719</v>
      </c>
      <c r="H3" cm="1">
        <f t="array" ref="H3:H17">TRANSPOSE(Calculations!C23:Q23)</f>
        <v>26600000</v>
      </c>
    </row>
    <row r="4" spans="1:8">
      <c r="A4">
        <f>A3+1</f>
        <v>2</v>
      </c>
      <c r="B4" s="16">
        <v>52680012</v>
      </c>
      <c r="C4">
        <v>4200000</v>
      </c>
      <c r="D4">
        <v>-47519988</v>
      </c>
      <c r="E4">
        <v>38440795.110727474</v>
      </c>
      <c r="F4">
        <v>260792548.50865206</v>
      </c>
      <c r="G4">
        <v>10039216.889272531</v>
      </c>
      <c r="H4">
        <v>25729017.712802839</v>
      </c>
    </row>
    <row r="5" spans="1:8">
      <c r="A5">
        <f t="shared" ref="A5:A27" si="0">A4+1</f>
        <v>3</v>
      </c>
      <c r="B5" s="16">
        <v>52363931.927999996</v>
      </c>
      <c r="C5">
        <v>4410000</v>
      </c>
      <c r="D5">
        <v>-9646068.0720000044</v>
      </c>
      <c r="E5">
        <v>36960989.434246577</v>
      </c>
      <c r="F5">
        <v>249799606.01489863</v>
      </c>
      <c r="G5">
        <v>10992942.49375342</v>
      </c>
      <c r="H5">
        <v>24775292.108321946</v>
      </c>
    </row>
    <row r="6" spans="1:8">
      <c r="A6">
        <f t="shared" si="0"/>
        <v>4</v>
      </c>
      <c r="B6" s="16">
        <v>52049748.336431995</v>
      </c>
      <c r="C6">
        <v>4630500</v>
      </c>
      <c r="D6">
        <v>9622575.530152062</v>
      </c>
      <c r="E6">
        <v>32145303.499492064</v>
      </c>
      <c r="F6">
        <v>237762333.98423862</v>
      </c>
      <c r="G6">
        <v>12037272.030659994</v>
      </c>
      <c r="H6">
        <v>23730962.571415368</v>
      </c>
    </row>
    <row r="7" spans="1:8">
      <c r="A7">
        <f t="shared" si="0"/>
        <v>5</v>
      </c>
      <c r="B7" s="16">
        <v>51737449.846413411</v>
      </c>
      <c r="C7">
        <v>4862025</v>
      </c>
      <c r="D7">
        <v>19560131.612571158</v>
      </c>
      <c r="E7">
        <v>27115318.738998462</v>
      </c>
      <c r="F7">
        <v>224581521.11066592</v>
      </c>
      <c r="G7">
        <v>13180812.873572696</v>
      </c>
      <c r="H7">
        <v>22587421.728502668</v>
      </c>
    </row>
    <row r="8" spans="1:8">
      <c r="A8">
        <f t="shared" si="0"/>
        <v>6</v>
      </c>
      <c r="B8" s="16">
        <v>51427025.147334933</v>
      </c>
      <c r="C8">
        <v>5105126.25</v>
      </c>
      <c r="D8">
        <v>25352627.664875731</v>
      </c>
      <c r="E8">
        <v>23361237.568313632</v>
      </c>
      <c r="F8">
        <v>210148531.01410383</v>
      </c>
      <c r="G8">
        <v>14432990.096562099</v>
      </c>
      <c r="H8">
        <v>21335244.505513262</v>
      </c>
    </row>
    <row r="9" spans="1:8">
      <c r="A9">
        <f t="shared" si="0"/>
        <v>7</v>
      </c>
      <c r="B9" s="16">
        <v>51118462.996450916</v>
      </c>
      <c r="C9">
        <v>5360382.5625</v>
      </c>
      <c r="D9">
        <v>28654742.020725474</v>
      </c>
      <c r="E9">
        <v>20315577.864989974</v>
      </c>
      <c r="F9">
        <v>194344406.85836834</v>
      </c>
      <c r="G9">
        <v>15804124.1557355</v>
      </c>
      <c r="H9">
        <v>19964110.446339864</v>
      </c>
    </row>
    <row r="10" spans="1:8">
      <c r="A10">
        <f t="shared" si="0"/>
        <v>8</v>
      </c>
      <c r="B10" s="16">
        <v>50811752.218472213</v>
      </c>
      <c r="C10">
        <v>5628401.6906249998</v>
      </c>
      <c r="D10">
        <v>30459083.459188074</v>
      </c>
      <c r="E10">
        <v>17632543.508657701</v>
      </c>
      <c r="F10">
        <v>177038890.90783796</v>
      </c>
      <c r="G10">
        <v>17305515.950530373</v>
      </c>
      <c r="H10">
        <v>18462718.651544992</v>
      </c>
    </row>
    <row r="11" spans="1:8">
      <c r="A11">
        <f t="shared" si="0"/>
        <v>9</v>
      </c>
      <c r="B11" s="16">
        <v>50506881.705161378</v>
      </c>
      <c r="C11">
        <v>5909821.7751562502</v>
      </c>
      <c r="D11">
        <v>31361009.301142834</v>
      </c>
      <c r="E11">
        <v>15098854.935312076</v>
      </c>
      <c r="F11">
        <v>158089350.94200718</v>
      </c>
      <c r="G11">
        <v>18949539.965830758</v>
      </c>
      <c r="H11">
        <v>16818694.636244606</v>
      </c>
    </row>
    <row r="12" spans="1:8">
      <c r="A12">
        <f t="shared" si="0"/>
        <v>10</v>
      </c>
      <c r="B12" s="16">
        <v>50203840.414930411</v>
      </c>
      <c r="C12">
        <v>6205312.8639140632</v>
      </c>
      <c r="D12">
        <v>31717515.779737532</v>
      </c>
      <c r="E12">
        <v>12580200.877152849</v>
      </c>
      <c r="F12">
        <v>137339604.6794225</v>
      </c>
      <c r="G12">
        <v>20749746.262584683</v>
      </c>
      <c r="H12">
        <v>15018488.339490682</v>
      </c>
    </row>
    <row r="13" spans="1:8">
      <c r="A13">
        <f t="shared" si="0"/>
        <v>11</v>
      </c>
      <c r="B13" s="16">
        <v>49902617.372440822</v>
      </c>
      <c r="C13">
        <v>6515578.5071097668</v>
      </c>
      <c r="D13">
        <v>31742571.750914428</v>
      </c>
      <c r="E13">
        <v>9989058.4093842022</v>
      </c>
      <c r="F13">
        <v>114618632.52189228</v>
      </c>
      <c r="G13">
        <v>22720972.157530226</v>
      </c>
      <c r="H13">
        <v>13047262.444545137</v>
      </c>
    </row>
    <row r="14" spans="1:8">
      <c r="A14">
        <f t="shared" si="0"/>
        <v>12</v>
      </c>
      <c r="B14" s="16">
        <v>49603201.668206178</v>
      </c>
      <c r="C14">
        <v>6841357.4324652553</v>
      </c>
      <c r="D14">
        <v>31564318.382397253</v>
      </c>
      <c r="E14">
        <v>7265329.1595016532</v>
      </c>
      <c r="F14">
        <v>89739168.009396672</v>
      </c>
      <c r="G14">
        <v>24879464.5124956</v>
      </c>
      <c r="H14">
        <v>10888770.089579767</v>
      </c>
    </row>
    <row r="15" spans="1:8">
      <c r="A15">
        <f t="shared" si="0"/>
        <v>13</v>
      </c>
      <c r="B15" s="16">
        <v>49305582.458196938</v>
      </c>
      <c r="C15">
        <v>7183425.304088518</v>
      </c>
      <c r="D15">
        <v>31259388.402894728</v>
      </c>
      <c r="E15">
        <v>4364659.9354720488</v>
      </c>
      <c r="F15">
        <v>62496154.368213996</v>
      </c>
      <c r="G15">
        <v>27243013.64118268</v>
      </c>
      <c r="H15">
        <v>8525220.9608926848</v>
      </c>
    </row>
    <row r="16" spans="1:8">
      <c r="A16">
        <f t="shared" si="0"/>
        <v>14</v>
      </c>
      <c r="B16" s="16">
        <v>49009748.96344775</v>
      </c>
      <c r="C16">
        <v>7542596.5692929439</v>
      </c>
      <c r="D16">
        <v>30873497.059231278</v>
      </c>
      <c r="E16">
        <v>1251368.2263922431</v>
      </c>
      <c r="F16">
        <v>32665054.431118961</v>
      </c>
      <c r="G16">
        <v>29831099.937095035</v>
      </c>
      <c r="H16">
        <v>5937134.6649803296</v>
      </c>
    </row>
    <row r="17" spans="1:8">
      <c r="A17">
        <f t="shared" si="0"/>
        <v>15</v>
      </c>
      <c r="B17" s="16">
        <v>48715690.469667062</v>
      </c>
      <c r="C17">
        <v>7919726.3977575917</v>
      </c>
      <c r="D17">
        <v>30433796.068621002</v>
      </c>
      <c r="E17">
        <v>-2105875.6999444589</v>
      </c>
      <c r="F17">
        <v>-1.0058283805847168E-7</v>
      </c>
      <c r="G17">
        <v>32665054.431119062</v>
      </c>
      <c r="H17">
        <v>3103180.1709563015</v>
      </c>
    </row>
    <row r="18" spans="1:8">
      <c r="A18">
        <f t="shared" si="0"/>
        <v>16</v>
      </c>
      <c r="B18" s="16">
        <v>48423396.326849058</v>
      </c>
      <c r="C18">
        <v>8315712.7176454719</v>
      </c>
      <c r="D18">
        <v>29956285.336933725</v>
      </c>
      <c r="E18">
        <v>30031514.934465885</v>
      </c>
      <c r="F18">
        <v>0</v>
      </c>
    </row>
    <row r="19" spans="1:8">
      <c r="A19">
        <f t="shared" si="0"/>
        <v>17</v>
      </c>
      <c r="B19" s="16">
        <v>48132855.948887959</v>
      </c>
      <c r="C19">
        <v>8731498.3535277452</v>
      </c>
      <c r="D19">
        <v>29450259.303908058</v>
      </c>
      <c r="E19">
        <v>29495397.062427353</v>
      </c>
      <c r="F19">
        <v>0</v>
      </c>
    </row>
    <row r="20" spans="1:8">
      <c r="A20">
        <f t="shared" si="0"/>
        <v>18</v>
      </c>
      <c r="B20" s="16">
        <v>47844058.813194625</v>
      </c>
      <c r="C20">
        <v>9168073.2712041326</v>
      </c>
      <c r="D20">
        <v>28920974.030251488</v>
      </c>
      <c r="E20">
        <v>28948056.685363065</v>
      </c>
      <c r="F20">
        <v>0</v>
      </c>
    </row>
    <row r="21" spans="1:8">
      <c r="A21">
        <f t="shared" si="0"/>
        <v>19</v>
      </c>
      <c r="B21" s="16">
        <v>47556994.460315458</v>
      </c>
      <c r="C21">
        <v>9626476.9347643405</v>
      </c>
      <c r="D21">
        <v>28371246.693877906</v>
      </c>
      <c r="E21">
        <v>28387496.286944851</v>
      </c>
      <c r="F21">
        <v>0</v>
      </c>
    </row>
    <row r="22" spans="1:8">
      <c r="A22">
        <f t="shared" si="0"/>
        <v>20</v>
      </c>
      <c r="B22" s="16">
        <v>47271652.493553571</v>
      </c>
      <c r="C22">
        <v>10107800.781502558</v>
      </c>
      <c r="D22">
        <v>27802414.493832573</v>
      </c>
      <c r="E22">
        <v>27812164.249672741</v>
      </c>
      <c r="F22">
        <v>0</v>
      </c>
    </row>
    <row r="23" spans="1:8">
      <c r="A23">
        <f t="shared" si="0"/>
        <v>21</v>
      </c>
      <c r="B23" s="16">
        <v>46988022.578592256</v>
      </c>
      <c r="C23">
        <v>10613190.820577687</v>
      </c>
      <c r="D23">
        <v>27214909.159145184</v>
      </c>
      <c r="E23">
        <v>27220759.012649283</v>
      </c>
      <c r="F23">
        <v>0</v>
      </c>
    </row>
    <row r="24" spans="1:8">
      <c r="A24">
        <f t="shared" si="0"/>
        <v>22</v>
      </c>
      <c r="B24" s="16">
        <v>46706094.443120703</v>
      </c>
      <c r="C24">
        <v>11143850.361606572</v>
      </c>
      <c r="D24">
        <v>26608600.778970756</v>
      </c>
      <c r="E24">
        <v>26612110.691073216</v>
      </c>
      <c r="F24">
        <v>0</v>
      </c>
    </row>
    <row r="25" spans="1:8">
      <c r="A25">
        <f t="shared" si="0"/>
        <v>23</v>
      </c>
      <c r="B25" s="16">
        <v>46425857.876461983</v>
      </c>
      <c r="C25">
        <v>11701042.879686901</v>
      </c>
      <c r="D25">
        <v>25983003.181751035</v>
      </c>
      <c r="E25">
        <v>25985109.12901251</v>
      </c>
      <c r="F25">
        <v>0</v>
      </c>
    </row>
    <row r="26" spans="1:8">
      <c r="A26">
        <f t="shared" si="0"/>
        <v>24</v>
      </c>
      <c r="B26" s="16">
        <v>46147302.729203209</v>
      </c>
      <c r="C26">
        <v>12286095.023671247</v>
      </c>
      <c r="D26">
        <v>25337396.197848111</v>
      </c>
      <c r="E26">
        <v>25338659.766204998</v>
      </c>
      <c r="F26">
        <v>0</v>
      </c>
    </row>
    <row r="27" spans="1:8">
      <c r="A27">
        <f t="shared" si="0"/>
        <v>25</v>
      </c>
      <c r="B27" s="16">
        <v>45870418.912827991</v>
      </c>
      <c r="C27">
        <v>12900399.774854809</v>
      </c>
      <c r="D27">
        <v>24670898.004024457</v>
      </c>
      <c r="E27">
        <v>24671656.14503859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Assumptions</vt:lpstr>
      <vt:lpstr>Calculations</vt:lpstr>
      <vt:lpstr>Financials</vt:lpstr>
      <vt:lpstr>Power BI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Baishya</dc:creator>
  <cp:lastModifiedBy>Priyam Baishya</cp:lastModifiedBy>
  <dcterms:created xsi:type="dcterms:W3CDTF">2025-07-20T05:13:51Z</dcterms:created>
  <dcterms:modified xsi:type="dcterms:W3CDTF">2025-07-20T10:19:22Z</dcterms:modified>
</cp:coreProperties>
</file>