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718" documentId="8_{F92B8C67-1FED-4FAF-A107-C4A839585058}" xr6:coauthVersionLast="47" xr6:coauthVersionMax="47" xr10:uidLastSave="{7540B2E8-38BB-440C-B10F-AD3E313282D2}"/>
  <bookViews>
    <workbookView xWindow="-120" yWindow="-120" windowWidth="29040" windowHeight="15840" activeTab="3" xr2:uid="{00000000-000D-0000-FFFF-FFFF00000000}"/>
  </bookViews>
  <sheets>
    <sheet name="Portfolio Ned" sheetId="1" r:id="rId1"/>
    <sheet name="Dividends per year" sheetId="2" r:id="rId2"/>
    <sheet name="Performance Action tracker" sheetId="4" r:id="rId3"/>
    <sheet name="Dividendenkalender" sheetId="3" r:id="rId4"/>
    <sheet name="Trading_Calc" sheetId="7" r:id="rId5"/>
    <sheet name="Portfolio_NW" sheetId="6" r:id="rId6"/>
    <sheet name="Portfolio_Ni" sheetId="8" r:id="rId7"/>
    <sheet name="Income_Ned" sheetId="9" r:id="rId8"/>
    <sheet name="Living_costs" sheetId="5" r:id="rId9"/>
    <sheet name="Apartment1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D38" i="3"/>
  <c r="E38" i="3"/>
  <c r="H38" i="3" s="1"/>
  <c r="F38" i="3"/>
  <c r="C38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8" i="3"/>
  <c r="H19" i="3"/>
  <c r="H20" i="3"/>
  <c r="H2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2" i="3"/>
  <c r="E53" i="2"/>
  <c r="E64" i="2"/>
  <c r="E110" i="2"/>
  <c r="E40" i="2"/>
  <c r="B3" i="10"/>
  <c r="C6" i="10"/>
  <c r="C5" i="10"/>
  <c r="D128" i="2"/>
  <c r="M28" i="8"/>
  <c r="M21" i="8"/>
  <c r="G21" i="8"/>
  <c r="I21" i="8" s="1"/>
  <c r="J21" i="8"/>
  <c r="Z2" i="5"/>
  <c r="Y2" i="5" s="1"/>
  <c r="Y8" i="5" s="1"/>
  <c r="Z7" i="5"/>
  <c r="Z8" i="5" s="1"/>
  <c r="Z6" i="5"/>
  <c r="Z5" i="5"/>
  <c r="Y4" i="5"/>
  <c r="Y3" i="5"/>
  <c r="G2" i="5"/>
  <c r="G3" i="5"/>
  <c r="I79" i="1"/>
  <c r="I80" i="1"/>
  <c r="I81" i="1"/>
  <c r="E85" i="2"/>
  <c r="E80" i="2"/>
  <c r="M22" i="8"/>
  <c r="M20" i="8"/>
  <c r="M18" i="8"/>
  <c r="M16" i="8"/>
  <c r="M19" i="8"/>
  <c r="M27" i="8"/>
  <c r="M26" i="8"/>
  <c r="M25" i="8"/>
  <c r="M24" i="8"/>
  <c r="M23" i="8"/>
  <c r="M13" i="8"/>
  <c r="E3" i="2"/>
  <c r="E51" i="2"/>
  <c r="E38" i="2"/>
  <c r="E107" i="2"/>
  <c r="E39" i="2"/>
  <c r="E9" i="2"/>
  <c r="E48" i="2"/>
  <c r="B47" i="2" s="1"/>
  <c r="I48" i="1" s="1"/>
  <c r="E36" i="2"/>
  <c r="I3" i="5"/>
  <c r="I4" i="5"/>
  <c r="H4" i="5"/>
  <c r="I2" i="5"/>
  <c r="J4" i="5"/>
  <c r="H3" i="5"/>
  <c r="H2" i="5"/>
  <c r="F3" i="5"/>
  <c r="F2" i="5"/>
  <c r="F4" i="5"/>
  <c r="D3" i="5"/>
  <c r="D4" i="5"/>
  <c r="C4" i="5"/>
  <c r="D9" i="9"/>
  <c r="C3" i="5"/>
  <c r="E3" i="5" s="1"/>
  <c r="B3" i="5"/>
  <c r="B4" i="5"/>
  <c r="G130" i="2"/>
  <c r="H130" i="2" s="1"/>
  <c r="I130" i="2" s="1"/>
  <c r="J130" i="2" s="1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AK130" i="2" s="1"/>
  <c r="AL130" i="2" s="1"/>
  <c r="AM130" i="2" s="1"/>
  <c r="AN130" i="2" s="1"/>
  <c r="F130" i="2"/>
  <c r="F126" i="6"/>
  <c r="G126" i="6" s="1"/>
  <c r="H126" i="6" s="1"/>
  <c r="I126" i="6" s="1"/>
  <c r="J126" i="6" s="1"/>
  <c r="K126" i="6" s="1"/>
  <c r="L126" i="6" s="1"/>
  <c r="M126" i="6" s="1"/>
  <c r="N126" i="6" s="1"/>
  <c r="O126" i="6" s="1"/>
  <c r="P126" i="6" s="1"/>
  <c r="Q126" i="6" s="1"/>
  <c r="R126" i="6" s="1"/>
  <c r="S126" i="6" s="1"/>
  <c r="T126" i="6" s="1"/>
  <c r="U126" i="6" s="1"/>
  <c r="V126" i="6" s="1"/>
  <c r="W126" i="6" s="1"/>
  <c r="X126" i="6" s="1"/>
  <c r="Y126" i="6" s="1"/>
  <c r="Z126" i="6" s="1"/>
  <c r="AA126" i="6" s="1"/>
  <c r="AB126" i="6" s="1"/>
  <c r="AC126" i="6" s="1"/>
  <c r="AD126" i="6" s="1"/>
  <c r="AE126" i="6" s="1"/>
  <c r="AF126" i="6" s="1"/>
  <c r="AG126" i="6" s="1"/>
  <c r="AH126" i="6" s="1"/>
  <c r="AI126" i="6" s="1"/>
  <c r="AJ126" i="6" s="1"/>
  <c r="AK126" i="6" s="1"/>
  <c r="AL126" i="6" s="1"/>
  <c r="AM126" i="6" s="1"/>
  <c r="AN126" i="6" s="1"/>
  <c r="F125" i="6"/>
  <c r="G125" i="6" s="1"/>
  <c r="H125" i="6" s="1"/>
  <c r="I125" i="6" s="1"/>
  <c r="J125" i="6" s="1"/>
  <c r="K125" i="6" s="1"/>
  <c r="L125" i="6" s="1"/>
  <c r="M125" i="6" s="1"/>
  <c r="N125" i="6" s="1"/>
  <c r="O125" i="6" s="1"/>
  <c r="P125" i="6" s="1"/>
  <c r="Q125" i="6" s="1"/>
  <c r="R125" i="6" s="1"/>
  <c r="S125" i="6" s="1"/>
  <c r="T125" i="6" s="1"/>
  <c r="U125" i="6" s="1"/>
  <c r="V125" i="6" s="1"/>
  <c r="W125" i="6" s="1"/>
  <c r="X125" i="6" s="1"/>
  <c r="Y125" i="6" s="1"/>
  <c r="Z125" i="6" s="1"/>
  <c r="AA125" i="6" s="1"/>
  <c r="AB125" i="6" s="1"/>
  <c r="AC125" i="6" s="1"/>
  <c r="AD125" i="6" s="1"/>
  <c r="AE125" i="6" s="1"/>
  <c r="AF125" i="6" s="1"/>
  <c r="AG125" i="6" s="1"/>
  <c r="AH125" i="6" s="1"/>
  <c r="AI125" i="6" s="1"/>
  <c r="AJ125" i="6" s="1"/>
  <c r="AK125" i="6" s="1"/>
  <c r="AL125" i="6" s="1"/>
  <c r="AM125" i="6" s="1"/>
  <c r="AN125" i="6" s="1"/>
  <c r="E124" i="6"/>
  <c r="H122" i="6"/>
  <c r="I122" i="6" s="1"/>
  <c r="J122" i="6" s="1"/>
  <c r="K122" i="6" s="1"/>
  <c r="L122" i="6" s="1"/>
  <c r="M122" i="6" s="1"/>
  <c r="N122" i="6" s="1"/>
  <c r="O122" i="6" s="1"/>
  <c r="P122" i="6" s="1"/>
  <c r="Q122" i="6" s="1"/>
  <c r="R122" i="6" s="1"/>
  <c r="S122" i="6" s="1"/>
  <c r="T122" i="6" s="1"/>
  <c r="U122" i="6" s="1"/>
  <c r="V122" i="6" s="1"/>
  <c r="W122" i="6" s="1"/>
  <c r="X122" i="6" s="1"/>
  <c r="Y122" i="6" s="1"/>
  <c r="Z122" i="6" s="1"/>
  <c r="AA122" i="6" s="1"/>
  <c r="AB122" i="6" s="1"/>
  <c r="AC122" i="6" s="1"/>
  <c r="AD122" i="6" s="1"/>
  <c r="AE122" i="6" s="1"/>
  <c r="AF122" i="6" s="1"/>
  <c r="AG122" i="6" s="1"/>
  <c r="AH122" i="6" s="1"/>
  <c r="AI122" i="6" s="1"/>
  <c r="AJ122" i="6" s="1"/>
  <c r="AK122" i="6" s="1"/>
  <c r="AL122" i="6" s="1"/>
  <c r="AM122" i="6" s="1"/>
  <c r="AN122" i="6" s="1"/>
  <c r="G122" i="6"/>
  <c r="F122" i="6"/>
  <c r="F121" i="6"/>
  <c r="G121" i="6" s="1"/>
  <c r="H121" i="6" s="1"/>
  <c r="I121" i="6" s="1"/>
  <c r="J121" i="6" s="1"/>
  <c r="K121" i="6" s="1"/>
  <c r="L121" i="6" s="1"/>
  <c r="M121" i="6" s="1"/>
  <c r="N121" i="6" s="1"/>
  <c r="O121" i="6" s="1"/>
  <c r="P121" i="6" s="1"/>
  <c r="Q121" i="6" s="1"/>
  <c r="R121" i="6" s="1"/>
  <c r="S121" i="6" s="1"/>
  <c r="T121" i="6" s="1"/>
  <c r="U121" i="6" s="1"/>
  <c r="V121" i="6" s="1"/>
  <c r="W121" i="6" s="1"/>
  <c r="X121" i="6" s="1"/>
  <c r="Y121" i="6" s="1"/>
  <c r="Z121" i="6" s="1"/>
  <c r="AA121" i="6" s="1"/>
  <c r="AB121" i="6" s="1"/>
  <c r="AC121" i="6" s="1"/>
  <c r="AD121" i="6" s="1"/>
  <c r="AE121" i="6" s="1"/>
  <c r="AF121" i="6" s="1"/>
  <c r="AG121" i="6" s="1"/>
  <c r="AH121" i="6" s="1"/>
  <c r="AI121" i="6" s="1"/>
  <c r="AJ121" i="6" s="1"/>
  <c r="AK121" i="6" s="1"/>
  <c r="AL121" i="6" s="1"/>
  <c r="AM121" i="6" s="1"/>
  <c r="AN121" i="6" s="1"/>
  <c r="D17" i="9"/>
  <c r="D39" i="9"/>
  <c r="E39" i="9"/>
  <c r="F39" i="9"/>
  <c r="G39" i="9"/>
  <c r="H39" i="9"/>
  <c r="C39" i="9"/>
  <c r="E14" i="9"/>
  <c r="F14" i="9"/>
  <c r="G14" i="9"/>
  <c r="H14" i="9"/>
  <c r="I14" i="9"/>
  <c r="J14" i="9"/>
  <c r="K14" i="9"/>
  <c r="L14" i="9"/>
  <c r="M14" i="9"/>
  <c r="D14" i="9"/>
  <c r="T135" i="2"/>
  <c r="T133" i="2"/>
  <c r="M38" i="6"/>
  <c r="M34" i="6"/>
  <c r="M28" i="6"/>
  <c r="M22" i="6"/>
  <c r="M17" i="6"/>
  <c r="M24" i="6"/>
  <c r="M31" i="6"/>
  <c r="M33" i="6"/>
  <c r="E24" i="2"/>
  <c r="E23" i="2"/>
  <c r="E42" i="2"/>
  <c r="F86" i="8"/>
  <c r="G86" i="8" s="1"/>
  <c r="H86" i="8" s="1"/>
  <c r="I86" i="8" s="1"/>
  <c r="J86" i="8" s="1"/>
  <c r="K86" i="8" s="1"/>
  <c r="L86" i="8" s="1"/>
  <c r="M86" i="8" s="1"/>
  <c r="N86" i="8" s="1"/>
  <c r="O86" i="8" s="1"/>
  <c r="P86" i="8" s="1"/>
  <c r="Q86" i="8" s="1"/>
  <c r="R86" i="8" s="1"/>
  <c r="S86" i="8" s="1"/>
  <c r="T86" i="8" s="1"/>
  <c r="U86" i="8" s="1"/>
  <c r="V86" i="8" s="1"/>
  <c r="W86" i="8" s="1"/>
  <c r="X86" i="8" s="1"/>
  <c r="Y86" i="8" s="1"/>
  <c r="Z86" i="8" s="1"/>
  <c r="AA86" i="8" s="1"/>
  <c r="AB86" i="8" s="1"/>
  <c r="AC86" i="8" s="1"/>
  <c r="AD86" i="8" s="1"/>
  <c r="AE86" i="8" s="1"/>
  <c r="AF86" i="8" s="1"/>
  <c r="AG86" i="8" s="1"/>
  <c r="AH86" i="8" s="1"/>
  <c r="AI86" i="8" s="1"/>
  <c r="AJ86" i="8" s="1"/>
  <c r="AK86" i="8" s="1"/>
  <c r="AL86" i="8" s="1"/>
  <c r="AM86" i="8" s="1"/>
  <c r="AN86" i="8" s="1"/>
  <c r="F85" i="8"/>
  <c r="G85" i="8" s="1"/>
  <c r="H85" i="8" s="1"/>
  <c r="I85" i="8" s="1"/>
  <c r="J85" i="8" s="1"/>
  <c r="K85" i="8" s="1"/>
  <c r="L85" i="8" s="1"/>
  <c r="M85" i="8" s="1"/>
  <c r="N85" i="8" s="1"/>
  <c r="O85" i="8" s="1"/>
  <c r="P85" i="8" s="1"/>
  <c r="Q85" i="8" s="1"/>
  <c r="R85" i="8" s="1"/>
  <c r="S85" i="8" s="1"/>
  <c r="T85" i="8" s="1"/>
  <c r="U85" i="8" s="1"/>
  <c r="V85" i="8" s="1"/>
  <c r="W85" i="8" s="1"/>
  <c r="X85" i="8" s="1"/>
  <c r="Y85" i="8" s="1"/>
  <c r="Z85" i="8" s="1"/>
  <c r="AA85" i="8" s="1"/>
  <c r="AB85" i="8" s="1"/>
  <c r="AC85" i="8" s="1"/>
  <c r="AD85" i="8" s="1"/>
  <c r="AE85" i="8" s="1"/>
  <c r="AF85" i="8" s="1"/>
  <c r="AG85" i="8" s="1"/>
  <c r="AH85" i="8" s="1"/>
  <c r="AI85" i="8" s="1"/>
  <c r="AJ85" i="8" s="1"/>
  <c r="AK85" i="8" s="1"/>
  <c r="AL85" i="8" s="1"/>
  <c r="AM85" i="8" s="1"/>
  <c r="AN85" i="8" s="1"/>
  <c r="E84" i="8"/>
  <c r="F82" i="8"/>
  <c r="G82" i="8" s="1"/>
  <c r="H82" i="8" s="1"/>
  <c r="I82" i="8" s="1"/>
  <c r="J82" i="8" s="1"/>
  <c r="K82" i="8" s="1"/>
  <c r="L82" i="8" s="1"/>
  <c r="M82" i="8" s="1"/>
  <c r="N82" i="8" s="1"/>
  <c r="O82" i="8" s="1"/>
  <c r="P82" i="8" s="1"/>
  <c r="Q82" i="8" s="1"/>
  <c r="R82" i="8" s="1"/>
  <c r="S82" i="8" s="1"/>
  <c r="T82" i="8" s="1"/>
  <c r="U82" i="8" s="1"/>
  <c r="V82" i="8" s="1"/>
  <c r="W82" i="8" s="1"/>
  <c r="X82" i="8" s="1"/>
  <c r="Y82" i="8" s="1"/>
  <c r="Z82" i="8" s="1"/>
  <c r="AA82" i="8" s="1"/>
  <c r="AB82" i="8" s="1"/>
  <c r="AC82" i="8" s="1"/>
  <c r="AD82" i="8" s="1"/>
  <c r="AE82" i="8" s="1"/>
  <c r="AF82" i="8" s="1"/>
  <c r="AG82" i="8" s="1"/>
  <c r="AH82" i="8" s="1"/>
  <c r="AI82" i="8" s="1"/>
  <c r="AJ82" i="8" s="1"/>
  <c r="AK82" i="8" s="1"/>
  <c r="AL82" i="8" s="1"/>
  <c r="AM82" i="8" s="1"/>
  <c r="AN82" i="8" s="1"/>
  <c r="F81" i="8"/>
  <c r="G81" i="8" s="1"/>
  <c r="H81" i="8" s="1"/>
  <c r="I81" i="8" s="1"/>
  <c r="J81" i="8" s="1"/>
  <c r="K81" i="8" s="1"/>
  <c r="L81" i="8" s="1"/>
  <c r="M81" i="8" s="1"/>
  <c r="N81" i="8" s="1"/>
  <c r="O81" i="8" s="1"/>
  <c r="P81" i="8" s="1"/>
  <c r="Q81" i="8" s="1"/>
  <c r="R81" i="8" s="1"/>
  <c r="S81" i="8" s="1"/>
  <c r="T81" i="8" s="1"/>
  <c r="U81" i="8" s="1"/>
  <c r="V81" i="8" s="1"/>
  <c r="W81" i="8" s="1"/>
  <c r="X81" i="8" s="1"/>
  <c r="Y81" i="8" s="1"/>
  <c r="Z81" i="8" s="1"/>
  <c r="AA81" i="8" s="1"/>
  <c r="AB81" i="8" s="1"/>
  <c r="AC81" i="8" s="1"/>
  <c r="AD81" i="8" s="1"/>
  <c r="AE81" i="8" s="1"/>
  <c r="AF81" i="8" s="1"/>
  <c r="AG81" i="8" s="1"/>
  <c r="AH81" i="8" s="1"/>
  <c r="AI81" i="8" s="1"/>
  <c r="AJ81" i="8" s="1"/>
  <c r="AK81" i="8" s="1"/>
  <c r="AL81" i="8" s="1"/>
  <c r="AM81" i="8" s="1"/>
  <c r="AN81" i="8" s="1"/>
  <c r="G133" i="2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F133" i="2"/>
  <c r="G11" i="4"/>
  <c r="G10" i="4"/>
  <c r="F11" i="4"/>
  <c r="F10" i="4"/>
  <c r="E10" i="4"/>
  <c r="D10" i="4"/>
  <c r="D9" i="4"/>
  <c r="E9" i="4"/>
  <c r="G9" i="4" s="1"/>
  <c r="H17" i="3"/>
  <c r="D13" i="3"/>
  <c r="E13" i="3"/>
  <c r="F13" i="3"/>
  <c r="H3" i="3"/>
  <c r="H4" i="3"/>
  <c r="H5" i="3"/>
  <c r="H6" i="3"/>
  <c r="H8" i="3"/>
  <c r="H9" i="3"/>
  <c r="H10" i="3"/>
  <c r="H11" i="3"/>
  <c r="H12" i="3"/>
  <c r="H14" i="3"/>
  <c r="H15" i="3"/>
  <c r="H16" i="3"/>
  <c r="H2" i="3"/>
  <c r="E6" i="2"/>
  <c r="E41" i="2"/>
  <c r="E45" i="2"/>
  <c r="AJ129" i="2"/>
  <c r="AK129" i="2"/>
  <c r="AL129" i="2"/>
  <c r="AM129" i="2" s="1"/>
  <c r="AN129" i="2" s="1"/>
  <c r="AJ128" i="2"/>
  <c r="AK128" i="2"/>
  <c r="AL128" i="2"/>
  <c r="AM128" i="2"/>
  <c r="AN128" i="2"/>
  <c r="Z129" i="2"/>
  <c r="AA129" i="2"/>
  <c r="AB129" i="2" s="1"/>
  <c r="AC129" i="2" s="1"/>
  <c r="AD129" i="2" s="1"/>
  <c r="AE129" i="2" s="1"/>
  <c r="AF129" i="2" s="1"/>
  <c r="AG129" i="2" s="1"/>
  <c r="AH129" i="2" s="1"/>
  <c r="AI129" i="2" s="1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V129" i="2"/>
  <c r="W129" i="2" s="1"/>
  <c r="X129" i="2" s="1"/>
  <c r="Y129" i="2" s="1"/>
  <c r="F129" i="2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H73" i="1"/>
  <c r="I10" i="1"/>
  <c r="I14" i="1"/>
  <c r="I17" i="1"/>
  <c r="I25" i="1"/>
  <c r="I26" i="1"/>
  <c r="I27" i="1"/>
  <c r="I28" i="1"/>
  <c r="I29" i="1"/>
  <c r="I30" i="1"/>
  <c r="I31" i="1"/>
  <c r="I32" i="1"/>
  <c r="I33" i="1"/>
  <c r="I34" i="1"/>
  <c r="I43" i="1"/>
  <c r="I61" i="1"/>
  <c r="I62" i="1"/>
  <c r="I63" i="1"/>
  <c r="I71" i="1"/>
  <c r="I72" i="1"/>
  <c r="I76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B2" i="2"/>
  <c r="I2" i="1" s="1"/>
  <c r="H56" i="1"/>
  <c r="B10" i="2"/>
  <c r="B26" i="2"/>
  <c r="A18" i="2"/>
  <c r="H54" i="1"/>
  <c r="E132" i="2"/>
  <c r="M2" i="3"/>
  <c r="F9" i="4"/>
  <c r="F7" i="4"/>
  <c r="G7" i="4" s="1"/>
  <c r="F8" i="4"/>
  <c r="E8" i="4"/>
  <c r="D8" i="4"/>
  <c r="D132" i="2"/>
  <c r="B41" i="2"/>
  <c r="I42" i="1" s="1"/>
  <c r="D63" i="2"/>
  <c r="B62" i="2" s="1"/>
  <c r="D18" i="2"/>
  <c r="B18" i="2" s="1"/>
  <c r="I18" i="1" s="1"/>
  <c r="D60" i="2"/>
  <c r="D20" i="2"/>
  <c r="B20" i="2" s="1"/>
  <c r="I20" i="1" s="1"/>
  <c r="D19" i="2"/>
  <c r="B19" i="2" s="1"/>
  <c r="I19" i="1" s="1"/>
  <c r="D4" i="2"/>
  <c r="B4" i="2" s="1"/>
  <c r="I4" i="1" s="1"/>
  <c r="D38" i="2"/>
  <c r="D79" i="2"/>
  <c r="D39" i="2"/>
  <c r="D52" i="2"/>
  <c r="B32" i="2" s="1"/>
  <c r="D2" i="2"/>
  <c r="D98" i="2"/>
  <c r="B98" i="2" s="1"/>
  <c r="D67" i="2"/>
  <c r="D56" i="2"/>
  <c r="C4" i="9"/>
  <c r="F3" i="9"/>
  <c r="F8" i="9" s="1"/>
  <c r="G3" i="9"/>
  <c r="G8" i="9" s="1"/>
  <c r="H3" i="9"/>
  <c r="H8" i="9" s="1"/>
  <c r="I3" i="9"/>
  <c r="I8" i="9" s="1"/>
  <c r="B5" i="5"/>
  <c r="B6" i="5"/>
  <c r="B7" i="5"/>
  <c r="B8" i="5"/>
  <c r="M11" i="8"/>
  <c r="M10" i="8"/>
  <c r="A19" i="2"/>
  <c r="A42" i="2"/>
  <c r="H13" i="1"/>
  <c r="H9" i="1"/>
  <c r="H10" i="1"/>
  <c r="H11" i="1"/>
  <c r="H12" i="1"/>
  <c r="D71" i="2"/>
  <c r="D28" i="2"/>
  <c r="B58" i="2" s="1"/>
  <c r="I59" i="1" s="1"/>
  <c r="D69" i="2"/>
  <c r="D68" i="2"/>
  <c r="D30" i="2"/>
  <c r="D21" i="2"/>
  <c r="B21" i="2" s="1"/>
  <c r="I21" i="1" s="1"/>
  <c r="D14" i="2"/>
  <c r="B14" i="2" s="1"/>
  <c r="F14" i="7"/>
  <c r="G14" i="7" s="1"/>
  <c r="F9" i="7"/>
  <c r="G9" i="7" s="1"/>
  <c r="F4" i="7"/>
  <c r="G4" i="7" s="1"/>
  <c r="F19" i="7"/>
  <c r="G19" i="7" s="1"/>
  <c r="F24" i="7"/>
  <c r="G24" i="7" s="1"/>
  <c r="E24" i="7"/>
  <c r="M47" i="6"/>
  <c r="M21" i="6"/>
  <c r="U13" i="9"/>
  <c r="U23" i="9" s="1"/>
  <c r="T13" i="9"/>
  <c r="T23" i="9" s="1"/>
  <c r="F13" i="9"/>
  <c r="G13" i="9"/>
  <c r="H13" i="9"/>
  <c r="I13" i="9"/>
  <c r="I23" i="9" s="1"/>
  <c r="J13" i="9"/>
  <c r="K13" i="9"/>
  <c r="L13" i="9"/>
  <c r="M13" i="9"/>
  <c r="N13" i="9"/>
  <c r="N23" i="9" s="1"/>
  <c r="O13" i="9"/>
  <c r="O23" i="9" s="1"/>
  <c r="P13" i="9"/>
  <c r="P23" i="9" s="1"/>
  <c r="Q13" i="9"/>
  <c r="Q23" i="9" s="1"/>
  <c r="R13" i="9"/>
  <c r="R23" i="9" s="1"/>
  <c r="S13" i="9"/>
  <c r="S23" i="9" s="1"/>
  <c r="E13" i="9"/>
  <c r="G21" i="6"/>
  <c r="I21" i="6" s="1"/>
  <c r="D40" i="2"/>
  <c r="B40" i="2" s="1"/>
  <c r="I41" i="1" s="1"/>
  <c r="D5" i="2"/>
  <c r="B5" i="2" s="1"/>
  <c r="I5" i="1" s="1"/>
  <c r="C2" i="9"/>
  <c r="A10" i="2"/>
  <c r="A11" i="2"/>
  <c r="C12" i="9"/>
  <c r="C23" i="9" s="1"/>
  <c r="D86" i="2"/>
  <c r="B86" i="2" s="1"/>
  <c r="D12" i="2"/>
  <c r="B12" i="2" s="1"/>
  <c r="I12" i="1" s="1"/>
  <c r="D25" i="2"/>
  <c r="B54" i="2" s="1"/>
  <c r="I55" i="1" s="1"/>
  <c r="D92" i="2"/>
  <c r="D46" i="2"/>
  <c r="B61" i="2" s="1"/>
  <c r="E4" i="9"/>
  <c r="E3" i="9"/>
  <c r="D3" i="9"/>
  <c r="D17" i="2"/>
  <c r="B17" i="2" s="1"/>
  <c r="D95" i="2"/>
  <c r="D13" i="2"/>
  <c r="B13" i="2" s="1"/>
  <c r="I13" i="1" s="1"/>
  <c r="M35" i="6"/>
  <c r="M23" i="6"/>
  <c r="M54" i="6"/>
  <c r="M45" i="6"/>
  <c r="M42" i="6"/>
  <c r="M25" i="6"/>
  <c r="M18" i="6"/>
  <c r="F15" i="6"/>
  <c r="M15" i="6" s="1"/>
  <c r="G5" i="1"/>
  <c r="H5" i="1" s="1"/>
  <c r="D64" i="2"/>
  <c r="D110" i="2"/>
  <c r="D53" i="2"/>
  <c r="D4" i="9"/>
  <c r="D97" i="2"/>
  <c r="D32" i="2"/>
  <c r="D107" i="2"/>
  <c r="B107" i="2" s="1"/>
  <c r="I107" i="1" s="1"/>
  <c r="D3" i="2"/>
  <c r="D44" i="2"/>
  <c r="B71" i="2" s="1"/>
  <c r="D9" i="2"/>
  <c r="B9" i="2" s="1"/>
  <c r="I9" i="1" s="1"/>
  <c r="D51" i="2"/>
  <c r="B59" i="2" s="1"/>
  <c r="I60" i="1" s="1"/>
  <c r="D8" i="2"/>
  <c r="B8" i="2" s="1"/>
  <c r="I8" i="1" s="1"/>
  <c r="B63" i="2"/>
  <c r="D23" i="2"/>
  <c r="B23" i="2" s="1"/>
  <c r="I23" i="1" s="1"/>
  <c r="D42" i="2"/>
  <c r="D65" i="2"/>
  <c r="B80" i="2" s="1"/>
  <c r="D45" i="2"/>
  <c r="B65" i="2" s="1"/>
  <c r="I65" i="1" s="1"/>
  <c r="D41" i="2"/>
  <c r="D6" i="2"/>
  <c r="B6" i="2" s="1"/>
  <c r="I6" i="1" s="1"/>
  <c r="D93" i="2"/>
  <c r="B93" i="2" s="1"/>
  <c r="D99" i="2"/>
  <c r="D87" i="2"/>
  <c r="V11" i="5"/>
  <c r="V12" i="5"/>
  <c r="V13" i="5"/>
  <c r="V4" i="5"/>
  <c r="V5" i="5"/>
  <c r="V6" i="5"/>
  <c r="V7" i="5"/>
  <c r="V8" i="5"/>
  <c r="V9" i="5"/>
  <c r="V10" i="5"/>
  <c r="V3" i="5"/>
  <c r="G37" i="8"/>
  <c r="I37" i="8" s="1"/>
  <c r="G4" i="8"/>
  <c r="I4" i="8" s="1"/>
  <c r="G5" i="8"/>
  <c r="I5" i="8" s="1"/>
  <c r="G6" i="8"/>
  <c r="I6" i="8" s="1"/>
  <c r="G7" i="8"/>
  <c r="I7" i="8" s="1"/>
  <c r="G8" i="8"/>
  <c r="I8" i="8" s="1"/>
  <c r="G9" i="8"/>
  <c r="I9" i="8" s="1"/>
  <c r="G10" i="8"/>
  <c r="I10" i="8" s="1"/>
  <c r="G11" i="8"/>
  <c r="I11" i="8" s="1"/>
  <c r="G12" i="8"/>
  <c r="I12" i="8" s="1"/>
  <c r="G39" i="8"/>
  <c r="I39" i="8" s="1"/>
  <c r="G14" i="8"/>
  <c r="I14" i="8" s="1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28" i="8"/>
  <c r="I28" i="8" s="1"/>
  <c r="G22" i="8"/>
  <c r="I22" i="8" s="1"/>
  <c r="G23" i="8"/>
  <c r="I23" i="8" s="1"/>
  <c r="G24" i="8"/>
  <c r="I24" i="8" s="1"/>
  <c r="G25" i="8"/>
  <c r="I25" i="8" s="1"/>
  <c r="G26" i="8"/>
  <c r="I26" i="8" s="1"/>
  <c r="G27" i="8"/>
  <c r="I27" i="8" s="1"/>
  <c r="G13" i="8"/>
  <c r="G30" i="8"/>
  <c r="I30" i="8" s="1"/>
  <c r="G31" i="8"/>
  <c r="I31" i="8" s="1"/>
  <c r="G32" i="8"/>
  <c r="I32" i="8" s="1"/>
  <c r="G33" i="8"/>
  <c r="I33" i="8" s="1"/>
  <c r="G34" i="8"/>
  <c r="I34" i="8" s="1"/>
  <c r="G35" i="8"/>
  <c r="G36" i="8"/>
  <c r="I36" i="8" s="1"/>
  <c r="G38" i="8"/>
  <c r="I38" i="8" s="1"/>
  <c r="G40" i="8"/>
  <c r="G41" i="8"/>
  <c r="G42" i="8"/>
  <c r="G43" i="8"/>
  <c r="I13" i="8"/>
  <c r="I35" i="8"/>
  <c r="D57" i="2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8" i="8"/>
  <c r="J37" i="8"/>
  <c r="J36" i="8"/>
  <c r="J35" i="8"/>
  <c r="J34" i="8"/>
  <c r="J33" i="8"/>
  <c r="J32" i="8"/>
  <c r="J31" i="8"/>
  <c r="J30" i="8"/>
  <c r="J13" i="8"/>
  <c r="J27" i="8"/>
  <c r="J26" i="8"/>
  <c r="J25" i="8"/>
  <c r="J24" i="8"/>
  <c r="J23" i="8"/>
  <c r="J22" i="8"/>
  <c r="J28" i="8"/>
  <c r="J20" i="8"/>
  <c r="J19" i="8"/>
  <c r="J18" i="8"/>
  <c r="M17" i="8"/>
  <c r="J17" i="8"/>
  <c r="J16" i="8"/>
  <c r="N8" i="8" s="1"/>
  <c r="M15" i="8"/>
  <c r="J15" i="8"/>
  <c r="M14" i="8"/>
  <c r="J14" i="8"/>
  <c r="M39" i="8"/>
  <c r="J39" i="8"/>
  <c r="M12" i="8"/>
  <c r="J12" i="8"/>
  <c r="J11" i="8"/>
  <c r="J10" i="8"/>
  <c r="M9" i="8"/>
  <c r="J9" i="8"/>
  <c r="J8" i="8"/>
  <c r="M7" i="8"/>
  <c r="J7" i="8"/>
  <c r="M6" i="8"/>
  <c r="J6" i="8"/>
  <c r="J5" i="8"/>
  <c r="M5" i="8"/>
  <c r="M4" i="8"/>
  <c r="J4" i="8"/>
  <c r="M3" i="8"/>
  <c r="J3" i="8"/>
  <c r="G3" i="8"/>
  <c r="I3" i="8" s="1"/>
  <c r="M2" i="8"/>
  <c r="J2" i="8"/>
  <c r="G2" i="8"/>
  <c r="I2" i="8" s="1"/>
  <c r="H112" i="1"/>
  <c r="K112" i="1" s="1"/>
  <c r="D27" i="2"/>
  <c r="D88" i="2"/>
  <c r="B88" i="2" s="1"/>
  <c r="D24" i="2"/>
  <c r="D66" i="2"/>
  <c r="F6" i="4"/>
  <c r="G6" i="4" s="1"/>
  <c r="G2" i="4"/>
  <c r="G3" i="4"/>
  <c r="G4" i="4"/>
  <c r="G5" i="4"/>
  <c r="H16" i="1"/>
  <c r="M14" i="6"/>
  <c r="M4" i="6"/>
  <c r="M11" i="6"/>
  <c r="G128" i="2"/>
  <c r="H128" i="2"/>
  <c r="I128" i="2"/>
  <c r="J128" i="2"/>
  <c r="K128" i="2"/>
  <c r="L128" i="2"/>
  <c r="M128" i="2"/>
  <c r="N128" i="2"/>
  <c r="O128" i="2"/>
  <c r="F128" i="2"/>
  <c r="B113" i="2"/>
  <c r="B114" i="2"/>
  <c r="B115" i="2"/>
  <c r="D85" i="2"/>
  <c r="B85" i="2" s="1"/>
  <c r="I85" i="1" s="1"/>
  <c r="D16" i="2"/>
  <c r="B16" i="2" s="1"/>
  <c r="I16" i="1" s="1"/>
  <c r="D15" i="2"/>
  <c r="B15" i="2" s="1"/>
  <c r="I15" i="1" s="1"/>
  <c r="E19" i="7"/>
  <c r="E14" i="7"/>
  <c r="E9" i="7"/>
  <c r="E4" i="7"/>
  <c r="E5" i="5"/>
  <c r="E6" i="5"/>
  <c r="E7" i="5"/>
  <c r="E8" i="5"/>
  <c r="E9" i="5"/>
  <c r="E10" i="5"/>
  <c r="E11" i="5"/>
  <c r="E12" i="5"/>
  <c r="E13" i="5"/>
  <c r="M60" i="6"/>
  <c r="D33" i="2"/>
  <c r="B33" i="2" s="1"/>
  <c r="B110" i="2"/>
  <c r="I110" i="1" s="1"/>
  <c r="B51" i="2"/>
  <c r="I52" i="1" s="1"/>
  <c r="D48" i="2"/>
  <c r="B77" i="2" s="1"/>
  <c r="M13" i="6"/>
  <c r="M12" i="6"/>
  <c r="M9" i="6"/>
  <c r="M10" i="6"/>
  <c r="M7" i="6"/>
  <c r="M6" i="6"/>
  <c r="M3" i="6"/>
  <c r="M16" i="6"/>
  <c r="M2" i="6"/>
  <c r="D80" i="2"/>
  <c r="F134" i="2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 s="1"/>
  <c r="AB134" i="2" s="1"/>
  <c r="AC134" i="2" s="1"/>
  <c r="AD134" i="2" s="1"/>
  <c r="AE134" i="2" s="1"/>
  <c r="AF134" i="2" s="1"/>
  <c r="AG134" i="2" s="1"/>
  <c r="AH134" i="2" s="1"/>
  <c r="AI134" i="2" s="1"/>
  <c r="AJ134" i="2" s="1"/>
  <c r="AK134" i="2" s="1"/>
  <c r="AL134" i="2" s="1"/>
  <c r="AM134" i="2" s="1"/>
  <c r="AN134" i="2" s="1"/>
  <c r="H40" i="1"/>
  <c r="H23" i="1"/>
  <c r="D2" i="5"/>
  <c r="C2" i="5"/>
  <c r="D11" i="2"/>
  <c r="B11" i="2" s="1"/>
  <c r="I11" i="1" s="1"/>
  <c r="D26" i="2"/>
  <c r="D58" i="2"/>
  <c r="L112" i="1"/>
  <c r="B87" i="2"/>
  <c r="I85" i="6"/>
  <c r="J19" i="6"/>
  <c r="J20" i="6"/>
  <c r="J26" i="6"/>
  <c r="J58" i="6"/>
  <c r="L5" i="5"/>
  <c r="L6" i="5"/>
  <c r="L7" i="5"/>
  <c r="L8" i="5"/>
  <c r="L9" i="5"/>
  <c r="L10" i="5"/>
  <c r="L11" i="5"/>
  <c r="L12" i="5"/>
  <c r="L13" i="5"/>
  <c r="B64" i="2"/>
  <c r="I64" i="1" s="1"/>
  <c r="H85" i="1"/>
  <c r="C13" i="3"/>
  <c r="H13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U128" i="2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U135" i="2" s="1"/>
  <c r="V135" i="2" s="1"/>
  <c r="W135" i="2" s="1"/>
  <c r="X135" i="2" s="1"/>
  <c r="Y135" i="2" s="1"/>
  <c r="Z135" i="2" s="1"/>
  <c r="AA135" i="2" s="1"/>
  <c r="AB135" i="2" s="1"/>
  <c r="AC135" i="2" s="1"/>
  <c r="AD135" i="2" s="1"/>
  <c r="AE135" i="2" s="1"/>
  <c r="AF135" i="2" s="1"/>
  <c r="AG135" i="2" s="1"/>
  <c r="AH135" i="2" s="1"/>
  <c r="AI135" i="2" s="1"/>
  <c r="AJ135" i="2" s="1"/>
  <c r="AK135" i="2" s="1"/>
  <c r="AL135" i="2" s="1"/>
  <c r="AM135" i="2" s="1"/>
  <c r="AN135" i="2" s="1"/>
  <c r="C99" i="2"/>
  <c r="D83" i="2"/>
  <c r="B38" i="2" s="1"/>
  <c r="I39" i="1" s="1"/>
  <c r="D31" i="2"/>
  <c r="B25" i="2" s="1"/>
  <c r="B96" i="2"/>
  <c r="B100" i="2"/>
  <c r="B92" i="2"/>
  <c r="L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D105" i="2"/>
  <c r="B105" i="2" s="1"/>
  <c r="I105" i="1" s="1"/>
  <c r="D35" i="2"/>
  <c r="B73" i="2" s="1"/>
  <c r="I73" i="1" s="1"/>
  <c r="D49" i="2"/>
  <c r="D61" i="2"/>
  <c r="B60" i="2" s="1"/>
  <c r="D109" i="2"/>
  <c r="B109" i="2" s="1"/>
  <c r="I109" i="1" s="1"/>
  <c r="D81" i="2"/>
  <c r="D29" i="2"/>
  <c r="B81" i="2" s="1"/>
  <c r="D36" i="2"/>
  <c r="B75" i="2" s="1"/>
  <c r="I75" i="1" s="1"/>
  <c r="F5" i="6"/>
  <c r="J5" i="6" s="1"/>
  <c r="J16" i="6"/>
  <c r="J60" i="6"/>
  <c r="J55" i="6"/>
  <c r="J59" i="6"/>
  <c r="J24" i="6"/>
  <c r="J25" i="6"/>
  <c r="J17" i="6"/>
  <c r="J22" i="6"/>
  <c r="J28" i="6"/>
  <c r="J23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18" i="6"/>
  <c r="J21" i="6"/>
  <c r="J54" i="6"/>
  <c r="J61" i="6"/>
  <c r="J62" i="6"/>
  <c r="J63" i="6"/>
  <c r="J64" i="6"/>
  <c r="J65" i="6"/>
  <c r="J66" i="6"/>
  <c r="J67" i="6"/>
  <c r="G16" i="6"/>
  <c r="I16" i="6" s="1"/>
  <c r="G60" i="6"/>
  <c r="I60" i="6" s="1"/>
  <c r="G55" i="6"/>
  <c r="I55" i="6" s="1"/>
  <c r="G19" i="6"/>
  <c r="I19" i="6" s="1"/>
  <c r="G20" i="6"/>
  <c r="I20" i="6" s="1"/>
  <c r="G26" i="6"/>
  <c r="I26" i="6" s="1"/>
  <c r="G58" i="6"/>
  <c r="I58" i="6" s="1"/>
  <c r="G59" i="6"/>
  <c r="I59" i="6" s="1"/>
  <c r="G24" i="6"/>
  <c r="I24" i="6" s="1"/>
  <c r="G25" i="6"/>
  <c r="I25" i="6" s="1"/>
  <c r="G17" i="6"/>
  <c r="I17" i="6" s="1"/>
  <c r="G22" i="6"/>
  <c r="I22" i="6" s="1"/>
  <c r="G28" i="6"/>
  <c r="I28" i="6" s="1"/>
  <c r="G23" i="6"/>
  <c r="I23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18" i="6"/>
  <c r="I18" i="6" s="1"/>
  <c r="G54" i="6"/>
  <c r="I54" i="6" s="1"/>
  <c r="G61" i="6"/>
  <c r="I61" i="6" s="1"/>
  <c r="G62" i="6"/>
  <c r="I62" i="6" s="1"/>
  <c r="G63" i="6"/>
  <c r="I63" i="6" s="1"/>
  <c r="G64" i="6"/>
  <c r="I64" i="6" s="1"/>
  <c r="G65" i="6"/>
  <c r="I65" i="6" s="1"/>
  <c r="G66" i="6"/>
  <c r="I66" i="6" s="1"/>
  <c r="G67" i="6"/>
  <c r="I67" i="6" s="1"/>
  <c r="G68" i="6"/>
  <c r="I68" i="6" s="1"/>
  <c r="G69" i="6"/>
  <c r="I69" i="6" s="1"/>
  <c r="J3" i="6"/>
  <c r="J4" i="6"/>
  <c r="J6" i="6"/>
  <c r="J7" i="6"/>
  <c r="J8" i="6"/>
  <c r="J9" i="6"/>
  <c r="J10" i="6"/>
  <c r="J11" i="6"/>
  <c r="J12" i="6"/>
  <c r="J13" i="6"/>
  <c r="J14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74" i="6"/>
  <c r="I74" i="6" s="1"/>
  <c r="G75" i="6"/>
  <c r="I75" i="6" s="1"/>
  <c r="G76" i="6"/>
  <c r="I76" i="6" s="1"/>
  <c r="G77" i="6"/>
  <c r="I77" i="6" s="1"/>
  <c r="G78" i="6"/>
  <c r="I78" i="6" s="1"/>
  <c r="G79" i="6"/>
  <c r="I79" i="6" s="1"/>
  <c r="G80" i="6"/>
  <c r="I80" i="6" s="1"/>
  <c r="G81" i="6"/>
  <c r="I81" i="6" s="1"/>
  <c r="G82" i="6"/>
  <c r="I82" i="6" s="1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I98" i="6" s="1"/>
  <c r="G97" i="6"/>
  <c r="I97" i="6" s="1"/>
  <c r="G96" i="6"/>
  <c r="I96" i="6" s="1"/>
  <c r="G95" i="6"/>
  <c r="I95" i="6" s="1"/>
  <c r="G94" i="6"/>
  <c r="I94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7" i="6"/>
  <c r="I87" i="6" s="1"/>
  <c r="G86" i="6"/>
  <c r="I86" i="6" s="1"/>
  <c r="D62" i="2"/>
  <c r="D75" i="2"/>
  <c r="B56" i="2" s="1"/>
  <c r="I57" i="1" s="1"/>
  <c r="D43" i="2"/>
  <c r="D106" i="2"/>
  <c r="B106" i="2" s="1"/>
  <c r="I106" i="1" s="1"/>
  <c r="D22" i="2"/>
  <c r="B57" i="2" s="1"/>
  <c r="I58" i="1" s="1"/>
  <c r="B2" i="5"/>
  <c r="H111" i="1"/>
  <c r="D50" i="2"/>
  <c r="D59" i="2"/>
  <c r="D111" i="2"/>
  <c r="B111" i="2" s="1"/>
  <c r="I111" i="1" s="1"/>
  <c r="L111" i="1" s="1"/>
  <c r="B43" i="2"/>
  <c r="I44" i="1" s="1"/>
  <c r="D76" i="2"/>
  <c r="D34" i="2"/>
  <c r="B72" i="2" s="1"/>
  <c r="D74" i="2"/>
  <c r="A24" i="2"/>
  <c r="B84" i="2"/>
  <c r="I84" i="1" s="1"/>
  <c r="D89" i="2"/>
  <c r="B89" i="2" s="1"/>
  <c r="B112" i="2"/>
  <c r="A111" i="2"/>
  <c r="A112" i="2"/>
  <c r="A113" i="2"/>
  <c r="I102" i="1"/>
  <c r="I103" i="1"/>
  <c r="I104" i="1"/>
  <c r="B91" i="2"/>
  <c r="L91" i="1" s="1"/>
  <c r="H110" i="1"/>
  <c r="H109" i="1"/>
  <c r="H4" i="1"/>
  <c r="B69" i="2"/>
  <c r="I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Q62" i="3"/>
  <c r="R62" i="3" s="1"/>
  <c r="A62" i="3"/>
  <c r="Q61" i="3"/>
  <c r="R61" i="3" s="1"/>
  <c r="A61" i="3"/>
  <c r="Q60" i="3"/>
  <c r="R60" i="3" s="1"/>
  <c r="A60" i="3"/>
  <c r="Q59" i="3"/>
  <c r="R59" i="3" s="1"/>
  <c r="A59" i="3"/>
  <c r="Q58" i="3"/>
  <c r="R58" i="3" s="1"/>
  <c r="A58" i="3"/>
  <c r="Q57" i="3"/>
  <c r="A57" i="3"/>
  <c r="Q56" i="3"/>
  <c r="R56" i="3" s="1"/>
  <c r="A56" i="3"/>
  <c r="Q55" i="3"/>
  <c r="R55" i="3" s="1"/>
  <c r="A55" i="3"/>
  <c r="Q54" i="3"/>
  <c r="R54" i="3" s="1"/>
  <c r="A54" i="3"/>
  <c r="Q53" i="3"/>
  <c r="R53" i="3" s="1"/>
  <c r="A53" i="3"/>
  <c r="Q52" i="3"/>
  <c r="R52" i="3" s="1"/>
  <c r="A52" i="3"/>
  <c r="Q51" i="3"/>
  <c r="R51" i="3" s="1"/>
  <c r="A51" i="3"/>
  <c r="A50" i="3"/>
  <c r="Q49" i="3"/>
  <c r="R49" i="3" s="1"/>
  <c r="O50" i="3"/>
  <c r="Q50" i="3" s="1"/>
  <c r="R50" i="3" s="1"/>
  <c r="A49" i="3"/>
  <c r="Q48" i="3"/>
  <c r="R48" i="3" s="1"/>
  <c r="A48" i="3"/>
  <c r="Q47" i="3"/>
  <c r="R47" i="3" s="1"/>
  <c r="A47" i="3"/>
  <c r="O46" i="3"/>
  <c r="Q46" i="3" s="1"/>
  <c r="R46" i="3" s="1"/>
  <c r="A46" i="3"/>
  <c r="O45" i="3"/>
  <c r="Q45" i="3" s="1"/>
  <c r="R45" i="3" s="1"/>
  <c r="A45" i="3"/>
  <c r="O44" i="3"/>
  <c r="Q44" i="3" s="1"/>
  <c r="R44" i="3" s="1"/>
  <c r="A44" i="3"/>
  <c r="O43" i="3"/>
  <c r="Q43" i="3" s="1"/>
  <c r="R43" i="3" s="1"/>
  <c r="A43" i="3"/>
  <c r="Q42" i="3"/>
  <c r="R42" i="3" s="1"/>
  <c r="A42" i="3"/>
  <c r="Q41" i="3"/>
  <c r="R41" i="3" s="1"/>
  <c r="A41" i="3"/>
  <c r="Q40" i="3"/>
  <c r="R40" i="3" s="1"/>
  <c r="A40" i="3"/>
  <c r="Q39" i="3"/>
  <c r="R39" i="3" s="1"/>
  <c r="A39" i="3"/>
  <c r="Q38" i="3"/>
  <c r="R38" i="3" s="1"/>
  <c r="A38" i="3"/>
  <c r="Q37" i="3"/>
  <c r="R37" i="3" s="1"/>
  <c r="A37" i="3"/>
  <c r="Q36" i="3"/>
  <c r="R36" i="3" s="1"/>
  <c r="A36" i="3"/>
  <c r="Q35" i="3"/>
  <c r="R35" i="3" s="1"/>
  <c r="A35" i="3"/>
  <c r="Q34" i="3"/>
  <c r="R34" i="3" s="1"/>
  <c r="A34" i="3"/>
  <c r="Q33" i="3"/>
  <c r="R33" i="3" s="1"/>
  <c r="A33" i="3"/>
  <c r="Q32" i="3"/>
  <c r="R32" i="3" s="1"/>
  <c r="A32" i="3"/>
  <c r="Q31" i="3"/>
  <c r="R31" i="3" s="1"/>
  <c r="A31" i="3"/>
  <c r="Q30" i="3"/>
  <c r="R30" i="3" s="1"/>
  <c r="A30" i="3"/>
  <c r="Q29" i="3"/>
  <c r="R29" i="3" s="1"/>
  <c r="A29" i="3"/>
  <c r="Q28" i="3"/>
  <c r="R28" i="3" s="1"/>
  <c r="A28" i="3"/>
  <c r="Q27" i="3"/>
  <c r="R27" i="3" s="1"/>
  <c r="A27" i="3"/>
  <c r="Q26" i="3"/>
  <c r="R26" i="3" s="1"/>
  <c r="Q25" i="3"/>
  <c r="R25" i="3" s="1"/>
  <c r="Q24" i="3"/>
  <c r="R24" i="3" s="1"/>
  <c r="Q23" i="3"/>
  <c r="R23" i="3" s="1"/>
  <c r="Q22" i="3"/>
  <c r="R22" i="3" s="1"/>
  <c r="Q21" i="3"/>
  <c r="R21" i="3" s="1"/>
  <c r="Q20" i="3"/>
  <c r="R20" i="3" s="1"/>
  <c r="Q17" i="3"/>
  <c r="R17" i="3" s="1"/>
  <c r="Q15" i="3"/>
  <c r="R15" i="3" s="1"/>
  <c r="Q14" i="3"/>
  <c r="R14" i="3" s="1"/>
  <c r="Q13" i="3"/>
  <c r="R13" i="3" s="1"/>
  <c r="O12" i="3"/>
  <c r="Q12" i="3" s="1"/>
  <c r="R12" i="3" s="1"/>
  <c r="O10" i="3"/>
  <c r="Q10" i="3" s="1"/>
  <c r="R10" i="3" s="1"/>
  <c r="M9" i="3"/>
  <c r="M8" i="3"/>
  <c r="M7" i="3"/>
  <c r="O6" i="3"/>
  <c r="Q6" i="3" s="1"/>
  <c r="R6" i="3" s="1"/>
  <c r="O5" i="3"/>
  <c r="Q4" i="3"/>
  <c r="R4" i="3" s="1"/>
  <c r="M4" i="3"/>
  <c r="A2" i="3"/>
  <c r="A114" i="2"/>
  <c r="A110" i="2"/>
  <c r="A109" i="2"/>
  <c r="A108" i="2"/>
  <c r="A107" i="2"/>
  <c r="A106" i="2"/>
  <c r="A105" i="2"/>
  <c r="A104" i="2"/>
  <c r="B90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7" i="2"/>
  <c r="A16" i="2"/>
  <c r="A15" i="2"/>
  <c r="A14" i="2"/>
  <c r="A13" i="2"/>
  <c r="A12" i="2"/>
  <c r="A9" i="2"/>
  <c r="A8" i="2"/>
  <c r="A7" i="2"/>
  <c r="A6" i="2"/>
  <c r="A5" i="2"/>
  <c r="A4" i="2"/>
  <c r="A3" i="2"/>
  <c r="A2" i="2"/>
  <c r="B108" i="2"/>
  <c r="I108" i="1" s="1"/>
  <c r="H108" i="1"/>
  <c r="H107" i="1"/>
  <c r="H106" i="1"/>
  <c r="H105" i="1"/>
  <c r="H98" i="1"/>
  <c r="H97" i="1"/>
  <c r="H96" i="1"/>
  <c r="H95" i="1"/>
  <c r="B94" i="2"/>
  <c r="H94" i="1"/>
  <c r="H93" i="1"/>
  <c r="H92" i="1"/>
  <c r="H91" i="1"/>
  <c r="H90" i="1"/>
  <c r="H89" i="1"/>
  <c r="H88" i="1"/>
  <c r="H21" i="1"/>
  <c r="H81" i="1"/>
  <c r="H29" i="1"/>
  <c r="H65" i="1"/>
  <c r="H49" i="1"/>
  <c r="H80" i="1"/>
  <c r="H48" i="1"/>
  <c r="H76" i="1"/>
  <c r="H36" i="1"/>
  <c r="H30" i="1"/>
  <c r="H35" i="1"/>
  <c r="H34" i="1"/>
  <c r="H44" i="1"/>
  <c r="H33" i="1"/>
  <c r="H24" i="1"/>
  <c r="H68" i="1"/>
  <c r="H47" i="1"/>
  <c r="H39" i="1"/>
  <c r="H45" i="1"/>
  <c r="H70" i="1"/>
  <c r="H20" i="1"/>
  <c r="H63" i="1"/>
  <c r="H46" i="1"/>
  <c r="H51" i="1"/>
  <c r="H28" i="1"/>
  <c r="H22" i="1"/>
  <c r="H75" i="1"/>
  <c r="H41" i="1"/>
  <c r="H25" i="1"/>
  <c r="H38" i="1"/>
  <c r="H99" i="1"/>
  <c r="H53" i="1"/>
  <c r="H26" i="1"/>
  <c r="H62" i="1"/>
  <c r="H58" i="1"/>
  <c r="H64" i="1"/>
  <c r="B46" i="2"/>
  <c r="I47" i="1" s="1"/>
  <c r="H100" i="1"/>
  <c r="H32" i="1"/>
  <c r="H71" i="1"/>
  <c r="H14" i="1"/>
  <c r="H74" i="1"/>
  <c r="H83" i="1"/>
  <c r="H42" i="1"/>
  <c r="H19" i="1"/>
  <c r="H60" i="1"/>
  <c r="H52" i="1"/>
  <c r="H87" i="1"/>
  <c r="H69" i="1"/>
  <c r="H79" i="1"/>
  <c r="H55" i="1"/>
  <c r="H86" i="1"/>
  <c r="H31" i="1"/>
  <c r="H66" i="1"/>
  <c r="H67" i="1"/>
  <c r="H43" i="1"/>
  <c r="H50" i="1"/>
  <c r="H27" i="1"/>
  <c r="H18" i="1"/>
  <c r="H17" i="1"/>
  <c r="H61" i="1"/>
  <c r="H59" i="1"/>
  <c r="H57" i="1"/>
  <c r="H8" i="1"/>
  <c r="B7" i="2"/>
  <c r="I7" i="1" s="1"/>
  <c r="H7" i="1"/>
  <c r="H6" i="1"/>
  <c r="H3" i="1"/>
  <c r="H2" i="1"/>
  <c r="N5" i="8" l="1"/>
  <c r="N11" i="8" s="1"/>
  <c r="B3" i="2"/>
  <c r="I3" i="1" s="1"/>
  <c r="E128" i="2"/>
  <c r="B36" i="2"/>
  <c r="I36" i="1" s="1"/>
  <c r="L7" i="1"/>
  <c r="M5" i="5"/>
  <c r="E4" i="5"/>
  <c r="L4" i="5"/>
  <c r="L3" i="5"/>
  <c r="M3" i="5" s="1"/>
  <c r="H23" i="9"/>
  <c r="D23" i="9"/>
  <c r="D8" i="9"/>
  <c r="C8" i="9"/>
  <c r="E8" i="9"/>
  <c r="K23" i="9"/>
  <c r="J23" i="9"/>
  <c r="G23" i="9"/>
  <c r="M23" i="9"/>
  <c r="F23" i="9"/>
  <c r="L23" i="9"/>
  <c r="U133" i="2"/>
  <c r="V133" i="2" s="1"/>
  <c r="W133" i="2" s="1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AK133" i="2" s="1"/>
  <c r="AL133" i="2" s="1"/>
  <c r="AM133" i="2" s="1"/>
  <c r="AN133" i="2" s="1"/>
  <c r="B24" i="2"/>
  <c r="I24" i="1" s="1"/>
  <c r="L24" i="1" s="1"/>
  <c r="L96" i="1"/>
  <c r="L3" i="1"/>
  <c r="L4" i="1"/>
  <c r="O2" i="3"/>
  <c r="Q2" i="3" s="1"/>
  <c r="R2" i="3" s="1"/>
  <c r="O9" i="3"/>
  <c r="Q8" i="3" s="1"/>
  <c r="R8" i="3" s="1"/>
  <c r="O16" i="3"/>
  <c r="Q16" i="3" s="1"/>
  <c r="R16" i="3" s="1"/>
  <c r="O11" i="3"/>
  <c r="Q11" i="3" s="1"/>
  <c r="R11" i="3" s="1"/>
  <c r="O18" i="3"/>
  <c r="Q18" i="3" s="1"/>
  <c r="R18" i="3" s="1"/>
  <c r="O3" i="3"/>
  <c r="Q3" i="3" s="1"/>
  <c r="R3" i="3" s="1"/>
  <c r="O7" i="3"/>
  <c r="Q7" i="3" s="1"/>
  <c r="R7" i="3" s="1"/>
  <c r="L6" i="1"/>
  <c r="B39" i="2"/>
  <c r="I40" i="1" s="1"/>
  <c r="L40" i="1" s="1"/>
  <c r="L8" i="1"/>
  <c r="L98" i="1"/>
  <c r="L88" i="1"/>
  <c r="B37" i="2"/>
  <c r="B29" i="2"/>
  <c r="K69" i="1" s="1"/>
  <c r="B28" i="2"/>
  <c r="B30" i="2"/>
  <c r="B34" i="2"/>
  <c r="K60" i="1" s="1"/>
  <c r="B27" i="2"/>
  <c r="B35" i="2"/>
  <c r="I35" i="1" s="1"/>
  <c r="K35" i="1" s="1"/>
  <c r="B50" i="2"/>
  <c r="B31" i="2"/>
  <c r="K73" i="1" s="1"/>
  <c r="B83" i="2"/>
  <c r="I83" i="1" s="1"/>
  <c r="L83" i="1" s="1"/>
  <c r="B22" i="2"/>
  <c r="I22" i="1" s="1"/>
  <c r="L9" i="1"/>
  <c r="L59" i="1"/>
  <c r="L43" i="1"/>
  <c r="M6" i="5"/>
  <c r="M7" i="5"/>
  <c r="M11" i="5"/>
  <c r="L2" i="5"/>
  <c r="M13" i="5"/>
  <c r="M12" i="5"/>
  <c r="Q9" i="3"/>
  <c r="R9" i="3" s="1"/>
  <c r="O5" i="1"/>
  <c r="J9" i="1" s="1"/>
  <c r="E23" i="9"/>
  <c r="K86" i="1"/>
  <c r="L13" i="1"/>
  <c r="M5" i="6"/>
  <c r="L12" i="1"/>
  <c r="K10" i="1"/>
  <c r="J15" i="6"/>
  <c r="G15" i="6"/>
  <c r="I15" i="6" s="1"/>
  <c r="L5" i="1"/>
  <c r="Q5" i="3"/>
  <c r="R5" i="3" s="1"/>
  <c r="G8" i="4"/>
  <c r="K16" i="1"/>
  <c r="K21" i="1"/>
  <c r="K85" i="1"/>
  <c r="L85" i="1"/>
  <c r="M9" i="5"/>
  <c r="G5" i="6"/>
  <c r="I5" i="6" s="1"/>
  <c r="K31" i="1"/>
  <c r="L31" i="1"/>
  <c r="K17" i="1"/>
  <c r="L17" i="1"/>
  <c r="K23" i="1"/>
  <c r="L23" i="1"/>
  <c r="K18" i="1"/>
  <c r="L18" i="1"/>
  <c r="K15" i="1"/>
  <c r="K52" i="1"/>
  <c r="K59" i="1"/>
  <c r="L42" i="1"/>
  <c r="K25" i="1"/>
  <c r="K64" i="1"/>
  <c r="K2" i="1"/>
  <c r="K111" i="1"/>
  <c r="E2" i="5"/>
  <c r="B97" i="2"/>
  <c r="L97" i="1" s="1"/>
  <c r="L89" i="1"/>
  <c r="M10" i="5"/>
  <c r="M8" i="5"/>
  <c r="K13" i="1"/>
  <c r="B99" i="2"/>
  <c r="C128" i="2"/>
  <c r="K110" i="1"/>
  <c r="L110" i="1"/>
  <c r="L109" i="1"/>
  <c r="K109" i="1"/>
  <c r="K36" i="1"/>
  <c r="B55" i="2"/>
  <c r="L100" i="1"/>
  <c r="K48" i="1"/>
  <c r="K107" i="1"/>
  <c r="K91" i="1"/>
  <c r="K90" i="1"/>
  <c r="L44" i="1"/>
  <c r="L36" i="1"/>
  <c r="L64" i="1"/>
  <c r="L48" i="1"/>
  <c r="L107" i="1"/>
  <c r="K7" i="1"/>
  <c r="K94" i="1"/>
  <c r="R57" i="3" s="1"/>
  <c r="K12" i="1"/>
  <c r="K75" i="1"/>
  <c r="L90" i="1"/>
  <c r="K29" i="1"/>
  <c r="K89" i="1"/>
  <c r="K93" i="1"/>
  <c r="K105" i="1"/>
  <c r="B67" i="2"/>
  <c r="B79" i="2"/>
  <c r="B95" i="2"/>
  <c r="L95" i="1" s="1"/>
  <c r="K34" i="1"/>
  <c r="L29" i="1"/>
  <c r="L93" i="1"/>
  <c r="L20" i="1"/>
  <c r="L106" i="1"/>
  <c r="K8" i="1"/>
  <c r="K44" i="1"/>
  <c r="L25" i="1"/>
  <c r="K92" i="1"/>
  <c r="K5" i="1"/>
  <c r="B45" i="2"/>
  <c r="K28" i="1"/>
  <c r="B53" i="2"/>
  <c r="I54" i="1" s="1"/>
  <c r="L54" i="1" s="1"/>
  <c r="K4" i="1"/>
  <c r="K6" i="1"/>
  <c r="K14" i="1"/>
  <c r="K100" i="1"/>
  <c r="B70" i="2"/>
  <c r="K88" i="1"/>
  <c r="L108" i="1"/>
  <c r="L87" i="1"/>
  <c r="B49" i="2"/>
  <c r="I50" i="1" s="1"/>
  <c r="K96" i="1"/>
  <c r="K106" i="1"/>
  <c r="K19" i="1"/>
  <c r="L2" i="1"/>
  <c r="K3" i="1"/>
  <c r="B44" i="2"/>
  <c r="L63" i="1"/>
  <c r="K65" i="1"/>
  <c r="K98" i="1"/>
  <c r="B78" i="2"/>
  <c r="L79" i="1" s="1"/>
  <c r="B48" i="2"/>
  <c r="I49" i="1" s="1"/>
  <c r="B74" i="2"/>
  <c r="B82" i="2"/>
  <c r="L81" i="1" s="1"/>
  <c r="B52" i="2"/>
  <c r="I53" i="1" s="1"/>
  <c r="K53" i="1" s="1"/>
  <c r="K108" i="1"/>
  <c r="L61" i="1"/>
  <c r="B68" i="2"/>
  <c r="B76" i="2"/>
  <c r="L76" i="1" s="1"/>
  <c r="L75" i="1"/>
  <c r="L34" i="1"/>
  <c r="L65" i="1"/>
  <c r="L94" i="1"/>
  <c r="L105" i="1"/>
  <c r="O19" i="3"/>
  <c r="Q19" i="3" s="1"/>
  <c r="R19" i="3" s="1"/>
  <c r="L47" i="1" l="1"/>
  <c r="I67" i="1"/>
  <c r="K32" i="1"/>
  <c r="I46" i="1"/>
  <c r="K24" i="1"/>
  <c r="L41" i="1"/>
  <c r="I56" i="1"/>
  <c r="L30" i="1"/>
  <c r="I74" i="1"/>
  <c r="K74" i="1" s="1"/>
  <c r="I68" i="1"/>
  <c r="L68" i="1" s="1"/>
  <c r="L33" i="1"/>
  <c r="I70" i="1"/>
  <c r="L35" i="1"/>
  <c r="L53" i="1"/>
  <c r="K26" i="1"/>
  <c r="I51" i="1"/>
  <c r="K42" i="1"/>
  <c r="I38" i="1"/>
  <c r="K38" i="1" s="1"/>
  <c r="M4" i="5"/>
  <c r="M2" i="5"/>
  <c r="L49" i="1"/>
  <c r="K71" i="1"/>
  <c r="I45" i="1"/>
  <c r="L73" i="1"/>
  <c r="J56" i="1"/>
  <c r="L26" i="1"/>
  <c r="K67" i="1"/>
  <c r="L22" i="1"/>
  <c r="L27" i="1"/>
  <c r="K40" i="1"/>
  <c r="K79" i="1"/>
  <c r="K54" i="1"/>
  <c r="K9" i="1"/>
  <c r="K83" i="1"/>
  <c r="K43" i="1"/>
  <c r="L11" i="1"/>
  <c r="J3" i="1"/>
  <c r="J36" i="1"/>
  <c r="J38" i="1"/>
  <c r="J92" i="1"/>
  <c r="J42" i="1"/>
  <c r="J109" i="1"/>
  <c r="J63" i="1"/>
  <c r="J73" i="1"/>
  <c r="J119" i="1"/>
  <c r="J104" i="1"/>
  <c r="J62" i="1"/>
  <c r="J11" i="1"/>
  <c r="J79" i="1"/>
  <c r="J100" i="1"/>
  <c r="J32" i="1"/>
  <c r="J33" i="1"/>
  <c r="J74" i="1"/>
  <c r="J59" i="1"/>
  <c r="J112" i="1"/>
  <c r="J29" i="1"/>
  <c r="J27" i="1"/>
  <c r="J64" i="1"/>
  <c r="J55" i="1"/>
  <c r="J99" i="1"/>
  <c r="J71" i="1"/>
  <c r="J26" i="1"/>
  <c r="J24" i="1"/>
  <c r="J98" i="1"/>
  <c r="J110" i="1"/>
  <c r="J41" i="1"/>
  <c r="J52" i="1"/>
  <c r="J10" i="1"/>
  <c r="J97" i="1"/>
  <c r="J40" i="1"/>
  <c r="J108" i="1"/>
  <c r="J46" i="1"/>
  <c r="J80" i="1"/>
  <c r="J89" i="1"/>
  <c r="J19" i="1"/>
  <c r="J107" i="1"/>
  <c r="J61" i="1"/>
  <c r="J5" i="1"/>
  <c r="J48" i="1"/>
  <c r="J6" i="1"/>
  <c r="J118" i="1"/>
  <c r="J20" i="1"/>
  <c r="J14" i="1"/>
  <c r="J17" i="1"/>
  <c r="J105" i="1"/>
  <c r="J91" i="1"/>
  <c r="J30" i="1"/>
  <c r="J54" i="1"/>
  <c r="J120" i="1"/>
  <c r="J28" i="1"/>
  <c r="J68" i="1"/>
  <c r="J13" i="1"/>
  <c r="J85" i="1"/>
  <c r="J60" i="1"/>
  <c r="J95" i="1"/>
  <c r="J58" i="1"/>
  <c r="J31" i="1"/>
  <c r="J113" i="1"/>
  <c r="J51" i="1"/>
  <c r="J4" i="1"/>
  <c r="J76" i="1"/>
  <c r="J43" i="1"/>
  <c r="J93" i="1"/>
  <c r="J21" i="1"/>
  <c r="J81" i="1"/>
  <c r="J103" i="1"/>
  <c r="J70" i="1"/>
  <c r="J47" i="1"/>
  <c r="J12" i="1"/>
  <c r="J66" i="1"/>
  <c r="J69" i="1"/>
  <c r="J101" i="1"/>
  <c r="J25" i="1"/>
  <c r="J106" i="1"/>
  <c r="J111" i="1"/>
  <c r="J96" i="1"/>
  <c r="J67" i="1"/>
  <c r="J86" i="1"/>
  <c r="J7" i="1"/>
  <c r="J44" i="1"/>
  <c r="J90" i="1"/>
  <c r="J34" i="1"/>
  <c r="J39" i="1"/>
  <c r="J22" i="1"/>
  <c r="J2" i="1"/>
  <c r="J57" i="1"/>
  <c r="J94" i="1"/>
  <c r="J15" i="1"/>
  <c r="J49" i="1"/>
  <c r="J8" i="1"/>
  <c r="J65" i="1"/>
  <c r="J114" i="1"/>
  <c r="J45" i="1"/>
  <c r="J18" i="1"/>
  <c r="J53" i="1"/>
  <c r="J115" i="1"/>
  <c r="J50" i="1"/>
  <c r="J116" i="1"/>
  <c r="J117" i="1"/>
  <c r="J83" i="1"/>
  <c r="J102" i="1"/>
  <c r="J23" i="1"/>
  <c r="J87" i="1"/>
  <c r="J16" i="1"/>
  <c r="J88" i="1"/>
  <c r="J35" i="1"/>
  <c r="J75" i="1"/>
  <c r="L21" i="1"/>
  <c r="L57" i="1"/>
  <c r="K57" i="1"/>
  <c r="L52" i="1"/>
  <c r="L60" i="1"/>
  <c r="L69" i="1"/>
  <c r="K97" i="1"/>
  <c r="L74" i="1"/>
  <c r="K80" i="1"/>
  <c r="L62" i="1"/>
  <c r="K62" i="1"/>
  <c r="L19" i="1"/>
  <c r="L58" i="1"/>
  <c r="K58" i="1"/>
  <c r="L99" i="1"/>
  <c r="K50" i="1"/>
  <c r="K61" i="1"/>
  <c r="L86" i="1"/>
  <c r="L32" i="1"/>
  <c r="L71" i="1"/>
  <c r="K81" i="1"/>
  <c r="L14" i="1"/>
  <c r="K47" i="1"/>
  <c r="K87" i="1"/>
  <c r="K33" i="1"/>
  <c r="K20" i="1"/>
  <c r="K95" i="1"/>
  <c r="K63" i="1"/>
  <c r="L28" i="1"/>
  <c r="K49" i="1"/>
  <c r="K30" i="1"/>
  <c r="K68" i="1"/>
  <c r="K76" i="1"/>
  <c r="K41" i="1"/>
  <c r="B66" i="2"/>
  <c r="I66" i="1" s="1"/>
  <c r="L56" i="1" l="1"/>
  <c r="K56" i="1"/>
  <c r="K46" i="1"/>
  <c r="L46" i="1"/>
  <c r="L70" i="1"/>
  <c r="K70" i="1"/>
  <c r="K66" i="1"/>
  <c r="L66" i="1"/>
  <c r="L51" i="1"/>
  <c r="K51" i="1"/>
  <c r="L38" i="1"/>
  <c r="L45" i="1"/>
  <c r="K45" i="1"/>
  <c r="K22" i="1"/>
  <c r="L67" i="1"/>
  <c r="K27" i="1"/>
  <c r="L55" i="1"/>
  <c r="K55" i="1"/>
  <c r="K11" i="1"/>
  <c r="L80" i="1"/>
  <c r="K99" i="1"/>
  <c r="L50" i="1"/>
  <c r="L39" i="1"/>
  <c r="K39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<sst xmlns="http://schemas.openxmlformats.org/spreadsheetml/2006/main" count="1135" uniqueCount="581">
  <si>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</si>
  <si>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</si>
  <si>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</si>
  <si>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</si>
  <si>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</si>
  <si>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</si>
  <si>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</si>
  <si>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</si>
  <si>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</si>
  <si>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</si>
  <si>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</si>
  <si>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</si>
  <si>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</si>
  <si>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</si>
  <si>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</si>
  <si>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</si>
  <si>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</si>
  <si>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</si>
  <si>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</si>
  <si>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</si>
  <si>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</si>
  <si>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</si>
  <si>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</si>
  <si>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</si>
  <si>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</si>
  <si>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</si>
  <si>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</si>
  <si>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</si>
  <si>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</si>
  <si>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</si>
  <si>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</si>
  <si>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</si>
  <si>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</si>
  <si>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</si>
  <si>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</si>
  <si>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</si>
  <si>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</si>
  <si>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</si>
  <si>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</si>
  <si>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</si>
  <si>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</si>
  <si>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</si>
  <si>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</si>
  <si>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</si>
  <si>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</si>
  <si>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</si>
  <si>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</si>
  <si>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</si>
  <si>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</si>
  <si>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</si>
  <si>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</si>
  <si>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</si>
  <si>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</si>
  <si>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</si>
  <si>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</si>
  <si>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</si>
  <si>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</si>
  <si>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</si>
  <si>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</si>
  <si>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</si>
  <si>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</si>
  <si>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</si>
  <si>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</si>
  <si>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</si>
  <si>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</si>
  <si>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</si>
  <si>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</si>
  <si>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</si>
  <si>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</si>
  <si>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</si>
  <si>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</si>
  <si>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</si>
  <si>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</si>
  <si>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</si>
  <si>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</si>
  <si>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</si>
  <si>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</si>
  <si>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</si>
  <si>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</si>
  <si>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</si>
  <si>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</si>
  <si>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</si>
  <si>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</si>
  <si>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</si>
  <si>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</si>
  <si>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</si>
  <si>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</si>
  <si>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</si>
  <si>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</si>
  <si>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GBP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</si>
  <si>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</si>
  <si>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</si>
  <si>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</si>
  <si>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</si>
  <si>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</si>
  <si>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</si>
  <si>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</si>
  <si>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</si>
  <si>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</si>
  <si>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</si>
  <si>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</si>
  <si>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</si>
  <si>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</si>
  <si>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</si>
  <si>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</si>
  <si>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</si>
  <si>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</si>
  <si>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</si>
  <si>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</si>
  <si>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</si>
  <si>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</si>
  <si>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</si>
  <si>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</si>
  <si>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</si>
  <si>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</si>
  <si>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</si>
  <si>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</si>
  <si>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</si>
  <si>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</si>
  <si>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</si>
  <si>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</si>
  <si>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</si>
  <si>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</si>
  <si>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</si>
  <si>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</si>
  <si>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</si>
  <si>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</si>
  <si>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</si>
  <si>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</si>
  <si>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</si>
  <si>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</si>
  <si>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</si>
  <si>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</si>
  <si>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</si>
  <si>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</si>
  <si>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</si>
  <si>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</si>
  <si>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</si>
  <si>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</si>
  <si>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</si>
  <si>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</si>
  <si>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</si>
  <si>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</si>
  <si>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</si>
  <si>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</si>
  <si>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</si>
  <si>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</si>
  <si>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</si>
  <si>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</si>
  <si>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</si>
  <si>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</si>
  <si>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</si>
  <si>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</si>
  <si>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</si>
  <si>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</si>
  <si>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</si>
  <si>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</si>
  <si>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</si>
  <si>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</si>
  <si>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</si>
  <si>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</si>
  <si>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</si>
  <si>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</si>
  <si>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</si>
  <si>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</si>
  <si>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</si>
  <si>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</si>
  <si>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</si>
  <si>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</si>
  <si>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</si>
  <si>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</si>
  <si>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</si>
  <si>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</si>
  <si>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</si>
  <si>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</si>
  <si>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</si>
  <si>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</si>
  <si>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</si>
  <si>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</si>
  <si>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</si>
  <si>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</si>
  <si>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</si>
  <si>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</si>
  <si>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</si>
  <si>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</si>
  <si>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</si>
  <si>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</si>
  <si>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</si>
  <si>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</si>
  <si>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</si>
  <si>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</si>
  <si>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</si>
  <si>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</si>
  <si>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</si>
  <si>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</si>
  <si>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</si>
  <si>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</si>
  <si>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</si>
  <si>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</si>
  <si>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</si>
  <si>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</si>
  <si>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</si>
  <si>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</si>
  <si>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</si>
  <si>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</si>
  <si>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</si>
  <si>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</si>
  <si>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</si>
  <si>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</si>
  <si>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</si>
  <si>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</si>
  <si>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</si>
  <si>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</si>
  <si>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</si>
  <si>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Währungskurse</t>
  </si>
  <si>
    <t>Dividend CAGR</t>
  </si>
  <si>
    <t>Dividend in 10J</t>
  </si>
  <si>
    <t>Yield on cost 10J</t>
  </si>
  <si>
    <t>Gesamt-Div 10J</t>
  </si>
  <si>
    <t>JPY</t>
  </si>
  <si>
    <t>CAD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</si>
  <si>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</si>
  <si>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</si>
  <si>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</si>
  <si>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</si>
  <si>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</si>
  <si>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</si>
  <si>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</si>
  <si>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</si>
  <si>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</si>
  <si>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</si>
  <si>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</si>
  <si>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</si>
  <si>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</si>
  <si>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</si>
  <si>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</si>
  <si>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</si>
  <si>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</si>
  <si>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</si>
  <si>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</si>
  <si>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</si>
  <si>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</si>
  <si>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</si>
  <si>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</si>
  <si>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</si>
  <si>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</si>
  <si>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income_netto</t>
  </si>
  <si>
    <t>total_costs</t>
  </si>
  <si>
    <t>savings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</si>
  <si>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</si>
  <si>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</si>
  <si>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</si>
  <si>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</si>
  <si>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</si>
  <si>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</si>
  <si>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</si>
  <si>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</si>
  <si>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</si>
  <si>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</si>
  <si>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</si>
  <si>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</si>
  <si>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</si>
  <si>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</si>
  <si>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</si>
  <si>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</si>
  <si>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</si>
  <si>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</si>
  <si>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</si>
  <si>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</si>
  <si>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</si>
  <si>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</si>
  <si>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</si>
  <si>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</si>
  <si>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</si>
  <si>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</si>
  <si>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</si>
  <si>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</si>
  <si>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</si>
  <si>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</si>
  <si>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</si>
  <si>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</si>
  <si>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</si>
  <si>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</si>
  <si>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</si>
  <si>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</si>
  <si>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</si>
  <si>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</si>
  <si>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</si>
  <si>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</si>
  <si>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</si>
  <si>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</si>
  <si>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</si>
  <si>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</si>
  <si>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</si>
  <si>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</si>
  <si>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</si>
  <si>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</si>
  <si>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</si>
  <si>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</si>
  <si>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</si>
  <si>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</si>
  <si>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</si>
  <si>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</si>
  <si>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</si>
  <si>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</si>
  <si>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</si>
  <si>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</si>
  <si>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</si>
  <si>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</si>
  <si>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</si>
  <si>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</si>
  <si>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</si>
  <si>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</si>
  <si>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</si>
  <si>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</si>
  <si>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</si>
  <si>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</si>
  <si>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</si>
  <si>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</si>
  <si>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</si>
  <si>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</si>
  <si>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</si>
  <si>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</si>
  <si>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</si>
  <si>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</si>
  <si>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</si>
  <si>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</si>
  <si>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</si>
  <si>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</si>
  <si>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</si>
  <si>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</si>
  <si>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</si>
  <si>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</si>
  <si>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</si>
  <si>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</si>
  <si>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hold,Spirituosen, 25.09.2019</t>
  </si>
  <si>
    <t>hold,Infrastruktur WORLD, 28.01.2020</t>
  </si>
  <si>
    <t>hold,Automobilzulieferer GER, 28.01.2020</t>
  </si>
  <si>
    <t>hold,Kosmetik, 31.01.2020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</si>
  <si>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</si>
  <si>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</si>
  <si>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</si>
  <si>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</si>
  <si>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</si>
  <si>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</si>
  <si>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</si>
  <si>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</si>
  <si>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</si>
  <si>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</si>
  <si>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</si>
  <si>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</si>
  <si>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</si>
  <si>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</si>
  <si>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</si>
  <si>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</si>
  <si>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</si>
  <si>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</si>
  <si>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</si>
  <si>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</si>
  <si>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</si>
  <si>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</si>
  <si>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</si>
  <si>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</si>
  <si>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</si>
  <si>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</si>
  <si>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</si>
  <si>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</si>
  <si>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</si>
  <si>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</si>
  <si>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</si>
  <si>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</si>
  <si>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</si>
  <si>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</si>
  <si>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</si>
  <si>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</si>
  <si>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</si>
  <si>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</si>
  <si>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</si>
  <si>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</si>
  <si>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</si>
  <si>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</si>
  <si>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</si>
  <si>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</si>
  <si>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</si>
  <si>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</si>
  <si>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</si>
  <si>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</si>
  <si>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</si>
  <si>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</si>
  <si>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</si>
  <si>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</si>
  <si>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</si>
  <si>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</si>
  <si>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</si>
  <si>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</si>
  <si>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</si>
  <si>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</si>
  <si>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</si>
  <si>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</si>
  <si>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</si>
  <si>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</si>
  <si>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</si>
  <si>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</si>
  <si>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</si>
  <si>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</si>
  <si>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</si>
  <si>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</si>
  <si>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</si>
  <si>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</si>
  <si>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</si>
  <si>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</si>
  <si>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</si>
  <si>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</si>
  <si>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</si>
  <si>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</si>
  <si>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</si>
  <si>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</si>
  <si>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</si>
  <si>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buy,industrial ETF</t>
  </si>
  <si>
    <t>hold, Coffee,19.01.2022</t>
  </si>
  <si>
    <t>comment</t>
  </si>
  <si>
    <t>20k for car, 20k wedding</t>
  </si>
  <si>
    <t>Brutto_Dividend_year</t>
  </si>
  <si>
    <t>buy, Industrial REIT, 23.06.2024</t>
  </si>
  <si>
    <t>keep, Chips,10.10.2023</t>
  </si>
  <si>
    <t>NVIDIA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</si>
  <si>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</si>
  <si>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</si>
  <si>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</si>
  <si>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</si>
  <si>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</si>
  <si>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</si>
  <si>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</si>
  <si>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</si>
  <si>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</si>
  <si>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sum</t>
  </si>
  <si>
    <t>volume</t>
  </si>
  <si>
    <t>setup_03</t>
  </si>
  <si>
    <t>META</t>
  </si>
  <si>
    <t>PFE</t>
  </si>
  <si>
    <t>increase [netto]</t>
  </si>
  <si>
    <t>/</t>
  </si>
  <si>
    <t>518 USD to 540 USD</t>
  </si>
  <si>
    <t>buy keep until 2027</t>
  </si>
  <si>
    <t>sum_netto</t>
  </si>
  <si>
    <t>Dividendkalender</t>
  </si>
  <si>
    <t>GRAL</t>
  </si>
  <si>
    <t>ON Semiconductor</t>
  </si>
  <si>
    <t>Applied Materials</t>
  </si>
  <si>
    <t>Accenture</t>
  </si>
  <si>
    <t>Alphabet A</t>
  </si>
  <si>
    <t>long swing trade 2024-2026, exit at 220 ZSD</t>
  </si>
  <si>
    <t>VICI</t>
  </si>
  <si>
    <t>Incl Trading costs of 140 Euros</t>
  </si>
  <si>
    <t>26% taxes</t>
  </si>
  <si>
    <t>United Parcel Service</t>
  </si>
  <si>
    <t>UPS</t>
  </si>
  <si>
    <t>net worth J</t>
  </si>
  <si>
    <t>net worth Ni</t>
  </si>
  <si>
    <t>net wort Nilius</t>
  </si>
  <si>
    <t>ASML</t>
  </si>
  <si>
    <t>Shin Etsu</t>
  </si>
  <si>
    <t>Keyence</t>
  </si>
  <si>
    <t>American Tower</t>
  </si>
  <si>
    <t>Job</t>
  </si>
  <si>
    <t>Dividende</t>
  </si>
  <si>
    <t>Category</t>
  </si>
  <si>
    <t>Werbungskosten</t>
  </si>
  <si>
    <t>Einnahmen</t>
  </si>
  <si>
    <t>Rental Astrid</t>
  </si>
  <si>
    <t>Boden</t>
  </si>
  <si>
    <t>setup_04</t>
  </si>
  <si>
    <t>setup_05</t>
  </si>
  <si>
    <t>buy, Lithography-Supplier, 2024</t>
  </si>
  <si>
    <t>Schaeffler</t>
  </si>
  <si>
    <t>Pepsi</t>
  </si>
  <si>
    <t>Pie %</t>
  </si>
  <si>
    <t>Brutto_Dividend_year_EUR</t>
  </si>
  <si>
    <t>Sum total EUR</t>
  </si>
  <si>
    <t>Absturzsicherung</t>
  </si>
  <si>
    <t>Solaranlage 20J</t>
  </si>
  <si>
    <t>Küche 10J</t>
  </si>
  <si>
    <t>2% AfA</t>
  </si>
  <si>
    <t>Gartenhaus</t>
  </si>
  <si>
    <t>Fahrten</t>
  </si>
  <si>
    <t>DHL</t>
  </si>
  <si>
    <t>Bechtle</t>
  </si>
  <si>
    <t>Alexandria REIT</t>
  </si>
  <si>
    <t>Target</t>
  </si>
  <si>
    <t>Ideas:</t>
  </si>
  <si>
    <t>Sanierung</t>
  </si>
  <si>
    <t>Bank</t>
  </si>
  <si>
    <t>ING</t>
  </si>
  <si>
    <t>SCAL</t>
  </si>
  <si>
    <t>hold, Öl&amp;basic Materials, 23.05.2019</t>
  </si>
  <si>
    <t>sell ,Tencent, 2019</t>
  </si>
  <si>
    <t>HB Fuller</t>
  </si>
  <si>
    <t>KLA</t>
  </si>
  <si>
    <t>CSV Health</t>
  </si>
  <si>
    <t>WD-40</t>
  </si>
  <si>
    <t>Lyondellbasell</t>
  </si>
  <si>
    <t>Vici Properties</t>
  </si>
  <si>
    <t>Buy support line, sell upswing</t>
  </si>
  <si>
    <t>H B Fuller</t>
  </si>
  <si>
    <t>Grundsteuer</t>
  </si>
  <si>
    <t>income JNW</t>
  </si>
  <si>
    <t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(+310.11EUR), Swingtrade Meta  26.08-30.08 (+269.62EUR), Kauf Samsung for 15k on 03.09.2024 long-term, Verkauf VF Corp (-638.56), Verkauf McDonalds (+2838.79-605.69 Steuer, 621.50 Euro Dividende), Kauf Rexford Realty für 16k, Kauf Samsung 13.11.2024, Zinsen 2024: 180 EUR</t>
  </si>
  <si>
    <t>Hold, forever Chemistry</t>
  </si>
  <si>
    <t>FUL</t>
  </si>
  <si>
    <t>keep,REIT West Coast US, 03.06.2020</t>
  </si>
  <si>
    <t>REXR</t>
  </si>
  <si>
    <t>10k trading</t>
  </si>
  <si>
    <t>Stock</t>
  </si>
  <si>
    <t>dividend</t>
  </si>
  <si>
    <t>total p.a.</t>
  </si>
  <si>
    <t>factor</t>
  </si>
  <si>
    <t>Merck</t>
  </si>
  <si>
    <t>Palo Alto</t>
  </si>
  <si>
    <t>Palo Alto Networks</t>
  </si>
  <si>
    <t>Roper Tech</t>
  </si>
  <si>
    <t>Total Netto</t>
  </si>
  <si>
    <t>goal number 1</t>
  </si>
  <si>
    <t>Total Brutto</t>
  </si>
  <si>
    <t>500 Mallorca, 800 Italy, 1000 Portugal, 2000 Mexiko</t>
  </si>
  <si>
    <t>side_costs</t>
  </si>
  <si>
    <t>purchase</t>
  </si>
  <si>
    <t>groceries</t>
  </si>
  <si>
    <t>fun</t>
  </si>
  <si>
    <t>20.01.2025, Essex</t>
  </si>
  <si>
    <t>Eli Lilly</t>
  </si>
  <si>
    <t>Summe</t>
  </si>
  <si>
    <t>Notar/Stadt</t>
  </si>
  <si>
    <t>Schrank</t>
  </si>
  <si>
    <t>LLY</t>
  </si>
  <si>
    <t>profit 700 EUR</t>
  </si>
  <si>
    <t>div projection bear</t>
  </si>
  <si>
    <t>div projection bull</t>
  </si>
  <si>
    <t>div actual [netto]</t>
  </si>
  <si>
    <t>div increase [netto]</t>
  </si>
  <si>
    <t>Return</t>
  </si>
  <si>
    <t>Div-return</t>
  </si>
  <si>
    <t>Ni</t>
  </si>
  <si>
    <t>Rent</t>
  </si>
  <si>
    <t>GEZ</t>
  </si>
  <si>
    <t>trash</t>
  </si>
  <si>
    <t>Julius</t>
  </si>
  <si>
    <t>electricity</t>
  </si>
  <si>
    <t>Internet</t>
  </si>
  <si>
    <t>total</t>
  </si>
  <si>
    <t>profit (+)1100</t>
  </si>
  <si>
    <t>Tencent</t>
  </si>
  <si>
    <t>Verkauf Novavax (-4.800), Verkauf Exxon (+700), Verkauf NextEra (+1100), Verkauf Prosus (+3000), Kauf Tencent</t>
  </si>
  <si>
    <t>Microsoft</t>
  </si>
  <si>
    <t>MSFT</t>
  </si>
  <si>
    <t>WDFC</t>
  </si>
  <si>
    <t>goal number 2</t>
  </si>
  <si>
    <t>Business case</t>
  </si>
  <si>
    <t>Abschreibung</t>
  </si>
  <si>
    <t>4Zimmer</t>
  </si>
  <si>
    <t>Kosten</t>
  </si>
  <si>
    <t>20 EUR/M2</t>
  </si>
  <si>
    <t>KaltMiete</t>
  </si>
  <si>
    <t>Kredit</t>
  </si>
  <si>
    <t>Advanced Micro Devices</t>
  </si>
  <si>
    <t>AMD</t>
  </si>
  <si>
    <t>ON</t>
  </si>
  <si>
    <t>AMT</t>
  </si>
  <si>
    <t>AAPL</t>
  </si>
  <si>
    <t>10.02.2025, Danaher 1.11</t>
  </si>
  <si>
    <t>sell +3400 if needed</t>
  </si>
  <si>
    <t>Gesamt 2025: Verkauf BP (-120.79+177.84 Div), Verkauf Shell (+276.83+207.42 Div), Umzug nach Scalable für Trading, Kauf Küche 19k, Kauf Zaun 7k, Spiegel 2k, Kauf Leisten 1k, Kauf Schränke 5k</t>
  </si>
  <si>
    <t>Synopsis</t>
  </si>
  <si>
    <t>SNPS</t>
  </si>
  <si>
    <t>PEP</t>
  </si>
  <si>
    <t>Pepsico</t>
  </si>
  <si>
    <t>Month</t>
  </si>
  <si>
    <t>May</t>
  </si>
  <si>
    <t>April</t>
  </si>
  <si>
    <t>Currency</t>
  </si>
  <si>
    <t>DK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</si>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</sst>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0.000"/>
    <numFmt numFmtId="166" formatCode="yyyy\-mm\-dd;@"/>
  </numFmts>
  <fonts count="27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sz val="14"/>
      <color rgb="FF000000"/>
      <name val="&quot;Times New Roman&quot;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  <font>
      <sz val="8"/>
      <color rgb="FF000000"/>
      <name val="Arial"/>
      <family val="2"/>
    </font>
    <font>
      <b/>
      <u/>
      <sz val="16"/>
      <color rgb="FF000000"/>
      <name val="&quot;Times New Roman&quot;"/>
    </font>
    <font>
      <sz val="16"/>
      <color rgb="FF000000"/>
      <name val="Arial"/>
      <family val="2"/>
    </font>
    <font>
      <sz val="10"/>
      <color rgb="FF0000FF"/>
      <name val="Arial"/>
      <family val="2"/>
    </font>
    <font>
      <sz val="12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rgb="FFF3F3F3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75CCB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88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3" borderId="0" xfId="0" applyFont="1" applyFill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1" fillId="0" borderId="0" xfId="0" applyFont="1"/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11" fillId="0" borderId="0" xfId="0" applyNumberFormat="1" applyFont="1" applyAlignment="1">
      <alignment horizontal="center"/>
    </xf>
    <xf numFmtId="2" fontId="12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" fontId="2" fillId="6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left"/>
    </xf>
    <xf numFmtId="166" fontId="0" fillId="0" borderId="0" xfId="0" applyNumberFormat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/>
    <xf numFmtId="0" fontId="0" fillId="0" borderId="8" xfId="0" applyBorder="1"/>
    <xf numFmtId="0" fontId="14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5" fillId="6" borderId="7" xfId="0" applyFont="1" applyFill="1" applyBorder="1" applyAlignment="1">
      <alignment horizontal="left"/>
    </xf>
    <xf numFmtId="0" fontId="3" fillId="13" borderId="3" xfId="0" applyFont="1" applyFill="1" applyBorder="1" applyAlignment="1">
      <alignment horizontal="left"/>
    </xf>
    <xf numFmtId="0" fontId="0" fillId="14" borderId="0" xfId="0" applyFill="1"/>
    <xf numFmtId="0" fontId="3" fillId="1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" fontId="0" fillId="0" borderId="0" xfId="0" applyNumberFormat="1"/>
    <xf numFmtId="0" fontId="2" fillId="15" borderId="3" xfId="0" applyFont="1" applyFill="1" applyBorder="1"/>
    <xf numFmtId="0" fontId="0" fillId="16" borderId="0" xfId="0" applyFill="1"/>
    <xf numFmtId="0" fontId="12" fillId="13" borderId="3" xfId="0" applyFont="1" applyFill="1" applyBorder="1" applyAlignment="1">
      <alignment horizontal="left"/>
    </xf>
    <xf numFmtId="164" fontId="1" fillId="2" borderId="10" xfId="0" applyNumberFormat="1" applyFont="1" applyFill="1" applyBorder="1"/>
    <xf numFmtId="0" fontId="2" fillId="4" borderId="11" xfId="0" applyFont="1" applyFill="1" applyBorder="1" applyAlignment="1">
      <alignment horizontal="center"/>
    </xf>
    <xf numFmtId="0" fontId="0" fillId="0" borderId="9" xfId="0" applyBorder="1"/>
    <xf numFmtId="2" fontId="2" fillId="7" borderId="7" xfId="0" applyNumberFormat="1" applyFont="1" applyFill="1" applyBorder="1" applyAlignment="1">
      <alignment horizontal="center"/>
    </xf>
    <xf numFmtId="1" fontId="2" fillId="7" borderId="7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18" borderId="0" xfId="0" applyFill="1"/>
    <xf numFmtId="0" fontId="18" fillId="21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9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12" borderId="0" xfId="0" applyNumberFormat="1" applyFill="1" applyAlignment="1">
      <alignment horizontal="center"/>
    </xf>
    <xf numFmtId="49" fontId="14" fillId="8" borderId="0" xfId="0" applyNumberFormat="1" applyFont="1" applyFill="1" applyAlignment="1">
      <alignment horizontal="center"/>
    </xf>
    <xf numFmtId="49" fontId="0" fillId="10" borderId="0" xfId="0" applyNumberFormat="1" applyFill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11" borderId="0" xfId="0" applyNumberFormat="1" applyFill="1" applyAlignment="1">
      <alignment horizontal="center"/>
    </xf>
    <xf numFmtId="49" fontId="11" fillId="10" borderId="0" xfId="0" applyNumberFormat="1" applyFont="1" applyFill="1" applyAlignment="1">
      <alignment horizontal="center"/>
    </xf>
    <xf numFmtId="49" fontId="0" fillId="16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7" borderId="7" xfId="1" applyFont="1" applyFill="1" applyBorder="1" applyAlignment="1">
      <alignment horizontal="center"/>
    </xf>
    <xf numFmtId="0" fontId="19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6" fillId="0" borderId="1" xfId="0" applyFont="1" applyBorder="1" applyAlignment="1">
      <alignment horizontal="left"/>
    </xf>
    <xf numFmtId="0" fontId="0" fillId="24" borderId="0" xfId="0" applyFill="1"/>
    <xf numFmtId="0" fontId="20" fillId="24" borderId="13" xfId="0" applyFont="1" applyFill="1" applyBorder="1" applyAlignment="1">
      <alignment horizontal="center"/>
    </xf>
    <xf numFmtId="0" fontId="20" fillId="24" borderId="14" xfId="0" applyFont="1" applyFill="1" applyBorder="1" applyAlignment="1">
      <alignment horizontal="center"/>
    </xf>
    <xf numFmtId="0" fontId="0" fillId="25" borderId="0" xfId="0" applyFill="1"/>
    <xf numFmtId="0" fontId="20" fillId="25" borderId="14" xfId="0" applyFont="1" applyFill="1" applyBorder="1" applyAlignment="1">
      <alignment horizontal="center"/>
    </xf>
    <xf numFmtId="0" fontId="20" fillId="25" borderId="12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0" fillId="14" borderId="13" xfId="0" applyFont="1" applyFill="1" applyBorder="1" applyAlignment="1">
      <alignment horizontal="center"/>
    </xf>
    <xf numFmtId="0" fontId="0" fillId="26" borderId="0" xfId="0" applyFill="1" applyAlignment="1">
      <alignment horizontal="center"/>
    </xf>
    <xf numFmtId="0" fontId="20" fillId="26" borderId="13" xfId="0" applyFont="1" applyFill="1" applyBorder="1" applyAlignment="1">
      <alignment horizontal="center"/>
    </xf>
    <xf numFmtId="0" fontId="0" fillId="27" borderId="0" xfId="0" applyFill="1" applyAlignment="1">
      <alignment horizontal="center"/>
    </xf>
    <xf numFmtId="0" fontId="20" fillId="27" borderId="13" xfId="0" applyFont="1" applyFill="1" applyBorder="1" applyAlignment="1">
      <alignment horizontal="center"/>
    </xf>
    <xf numFmtId="0" fontId="20" fillId="22" borderId="13" xfId="0" applyFont="1" applyFill="1" applyBorder="1" applyAlignment="1">
      <alignment horizontal="center"/>
    </xf>
    <xf numFmtId="0" fontId="0" fillId="28" borderId="0" xfId="0" applyFill="1" applyAlignment="1">
      <alignment horizontal="center"/>
    </xf>
    <xf numFmtId="0" fontId="20" fillId="28" borderId="13" xfId="0" applyFont="1" applyFill="1" applyBorder="1" applyAlignment="1">
      <alignment horizontal="center"/>
    </xf>
    <xf numFmtId="0" fontId="22" fillId="7" borderId="0" xfId="0" applyFont="1" applyFill="1" applyAlignment="1">
      <alignment horizontal="center" vertical="center"/>
    </xf>
    <xf numFmtId="9" fontId="3" fillId="13" borderId="3" xfId="0" applyNumberFormat="1" applyFont="1" applyFill="1" applyBorder="1" applyAlignment="1">
      <alignment horizontal="left"/>
    </xf>
    <xf numFmtId="0" fontId="16" fillId="30" borderId="0" xfId="0" applyFont="1" applyFill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10" fontId="0" fillId="0" borderId="0" xfId="0" applyNumberFormat="1"/>
    <xf numFmtId="2" fontId="3" fillId="5" borderId="0" xfId="0" applyNumberFormat="1" applyFont="1" applyFill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2" fontId="0" fillId="0" borderId="0" xfId="0" applyNumberFormat="1"/>
    <xf numFmtId="1" fontId="20" fillId="24" borderId="12" xfId="0" applyNumberFormat="1" applyFont="1" applyFill="1" applyBorder="1" applyAlignment="1">
      <alignment horizontal="center"/>
    </xf>
    <xf numFmtId="49" fontId="0" fillId="31" borderId="0" xfId="0" applyNumberFormat="1" applyFill="1" applyAlignment="1">
      <alignment horizontal="center"/>
    </xf>
    <xf numFmtId="0" fontId="3" fillId="32" borderId="3" xfId="0" applyFont="1" applyFill="1" applyBorder="1" applyAlignment="1">
      <alignment horizontal="left"/>
    </xf>
    <xf numFmtId="0" fontId="3" fillId="33" borderId="3" xfId="0" applyFont="1" applyFill="1" applyBorder="1" applyAlignment="1">
      <alignment horizontal="left"/>
    </xf>
    <xf numFmtId="0" fontId="3" fillId="17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3" fillId="0" borderId="0" xfId="0" applyNumberFormat="1" applyFont="1" applyAlignment="1">
      <alignment horizontal="center"/>
    </xf>
    <xf numFmtId="0" fontId="17" fillId="3" borderId="2" xfId="0" applyFont="1" applyFill="1" applyBorder="1"/>
    <xf numFmtId="0" fontId="17" fillId="3" borderId="7" xfId="0" applyFont="1" applyFill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7" fillId="3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3" fillId="3" borderId="14" xfId="0" applyFont="1" applyFill="1" applyBorder="1" applyAlignment="1">
      <alignment horizontal="center"/>
    </xf>
    <xf numFmtId="2" fontId="24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22" fillId="29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0" fillId="35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35" borderId="1" xfId="0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7" fillId="21" borderId="1" xfId="0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7" fillId="36" borderId="1" xfId="0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6" fillId="11" borderId="0" xfId="0" applyFont="1" applyFill="1" applyAlignment="1">
      <alignment horizontal="center"/>
    </xf>
    <xf numFmtId="0" fontId="11" fillId="37" borderId="0" xfId="0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6" fillId="38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10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0" applyNumberFormat="1"/>
    <xf numFmtId="49" fontId="0" fillId="40" borderId="0" xfId="0" applyNumberFormat="1" applyFill="1" applyAlignment="1">
      <alignment horizontal="center"/>
    </xf>
    <xf numFmtId="0" fontId="22" fillId="29" borderId="15" xfId="0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 vertical="center"/>
    </xf>
    <xf numFmtId="0" fontId="17" fillId="3" borderId="0" xfId="0" applyFont="1" applyFill="1" applyBorder="1" applyAlignment="1">
      <alignment horizontal="center"/>
    </xf>
    <xf numFmtId="0" fontId="17" fillId="3" borderId="0" xfId="0" applyFont="1" applyFill="1" applyBorder="1"/>
  </cellXfs>
  <cellStyles count="2">
    <cellStyle name="Normal" xfId="0" builtinId="0"/>
    <cellStyle name="Percent" xfId="1" builtinId="5"/>
  </cellStyles>
  <dxfs count="1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3/09/relationships/Python" Target="pyth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1602.24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3380.51</c:v>
                </c:pt>
                <c:pt idx="2">
                  <c:v>55.69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u="sng">
                <a:solidFill>
                  <a:srgbClr val="000000"/>
                </a:solidFill>
                <a:latin typeface="Roboto"/>
              </a:defRPr>
            </a:pPr>
            <a:r>
              <a:rPr lang="de-DE" b="0" u="sng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u="sng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 u="sng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3738011186356"/>
          <c:y val="2.0708879625152974E-2"/>
          <c:w val="0.86350903045174687"/>
          <c:h val="0.9427851661956577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Synopsis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Softbank Group</c:v>
                </c:pt>
                <c:pt idx="13">
                  <c:v>Microsoft</c:v>
                </c:pt>
                <c:pt idx="14">
                  <c:v>10k trading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Corteva</c:v>
                </c:pt>
                <c:pt idx="18">
                  <c:v>Coca Cola</c:v>
                </c:pt>
                <c:pt idx="19">
                  <c:v>Starbucks</c:v>
                </c:pt>
                <c:pt idx="20">
                  <c:v>Nestle SA</c:v>
                </c:pt>
                <c:pt idx="21">
                  <c:v>Nike</c:v>
                </c:pt>
                <c:pt idx="22">
                  <c:v>Walmart</c:v>
                </c:pt>
                <c:pt idx="23">
                  <c:v>Mowi SK</c:v>
                </c:pt>
                <c:pt idx="24">
                  <c:v>Oreal (L`) </c:v>
                </c:pt>
                <c:pt idx="25">
                  <c:v>Reckit Benckiser</c:v>
                </c:pt>
                <c:pt idx="26">
                  <c:v>Unilever</c:v>
                </c:pt>
                <c:pt idx="27">
                  <c:v>Anheuser-Busch Inbev</c:v>
                </c:pt>
                <c:pt idx="28">
                  <c:v>LVHM</c:v>
                </c:pt>
                <c:pt idx="29">
                  <c:v>Porsche Holding</c:v>
                </c:pt>
                <c:pt idx="30">
                  <c:v>Diageo</c:v>
                </c:pt>
                <c:pt idx="31">
                  <c:v>Heineken</c:v>
                </c:pt>
                <c:pt idx="32">
                  <c:v>Carlsberg</c:v>
                </c:pt>
                <c:pt idx="33">
                  <c:v>J Martins</c:v>
                </c:pt>
                <c:pt idx="34">
                  <c:v>Kering</c:v>
                </c:pt>
                <c:pt idx="35">
                  <c:v>Pepsico</c:v>
                </c:pt>
                <c:pt idx="36">
                  <c:v>Realty Income REIT</c:v>
                </c:pt>
                <c:pt idx="37">
                  <c:v>SL Green REIT</c:v>
                </c:pt>
                <c:pt idx="38">
                  <c:v>LTC Properties</c:v>
                </c:pt>
                <c:pt idx="39">
                  <c:v>Brookfield AS</c:v>
                </c:pt>
                <c:pt idx="40">
                  <c:v>Crown Castle REIT</c:v>
                </c:pt>
                <c:pt idx="41">
                  <c:v>Flughafen Zürich</c:v>
                </c:pt>
                <c:pt idx="42">
                  <c:v>Vinci</c:v>
                </c:pt>
                <c:pt idx="43">
                  <c:v>Prologis</c:v>
                </c:pt>
                <c:pt idx="44">
                  <c:v>KKR&amp;CO.</c:v>
                </c:pt>
                <c:pt idx="45">
                  <c:v>Fraport AG</c:v>
                </c:pt>
                <c:pt idx="46">
                  <c:v>British Land REIT</c:v>
                </c:pt>
                <c:pt idx="47">
                  <c:v>CA Immo REIT</c:v>
                </c:pt>
                <c:pt idx="48">
                  <c:v>Swisscom</c:v>
                </c:pt>
                <c:pt idx="49">
                  <c:v>Essex Property Trust</c:v>
                </c:pt>
                <c:pt idx="50">
                  <c:v>3M</c:v>
                </c:pt>
                <c:pt idx="51">
                  <c:v>Danaher</c:v>
                </c:pt>
                <c:pt idx="52">
                  <c:v>HB Fuller</c:v>
                </c:pt>
                <c:pt idx="53">
                  <c:v>Covestro</c:v>
                </c:pt>
                <c:pt idx="54">
                  <c:v>Exxon Mobil Corp</c:v>
                </c:pt>
                <c:pt idx="55">
                  <c:v>Glencore</c:v>
                </c:pt>
                <c:pt idx="56">
                  <c:v>Hochtief AG</c:v>
                </c:pt>
                <c:pt idx="57">
                  <c:v>Sika</c:v>
                </c:pt>
                <c:pt idx="58">
                  <c:v>Dupont de Nemours</c:v>
                </c:pt>
                <c:pt idx="59">
                  <c:v>Fuchs Petroclub</c:v>
                </c:pt>
                <c:pt idx="60">
                  <c:v>Continental</c:v>
                </c:pt>
                <c:pt idx="61">
                  <c:v>Linde PLC</c:v>
                </c:pt>
                <c:pt idx="62">
                  <c:v>JP Morgan</c:v>
                </c:pt>
                <c:pt idx="63">
                  <c:v>Commonwealth Bank AUS</c:v>
                </c:pt>
                <c:pt idx="64">
                  <c:v>Charter Hall Grp</c:v>
                </c:pt>
                <c:pt idx="65">
                  <c:v>IBM</c:v>
                </c:pt>
                <c:pt idx="66">
                  <c:v>Visa</c:v>
                </c:pt>
                <c:pt idx="67">
                  <c:v>Sony Corp</c:v>
                </c:pt>
                <c:pt idx="68">
                  <c:v>Adobe</c:v>
                </c:pt>
                <c:pt idx="69">
                  <c:v>Naspers</c:v>
                </c:pt>
                <c:pt idx="70">
                  <c:v>Palo Alto</c:v>
                </c:pt>
                <c:pt idx="71">
                  <c:v>Illumina</c:v>
                </c:pt>
                <c:pt idx="72">
                  <c:v>Novartis</c:v>
                </c:pt>
                <c:pt idx="73">
                  <c:v>Bayer AG</c:v>
                </c:pt>
                <c:pt idx="74">
                  <c:v>Roche Holding AG</c:v>
                </c:pt>
                <c:pt idx="75">
                  <c:v>Merck</c:v>
                </c:pt>
                <c:pt idx="76">
                  <c:v>0</c:v>
                </c:pt>
                <c:pt idx="77">
                  <c:v>NextEra Energy</c:v>
                </c:pt>
                <c:pt idx="78">
                  <c:v>Enel</c:v>
                </c:pt>
                <c:pt idx="79">
                  <c:v>EDP-Energias</c:v>
                </c:pt>
                <c:pt idx="80">
                  <c:v>0</c:v>
                </c:pt>
                <c:pt idx="81">
                  <c:v>Sixt SE</c:v>
                </c:pt>
                <c:pt idx="82">
                  <c:v>Tencent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Schaeffler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916.83999999999992</c:v>
                </c:pt>
                <c:pt idx="1">
                  <c:v>53.350000000000009</c:v>
                </c:pt>
                <c:pt idx="2">
                  <c:v>33.050000000000004</c:v>
                </c:pt>
                <c:pt idx="3">
                  <c:v>889.68999999999994</c:v>
                </c:pt>
                <c:pt idx="4">
                  <c:v>463.71</c:v>
                </c:pt>
                <c:pt idx="5">
                  <c:v>1846</c:v>
                </c:pt>
                <c:pt idx="6">
                  <c:v>31.420000000000005</c:v>
                </c:pt>
                <c:pt idx="7">
                  <c:v>282.06000000000006</c:v>
                </c:pt>
                <c:pt idx="8">
                  <c:v>0</c:v>
                </c:pt>
                <c:pt idx="9">
                  <c:v>92.77000000000001</c:v>
                </c:pt>
                <c:pt idx="10">
                  <c:v>45.22</c:v>
                </c:pt>
                <c:pt idx="11">
                  <c:v>207.23</c:v>
                </c:pt>
                <c:pt idx="12">
                  <c:v>59.16</c:v>
                </c:pt>
                <c:pt idx="13">
                  <c:v>0</c:v>
                </c:pt>
                <c:pt idx="14">
                  <c:v>0</c:v>
                </c:pt>
                <c:pt idx="15">
                  <c:v>161.65</c:v>
                </c:pt>
                <c:pt idx="16">
                  <c:v>32.83</c:v>
                </c:pt>
                <c:pt idx="17">
                  <c:v>29.590000000000003</c:v>
                </c:pt>
                <c:pt idx="18">
                  <c:v>56.279999999999987</c:v>
                </c:pt>
                <c:pt idx="19">
                  <c:v>205.96000000000004</c:v>
                </c:pt>
                <c:pt idx="20">
                  <c:v>43.879999999999995</c:v>
                </c:pt>
                <c:pt idx="21">
                  <c:v>17.310000000000002</c:v>
                </c:pt>
                <c:pt idx="22">
                  <c:v>44.39</c:v>
                </c:pt>
                <c:pt idx="23">
                  <c:v>62.430000000000007</c:v>
                </c:pt>
                <c:pt idx="24">
                  <c:v>51.260000000000005</c:v>
                </c:pt>
                <c:pt idx="25">
                  <c:v>117.30000000000001</c:v>
                </c:pt>
                <c:pt idx="26">
                  <c:v>299.75</c:v>
                </c:pt>
                <c:pt idx="27">
                  <c:v>14.52</c:v>
                </c:pt>
                <c:pt idx="28">
                  <c:v>31.900000000000002</c:v>
                </c:pt>
                <c:pt idx="29">
                  <c:v>219.32</c:v>
                </c:pt>
                <c:pt idx="30">
                  <c:v>72.569999999999993</c:v>
                </c:pt>
                <c:pt idx="31">
                  <c:v>47.56</c:v>
                </c:pt>
                <c:pt idx="32">
                  <c:v>68.44</c:v>
                </c:pt>
                <c:pt idx="33">
                  <c:v>104.4</c:v>
                </c:pt>
                <c:pt idx="34">
                  <c:v>33.950000000000003</c:v>
                </c:pt>
                <c:pt idx="35">
                  <c:v>0</c:v>
                </c:pt>
                <c:pt idx="36">
                  <c:v>806.43000000000018</c:v>
                </c:pt>
                <c:pt idx="37">
                  <c:v>318.47000000000003</c:v>
                </c:pt>
                <c:pt idx="38">
                  <c:v>545.41</c:v>
                </c:pt>
                <c:pt idx="39">
                  <c:v>52.13</c:v>
                </c:pt>
                <c:pt idx="41">
                  <c:v>80.06</c:v>
                </c:pt>
                <c:pt idx="42">
                  <c:v>103.22</c:v>
                </c:pt>
                <c:pt idx="43">
                  <c:v>99.670000000000016</c:v>
                </c:pt>
                <c:pt idx="44">
                  <c:v>52.2</c:v>
                </c:pt>
                <c:pt idx="45">
                  <c:v>0</c:v>
                </c:pt>
                <c:pt idx="46">
                  <c:v>83.460000000000008</c:v>
                </c:pt>
                <c:pt idx="47">
                  <c:v>99.57</c:v>
                </c:pt>
                <c:pt idx="48">
                  <c:v>94.28</c:v>
                </c:pt>
                <c:pt idx="49">
                  <c:v>152.44999999999999</c:v>
                </c:pt>
                <c:pt idx="50">
                  <c:v>291.11</c:v>
                </c:pt>
                <c:pt idx="51">
                  <c:v>16.670000000000002</c:v>
                </c:pt>
                <c:pt idx="52">
                  <c:v>0</c:v>
                </c:pt>
                <c:pt idx="53">
                  <c:v>159.26999999999998</c:v>
                </c:pt>
                <c:pt idx="54">
                  <c:v>247.69</c:v>
                </c:pt>
                <c:pt idx="55">
                  <c:v>210.81</c:v>
                </c:pt>
                <c:pt idx="56">
                  <c:v>106.77000000000001</c:v>
                </c:pt>
                <c:pt idx="57">
                  <c:v>92.859999999999985</c:v>
                </c:pt>
                <c:pt idx="58">
                  <c:v>55.45</c:v>
                </c:pt>
                <c:pt idx="59">
                  <c:v>58.75</c:v>
                </c:pt>
                <c:pt idx="60">
                  <c:v>52.370000000000005</c:v>
                </c:pt>
                <c:pt idx="61">
                  <c:v>59.070000000000007</c:v>
                </c:pt>
                <c:pt idx="62">
                  <c:v>69.830000000000013</c:v>
                </c:pt>
                <c:pt idx="63">
                  <c:v>88.179999999999993</c:v>
                </c:pt>
                <c:pt idx="64">
                  <c:v>430.46</c:v>
                </c:pt>
                <c:pt idx="65">
                  <c:v>186.32999999999998</c:v>
                </c:pt>
                <c:pt idx="66">
                  <c:v>26.3</c:v>
                </c:pt>
                <c:pt idx="67">
                  <c:v>41.800000000000004</c:v>
                </c:pt>
                <c:pt idx="68">
                  <c:v>0</c:v>
                </c:pt>
                <c:pt idx="69">
                  <c:v>12.709999999999999</c:v>
                </c:pt>
                <c:pt idx="70">
                  <c:v>0</c:v>
                </c:pt>
                <c:pt idx="71">
                  <c:v>0</c:v>
                </c:pt>
                <c:pt idx="72">
                  <c:v>68.900000000000006</c:v>
                </c:pt>
                <c:pt idx="73">
                  <c:v>230.24</c:v>
                </c:pt>
                <c:pt idx="74">
                  <c:v>47.650000000000006</c:v>
                </c:pt>
                <c:pt idx="75">
                  <c:v>0</c:v>
                </c:pt>
                <c:pt idx="76">
                  <c:v>0</c:v>
                </c:pt>
                <c:pt idx="77">
                  <c:v>276.3</c:v>
                </c:pt>
                <c:pt idx="78">
                  <c:v>161.32999999999998</c:v>
                </c:pt>
                <c:pt idx="79">
                  <c:v>70.64</c:v>
                </c:pt>
                <c:pt idx="80">
                  <c:v>0</c:v>
                </c:pt>
                <c:pt idx="81">
                  <c:v>9.9600000000000009</c:v>
                </c:pt>
                <c:pt idx="82">
                  <c:v>0</c:v>
                </c:pt>
                <c:pt idx="83">
                  <c:v>186.45000000000002</c:v>
                </c:pt>
                <c:pt idx="84">
                  <c:v>239.37</c:v>
                </c:pt>
                <c:pt idx="85">
                  <c:v>147.82000000000002</c:v>
                </c:pt>
                <c:pt idx="86">
                  <c:v>23.189999999999998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75.02</c:v>
                </c:pt>
                <c:pt idx="91">
                  <c:v>11.569999999999999</c:v>
                </c:pt>
                <c:pt idx="92">
                  <c:v>0</c:v>
                </c:pt>
                <c:pt idx="93">
                  <c:v>33.909999999999997</c:v>
                </c:pt>
                <c:pt idx="94">
                  <c:v>0</c:v>
                </c:pt>
                <c:pt idx="95">
                  <c:v>42.78</c:v>
                </c:pt>
                <c:pt idx="96">
                  <c:v>99.06</c:v>
                </c:pt>
                <c:pt idx="97">
                  <c:v>23.86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1.9600000000000002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defaultColWidth="12.5703125" defaultRowHeight="15.75" customHeight="1"/>
  <cols>
    <col min="1" max="1" width="26.140625" customWidth="1"/>
    <col min="2" max="2" width="12.85546875" style="98" customWidth="1"/>
    <col min="3" max="3" width="12.42578125" style="46" customWidth="1"/>
    <col min="4" max="4" width="9.5703125" style="46" customWidth="1"/>
    <col min="6" max="6" width="13.140625" customWidth="1"/>
    <col min="9" max="9" width="15.42578125" customWidth="1"/>
    <col min="10" max="10" width="10.28515625" style="127" customWidth="1"/>
    <col min="13" max="13" width="40.7109375" style="87" customWidth="1"/>
    <col min="14" max="14" width="24.85546875" customWidth="1"/>
    <col min="15" max="15" width="27" customWidth="1"/>
    <col min="16" max="16" width="25.42578125" customWidth="1"/>
    <col min="17" max="17" width="15.5703125" customWidth="1"/>
  </cols>
  <sheetData>
    <row r="1" spans="1:38" ht="18">
      <c r="A1" s="1" t="s">
        <v>0</v>
      </c>
      <c r="B1" s="88" t="s">
        <v>1</v>
      </c>
      <c r="C1" s="42" t="s">
        <v>2</v>
      </c>
      <c r="D1" s="42" t="s">
        <v>491</v>
      </c>
      <c r="E1" s="42" t="s">
        <v>3</v>
      </c>
      <c r="F1" s="44" t="s">
        <v>4</v>
      </c>
      <c r="G1" s="42" t="s">
        <v>5</v>
      </c>
      <c r="H1" s="42" t="s">
        <v>6</v>
      </c>
      <c r="I1" s="42" t="s">
        <v>7</v>
      </c>
      <c r="J1" s="126" t="s">
        <v>476</v>
      </c>
      <c r="K1" s="3" t="s">
        <v>8</v>
      </c>
      <c r="L1" s="3" t="s">
        <v>9</v>
      </c>
      <c r="M1" s="43" t="s">
        <v>10</v>
      </c>
      <c r="N1" s="2" t="s">
        <v>11</v>
      </c>
      <c r="O1" s="42" t="s">
        <v>12</v>
      </c>
      <c r="Q1" t="s">
        <v>237</v>
      </c>
      <c r="R1" t="s">
        <v>236</v>
      </c>
    </row>
    <row r="2" spans="1:38" ht="15.75" customHeight="1">
      <c r="A2" s="63" t="s">
        <v>13</v>
      </c>
      <c r="B2" s="89" t="s">
        <v>14</v>
      </c>
      <c r="C2" s="45" t="s">
        <v>15</v>
      </c>
      <c r="D2" s="45" t="s">
        <v>492</v>
      </c>
      <c r="E2" s="6">
        <v>149</v>
      </c>
      <c r="F2" s="7">
        <v>123.9922</v>
      </c>
      <c r="G2" s="6">
        <v>66</v>
      </c>
      <c r="H2" s="6">
        <f t="shared" ref="H2:H23" si="0">G2*E2</f>
        <v>9834</v>
      </c>
      <c r="I2" s="6">
        <f>'Dividends per year'!B2</f>
        <v>916.83999999999992</v>
      </c>
      <c r="J2" s="8">
        <f t="shared" ref="J2:J23" si="1">H2/$O$5</f>
        <v>3.5243870905679417E-2</v>
      </c>
      <c r="K2" s="7">
        <f>(H2-(G2*F2)+I2)</f>
        <v>2567.3548000000001</v>
      </c>
      <c r="L2" s="8">
        <f>((E2*G2)+I2)/(F2*G2)-100%</f>
        <v>0.31372388869231416</v>
      </c>
      <c r="M2" s="10" t="s">
        <v>358</v>
      </c>
      <c r="N2" s="53">
        <v>43135</v>
      </c>
      <c r="O2" s="54" t="s">
        <v>568</v>
      </c>
      <c r="Q2" t="s">
        <v>238</v>
      </c>
      <c r="R2" s="57"/>
    </row>
    <row r="3" spans="1:38" ht="15.75" customHeight="1">
      <c r="A3" s="63" t="s">
        <v>16</v>
      </c>
      <c r="B3" s="89" t="s">
        <v>17</v>
      </c>
      <c r="C3" s="45" t="s">
        <v>15</v>
      </c>
      <c r="D3" s="45" t="s">
        <v>492</v>
      </c>
      <c r="E3" s="6">
        <v>510</v>
      </c>
      <c r="F3" s="7">
        <v>179.45</v>
      </c>
      <c r="G3" s="6">
        <v>10</v>
      </c>
      <c r="H3" s="6">
        <f t="shared" si="0"/>
        <v>5100</v>
      </c>
      <c r="I3" s="6">
        <f>'Dividends per year'!B3</f>
        <v>53.350000000000009</v>
      </c>
      <c r="J3" s="8">
        <f t="shared" si="1"/>
        <v>1.8277785399528675E-2</v>
      </c>
      <c r="K3" s="7">
        <f t="shared" ref="K3:K23" si="2">(H3-(G3*F3)+I3)</f>
        <v>3358.85</v>
      </c>
      <c r="L3" s="8">
        <f t="shared" ref="L3:L23" si="3">((E3*G3)+I3)/(F3*G3)-100%</f>
        <v>1.8717470047366955</v>
      </c>
      <c r="M3" s="10" t="s">
        <v>374</v>
      </c>
      <c r="N3" s="53">
        <v>43251</v>
      </c>
      <c r="Q3" t="s">
        <v>239</v>
      </c>
      <c r="R3" s="77"/>
    </row>
    <row r="4" spans="1:38" ht="15">
      <c r="A4" s="63" t="s">
        <v>18</v>
      </c>
      <c r="B4" s="90" t="s">
        <v>19</v>
      </c>
      <c r="C4" s="45" t="s">
        <v>15</v>
      </c>
      <c r="D4" s="45" t="s">
        <v>492</v>
      </c>
      <c r="E4" s="6">
        <v>180</v>
      </c>
      <c r="F4" s="7">
        <v>60.848999999999997</v>
      </c>
      <c r="G4" s="6">
        <v>80</v>
      </c>
      <c r="H4" s="6">
        <f>G4*E4</f>
        <v>14400</v>
      </c>
      <c r="I4" s="6">
        <f>'Dividends per year'!B4</f>
        <v>33.050000000000004</v>
      </c>
      <c r="J4" s="8">
        <f t="shared" si="1"/>
        <v>5.1607864657492737E-2</v>
      </c>
      <c r="K4" s="7">
        <f t="shared" si="2"/>
        <v>9565.1299999999992</v>
      </c>
      <c r="L4" s="8">
        <f t="shared" si="3"/>
        <v>1.9649316340449308</v>
      </c>
      <c r="M4" s="10" t="s">
        <v>359</v>
      </c>
      <c r="N4" s="53">
        <v>43767</v>
      </c>
      <c r="O4" s="125" t="s">
        <v>478</v>
      </c>
      <c r="Q4" s="35" t="s">
        <v>242</v>
      </c>
      <c r="R4" s="58"/>
    </row>
    <row r="5" spans="1:38" ht="15.75" customHeight="1">
      <c r="A5" s="63" t="s">
        <v>20</v>
      </c>
      <c r="B5" s="183" t="s">
        <v>21</v>
      </c>
      <c r="C5" s="45" t="s">
        <v>22</v>
      </c>
      <c r="D5" s="45" t="s">
        <v>492</v>
      </c>
      <c r="E5" s="6">
        <v>760</v>
      </c>
      <c r="F5" s="7">
        <v>827.55399999999997</v>
      </c>
      <c r="G5" s="6">
        <f>10+15+33</f>
        <v>58</v>
      </c>
      <c r="H5" s="6">
        <f t="shared" si="0"/>
        <v>44080</v>
      </c>
      <c r="I5" s="6">
        <f>'Dividends per year'!B5</f>
        <v>889.68999999999994</v>
      </c>
      <c r="J5" s="8">
        <f t="shared" si="1"/>
        <v>0.15797740792376944</v>
      </c>
      <c r="K5" s="7">
        <f t="shared" si="2"/>
        <v>-3028.4419999999977</v>
      </c>
      <c r="L5" s="8">
        <f t="shared" si="3"/>
        <v>-6.309499711363753E-2</v>
      </c>
      <c r="M5" s="10" t="s">
        <v>360</v>
      </c>
      <c r="N5" s="40">
        <v>43679</v>
      </c>
      <c r="O5" s="128">
        <f>SUM(H2:H121)</f>
        <v>279027.23926999996</v>
      </c>
      <c r="Q5" t="s">
        <v>341</v>
      </c>
      <c r="R5" s="60"/>
    </row>
    <row r="6" spans="1:38" ht="15.75" customHeight="1">
      <c r="A6" s="63" t="s">
        <v>23</v>
      </c>
      <c r="B6" s="92" t="s">
        <v>24</v>
      </c>
      <c r="C6" s="45" t="s">
        <v>15</v>
      </c>
      <c r="D6" s="45" t="s">
        <v>492</v>
      </c>
      <c r="E6" s="6">
        <v>56</v>
      </c>
      <c r="F6" s="7">
        <v>22.36</v>
      </c>
      <c r="G6" s="6">
        <v>230</v>
      </c>
      <c r="H6" s="6">
        <f t="shared" si="0"/>
        <v>12880</v>
      </c>
      <c r="I6" s="6">
        <f>'Dividends per year'!B6</f>
        <v>463.71</v>
      </c>
      <c r="J6" s="8">
        <f t="shared" si="1"/>
        <v>4.6160367832535167E-2</v>
      </c>
      <c r="K6" s="7">
        <f t="shared" si="2"/>
        <v>8200.91</v>
      </c>
      <c r="L6" s="8">
        <f t="shared" si="3"/>
        <v>1.5946391071011896</v>
      </c>
      <c r="M6" s="10" t="s">
        <v>361</v>
      </c>
      <c r="N6" s="40">
        <v>43594</v>
      </c>
      <c r="Q6" t="s">
        <v>240</v>
      </c>
      <c r="R6" s="59"/>
    </row>
    <row r="7" spans="1:38" ht="15">
      <c r="A7" s="63" t="s">
        <v>25</v>
      </c>
      <c r="B7" s="93" t="s">
        <v>26</v>
      </c>
      <c r="C7" s="45" t="s">
        <v>22</v>
      </c>
      <c r="D7" s="45" t="s">
        <v>492</v>
      </c>
      <c r="E7" s="6">
        <v>47</v>
      </c>
      <c r="F7" s="7">
        <v>59.619370000000004</v>
      </c>
      <c r="G7" s="6">
        <v>115</v>
      </c>
      <c r="H7" s="6">
        <f t="shared" si="0"/>
        <v>5405</v>
      </c>
      <c r="I7" s="6">
        <f>'Dividends per year'!B7</f>
        <v>1846</v>
      </c>
      <c r="J7" s="8">
        <f t="shared" si="1"/>
        <v>1.9370868644010292E-2</v>
      </c>
      <c r="K7" s="7">
        <f t="shared" si="2"/>
        <v>394.77244999999948</v>
      </c>
      <c r="L7" s="8">
        <f t="shared" si="3"/>
        <v>5.7578668024225621E-2</v>
      </c>
      <c r="M7" s="10" t="s">
        <v>362</v>
      </c>
      <c r="N7" s="40">
        <v>43434</v>
      </c>
      <c r="Q7" s="35" t="s">
        <v>241</v>
      </c>
      <c r="R7" s="61"/>
    </row>
    <row r="8" spans="1:38" ht="15.75" customHeight="1">
      <c r="A8" s="63" t="s">
        <v>425</v>
      </c>
      <c r="B8" s="90" t="s">
        <v>27</v>
      </c>
      <c r="C8" s="45" t="s">
        <v>15</v>
      </c>
      <c r="D8" s="45" t="s">
        <v>492</v>
      </c>
      <c r="E8" s="6">
        <v>130</v>
      </c>
      <c r="F8" s="6">
        <v>3.7214999999999998</v>
      </c>
      <c r="G8" s="6">
        <v>400</v>
      </c>
      <c r="H8" s="6">
        <f t="shared" si="0"/>
        <v>52000</v>
      </c>
      <c r="I8" s="6">
        <f>'Dividends per year'!B8</f>
        <v>31.420000000000005</v>
      </c>
      <c r="J8" s="8">
        <f t="shared" si="1"/>
        <v>0.18636173348539042</v>
      </c>
      <c r="K8" s="7">
        <f t="shared" si="2"/>
        <v>50542.82</v>
      </c>
      <c r="L8" s="8">
        <f t="shared" si="3"/>
        <v>33.953258094854228</v>
      </c>
      <c r="M8" s="10" t="s">
        <v>340</v>
      </c>
      <c r="N8" s="40">
        <v>43608</v>
      </c>
      <c r="Q8" s="35" t="s">
        <v>320</v>
      </c>
      <c r="R8" s="69"/>
    </row>
    <row r="9" spans="1:38" s="55" customFormat="1" ht="15">
      <c r="A9" s="63" t="s">
        <v>325</v>
      </c>
      <c r="B9" s="92" t="s">
        <v>510</v>
      </c>
      <c r="C9" s="45" t="s">
        <v>15</v>
      </c>
      <c r="D9" s="45" t="s">
        <v>492</v>
      </c>
      <c r="E9" s="6">
        <v>38</v>
      </c>
      <c r="F9" s="6">
        <v>39.851999999999997</v>
      </c>
      <c r="G9" s="6">
        <v>430</v>
      </c>
      <c r="H9" s="6">
        <f t="shared" si="0"/>
        <v>16340</v>
      </c>
      <c r="I9" s="6">
        <f>'Dividends per year'!B9</f>
        <v>282.06000000000006</v>
      </c>
      <c r="J9" s="8">
        <f t="shared" si="1"/>
        <v>5.8560590868293842E-2</v>
      </c>
      <c r="K9" s="7">
        <f t="shared" si="2"/>
        <v>-514.29999999999688</v>
      </c>
      <c r="L9" s="8">
        <f t="shared" si="3"/>
        <v>-3.0012207960150028E-2</v>
      </c>
      <c r="M9" s="10" t="s">
        <v>423</v>
      </c>
      <c r="N9" s="40">
        <v>45527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customHeight="1">
      <c r="A10" s="63" t="s">
        <v>571</v>
      </c>
      <c r="B10" s="90" t="s">
        <v>572</v>
      </c>
      <c r="C10" s="45"/>
      <c r="D10" s="45"/>
      <c r="E10" s="6"/>
      <c r="F10" s="7"/>
      <c r="G10" s="6"/>
      <c r="H10" s="6">
        <f t="shared" si="0"/>
        <v>0</v>
      </c>
      <c r="I10" s="6">
        <f>'Dividends per year'!B10</f>
        <v>0</v>
      </c>
      <c r="J10" s="8">
        <f t="shared" si="1"/>
        <v>0</v>
      </c>
      <c r="K10" s="7">
        <f t="shared" si="2"/>
        <v>0</v>
      </c>
      <c r="L10" s="8"/>
      <c r="M10" s="10" t="s">
        <v>473</v>
      </c>
      <c r="N10" s="40">
        <v>45596</v>
      </c>
    </row>
    <row r="11" spans="1:38" ht="15">
      <c r="A11" s="63" t="s">
        <v>30</v>
      </c>
      <c r="B11" s="90" t="s">
        <v>31</v>
      </c>
      <c r="C11" s="45" t="s">
        <v>15</v>
      </c>
      <c r="D11" s="45" t="s">
        <v>492</v>
      </c>
      <c r="E11" s="6">
        <v>82</v>
      </c>
      <c r="F11" s="7">
        <v>173.46866700000001</v>
      </c>
      <c r="G11" s="6">
        <v>60</v>
      </c>
      <c r="H11" s="6">
        <f t="shared" si="0"/>
        <v>4920</v>
      </c>
      <c r="I11" s="6">
        <f>'Dividends per year'!B11</f>
        <v>92.77000000000001</v>
      </c>
      <c r="J11" s="8">
        <f t="shared" si="1"/>
        <v>1.7632687091310016E-2</v>
      </c>
      <c r="K11" s="7">
        <f t="shared" si="2"/>
        <v>-5395.3500199999999</v>
      </c>
      <c r="L11" s="8">
        <f t="shared" si="3"/>
        <v>-0.51837892046137257</v>
      </c>
      <c r="M11" s="10" t="s">
        <v>363</v>
      </c>
      <c r="N11" s="40">
        <v>43607</v>
      </c>
    </row>
    <row r="12" spans="1:38" s="56" customFormat="1" ht="15.75" customHeight="1">
      <c r="A12" s="63" t="s">
        <v>32</v>
      </c>
      <c r="B12" s="90" t="s">
        <v>33</v>
      </c>
      <c r="C12" s="45" t="s">
        <v>22</v>
      </c>
      <c r="D12" s="45" t="s">
        <v>492</v>
      </c>
      <c r="E12" s="6">
        <v>40</v>
      </c>
      <c r="F12" s="7">
        <v>20.821788999999999</v>
      </c>
      <c r="G12" s="14">
        <v>178.72720000000001</v>
      </c>
      <c r="H12" s="14">
        <f t="shared" si="0"/>
        <v>7149.0880000000006</v>
      </c>
      <c r="I12" s="6">
        <f>'Dividends per year'!B12</f>
        <v>45.22</v>
      </c>
      <c r="J12" s="8">
        <f t="shared" si="1"/>
        <v>2.5621469856146214E-2</v>
      </c>
      <c r="K12" s="7">
        <f t="shared" si="2"/>
        <v>3472.8879530392005</v>
      </c>
      <c r="L12" s="8">
        <f t="shared" si="3"/>
        <v>0.93321579107293484</v>
      </c>
      <c r="M12" s="10" t="s">
        <v>495</v>
      </c>
      <c r="N12" s="40">
        <v>43466</v>
      </c>
      <c r="O12" s="67" t="s">
        <v>569</v>
      </c>
    </row>
    <row r="13" spans="1:38" ht="15.75" customHeight="1">
      <c r="A13" s="63" t="s">
        <v>169</v>
      </c>
      <c r="B13" s="90" t="s">
        <v>170</v>
      </c>
      <c r="C13" s="45" t="s">
        <v>15</v>
      </c>
      <c r="D13" s="45" t="s">
        <v>492</v>
      </c>
      <c r="E13" s="7">
        <v>175</v>
      </c>
      <c r="F13" s="7">
        <v>145.71199999999999</v>
      </c>
      <c r="G13" s="6">
        <v>40</v>
      </c>
      <c r="H13" s="6">
        <f>G13*E13</f>
        <v>7000</v>
      </c>
      <c r="I13" s="6">
        <f>'Dividends per year'!B13</f>
        <v>207.23</v>
      </c>
      <c r="J13" s="8">
        <f t="shared" si="1"/>
        <v>2.5087156430725635E-2</v>
      </c>
      <c r="K13" s="7">
        <f t="shared" si="2"/>
        <v>1378.7500000000005</v>
      </c>
      <c r="L13" s="8">
        <f t="shared" si="3"/>
        <v>0.23655395574832538</v>
      </c>
      <c r="M13" s="10" t="s">
        <v>424</v>
      </c>
      <c r="N13" s="40">
        <v>45214</v>
      </c>
    </row>
    <row r="14" spans="1:38" ht="15.75" customHeight="1">
      <c r="A14" s="63" t="s">
        <v>87</v>
      </c>
      <c r="B14" s="90" t="s">
        <v>88</v>
      </c>
      <c r="C14" s="45" t="s">
        <v>15</v>
      </c>
      <c r="D14" s="45" t="s">
        <v>492</v>
      </c>
      <c r="E14" s="6">
        <v>60</v>
      </c>
      <c r="F14" s="7">
        <v>36.116999999999997</v>
      </c>
      <c r="G14" s="6">
        <v>75</v>
      </c>
      <c r="H14" s="6">
        <f>G14*E14</f>
        <v>4500</v>
      </c>
      <c r="I14" s="6">
        <f>'Dividends per year'!B14</f>
        <v>59.16</v>
      </c>
      <c r="J14" s="8">
        <f t="shared" si="1"/>
        <v>1.6127457705466478E-2</v>
      </c>
      <c r="K14" s="7">
        <f>(H14-(G14*F14)+I14)</f>
        <v>1850.3850000000004</v>
      </c>
      <c r="L14" s="8">
        <f>((E14*G14)+I14)/(F14*G14)-100%</f>
        <v>0.68310767782484727</v>
      </c>
      <c r="M14" s="10" t="s">
        <v>378</v>
      </c>
      <c r="N14" s="40">
        <v>43697</v>
      </c>
    </row>
    <row r="15" spans="1:38" ht="15.75" customHeight="1">
      <c r="A15" s="63" t="s">
        <v>552</v>
      </c>
      <c r="B15" s="90" t="s">
        <v>553</v>
      </c>
      <c r="C15" s="46" t="s">
        <v>15</v>
      </c>
      <c r="D15" s="45"/>
      <c r="E15" s="6"/>
      <c r="F15" s="7"/>
      <c r="G15" s="6"/>
      <c r="H15" s="6"/>
      <c r="I15" s="6">
        <f>'Dividends per year'!B15</f>
        <v>0</v>
      </c>
      <c r="J15" s="8">
        <f t="shared" si="1"/>
        <v>0</v>
      </c>
      <c r="K15" s="7">
        <f t="shared" si="2"/>
        <v>0</v>
      </c>
      <c r="L15" s="8"/>
      <c r="M15" s="10" t="s">
        <v>418</v>
      </c>
      <c r="N15" s="40"/>
    </row>
    <row r="16" spans="1:38" ht="15.75" customHeight="1">
      <c r="A16" s="63" t="s">
        <v>511</v>
      </c>
      <c r="B16" s="90"/>
      <c r="C16" s="46" t="s">
        <v>22</v>
      </c>
      <c r="D16" s="45" t="s">
        <v>493</v>
      </c>
      <c r="E16" s="6"/>
      <c r="F16" s="7"/>
      <c r="G16" s="6"/>
      <c r="H16" s="6">
        <f>G16*E16</f>
        <v>0</v>
      </c>
      <c r="I16" s="6">
        <f>'Dividends per year'!B16</f>
        <v>0</v>
      </c>
      <c r="J16" s="8">
        <f t="shared" si="1"/>
        <v>0</v>
      </c>
      <c r="K16" s="7">
        <f t="shared" si="2"/>
        <v>0</v>
      </c>
      <c r="L16" s="8"/>
      <c r="M16" s="10" t="s">
        <v>443</v>
      </c>
      <c r="N16" s="40">
        <v>45544</v>
      </c>
    </row>
    <row r="17" spans="1:14" ht="15.75" customHeight="1">
      <c r="A17" s="13" t="s">
        <v>43</v>
      </c>
      <c r="B17" s="94" t="s">
        <v>44</v>
      </c>
      <c r="C17" s="45" t="s">
        <v>15</v>
      </c>
      <c r="D17" s="45" t="s">
        <v>492</v>
      </c>
      <c r="E17" s="6">
        <v>162</v>
      </c>
      <c r="F17" s="7">
        <v>72.849999999999994</v>
      </c>
      <c r="G17" s="6">
        <v>10</v>
      </c>
      <c r="H17" s="6">
        <f t="shared" si="0"/>
        <v>1620</v>
      </c>
      <c r="I17" s="6">
        <f>'Dividends per year'!B17</f>
        <v>161.65</v>
      </c>
      <c r="J17" s="8">
        <f t="shared" si="1"/>
        <v>5.805884773967933E-3</v>
      </c>
      <c r="K17" s="7">
        <f t="shared" si="2"/>
        <v>1053.1500000000001</v>
      </c>
      <c r="L17" s="8">
        <f t="shared" si="3"/>
        <v>1.4456417295813315</v>
      </c>
      <c r="M17" s="10" t="s">
        <v>364</v>
      </c>
      <c r="N17" s="40">
        <v>43123</v>
      </c>
    </row>
    <row r="18" spans="1:14" ht="15.75" customHeight="1">
      <c r="A18" s="13" t="s">
        <v>45</v>
      </c>
      <c r="B18" s="94" t="s">
        <v>46</v>
      </c>
      <c r="C18" s="45" t="s">
        <v>15</v>
      </c>
      <c r="D18" s="45" t="s">
        <v>492</v>
      </c>
      <c r="E18" s="6">
        <v>54</v>
      </c>
      <c r="F18" s="7">
        <v>29.92</v>
      </c>
      <c r="G18" s="6">
        <v>10</v>
      </c>
      <c r="H18" s="6">
        <f>G18*E18</f>
        <v>540</v>
      </c>
      <c r="I18" s="6">
        <f>'Dividends per year'!B18</f>
        <v>32.83</v>
      </c>
      <c r="J18" s="8">
        <f t="shared" si="1"/>
        <v>1.9352949246559776E-3</v>
      </c>
      <c r="K18" s="7">
        <f>(H18-(G18*F18)+I18)</f>
        <v>273.62999999999994</v>
      </c>
      <c r="L18" s="8">
        <f>((E18*G18)+I18)/(F18*G18)-100%</f>
        <v>0.91453877005347572</v>
      </c>
      <c r="M18" s="10" t="s">
        <v>365</v>
      </c>
      <c r="N18" s="40">
        <v>43130</v>
      </c>
    </row>
    <row r="19" spans="1:14" ht="15.75" customHeight="1">
      <c r="A19" s="13" t="s">
        <v>79</v>
      </c>
      <c r="B19" s="91" t="s">
        <v>80</v>
      </c>
      <c r="C19" s="45" t="s">
        <v>15</v>
      </c>
      <c r="D19" s="45" t="s">
        <v>492</v>
      </c>
      <c r="E19" s="6">
        <v>54</v>
      </c>
      <c r="F19" s="7">
        <v>20.601666999999999</v>
      </c>
      <c r="G19" s="6">
        <v>12</v>
      </c>
      <c r="H19" s="6">
        <f>G19*E19</f>
        <v>648</v>
      </c>
      <c r="I19" s="6">
        <f>'Dividends per year'!B19</f>
        <v>29.590000000000003</v>
      </c>
      <c r="J19" s="8">
        <f t="shared" si="1"/>
        <v>2.322353909587173E-3</v>
      </c>
      <c r="K19" s="7">
        <f>(H19-(G19*F19)+I19)</f>
        <v>430.36999600000001</v>
      </c>
      <c r="L19" s="8">
        <f>((E19*G19)+I19)/(F19*G19)-100%</f>
        <v>1.7408380755466699</v>
      </c>
      <c r="M19" s="10" t="s">
        <v>373</v>
      </c>
      <c r="N19" s="40">
        <v>43624</v>
      </c>
    </row>
    <row r="20" spans="1:14" ht="15.75" customHeight="1">
      <c r="A20" s="13" t="s">
        <v>127</v>
      </c>
      <c r="B20" s="91" t="s">
        <v>128</v>
      </c>
      <c r="C20" s="45" t="s">
        <v>15</v>
      </c>
      <c r="D20" s="45" t="s">
        <v>492</v>
      </c>
      <c r="E20" s="7">
        <v>64</v>
      </c>
      <c r="F20" s="7">
        <v>40.088999999999999</v>
      </c>
      <c r="G20" s="6">
        <v>10</v>
      </c>
      <c r="H20" s="6">
        <f>G20*E20</f>
        <v>640</v>
      </c>
      <c r="I20" s="6">
        <f>'Dividends per year'!B20</f>
        <v>56.279999999999987</v>
      </c>
      <c r="J20" s="8">
        <f t="shared" si="1"/>
        <v>2.2936828736663437E-3</v>
      </c>
      <c r="K20" s="7">
        <f>(H20-(G20*F20)+I20)</f>
        <v>295.39</v>
      </c>
      <c r="L20" s="8">
        <f>((E20*G20)+I20)/(F20*G20)-100%</f>
        <v>0.73683554092144976</v>
      </c>
      <c r="M20" s="10" t="s">
        <v>382</v>
      </c>
      <c r="N20" s="40">
        <v>44019</v>
      </c>
    </row>
    <row r="21" spans="1:14" ht="15.75" customHeight="1">
      <c r="A21" s="13" t="s">
        <v>167</v>
      </c>
      <c r="B21" s="91" t="s">
        <v>168</v>
      </c>
      <c r="C21" s="45" t="s">
        <v>15</v>
      </c>
      <c r="D21" s="45" t="s">
        <v>492</v>
      </c>
      <c r="E21" s="7">
        <v>106</v>
      </c>
      <c r="F21" s="7">
        <v>86.302941000000004</v>
      </c>
      <c r="G21" s="6">
        <v>47</v>
      </c>
      <c r="H21" s="6">
        <f>G21*E21</f>
        <v>4982</v>
      </c>
      <c r="I21" s="6">
        <f>'Dividends per year'!B21</f>
        <v>205.96000000000004</v>
      </c>
      <c r="J21" s="8">
        <f t="shared" si="1"/>
        <v>1.7854887619696443E-2</v>
      </c>
      <c r="K21" s="7">
        <f>(H21-(G21*F21)+I21)</f>
        <v>1131.7217729999998</v>
      </c>
      <c r="L21" s="8">
        <f>((E21*G21)+I21)/(F21*G21)-100%</f>
        <v>0.27900771839947458</v>
      </c>
      <c r="M21" s="10" t="s">
        <v>419</v>
      </c>
      <c r="N21" s="40">
        <v>44580</v>
      </c>
    </row>
    <row r="22" spans="1:14" ht="15.75" customHeight="1">
      <c r="A22" s="13" t="s">
        <v>117</v>
      </c>
      <c r="B22" s="91" t="s">
        <v>118</v>
      </c>
      <c r="C22" s="45" t="s">
        <v>38</v>
      </c>
      <c r="D22" s="45" t="s">
        <v>492</v>
      </c>
      <c r="E22" s="7">
        <v>80</v>
      </c>
      <c r="F22" s="7">
        <v>96.773499999999999</v>
      </c>
      <c r="G22" s="6">
        <v>6</v>
      </c>
      <c r="H22" s="6">
        <f>G22*E22</f>
        <v>480</v>
      </c>
      <c r="I22" s="6">
        <f>'Dividends per year'!B22</f>
        <v>43.879999999999995</v>
      </c>
      <c r="J22" s="8">
        <f t="shared" si="1"/>
        <v>1.7202621552497579E-3</v>
      </c>
      <c r="K22" s="7">
        <f>(H22-(G22*F22)+I22)</f>
        <v>-56.760999999999967</v>
      </c>
      <c r="L22" s="8">
        <f>((E22*G22)+I22)/(F22*G22)-100%</f>
        <v>-9.7755756138474537E-2</v>
      </c>
      <c r="M22" s="10" t="s">
        <v>347</v>
      </c>
      <c r="N22" s="40">
        <v>43978</v>
      </c>
    </row>
    <row r="23" spans="1:14" ht="15.75" customHeight="1">
      <c r="A23" s="13" t="s">
        <v>343</v>
      </c>
      <c r="B23" s="94" t="s">
        <v>350</v>
      </c>
      <c r="C23" s="46" t="s">
        <v>15</v>
      </c>
      <c r="D23" s="45" t="s">
        <v>492</v>
      </c>
      <c r="E23" s="6">
        <v>69</v>
      </c>
      <c r="F23" s="6">
        <v>66.128</v>
      </c>
      <c r="G23" s="6">
        <v>30</v>
      </c>
      <c r="H23" s="6">
        <f t="shared" si="0"/>
        <v>2070</v>
      </c>
      <c r="I23" s="6">
        <f>'Dividends per year'!B23</f>
        <v>17.310000000000002</v>
      </c>
      <c r="J23" s="8">
        <f t="shared" si="1"/>
        <v>7.4186305445145808E-3</v>
      </c>
      <c r="K23" s="7">
        <f t="shared" si="2"/>
        <v>103.47000000000008</v>
      </c>
      <c r="L23" s="8">
        <f t="shared" si="3"/>
        <v>5.2156423905153737E-2</v>
      </c>
      <c r="M23" s="10" t="s">
        <v>369</v>
      </c>
      <c r="N23" s="40">
        <v>45497</v>
      </c>
    </row>
    <row r="24" spans="1:14" ht="15.75" customHeight="1">
      <c r="A24" s="13" t="s">
        <v>139</v>
      </c>
      <c r="B24" s="91" t="s">
        <v>140</v>
      </c>
      <c r="C24" s="45" t="s">
        <v>15</v>
      </c>
      <c r="D24" s="45" t="s">
        <v>492</v>
      </c>
      <c r="E24" s="7">
        <v>90</v>
      </c>
      <c r="F24" s="7">
        <v>36.903300000000002</v>
      </c>
      <c r="G24" s="6">
        <v>18</v>
      </c>
      <c r="H24" s="6">
        <f t="shared" ref="H24:H34" si="4">G24*E24</f>
        <v>1620</v>
      </c>
      <c r="I24" s="6">
        <f>'Dividends per year'!B24</f>
        <v>44.39</v>
      </c>
      <c r="J24" s="8">
        <f t="shared" ref="J24:J34" si="5">H24/$O$5</f>
        <v>5.805884773967933E-3</v>
      </c>
      <c r="K24" s="7">
        <f t="shared" ref="K24:K34" si="6">(H24-(G24*F24)+I24)</f>
        <v>1000.1306</v>
      </c>
      <c r="L24" s="8">
        <f t="shared" ref="L24:L34" si="7">((E24*G24)+I24)/(F24*G24)-100%</f>
        <v>1.5056325887145894</v>
      </c>
      <c r="M24" s="10" t="s">
        <v>387</v>
      </c>
      <c r="N24" s="40">
        <v>44043</v>
      </c>
    </row>
    <row r="25" spans="1:14" ht="15.75" customHeight="1">
      <c r="A25" s="13" t="s">
        <v>110</v>
      </c>
      <c r="B25" s="91" t="s">
        <v>111</v>
      </c>
      <c r="C25" s="45" t="s">
        <v>112</v>
      </c>
      <c r="D25" s="45" t="s">
        <v>492</v>
      </c>
      <c r="E25" s="6">
        <v>16.5</v>
      </c>
      <c r="F25" s="7">
        <v>16.383600000000001</v>
      </c>
      <c r="G25" s="6">
        <v>50</v>
      </c>
      <c r="H25" s="6">
        <f t="shared" si="4"/>
        <v>825</v>
      </c>
      <c r="I25" s="6">
        <f>'Dividends per year'!B25</f>
        <v>62.430000000000007</v>
      </c>
      <c r="J25" s="8">
        <f t="shared" si="5"/>
        <v>2.9567005793355214E-3</v>
      </c>
      <c r="K25" s="7">
        <f t="shared" si="6"/>
        <v>68.249999999999943</v>
      </c>
      <c r="L25" s="8">
        <f t="shared" si="7"/>
        <v>8.331502233941257E-2</v>
      </c>
      <c r="M25" s="10" t="s">
        <v>328</v>
      </c>
      <c r="N25" s="40">
        <v>43998</v>
      </c>
    </row>
    <row r="26" spans="1:14" ht="15.75" customHeight="1">
      <c r="A26" s="13" t="s">
        <v>102</v>
      </c>
      <c r="B26" s="91" t="s">
        <v>103</v>
      </c>
      <c r="C26" s="45" t="s">
        <v>22</v>
      </c>
      <c r="D26" s="45" t="s">
        <v>492</v>
      </c>
      <c r="E26" s="6">
        <v>330</v>
      </c>
      <c r="F26" s="7">
        <v>259.24329999999998</v>
      </c>
      <c r="G26" s="6">
        <v>3</v>
      </c>
      <c r="H26" s="6">
        <f t="shared" si="4"/>
        <v>990</v>
      </c>
      <c r="I26" s="6">
        <f>'Dividends per year'!B26</f>
        <v>51.260000000000005</v>
      </c>
      <c r="J26" s="8">
        <f t="shared" si="5"/>
        <v>3.5480406952026256E-3</v>
      </c>
      <c r="K26" s="7">
        <f t="shared" si="6"/>
        <v>263.53010000000006</v>
      </c>
      <c r="L26" s="8">
        <f t="shared" si="7"/>
        <v>0.33884527263256836</v>
      </c>
      <c r="M26" s="10" t="s">
        <v>338</v>
      </c>
      <c r="N26" s="40">
        <v>43861</v>
      </c>
    </row>
    <row r="27" spans="1:14" ht="15.75" customHeight="1">
      <c r="A27" s="13" t="s">
        <v>47</v>
      </c>
      <c r="B27" s="94" t="s">
        <v>48</v>
      </c>
      <c r="C27" s="45" t="s">
        <v>15</v>
      </c>
      <c r="D27" s="45" t="s">
        <v>492</v>
      </c>
      <c r="E27" s="6">
        <v>58</v>
      </c>
      <c r="F27" s="7">
        <v>68.150000000000006</v>
      </c>
      <c r="G27" s="6">
        <v>10</v>
      </c>
      <c r="H27" s="6">
        <f t="shared" si="4"/>
        <v>580</v>
      </c>
      <c r="I27" s="6">
        <f>'Dividends per year'!B27</f>
        <v>117.30000000000001</v>
      </c>
      <c r="J27" s="8">
        <f t="shared" si="5"/>
        <v>2.078650104260124E-3</v>
      </c>
      <c r="K27" s="7">
        <f t="shared" si="6"/>
        <v>15.800000000000011</v>
      </c>
      <c r="L27" s="8">
        <f t="shared" si="7"/>
        <v>2.3184152604548647E-2</v>
      </c>
      <c r="M27" s="10" t="s">
        <v>366</v>
      </c>
      <c r="N27" s="40">
        <v>43158</v>
      </c>
    </row>
    <row r="28" spans="1:14" ht="15.75" customHeight="1">
      <c r="A28" s="13" t="s">
        <v>119</v>
      </c>
      <c r="B28" s="91" t="s">
        <v>120</v>
      </c>
      <c r="C28" s="45" t="s">
        <v>22</v>
      </c>
      <c r="D28" s="45" t="s">
        <v>492</v>
      </c>
      <c r="E28" s="6">
        <v>55</v>
      </c>
      <c r="F28" s="7">
        <v>44.665576999999999</v>
      </c>
      <c r="G28" s="6">
        <v>52</v>
      </c>
      <c r="H28" s="6">
        <f t="shared" si="4"/>
        <v>2860</v>
      </c>
      <c r="I28" s="6">
        <f>'Dividends per year'!B28</f>
        <v>299.75</v>
      </c>
      <c r="J28" s="8">
        <f t="shared" si="5"/>
        <v>1.0249895341696473E-2</v>
      </c>
      <c r="K28" s="7">
        <f t="shared" si="6"/>
        <v>837.13999599999988</v>
      </c>
      <c r="L28" s="8">
        <f t="shared" si="7"/>
        <v>0.36043071999099152</v>
      </c>
      <c r="M28" s="10" t="s">
        <v>323</v>
      </c>
      <c r="N28" s="40">
        <v>43377</v>
      </c>
    </row>
    <row r="29" spans="1:14" ht="15.75" customHeight="1">
      <c r="A29" s="13" t="s">
        <v>163</v>
      </c>
      <c r="B29" s="91" t="s">
        <v>164</v>
      </c>
      <c r="C29" s="45" t="s">
        <v>15</v>
      </c>
      <c r="D29" s="45" t="s">
        <v>492</v>
      </c>
      <c r="E29" s="7">
        <v>52</v>
      </c>
      <c r="F29" s="7">
        <v>53.107999999999997</v>
      </c>
      <c r="G29" s="6">
        <v>15</v>
      </c>
      <c r="H29" s="6">
        <f t="shared" si="4"/>
        <v>780</v>
      </c>
      <c r="I29" s="6">
        <f>'Dividends per year'!B29</f>
        <v>14.52</v>
      </c>
      <c r="J29" s="8">
        <f t="shared" si="5"/>
        <v>2.7954260022808567E-3</v>
      </c>
      <c r="K29" s="7">
        <f t="shared" si="6"/>
        <v>-2.100000000000005</v>
      </c>
      <c r="L29" s="8">
        <f t="shared" si="7"/>
        <v>-2.6361376817052307E-3</v>
      </c>
      <c r="M29" s="10" t="s">
        <v>397</v>
      </c>
      <c r="N29" s="40">
        <v>44327</v>
      </c>
    </row>
    <row r="30" spans="1:14" ht="15.75" customHeight="1">
      <c r="A30" s="13" t="s">
        <v>149</v>
      </c>
      <c r="B30" s="91" t="s">
        <v>150</v>
      </c>
      <c r="C30" s="45" t="s">
        <v>22</v>
      </c>
      <c r="D30" s="45" t="s">
        <v>492</v>
      </c>
      <c r="E30" s="7">
        <v>650</v>
      </c>
      <c r="F30" s="7">
        <v>422.99</v>
      </c>
      <c r="G30" s="6">
        <v>1</v>
      </c>
      <c r="H30" s="6">
        <f t="shared" si="4"/>
        <v>650</v>
      </c>
      <c r="I30" s="6">
        <f>'Dividends per year'!B30</f>
        <v>31.900000000000002</v>
      </c>
      <c r="J30" s="8">
        <f t="shared" si="5"/>
        <v>2.3295216685673805E-3</v>
      </c>
      <c r="K30" s="7">
        <f t="shared" si="6"/>
        <v>258.90999999999997</v>
      </c>
      <c r="L30" s="8">
        <f t="shared" si="7"/>
        <v>0.61209484857798047</v>
      </c>
      <c r="M30" s="10" t="s">
        <v>391</v>
      </c>
      <c r="N30" s="40">
        <v>44131</v>
      </c>
    </row>
    <row r="31" spans="1:14" ht="15.75" customHeight="1">
      <c r="A31" s="13" t="s">
        <v>59</v>
      </c>
      <c r="B31" s="94" t="s">
        <v>60</v>
      </c>
      <c r="C31" s="45" t="s">
        <v>22</v>
      </c>
      <c r="D31" s="45" t="s">
        <v>492</v>
      </c>
      <c r="E31" s="6">
        <v>36</v>
      </c>
      <c r="F31" s="7">
        <v>63.225000000000001</v>
      </c>
      <c r="G31" s="6">
        <v>20</v>
      </c>
      <c r="H31" s="6">
        <f t="shared" si="4"/>
        <v>720</v>
      </c>
      <c r="I31" s="6">
        <f>'Dividends per year'!B31</f>
        <v>219.32</v>
      </c>
      <c r="J31" s="8">
        <f t="shared" si="5"/>
        <v>2.5803932328746369E-3</v>
      </c>
      <c r="K31" s="7">
        <f t="shared" si="6"/>
        <v>-325.18</v>
      </c>
      <c r="L31" s="8">
        <f t="shared" si="7"/>
        <v>-0.25716093317516808</v>
      </c>
      <c r="M31" s="10" t="s">
        <v>356</v>
      </c>
      <c r="N31" s="40">
        <v>43251</v>
      </c>
    </row>
    <row r="32" spans="1:14" ht="15.75" customHeight="1">
      <c r="A32" s="13" t="s">
        <v>92</v>
      </c>
      <c r="B32" s="91" t="s">
        <v>93</v>
      </c>
      <c r="C32" s="45" t="s">
        <v>580</v>
      </c>
      <c r="D32" s="45" t="s">
        <v>492</v>
      </c>
      <c r="E32" s="6">
        <v>30</v>
      </c>
      <c r="F32" s="7">
        <v>36.8765</v>
      </c>
      <c r="G32" s="6">
        <v>20</v>
      </c>
      <c r="H32" s="6">
        <f t="shared" si="4"/>
        <v>600</v>
      </c>
      <c r="I32" s="6">
        <f>'Dividends per year'!B32</f>
        <v>72.569999999999993</v>
      </c>
      <c r="J32" s="8">
        <f t="shared" si="5"/>
        <v>2.1503276940621971E-3</v>
      </c>
      <c r="K32" s="7">
        <f t="shared" si="6"/>
        <v>-64.95999999999998</v>
      </c>
      <c r="L32" s="8">
        <f t="shared" si="7"/>
        <v>-8.8077773107534618E-2</v>
      </c>
      <c r="M32" s="10" t="s">
        <v>335</v>
      </c>
      <c r="N32" s="40">
        <v>43733</v>
      </c>
    </row>
    <row r="33" spans="1:15" ht="15.75" customHeight="1">
      <c r="A33" s="13" t="s">
        <v>141</v>
      </c>
      <c r="B33" s="91" t="s">
        <v>142</v>
      </c>
      <c r="C33" s="45" t="s">
        <v>22</v>
      </c>
      <c r="D33" s="45" t="s">
        <v>492</v>
      </c>
      <c r="E33" s="7">
        <v>77</v>
      </c>
      <c r="F33" s="7">
        <v>77.441999999999993</v>
      </c>
      <c r="G33" s="6">
        <v>10</v>
      </c>
      <c r="H33" s="6">
        <f t="shared" si="4"/>
        <v>770</v>
      </c>
      <c r="I33" s="6">
        <f>'Dividends per year'!B33</f>
        <v>47.56</v>
      </c>
      <c r="J33" s="8">
        <f t="shared" si="5"/>
        <v>2.7595872073798199E-3</v>
      </c>
      <c r="K33" s="7">
        <f t="shared" si="6"/>
        <v>43.140000000000043</v>
      </c>
      <c r="L33" s="8">
        <f t="shared" si="7"/>
        <v>5.5706205934764164E-2</v>
      </c>
      <c r="M33" s="10" t="s">
        <v>388</v>
      </c>
      <c r="N33" s="40">
        <v>44049</v>
      </c>
      <c r="O33" s="35"/>
    </row>
    <row r="34" spans="1:15" ht="15.75" customHeight="1">
      <c r="A34" s="13" t="s">
        <v>145</v>
      </c>
      <c r="B34" s="91" t="s">
        <v>146</v>
      </c>
      <c r="C34" s="45" t="s">
        <v>579</v>
      </c>
      <c r="D34" s="45" t="s">
        <v>492</v>
      </c>
      <c r="E34" s="7">
        <v>112</v>
      </c>
      <c r="F34" s="7">
        <v>114.985714</v>
      </c>
      <c r="G34" s="6">
        <v>7</v>
      </c>
      <c r="H34" s="6">
        <f t="shared" si="4"/>
        <v>784</v>
      </c>
      <c r="I34" s="6">
        <f>'Dividends per year'!B34</f>
        <v>68.44</v>
      </c>
      <c r="J34" s="8">
        <f t="shared" si="5"/>
        <v>2.8097615202412711E-3</v>
      </c>
      <c r="K34" s="7">
        <f t="shared" si="6"/>
        <v>47.540002000000015</v>
      </c>
      <c r="L34" s="8">
        <f t="shared" si="7"/>
        <v>5.9063240300815778E-2</v>
      </c>
      <c r="M34" s="10" t="s">
        <v>390</v>
      </c>
      <c r="N34" s="40">
        <v>44095</v>
      </c>
      <c r="O34" s="35" t="s">
        <v>319</v>
      </c>
    </row>
    <row r="35" spans="1:15" ht="15.75" customHeight="1">
      <c r="A35" s="13" t="s">
        <v>147</v>
      </c>
      <c r="B35" s="91" t="s">
        <v>148</v>
      </c>
      <c r="C35" s="45" t="s">
        <v>22</v>
      </c>
      <c r="D35" s="45" t="s">
        <v>492</v>
      </c>
      <c r="E35" s="7">
        <v>19</v>
      </c>
      <c r="F35" s="7">
        <v>14.056125</v>
      </c>
      <c r="G35" s="6">
        <v>80</v>
      </c>
      <c r="H35" s="6">
        <f t="shared" ref="H35:H36" si="8">G35*E35</f>
        <v>1520</v>
      </c>
      <c r="I35" s="6">
        <f>'Dividends per year'!B35</f>
        <v>104.4</v>
      </c>
      <c r="J35" s="8">
        <f t="shared" ref="J35:J36" si="9">H35/$O$5</f>
        <v>5.4474968249575663E-3</v>
      </c>
      <c r="K35" s="7">
        <f t="shared" ref="K35:K36" si="10">(H35-(G35*F35)+I35)</f>
        <v>499.90999999999997</v>
      </c>
      <c r="L35" s="8">
        <f t="shared" ref="L35:L36" si="11">((E35*G35)+I35)/(F35*G35)-100%</f>
        <v>0.44456598102250799</v>
      </c>
      <c r="M35" s="10" t="s">
        <v>327</v>
      </c>
      <c r="N35" s="40">
        <v>44096</v>
      </c>
    </row>
    <row r="36" spans="1:15" ht="15.75" customHeight="1">
      <c r="A36" s="13" t="s">
        <v>151</v>
      </c>
      <c r="B36" s="91" t="s">
        <v>152</v>
      </c>
      <c r="C36" s="45" t="s">
        <v>22</v>
      </c>
      <c r="D36" s="45" t="s">
        <v>492</v>
      </c>
      <c r="E36" s="7">
        <v>230</v>
      </c>
      <c r="F36" s="7">
        <v>543.65</v>
      </c>
      <c r="G36" s="6">
        <v>1</v>
      </c>
      <c r="H36" s="6">
        <f t="shared" si="8"/>
        <v>230</v>
      </c>
      <c r="I36" s="6">
        <f>'Dividends per year'!B36</f>
        <v>33.950000000000003</v>
      </c>
      <c r="J36" s="8">
        <f t="shared" si="9"/>
        <v>8.2429228272384229E-4</v>
      </c>
      <c r="K36" s="7">
        <f t="shared" si="10"/>
        <v>-279.7</v>
      </c>
      <c r="L36" s="8">
        <f t="shared" si="11"/>
        <v>-0.51448542260645636</v>
      </c>
      <c r="M36" s="10" t="s">
        <v>391</v>
      </c>
      <c r="N36" s="40">
        <v>44132</v>
      </c>
      <c r="O36" s="35"/>
    </row>
    <row r="37" spans="1:15" ht="15.75" customHeight="1">
      <c r="A37" s="13" t="s">
        <v>574</v>
      </c>
      <c r="B37" s="91" t="s">
        <v>573</v>
      </c>
      <c r="C37" s="46" t="s">
        <v>15</v>
      </c>
      <c r="D37" s="46" t="s">
        <v>492</v>
      </c>
    </row>
    <row r="38" spans="1:15" ht="15">
      <c r="A38" s="13" t="s">
        <v>108</v>
      </c>
      <c r="B38" s="92" t="s">
        <v>109</v>
      </c>
      <c r="C38" s="45" t="s">
        <v>15</v>
      </c>
      <c r="D38" s="45" t="s">
        <v>492</v>
      </c>
      <c r="E38" s="6">
        <v>52</v>
      </c>
      <c r="F38" s="7">
        <v>52.93</v>
      </c>
      <c r="G38" s="6">
        <v>150</v>
      </c>
      <c r="H38" s="6">
        <f t="shared" ref="H38:H63" si="12">G38*E38</f>
        <v>7800</v>
      </c>
      <c r="I38" s="6">
        <f>'Dividends per year'!B37</f>
        <v>0</v>
      </c>
      <c r="J38" s="8">
        <f t="shared" ref="J38:J63" si="13">H38/$O$5</f>
        <v>2.7954260022808566E-2</v>
      </c>
      <c r="K38" s="7">
        <f t="shared" ref="K38:K63" si="14">(H38-(G38*F38)+I38)</f>
        <v>-139.5</v>
      </c>
      <c r="L38" s="8">
        <f t="shared" ref="L38:L63" si="15">((E38*G38)+I38)/(F38*G38)-100%</f>
        <v>-1.7570375968259944E-2</v>
      </c>
      <c r="M38" s="10" t="s">
        <v>324</v>
      </c>
      <c r="N38" s="40">
        <v>43908</v>
      </c>
    </row>
    <row r="39" spans="1:15" ht="15">
      <c r="A39" s="13" t="s">
        <v>133</v>
      </c>
      <c r="B39" s="92" t="s">
        <v>134</v>
      </c>
      <c r="C39" s="45" t="s">
        <v>15</v>
      </c>
      <c r="D39" s="45" t="s">
        <v>492</v>
      </c>
      <c r="E39" s="7">
        <v>53</v>
      </c>
      <c r="F39" s="7">
        <v>38.696364000000003</v>
      </c>
      <c r="G39" s="7">
        <v>25.126650000000001</v>
      </c>
      <c r="H39" s="14">
        <f t="shared" si="12"/>
        <v>1331.71245</v>
      </c>
      <c r="I39" s="6">
        <f>'Dividends per year'!B38</f>
        <v>806.43000000000018</v>
      </c>
      <c r="J39" s="8">
        <f t="shared" si="13"/>
        <v>4.7726969362706989E-3</v>
      </c>
      <c r="K39" s="7">
        <f t="shared" si="14"/>
        <v>1165.8324554994001</v>
      </c>
      <c r="L39" s="8">
        <f t="shared" si="15"/>
        <v>1.1990337053957747</v>
      </c>
      <c r="M39" s="10" t="s">
        <v>385</v>
      </c>
      <c r="N39" s="40">
        <v>44062</v>
      </c>
    </row>
    <row r="40" spans="1:15" ht="15">
      <c r="A40" s="13" t="s">
        <v>39</v>
      </c>
      <c r="B40" s="92" t="s">
        <v>40</v>
      </c>
      <c r="C40" s="45" t="s">
        <v>15</v>
      </c>
      <c r="D40" s="45" t="s">
        <v>492</v>
      </c>
      <c r="E40" s="6">
        <v>33</v>
      </c>
      <c r="F40" s="7">
        <v>36.246000000000002</v>
      </c>
      <c r="G40" s="6">
        <v>50</v>
      </c>
      <c r="H40" s="6">
        <f t="shared" si="12"/>
        <v>1650</v>
      </c>
      <c r="I40" s="6">
        <f>'Dividends per year'!B39</f>
        <v>318.47000000000003</v>
      </c>
      <c r="J40" s="8">
        <f t="shared" si="13"/>
        <v>5.9134011586710429E-3</v>
      </c>
      <c r="K40" s="7">
        <f t="shared" si="14"/>
        <v>156.16999999999985</v>
      </c>
      <c r="L40" s="8">
        <f t="shared" si="15"/>
        <v>8.6172267284665871E-2</v>
      </c>
      <c r="M40" s="10" t="s">
        <v>357</v>
      </c>
      <c r="N40" s="40">
        <v>43091</v>
      </c>
    </row>
    <row r="41" spans="1:15" ht="15">
      <c r="A41" s="13" t="s">
        <v>113</v>
      </c>
      <c r="B41" s="92" t="s">
        <v>114</v>
      </c>
      <c r="C41" s="45" t="s">
        <v>15</v>
      </c>
      <c r="D41" s="45" t="s">
        <v>492</v>
      </c>
      <c r="E41" s="6">
        <v>41</v>
      </c>
      <c r="F41" s="7">
        <v>22.274999999999999</v>
      </c>
      <c r="G41" s="6">
        <v>57</v>
      </c>
      <c r="H41" s="6">
        <f t="shared" si="12"/>
        <v>2337</v>
      </c>
      <c r="I41" s="6">
        <f>'Dividends per year'!B40</f>
        <v>545.41</v>
      </c>
      <c r="J41" s="8">
        <f t="shared" si="13"/>
        <v>8.3755263683722592E-3</v>
      </c>
      <c r="K41" s="7">
        <f t="shared" si="14"/>
        <v>1612.7350000000001</v>
      </c>
      <c r="L41" s="8">
        <f t="shared" si="15"/>
        <v>1.2701951286746609</v>
      </c>
      <c r="M41" s="10" t="s">
        <v>329</v>
      </c>
      <c r="N41" s="40">
        <v>44002</v>
      </c>
    </row>
    <row r="42" spans="1:15" ht="15">
      <c r="A42" s="13" t="s">
        <v>81</v>
      </c>
      <c r="B42" s="92" t="s">
        <v>82</v>
      </c>
      <c r="C42" s="45" t="s">
        <v>15</v>
      </c>
      <c r="D42" s="45" t="s">
        <v>492</v>
      </c>
      <c r="E42" s="6">
        <v>86</v>
      </c>
      <c r="F42" s="7">
        <v>91.994</v>
      </c>
      <c r="G42" s="6">
        <v>20</v>
      </c>
      <c r="H42" s="6">
        <f t="shared" si="12"/>
        <v>1720</v>
      </c>
      <c r="I42" s="6">
        <f>'Dividends per year'!B41</f>
        <v>52.13</v>
      </c>
      <c r="J42" s="8">
        <f t="shared" si="13"/>
        <v>6.1642727229782989E-3</v>
      </c>
      <c r="K42" s="7">
        <f t="shared" si="14"/>
        <v>-67.750000000000114</v>
      </c>
      <c r="L42" s="8">
        <f t="shared" si="15"/>
        <v>-3.6823053677413786E-2</v>
      </c>
      <c r="M42" s="10" t="s">
        <v>375</v>
      </c>
      <c r="N42" s="40">
        <v>45153</v>
      </c>
    </row>
    <row r="43" spans="1:15" ht="15">
      <c r="A43" s="13" t="s">
        <v>51</v>
      </c>
      <c r="B43" s="92" t="s">
        <v>52</v>
      </c>
      <c r="C43" s="45" t="s">
        <v>38</v>
      </c>
      <c r="D43" s="45" t="s">
        <v>492</v>
      </c>
      <c r="E43" s="6">
        <v>214</v>
      </c>
      <c r="F43" s="7">
        <v>169.9</v>
      </c>
      <c r="G43" s="6">
        <v>5</v>
      </c>
      <c r="H43" s="6">
        <f t="shared" si="12"/>
        <v>1070</v>
      </c>
      <c r="I43" s="6">
        <f>'Dividends per year'!B42</f>
        <v>0</v>
      </c>
      <c r="J43" s="8">
        <f t="shared" si="13"/>
        <v>3.8347510544109184E-3</v>
      </c>
      <c r="K43" s="7">
        <f t="shared" si="14"/>
        <v>220.5</v>
      </c>
      <c r="L43" s="8">
        <f t="shared" si="15"/>
        <v>0.25956444967628012</v>
      </c>
      <c r="M43" s="10" t="s">
        <v>367</v>
      </c>
      <c r="N43" s="40">
        <v>43196</v>
      </c>
    </row>
    <row r="44" spans="1:15" ht="15">
      <c r="A44" s="13" t="s">
        <v>143</v>
      </c>
      <c r="B44" s="92" t="s">
        <v>144</v>
      </c>
      <c r="C44" s="45" t="s">
        <v>22</v>
      </c>
      <c r="D44" s="45" t="s">
        <v>492</v>
      </c>
      <c r="E44" s="7">
        <v>101</v>
      </c>
      <c r="F44" s="7">
        <v>80.447999999999993</v>
      </c>
      <c r="G44" s="6">
        <v>10</v>
      </c>
      <c r="H44" s="6">
        <f t="shared" si="12"/>
        <v>1010</v>
      </c>
      <c r="I44" s="6">
        <f>'Dividends per year'!B43</f>
        <v>80.06</v>
      </c>
      <c r="J44" s="8">
        <f t="shared" si="13"/>
        <v>3.6197182850046987E-3</v>
      </c>
      <c r="K44" s="7">
        <f t="shared" si="14"/>
        <v>285.5800000000001</v>
      </c>
      <c r="L44" s="8">
        <f t="shared" si="15"/>
        <v>0.35498707239459049</v>
      </c>
      <c r="M44" s="10" t="s">
        <v>389</v>
      </c>
      <c r="N44" s="40">
        <v>44074</v>
      </c>
    </row>
    <row r="45" spans="1:15" ht="15">
      <c r="A45" s="13" t="s">
        <v>131</v>
      </c>
      <c r="B45" s="92" t="s">
        <v>132</v>
      </c>
      <c r="C45" s="45" t="s">
        <v>15</v>
      </c>
      <c r="D45" s="45" t="s">
        <v>492</v>
      </c>
      <c r="E45" s="7">
        <v>110</v>
      </c>
      <c r="F45" s="7">
        <v>82.373999999999995</v>
      </c>
      <c r="G45" s="6">
        <v>10</v>
      </c>
      <c r="H45" s="6">
        <f t="shared" si="12"/>
        <v>1100</v>
      </c>
      <c r="I45" s="6">
        <f>'Dividends per year'!B44</f>
        <v>103.22</v>
      </c>
      <c r="J45" s="8">
        <f t="shared" si="13"/>
        <v>3.9422674391140283E-3</v>
      </c>
      <c r="K45" s="7">
        <f t="shared" si="14"/>
        <v>379.48</v>
      </c>
      <c r="L45" s="8">
        <f t="shared" si="15"/>
        <v>0.46067934056862603</v>
      </c>
      <c r="M45" s="10" t="s">
        <v>383</v>
      </c>
      <c r="N45" s="40">
        <v>44027</v>
      </c>
    </row>
    <row r="46" spans="1:15" ht="15">
      <c r="A46" s="13" t="s">
        <v>123</v>
      </c>
      <c r="B46" s="92" t="s">
        <v>124</v>
      </c>
      <c r="C46" s="45" t="s">
        <v>15</v>
      </c>
      <c r="D46" s="45" t="s">
        <v>492</v>
      </c>
      <c r="E46" s="7">
        <v>138</v>
      </c>
      <c r="F46" s="7">
        <v>27.248889999999999</v>
      </c>
      <c r="G46" s="6">
        <v>27</v>
      </c>
      <c r="H46" s="6">
        <f t="shared" si="12"/>
        <v>3726</v>
      </c>
      <c r="I46" s="6">
        <f>'Dividends per year'!B45</f>
        <v>99.670000000000016</v>
      </c>
      <c r="J46" s="8">
        <f t="shared" si="13"/>
        <v>1.3353534980126246E-2</v>
      </c>
      <c r="K46" s="7">
        <f t="shared" si="14"/>
        <v>3089.9499700000001</v>
      </c>
      <c r="L46" s="8">
        <f t="shared" si="15"/>
        <v>4.1998992062238676</v>
      </c>
      <c r="M46" s="10" t="s">
        <v>339</v>
      </c>
      <c r="N46" s="40">
        <v>43993</v>
      </c>
    </row>
    <row r="47" spans="1:15" ht="15">
      <c r="A47" s="13" t="s">
        <v>135</v>
      </c>
      <c r="B47" s="92" t="s">
        <v>136</v>
      </c>
      <c r="C47" s="45" t="s">
        <v>22</v>
      </c>
      <c r="D47" s="45" t="s">
        <v>492</v>
      </c>
      <c r="E47" s="7">
        <v>58</v>
      </c>
      <c r="F47" s="7">
        <v>35.8048</v>
      </c>
      <c r="G47" s="6">
        <v>25</v>
      </c>
      <c r="H47" s="6">
        <f t="shared" si="12"/>
        <v>1450</v>
      </c>
      <c r="I47" s="6">
        <f>'Dividends per year'!B46</f>
        <v>52.2</v>
      </c>
      <c r="J47" s="8">
        <f t="shared" si="13"/>
        <v>5.1966252606503102E-3</v>
      </c>
      <c r="K47" s="7">
        <f t="shared" si="14"/>
        <v>607.08000000000004</v>
      </c>
      <c r="L47" s="8">
        <f t="shared" si="15"/>
        <v>0.67821074269371717</v>
      </c>
      <c r="M47" s="10" t="s">
        <v>384</v>
      </c>
      <c r="N47" s="40">
        <v>44036</v>
      </c>
    </row>
    <row r="48" spans="1:15" ht="15">
      <c r="A48" s="13" t="s">
        <v>155</v>
      </c>
      <c r="B48" s="92" t="s">
        <v>156</v>
      </c>
      <c r="C48" s="45" t="s">
        <v>15</v>
      </c>
      <c r="D48" s="45" t="s">
        <v>492</v>
      </c>
      <c r="E48" s="7">
        <v>5.8</v>
      </c>
      <c r="F48" s="7">
        <v>4.0960999999999999</v>
      </c>
      <c r="G48" s="6">
        <v>100</v>
      </c>
      <c r="H48" s="6">
        <f t="shared" si="12"/>
        <v>580</v>
      </c>
      <c r="I48" s="6">
        <f>'Dividends per year'!B47</f>
        <v>0</v>
      </c>
      <c r="J48" s="8">
        <f t="shared" si="13"/>
        <v>2.078650104260124E-3</v>
      </c>
      <c r="K48" s="7">
        <f t="shared" si="14"/>
        <v>170.39</v>
      </c>
      <c r="L48" s="8">
        <f t="shared" si="15"/>
        <v>0.41598105515002071</v>
      </c>
      <c r="M48" s="10" t="s">
        <v>394</v>
      </c>
      <c r="N48" s="40">
        <v>44129</v>
      </c>
    </row>
    <row r="49" spans="1:15" ht="15">
      <c r="A49" s="13" t="s">
        <v>159</v>
      </c>
      <c r="B49" s="92" t="s">
        <v>160</v>
      </c>
      <c r="C49" s="45" t="s">
        <v>22</v>
      </c>
      <c r="D49" s="45" t="s">
        <v>492</v>
      </c>
      <c r="E49" s="7">
        <v>24</v>
      </c>
      <c r="F49" s="7">
        <v>25.64</v>
      </c>
      <c r="G49" s="6">
        <v>15</v>
      </c>
      <c r="H49" s="14">
        <f t="shared" si="12"/>
        <v>360</v>
      </c>
      <c r="I49" s="6">
        <f>'Dividends per year'!B48</f>
        <v>83.460000000000008</v>
      </c>
      <c r="J49" s="8">
        <f t="shared" si="13"/>
        <v>1.2901966164373185E-3</v>
      </c>
      <c r="K49" s="7">
        <f t="shared" si="14"/>
        <v>58.859999999999985</v>
      </c>
      <c r="L49" s="8">
        <f t="shared" si="15"/>
        <v>0.15304212168486742</v>
      </c>
      <c r="M49" s="10" t="s">
        <v>395</v>
      </c>
      <c r="N49" s="40">
        <v>44126</v>
      </c>
    </row>
    <row r="50" spans="1:15" ht="15">
      <c r="A50" s="13" t="s">
        <v>49</v>
      </c>
      <c r="B50" s="92" t="s">
        <v>50</v>
      </c>
      <c r="C50" s="45" t="s">
        <v>38</v>
      </c>
      <c r="D50" s="45" t="s">
        <v>492</v>
      </c>
      <c r="E50" s="6">
        <v>520</v>
      </c>
      <c r="F50" s="7">
        <v>412.5</v>
      </c>
      <c r="G50" s="6">
        <v>1</v>
      </c>
      <c r="H50" s="6">
        <f t="shared" si="12"/>
        <v>520</v>
      </c>
      <c r="I50" s="6">
        <f>'Dividends per year'!B49</f>
        <v>99.57</v>
      </c>
      <c r="J50" s="8">
        <f t="shared" si="13"/>
        <v>1.8636173348539043E-3</v>
      </c>
      <c r="K50" s="7">
        <f t="shared" si="14"/>
        <v>207.07</v>
      </c>
      <c r="L50" s="8">
        <f t="shared" si="15"/>
        <v>0.50198787878787865</v>
      </c>
      <c r="M50" s="10" t="s">
        <v>399</v>
      </c>
      <c r="N50" s="40">
        <v>43179</v>
      </c>
    </row>
    <row r="51" spans="1:15" ht="15">
      <c r="A51" s="13" t="s">
        <v>121</v>
      </c>
      <c r="B51" s="92" t="s">
        <v>122</v>
      </c>
      <c r="C51" s="45" t="s">
        <v>15</v>
      </c>
      <c r="D51" s="45" t="s">
        <v>492</v>
      </c>
      <c r="E51" s="7">
        <v>270</v>
      </c>
      <c r="F51" s="7">
        <v>225.54</v>
      </c>
      <c r="G51" s="6">
        <v>5</v>
      </c>
      <c r="H51" s="6">
        <f t="shared" si="12"/>
        <v>1350</v>
      </c>
      <c r="I51" s="6">
        <f>'Dividends per year'!B50</f>
        <v>94.28</v>
      </c>
      <c r="J51" s="8">
        <f t="shared" si="13"/>
        <v>4.8382373116399443E-3</v>
      </c>
      <c r="K51" s="7">
        <f t="shared" si="14"/>
        <v>316.57999999999993</v>
      </c>
      <c r="L51" s="8">
        <f t="shared" si="15"/>
        <v>0.28073069078655655</v>
      </c>
      <c r="M51" s="10" t="s">
        <v>509</v>
      </c>
      <c r="N51" s="40">
        <v>43985</v>
      </c>
    </row>
    <row r="52" spans="1:15" ht="15">
      <c r="A52" s="13" t="s">
        <v>73</v>
      </c>
      <c r="B52" s="93" t="s">
        <v>74</v>
      </c>
      <c r="C52" s="45" t="s">
        <v>15</v>
      </c>
      <c r="D52" s="45" t="s">
        <v>492</v>
      </c>
      <c r="E52" s="6">
        <v>140</v>
      </c>
      <c r="F52" s="7">
        <v>120.161</v>
      </c>
      <c r="G52" s="6">
        <v>30</v>
      </c>
      <c r="H52" s="6">
        <f t="shared" si="12"/>
        <v>4200</v>
      </c>
      <c r="I52" s="6">
        <f>'Dividends per year'!B51</f>
        <v>152.44999999999999</v>
      </c>
      <c r="J52" s="8">
        <f t="shared" si="13"/>
        <v>1.5052293858435381E-2</v>
      </c>
      <c r="K52" s="7">
        <f t="shared" si="14"/>
        <v>747.62000000000012</v>
      </c>
      <c r="L52" s="8">
        <f t="shared" si="15"/>
        <v>0.20739396864762005</v>
      </c>
      <c r="M52" s="10" t="s">
        <v>371</v>
      </c>
      <c r="N52" s="40">
        <v>43594</v>
      </c>
    </row>
    <row r="53" spans="1:15" ht="15">
      <c r="A53" s="13" t="s">
        <v>104</v>
      </c>
      <c r="B53" s="93" t="s">
        <v>105</v>
      </c>
      <c r="C53" s="45" t="s">
        <v>15</v>
      </c>
      <c r="D53" s="45" t="s">
        <v>492</v>
      </c>
      <c r="E53" s="6">
        <v>228</v>
      </c>
      <c r="F53" s="7">
        <v>153.06</v>
      </c>
      <c r="G53" s="6">
        <v>5</v>
      </c>
      <c r="H53" s="6">
        <f t="shared" si="12"/>
        <v>1140</v>
      </c>
      <c r="I53" s="6">
        <f>'Dividends per year'!B52</f>
        <v>291.11</v>
      </c>
      <c r="J53" s="8">
        <f t="shared" si="13"/>
        <v>4.0856226187181745E-3</v>
      </c>
      <c r="K53" s="7">
        <f t="shared" si="14"/>
        <v>665.81000000000006</v>
      </c>
      <c r="L53" s="8">
        <f t="shared" si="15"/>
        <v>0.86999869332288027</v>
      </c>
      <c r="M53" s="10" t="s">
        <v>330</v>
      </c>
      <c r="N53" s="40">
        <v>43880</v>
      </c>
    </row>
    <row r="54" spans="1:15" ht="15">
      <c r="A54" s="13" t="s">
        <v>496</v>
      </c>
      <c r="B54" s="93" t="s">
        <v>508</v>
      </c>
      <c r="C54" s="46" t="s">
        <v>15</v>
      </c>
      <c r="D54" s="45" t="s">
        <v>492</v>
      </c>
      <c r="E54" s="6">
        <v>60</v>
      </c>
      <c r="F54" s="7">
        <v>61</v>
      </c>
      <c r="G54" s="6">
        <v>40</v>
      </c>
      <c r="H54" s="6">
        <f t="shared" si="12"/>
        <v>2400</v>
      </c>
      <c r="I54" s="6">
        <f>'Dividends per year'!B53</f>
        <v>16.670000000000002</v>
      </c>
      <c r="J54" s="8">
        <f t="shared" si="13"/>
        <v>8.6013107762487884E-3</v>
      </c>
      <c r="K54" s="7">
        <f t="shared" si="14"/>
        <v>-23.33</v>
      </c>
      <c r="L54" s="8">
        <f t="shared" si="15"/>
        <v>-9.5614754098359844E-3</v>
      </c>
      <c r="M54" s="10" t="s">
        <v>507</v>
      </c>
      <c r="N54" s="40">
        <v>45667</v>
      </c>
    </row>
    <row r="55" spans="1:15" ht="15">
      <c r="A55" s="13" t="s">
        <v>64</v>
      </c>
      <c r="B55" s="93" t="s">
        <v>65</v>
      </c>
      <c r="C55" s="45" t="s">
        <v>22</v>
      </c>
      <c r="D55" s="45" t="s">
        <v>492</v>
      </c>
      <c r="E55" s="6">
        <v>62</v>
      </c>
      <c r="F55" s="7">
        <v>73.34</v>
      </c>
      <c r="G55" s="6">
        <v>20</v>
      </c>
      <c r="H55" s="6">
        <f t="shared" si="12"/>
        <v>1240</v>
      </c>
      <c r="I55" s="6">
        <f>'Dividends per year'!B54</f>
        <v>0</v>
      </c>
      <c r="J55" s="8">
        <f t="shared" si="13"/>
        <v>4.4440105677285412E-3</v>
      </c>
      <c r="K55" s="7">
        <f t="shared" si="14"/>
        <v>-226.80000000000018</v>
      </c>
      <c r="L55" s="8">
        <f t="shared" si="15"/>
        <v>-0.1546223070629944</v>
      </c>
      <c r="M55" s="10" t="s">
        <v>331</v>
      </c>
      <c r="N55" s="40">
        <v>43272</v>
      </c>
      <c r="O55" t="s">
        <v>534</v>
      </c>
    </row>
    <row r="56" spans="1:15" ht="15">
      <c r="A56" s="13" t="s">
        <v>75</v>
      </c>
      <c r="B56" s="93" t="s">
        <v>76</v>
      </c>
      <c r="C56" s="45" t="s">
        <v>15</v>
      </c>
      <c r="D56" s="45" t="s">
        <v>492</v>
      </c>
      <c r="E56" s="6">
        <v>105</v>
      </c>
      <c r="F56" s="7">
        <v>67.255294000000006</v>
      </c>
      <c r="G56" s="6">
        <v>17</v>
      </c>
      <c r="H56" s="6">
        <f t="shared" si="12"/>
        <v>1785</v>
      </c>
      <c r="I56" s="6">
        <f>'Dividends per year'!B55</f>
        <v>159.26999999999998</v>
      </c>
      <c r="J56" s="8">
        <f t="shared" si="13"/>
        <v>6.3972248898350372E-3</v>
      </c>
      <c r="K56" s="7">
        <f t="shared" si="14"/>
        <v>800.93000199999983</v>
      </c>
      <c r="L56" s="8">
        <f t="shared" si="15"/>
        <v>0.70051778421207622</v>
      </c>
      <c r="M56" s="10" t="s">
        <v>494</v>
      </c>
      <c r="N56" s="40">
        <v>43608</v>
      </c>
    </row>
    <row r="57" spans="1:15" ht="15">
      <c r="A57" s="13" t="s">
        <v>34</v>
      </c>
      <c r="B57" s="93" t="s">
        <v>35</v>
      </c>
      <c r="C57" s="45" t="s">
        <v>15</v>
      </c>
      <c r="D57" s="45" t="s">
        <v>492</v>
      </c>
      <c r="E57" s="6">
        <v>4.5999999999999996</v>
      </c>
      <c r="F57" s="7">
        <v>3.5150000000000001</v>
      </c>
      <c r="G57" s="6">
        <v>300</v>
      </c>
      <c r="H57" s="6">
        <f t="shared" si="12"/>
        <v>1380</v>
      </c>
      <c r="I57" s="6">
        <f>'Dividends per year'!B56</f>
        <v>247.69</v>
      </c>
      <c r="J57" s="8">
        <f t="shared" si="13"/>
        <v>4.9457536963430542E-3</v>
      </c>
      <c r="K57" s="7">
        <f t="shared" si="14"/>
        <v>573.19000000000005</v>
      </c>
      <c r="L57" s="8">
        <f t="shared" si="15"/>
        <v>0.54356567093409214</v>
      </c>
      <c r="M57" s="10" t="s">
        <v>352</v>
      </c>
      <c r="N57" s="40">
        <v>44312</v>
      </c>
    </row>
    <row r="58" spans="1:15" ht="15">
      <c r="A58" s="13" t="s">
        <v>98</v>
      </c>
      <c r="B58" s="93" t="s">
        <v>99</v>
      </c>
      <c r="C58" s="45" t="s">
        <v>22</v>
      </c>
      <c r="D58" s="45" t="s">
        <v>492</v>
      </c>
      <c r="E58" s="6">
        <v>107</v>
      </c>
      <c r="F58" s="7">
        <v>108.1686</v>
      </c>
      <c r="G58" s="6">
        <v>6</v>
      </c>
      <c r="H58" s="6">
        <f t="shared" si="12"/>
        <v>642</v>
      </c>
      <c r="I58" s="6">
        <f>'Dividends per year'!B57</f>
        <v>210.81</v>
      </c>
      <c r="J58" s="8">
        <f t="shared" si="13"/>
        <v>2.3008506326465511E-3</v>
      </c>
      <c r="K58" s="7">
        <f t="shared" si="14"/>
        <v>203.79839999999996</v>
      </c>
      <c r="L58" s="8">
        <f t="shared" si="15"/>
        <v>0.31401349374957221</v>
      </c>
      <c r="M58" s="10" t="s">
        <v>336</v>
      </c>
      <c r="N58" s="40">
        <v>43858</v>
      </c>
    </row>
    <row r="59" spans="1:15" ht="15">
      <c r="A59" s="13" t="s">
        <v>36</v>
      </c>
      <c r="B59" s="93" t="s">
        <v>37</v>
      </c>
      <c r="C59" s="45" t="s">
        <v>38</v>
      </c>
      <c r="D59" s="45" t="s">
        <v>492</v>
      </c>
      <c r="E59" s="6">
        <v>228</v>
      </c>
      <c r="F59" s="7">
        <v>134.42400000000001</v>
      </c>
      <c r="G59" s="6">
        <v>10</v>
      </c>
      <c r="H59" s="6">
        <f t="shared" si="12"/>
        <v>2280</v>
      </c>
      <c r="I59" s="6">
        <f>'Dividends per year'!B58</f>
        <v>106.77000000000001</v>
      </c>
      <c r="J59" s="8">
        <f t="shared" si="13"/>
        <v>8.171245237436349E-3</v>
      </c>
      <c r="K59" s="7">
        <f t="shared" si="14"/>
        <v>1042.53</v>
      </c>
      <c r="L59" s="8">
        <f t="shared" si="15"/>
        <v>0.7755534725941795</v>
      </c>
      <c r="M59" s="10" t="s">
        <v>355</v>
      </c>
      <c r="N59" s="40">
        <v>43614</v>
      </c>
      <c r="O59" s="35"/>
    </row>
    <row r="60" spans="1:15" ht="15">
      <c r="A60" s="13" t="s">
        <v>77</v>
      </c>
      <c r="B60" s="93" t="s">
        <v>78</v>
      </c>
      <c r="C60" s="45" t="s">
        <v>15</v>
      </c>
      <c r="D60" s="45" t="s">
        <v>492</v>
      </c>
      <c r="E60" s="6">
        <v>71</v>
      </c>
      <c r="F60" s="7">
        <v>61.805833</v>
      </c>
      <c r="G60" s="6">
        <v>12</v>
      </c>
      <c r="H60" s="6">
        <f t="shared" si="12"/>
        <v>852</v>
      </c>
      <c r="I60" s="6">
        <f>'Dividends per year'!B59</f>
        <v>92.859999999999985</v>
      </c>
      <c r="J60" s="8">
        <f t="shared" si="13"/>
        <v>3.0534653255683201E-3</v>
      </c>
      <c r="K60" s="7">
        <f t="shared" si="14"/>
        <v>203.19000400000002</v>
      </c>
      <c r="L60" s="8">
        <f t="shared" si="15"/>
        <v>0.27396282052105558</v>
      </c>
      <c r="M60" s="10" t="s">
        <v>372</v>
      </c>
      <c r="N60" s="40">
        <v>43623</v>
      </c>
    </row>
    <row r="61" spans="1:15" ht="15">
      <c r="A61" s="13" t="s">
        <v>41</v>
      </c>
      <c r="B61" s="93" t="s">
        <v>42</v>
      </c>
      <c r="C61" s="45" t="s">
        <v>22</v>
      </c>
      <c r="D61" s="45" t="s">
        <v>492</v>
      </c>
      <c r="E61" s="6">
        <v>42</v>
      </c>
      <c r="F61" s="7">
        <v>44.8</v>
      </c>
      <c r="G61" s="6">
        <v>10</v>
      </c>
      <c r="H61" s="6">
        <f t="shared" si="12"/>
        <v>420</v>
      </c>
      <c r="I61" s="6">
        <f>'Dividends per year'!B60</f>
        <v>55.45</v>
      </c>
      <c r="J61" s="8">
        <f t="shared" si="13"/>
        <v>1.5052293858435382E-3</v>
      </c>
      <c r="K61" s="7">
        <f t="shared" si="14"/>
        <v>27.450000000000003</v>
      </c>
      <c r="L61" s="8">
        <f t="shared" si="15"/>
        <v>6.1272321428571308E-2</v>
      </c>
      <c r="M61" s="10" t="s">
        <v>348</v>
      </c>
      <c r="N61" s="40">
        <v>43109</v>
      </c>
    </row>
    <row r="62" spans="1:15" ht="15">
      <c r="A62" s="13" t="s">
        <v>100</v>
      </c>
      <c r="B62" s="93" t="s">
        <v>101</v>
      </c>
      <c r="C62" s="45" t="s">
        <v>22</v>
      </c>
      <c r="D62" s="45" t="s">
        <v>492</v>
      </c>
      <c r="E62" s="6">
        <v>65</v>
      </c>
      <c r="F62" s="7">
        <v>100.26860000000001</v>
      </c>
      <c r="G62" s="6">
        <v>6</v>
      </c>
      <c r="H62" s="6">
        <f t="shared" si="12"/>
        <v>390</v>
      </c>
      <c r="I62" s="6">
        <f>'Dividends per year'!B61</f>
        <v>58.75</v>
      </c>
      <c r="J62" s="8">
        <f t="shared" si="13"/>
        <v>1.3977130011404283E-3</v>
      </c>
      <c r="K62" s="7">
        <f t="shared" si="14"/>
        <v>-152.86160000000007</v>
      </c>
      <c r="L62" s="8">
        <f t="shared" si="15"/>
        <v>-0.25408685603801529</v>
      </c>
      <c r="M62" s="10" t="s">
        <v>337</v>
      </c>
      <c r="N62" s="40">
        <v>43859</v>
      </c>
    </row>
    <row r="63" spans="1:15" ht="15">
      <c r="A63" s="13" t="s">
        <v>125</v>
      </c>
      <c r="B63" s="93" t="s">
        <v>126</v>
      </c>
      <c r="C63" s="45" t="s">
        <v>22</v>
      </c>
      <c r="D63" s="45" t="s">
        <v>492</v>
      </c>
      <c r="E63" s="7">
        <v>400</v>
      </c>
      <c r="F63" s="7">
        <v>184.58250000000001</v>
      </c>
      <c r="G63" s="6">
        <v>4</v>
      </c>
      <c r="H63" s="6">
        <f t="shared" si="12"/>
        <v>1600</v>
      </c>
      <c r="I63" s="6">
        <f>'Dividends per year'!B62</f>
        <v>52.370000000000005</v>
      </c>
      <c r="J63" s="8">
        <f t="shared" si="13"/>
        <v>5.7342071841658595E-3</v>
      </c>
      <c r="K63" s="7">
        <f t="shared" si="14"/>
        <v>914.04</v>
      </c>
      <c r="L63" s="8">
        <f t="shared" si="15"/>
        <v>1.2379830157246756</v>
      </c>
      <c r="M63" s="10" t="s">
        <v>381</v>
      </c>
      <c r="N63" s="40">
        <v>43994</v>
      </c>
    </row>
    <row r="64" spans="1:15" ht="15">
      <c r="A64" s="13" t="s">
        <v>96</v>
      </c>
      <c r="B64" s="95" t="s">
        <v>97</v>
      </c>
      <c r="C64" s="45" t="s">
        <v>15</v>
      </c>
      <c r="D64" s="45" t="s">
        <v>492</v>
      </c>
      <c r="E64" s="6">
        <v>192</v>
      </c>
      <c r="F64" s="7">
        <v>113.80200000000001</v>
      </c>
      <c r="G64" s="6">
        <v>5</v>
      </c>
      <c r="H64" s="6">
        <f t="shared" ref="H64:H71" si="16">G64*E64</f>
        <v>960</v>
      </c>
      <c r="I64" s="6">
        <f>'Dividends per year'!B64</f>
        <v>69.830000000000013</v>
      </c>
      <c r="J64" s="8">
        <f t="shared" ref="J64:J71" si="17">H64/$O$5</f>
        <v>3.4405243104995158E-3</v>
      </c>
      <c r="K64" s="7">
        <f t="shared" ref="K64:K71" si="18">(H64-(G64*F64)+I64)</f>
        <v>460.82000000000005</v>
      </c>
      <c r="L64" s="8">
        <f t="shared" ref="L64:L71" si="19">((E64*G64)+I64)/(F64*G64)-100%</f>
        <v>0.80986274406425185</v>
      </c>
      <c r="M64" s="10" t="s">
        <v>322</v>
      </c>
      <c r="N64" s="40">
        <v>43768</v>
      </c>
    </row>
    <row r="65" spans="1:15" ht="15">
      <c r="A65" s="13" t="s">
        <v>161</v>
      </c>
      <c r="B65" s="95" t="s">
        <v>162</v>
      </c>
      <c r="C65" s="45" t="s">
        <v>58</v>
      </c>
      <c r="D65" s="45" t="s">
        <v>492</v>
      </c>
      <c r="E65" s="7">
        <v>88</v>
      </c>
      <c r="F65" s="7">
        <v>41.091000000000001</v>
      </c>
      <c r="G65" s="6">
        <v>10</v>
      </c>
      <c r="H65" s="14">
        <f t="shared" si="16"/>
        <v>880</v>
      </c>
      <c r="I65" s="6">
        <f>'Dividends per year'!B65</f>
        <v>88.179999999999993</v>
      </c>
      <c r="J65" s="8">
        <f t="shared" si="17"/>
        <v>3.1538139512912225E-3</v>
      </c>
      <c r="K65" s="7">
        <f t="shared" si="18"/>
        <v>557.27</v>
      </c>
      <c r="L65" s="8">
        <f t="shared" si="19"/>
        <v>1.3561850526879362</v>
      </c>
      <c r="M65" s="10" t="s">
        <v>396</v>
      </c>
      <c r="N65" s="40">
        <v>44132</v>
      </c>
    </row>
    <row r="66" spans="1:15" ht="15">
      <c r="A66" s="5" t="s">
        <v>231</v>
      </c>
      <c r="B66" s="95" t="s">
        <v>57</v>
      </c>
      <c r="C66" s="45" t="s">
        <v>58</v>
      </c>
      <c r="D66" s="45" t="s">
        <v>492</v>
      </c>
      <c r="E66" s="6">
        <v>2.1459999999999999</v>
      </c>
      <c r="F66" s="7">
        <v>2.7789999999999999</v>
      </c>
      <c r="G66" s="6">
        <v>500</v>
      </c>
      <c r="H66" s="6">
        <f t="shared" si="16"/>
        <v>1073</v>
      </c>
      <c r="I66" s="6">
        <f>'Dividends per year'!B66</f>
        <v>430.46</v>
      </c>
      <c r="J66" s="8">
        <f t="shared" si="17"/>
        <v>3.8455026928812296E-3</v>
      </c>
      <c r="K66" s="7">
        <f t="shared" si="18"/>
        <v>113.95999999999998</v>
      </c>
      <c r="L66" s="8">
        <f t="shared" si="19"/>
        <v>8.2015113350125901E-2</v>
      </c>
      <c r="M66" s="10" t="s">
        <v>370</v>
      </c>
      <c r="N66" s="40">
        <v>43251</v>
      </c>
    </row>
    <row r="67" spans="1:15" ht="15">
      <c r="A67" s="13" t="s">
        <v>53</v>
      </c>
      <c r="B67" s="90" t="s">
        <v>53</v>
      </c>
      <c r="C67" s="45" t="s">
        <v>15</v>
      </c>
      <c r="D67" s="45" t="s">
        <v>492</v>
      </c>
      <c r="E67" s="6">
        <v>198</v>
      </c>
      <c r="F67" s="7">
        <v>100.208</v>
      </c>
      <c r="G67" s="6">
        <v>6</v>
      </c>
      <c r="H67" s="6">
        <f t="shared" si="16"/>
        <v>1188</v>
      </c>
      <c r="I67" s="6">
        <f>'Dividends per year'!B67</f>
        <v>186.32999999999998</v>
      </c>
      <c r="J67" s="8">
        <f t="shared" si="17"/>
        <v>4.2576488342431504E-3</v>
      </c>
      <c r="K67" s="7">
        <f t="shared" si="18"/>
        <v>773.08199999999988</v>
      </c>
      <c r="L67" s="8">
        <f t="shared" si="19"/>
        <v>1.2857955452658469</v>
      </c>
      <c r="M67" s="10" t="s">
        <v>368</v>
      </c>
      <c r="N67" s="40">
        <v>43209</v>
      </c>
    </row>
    <row r="68" spans="1:15" ht="15">
      <c r="A68" s="13" t="s">
        <v>137</v>
      </c>
      <c r="B68" s="90" t="s">
        <v>138</v>
      </c>
      <c r="C68" s="45" t="s">
        <v>15</v>
      </c>
      <c r="D68" s="45" t="s">
        <v>492</v>
      </c>
      <c r="E68" s="7">
        <v>300</v>
      </c>
      <c r="F68" s="7">
        <v>168.798</v>
      </c>
      <c r="G68" s="6">
        <v>5</v>
      </c>
      <c r="H68" s="6">
        <f t="shared" si="16"/>
        <v>1500</v>
      </c>
      <c r="I68" s="6">
        <f>'Dividends per year'!B68</f>
        <v>26.3</v>
      </c>
      <c r="J68" s="8">
        <f t="shared" si="17"/>
        <v>5.3758192351554936E-3</v>
      </c>
      <c r="K68" s="7">
        <f t="shared" si="18"/>
        <v>682.31</v>
      </c>
      <c r="L68" s="8">
        <f t="shared" si="19"/>
        <v>0.80843374921503797</v>
      </c>
      <c r="M68" s="10" t="s">
        <v>386</v>
      </c>
      <c r="N68" s="40">
        <v>44037</v>
      </c>
    </row>
    <row r="69" spans="1:15" ht="15">
      <c r="A69" s="13" t="s">
        <v>68</v>
      </c>
      <c r="B69" s="90" t="s">
        <v>69</v>
      </c>
      <c r="C69" s="45" t="s">
        <v>219</v>
      </c>
      <c r="D69" s="45" t="s">
        <v>492</v>
      </c>
      <c r="E69" s="6">
        <v>83</v>
      </c>
      <c r="F69" s="7">
        <v>39.840000000000003</v>
      </c>
      <c r="G69" s="6">
        <v>20</v>
      </c>
      <c r="H69" s="6">
        <f t="shared" si="16"/>
        <v>1660</v>
      </c>
      <c r="I69" s="6">
        <f>'Dividends per year'!B69</f>
        <v>41.800000000000004</v>
      </c>
      <c r="J69" s="8">
        <f t="shared" si="17"/>
        <v>5.9492399535720792E-3</v>
      </c>
      <c r="K69" s="7">
        <f t="shared" si="18"/>
        <v>904.99999999999989</v>
      </c>
      <c r="L69" s="8">
        <f t="shared" si="19"/>
        <v>1.1357931726907626</v>
      </c>
      <c r="M69" s="10" t="s">
        <v>353</v>
      </c>
      <c r="N69" s="40">
        <v>43554</v>
      </c>
    </row>
    <row r="70" spans="1:15" ht="15">
      <c r="A70" s="13" t="s">
        <v>129</v>
      </c>
      <c r="B70" s="90" t="s">
        <v>130</v>
      </c>
      <c r="C70" s="45" t="s">
        <v>15</v>
      </c>
      <c r="D70" s="45" t="s">
        <v>492</v>
      </c>
      <c r="E70" s="7">
        <v>412</v>
      </c>
      <c r="F70" s="7">
        <v>372.4</v>
      </c>
      <c r="G70" s="6">
        <v>2</v>
      </c>
      <c r="H70" s="6">
        <f t="shared" si="16"/>
        <v>824</v>
      </c>
      <c r="I70" s="6">
        <f>'Dividends per year'!B70</f>
        <v>0</v>
      </c>
      <c r="J70" s="8">
        <f t="shared" si="17"/>
        <v>2.9531166998454177E-3</v>
      </c>
      <c r="K70" s="7">
        <f t="shared" si="18"/>
        <v>79.200000000000045</v>
      </c>
      <c r="L70" s="8">
        <f t="shared" si="19"/>
        <v>0.10633727175080576</v>
      </c>
      <c r="M70" s="10" t="s">
        <v>349</v>
      </c>
      <c r="N70" s="40">
        <v>44026</v>
      </c>
    </row>
    <row r="71" spans="1:15" ht="15">
      <c r="A71" s="13" t="s">
        <v>90</v>
      </c>
      <c r="B71" s="90" t="s">
        <v>91</v>
      </c>
      <c r="C71" s="45" t="s">
        <v>15</v>
      </c>
      <c r="D71" s="45" t="s">
        <v>492</v>
      </c>
      <c r="E71" s="6">
        <v>197</v>
      </c>
      <c r="F71" s="7">
        <v>189.83142900000001</v>
      </c>
      <c r="G71" s="6">
        <v>7</v>
      </c>
      <c r="H71" s="6">
        <f t="shared" si="16"/>
        <v>1379</v>
      </c>
      <c r="I71" s="6">
        <f>'Dividends per year'!B71</f>
        <v>12.709999999999999</v>
      </c>
      <c r="J71" s="8">
        <f t="shared" si="17"/>
        <v>4.9421698168529505E-3</v>
      </c>
      <c r="K71" s="7">
        <f t="shared" si="18"/>
        <v>62.889996999999958</v>
      </c>
      <c r="L71" s="8">
        <f t="shared" si="19"/>
        <v>4.7327701914493314E-2</v>
      </c>
      <c r="M71" s="10" t="s">
        <v>379</v>
      </c>
      <c r="N71" s="40">
        <v>43728</v>
      </c>
    </row>
    <row r="72" spans="1:15" ht="15">
      <c r="A72" s="13" t="s">
        <v>517</v>
      </c>
      <c r="I72" s="6">
        <f>'Dividends per year'!B72</f>
        <v>0</v>
      </c>
    </row>
    <row r="73" spans="1:15" ht="15">
      <c r="A73" s="13" t="s">
        <v>28</v>
      </c>
      <c r="B73" s="89" t="s">
        <v>29</v>
      </c>
      <c r="C73" s="45" t="s">
        <v>15</v>
      </c>
      <c r="D73" s="45" t="s">
        <v>492</v>
      </c>
      <c r="E73" s="6">
        <v>126</v>
      </c>
      <c r="F73" s="7">
        <v>315.46100000000001</v>
      </c>
      <c r="G73" s="6">
        <v>13</v>
      </c>
      <c r="H73" s="6">
        <f>G73*E73</f>
        <v>1638</v>
      </c>
      <c r="I73" s="6">
        <f>'Dividends per year'!B73</f>
        <v>0</v>
      </c>
      <c r="J73" s="8">
        <f>H73/$O$5</f>
        <v>5.8703946047897982E-3</v>
      </c>
      <c r="K73" s="7">
        <f>(H73-(G73*F73)+I73)</f>
        <v>-2462.9930000000004</v>
      </c>
      <c r="L73" s="8">
        <f>((E73*G73)+I73)/(F73*G73)-100%</f>
        <v>-0.60058454135376482</v>
      </c>
      <c r="M73" s="10" t="s">
        <v>351</v>
      </c>
      <c r="N73" s="40">
        <v>43686</v>
      </c>
    </row>
    <row r="74" spans="1:15" ht="15">
      <c r="A74" s="13" t="s">
        <v>85</v>
      </c>
      <c r="B74" s="89" t="s">
        <v>86</v>
      </c>
      <c r="C74" s="45" t="s">
        <v>15</v>
      </c>
      <c r="D74" s="45" t="s">
        <v>492</v>
      </c>
      <c r="E74" s="6">
        <v>94</v>
      </c>
      <c r="F74" s="7">
        <v>65.44</v>
      </c>
      <c r="G74" s="6">
        <v>6</v>
      </c>
      <c r="H74" s="6">
        <f>G74*E74</f>
        <v>564</v>
      </c>
      <c r="I74" s="6">
        <f>'Dividends per year'!B74</f>
        <v>68.900000000000006</v>
      </c>
      <c r="J74" s="8">
        <f>H74/$O$5</f>
        <v>2.0213080324184654E-3</v>
      </c>
      <c r="K74" s="7">
        <f>(H74-(G74*F74)+I74)</f>
        <v>240.26000000000002</v>
      </c>
      <c r="L74" s="8">
        <f>((E74*G74)+I74)/(F74*G74)-100%</f>
        <v>0.61190912795436025</v>
      </c>
      <c r="M74" s="10" t="s">
        <v>377</v>
      </c>
      <c r="N74" s="40">
        <v>43165</v>
      </c>
    </row>
    <row r="75" spans="1:15" ht="15">
      <c r="A75" s="13" t="s">
        <v>115</v>
      </c>
      <c r="B75" s="89" t="s">
        <v>116</v>
      </c>
      <c r="C75" s="45" t="s">
        <v>22</v>
      </c>
      <c r="D75" s="45" t="s">
        <v>492</v>
      </c>
      <c r="E75" s="7">
        <v>20</v>
      </c>
      <c r="F75" s="7">
        <v>48.903599999999997</v>
      </c>
      <c r="G75" s="6">
        <v>50</v>
      </c>
      <c r="H75" s="6">
        <f>G75*E75</f>
        <v>1000</v>
      </c>
      <c r="I75" s="6">
        <f>'Dividends per year'!B75</f>
        <v>230.24</v>
      </c>
      <c r="J75" s="8">
        <f>H75/$O$5</f>
        <v>3.583879490103662E-3</v>
      </c>
      <c r="K75" s="7">
        <f>(H75-(G75*F75)+I75)</f>
        <v>-1214.9399999999998</v>
      </c>
      <c r="L75" s="8">
        <f>((E75*G75)+I75)/(F75*G75)-100%</f>
        <v>-0.49687139597084873</v>
      </c>
      <c r="M75" s="10" t="s">
        <v>380</v>
      </c>
      <c r="N75" s="40">
        <v>43965</v>
      </c>
    </row>
    <row r="76" spans="1:15" ht="15">
      <c r="A76" s="13" t="s">
        <v>153</v>
      </c>
      <c r="B76" s="89" t="s">
        <v>154</v>
      </c>
      <c r="C76" s="45" t="s">
        <v>38</v>
      </c>
      <c r="D76" s="45" t="s">
        <v>492</v>
      </c>
      <c r="E76" s="7">
        <v>320</v>
      </c>
      <c r="F76" s="7">
        <v>302.8</v>
      </c>
      <c r="G76" s="6">
        <v>2</v>
      </c>
      <c r="H76" s="6">
        <f>G76*E76</f>
        <v>640</v>
      </c>
      <c r="I76" s="6">
        <f>'Dividends per year'!B76</f>
        <v>47.650000000000006</v>
      </c>
      <c r="J76" s="8">
        <f t="shared" ref="J76:J120" si="20">H76/$O$5</f>
        <v>2.2936828736663437E-3</v>
      </c>
      <c r="K76" s="7">
        <f>(H76-(G76*F76)+I76)</f>
        <v>82.049999999999983</v>
      </c>
      <c r="L76" s="8">
        <f t="shared" ref="L76:L98" si="21">((E76*G76)+I76)/(F76*G76)-100%</f>
        <v>0.1354854689564069</v>
      </c>
      <c r="M76" s="10" t="s">
        <v>392</v>
      </c>
      <c r="N76" s="40">
        <v>44103</v>
      </c>
    </row>
    <row r="77" spans="1:15" ht="15">
      <c r="A77" s="66" t="s">
        <v>516</v>
      </c>
      <c r="I77" s="6"/>
    </row>
    <row r="78" spans="1:15" ht="15">
      <c r="I78" s="6"/>
    </row>
    <row r="79" spans="1:15" ht="15">
      <c r="A79" s="13" t="s">
        <v>66</v>
      </c>
      <c r="B79" s="96" t="s">
        <v>67</v>
      </c>
      <c r="C79" s="45" t="s">
        <v>15</v>
      </c>
      <c r="D79" s="45" t="s">
        <v>492</v>
      </c>
      <c r="E79" s="6">
        <v>66</v>
      </c>
      <c r="F79" s="7">
        <v>38.668750000000003</v>
      </c>
      <c r="G79" s="6">
        <v>40</v>
      </c>
      <c r="H79" s="6">
        <f>G79*E79</f>
        <v>2640</v>
      </c>
      <c r="I79" s="6">
        <f>'Dividends per year'!B79</f>
        <v>276.3</v>
      </c>
      <c r="J79" s="8">
        <f>H79/$O$5</f>
        <v>9.4614418538736689E-3</v>
      </c>
      <c r="K79" s="7">
        <f>(H79-(G79*F79)+I79)</f>
        <v>1369.55</v>
      </c>
      <c r="L79" s="8">
        <f>((E79*G79)+I79)/(F79*G79)-100%</f>
        <v>0.88543720704703421</v>
      </c>
      <c r="M79" s="10" t="s">
        <v>354</v>
      </c>
      <c r="N79" s="40">
        <v>43433</v>
      </c>
      <c r="O79" t="s">
        <v>549</v>
      </c>
    </row>
    <row r="80" spans="1:15" ht="15">
      <c r="A80" s="13" t="s">
        <v>157</v>
      </c>
      <c r="B80" s="96" t="s">
        <v>158</v>
      </c>
      <c r="C80" s="45" t="s">
        <v>15</v>
      </c>
      <c r="D80" s="45" t="s">
        <v>492</v>
      </c>
      <c r="E80" s="7">
        <v>7</v>
      </c>
      <c r="F80" s="7">
        <v>6.8310000000000004</v>
      </c>
      <c r="G80" s="6">
        <v>163</v>
      </c>
      <c r="H80" s="6">
        <f>G80*E80</f>
        <v>1141</v>
      </c>
      <c r="I80" s="6">
        <f>'Dividends per year'!B80</f>
        <v>161.32999999999998</v>
      </c>
      <c r="J80" s="8">
        <f>H80/$O$5</f>
        <v>4.0892064982082782E-3</v>
      </c>
      <c r="K80" s="7">
        <f>(H80-(G80*F80)+I80)</f>
        <v>188.87700000000001</v>
      </c>
      <c r="L80" s="8">
        <f>((E80*G80)+I80)/(F80*G80)-100%</f>
        <v>0.16963176712443184</v>
      </c>
      <c r="M80" s="10" t="s">
        <v>393</v>
      </c>
      <c r="N80" s="40">
        <v>45226</v>
      </c>
    </row>
    <row r="81" spans="1:15" ht="15">
      <c r="A81" s="5" t="s">
        <v>165</v>
      </c>
      <c r="B81" s="96" t="s">
        <v>166</v>
      </c>
      <c r="C81" s="45" t="s">
        <v>22</v>
      </c>
      <c r="D81" s="45" t="s">
        <v>492</v>
      </c>
      <c r="E81" s="7">
        <v>4</v>
      </c>
      <c r="F81" s="7">
        <v>5.1372499999999999</v>
      </c>
      <c r="G81" s="6">
        <v>200</v>
      </c>
      <c r="H81" s="6">
        <f>G81*E81</f>
        <v>800</v>
      </c>
      <c r="I81" s="6">
        <f>'Dividends per year'!B81</f>
        <v>70.64</v>
      </c>
      <c r="J81" s="8">
        <f>H81/$O$5</f>
        <v>2.8671035920829297E-3</v>
      </c>
      <c r="K81" s="7">
        <f>(H81-(G81*F81)+I81)</f>
        <v>-156.81000000000006</v>
      </c>
      <c r="L81" s="8">
        <f>((E81*G81)+I81)/(F81*G81)-100%</f>
        <v>-0.15262056547763891</v>
      </c>
      <c r="M81" s="10" t="s">
        <v>398</v>
      </c>
      <c r="N81" s="40">
        <v>43935</v>
      </c>
      <c r="O81" s="35"/>
    </row>
    <row r="82" spans="1:15" ht="15">
      <c r="B82" s="45"/>
      <c r="C82" s="45"/>
      <c r="D82" s="45"/>
      <c r="E82" s="6"/>
      <c r="F82" s="7"/>
      <c r="G82" s="6"/>
      <c r="H82" s="6"/>
      <c r="I82" s="6"/>
      <c r="J82" s="8"/>
      <c r="K82" s="7"/>
      <c r="L82" s="8"/>
      <c r="M82" s="10"/>
      <c r="N82" s="40"/>
    </row>
    <row r="83" spans="1:15" ht="15">
      <c r="A83" s="13" t="s">
        <v>83</v>
      </c>
      <c r="B83" s="132" t="s">
        <v>84</v>
      </c>
      <c r="C83" s="45" t="s">
        <v>22</v>
      </c>
      <c r="D83" s="45" t="s">
        <v>492</v>
      </c>
      <c r="E83" s="6">
        <v>80</v>
      </c>
      <c r="F83" s="7">
        <v>101.74</v>
      </c>
      <c r="G83" s="6">
        <v>1</v>
      </c>
      <c r="H83" s="6">
        <f t="shared" ref="H83" si="22">G83*E83</f>
        <v>80</v>
      </c>
      <c r="I83" s="6">
        <f>'Dividends per year'!B83</f>
        <v>9.9600000000000009</v>
      </c>
      <c r="J83" s="8">
        <f t="shared" ref="J83" si="23">H83/$O$5</f>
        <v>2.8671035920829296E-4</v>
      </c>
      <c r="K83" s="7">
        <f t="shared" ref="K83" si="24">(H83-(G83*F83)+I83)</f>
        <v>-11.779999999999994</v>
      </c>
      <c r="L83" s="8">
        <f t="shared" ref="L83" si="25">((E83*G83)+I83)/(F83*G83)-100%</f>
        <v>-0.11578533516807532</v>
      </c>
      <c r="M83" s="10" t="s">
        <v>376</v>
      </c>
      <c r="N83" s="40">
        <v>43657</v>
      </c>
    </row>
    <row r="84" spans="1:15" ht="15">
      <c r="A84" s="133" t="s">
        <v>550</v>
      </c>
      <c r="I84" s="6">
        <f>'Dividends per year'!B84</f>
        <v>0</v>
      </c>
    </row>
    <row r="85" spans="1:15" ht="15">
      <c r="A85" s="133" t="s">
        <v>54</v>
      </c>
      <c r="B85" s="95" t="s">
        <v>55</v>
      </c>
      <c r="C85" s="45" t="s">
        <v>56</v>
      </c>
      <c r="D85" s="45" t="s">
        <v>492</v>
      </c>
      <c r="E85" s="6">
        <v>0.6</v>
      </c>
      <c r="F85" s="7">
        <v>0.73850000000000005</v>
      </c>
      <c r="G85" s="6">
        <v>1000</v>
      </c>
      <c r="H85" s="6">
        <f>G85*E85</f>
        <v>600</v>
      </c>
      <c r="I85" s="6">
        <f>'Dividends per year'!B85</f>
        <v>186.45000000000002</v>
      </c>
      <c r="J85" s="8">
        <f t="shared" si="20"/>
        <v>2.1503276940621971E-3</v>
      </c>
      <c r="K85" s="7">
        <f>(H85-(G85*F85)+I85)</f>
        <v>47.950000000000017</v>
      </c>
      <c r="L85" s="8">
        <f t="shared" si="21"/>
        <v>6.4928909952606695E-2</v>
      </c>
      <c r="M85" s="10" t="s">
        <v>400</v>
      </c>
      <c r="N85" s="40">
        <v>43608</v>
      </c>
    </row>
    <row r="86" spans="1:15" ht="15">
      <c r="A86" s="133" t="s">
        <v>61</v>
      </c>
      <c r="B86" s="92" t="s">
        <v>62</v>
      </c>
      <c r="C86" s="45" t="s">
        <v>63</v>
      </c>
      <c r="D86" s="45" t="s">
        <v>492</v>
      </c>
      <c r="E86" s="6">
        <v>2.7</v>
      </c>
      <c r="F86" s="7">
        <v>1.7</v>
      </c>
      <c r="G86" s="6">
        <v>500</v>
      </c>
      <c r="H86" s="6">
        <f>G86*E86</f>
        <v>1350</v>
      </c>
      <c r="I86" s="6">
        <f>'Dividends per year'!B86</f>
        <v>239.37</v>
      </c>
      <c r="J86" s="8">
        <f t="shared" si="20"/>
        <v>4.8382373116399443E-3</v>
      </c>
      <c r="K86" s="7">
        <f>(H86-(G86*F86)+I86)</f>
        <v>739.37</v>
      </c>
      <c r="L86" s="8">
        <f t="shared" si="21"/>
        <v>0.8698470588235292</v>
      </c>
      <c r="M86" s="10" t="s">
        <v>401</v>
      </c>
      <c r="N86" s="40">
        <v>43270</v>
      </c>
    </row>
    <row r="87" spans="1:15" ht="15">
      <c r="A87" s="133" t="s">
        <v>70</v>
      </c>
      <c r="B87" s="91" t="s">
        <v>71</v>
      </c>
      <c r="C87" s="45" t="s">
        <v>72</v>
      </c>
      <c r="D87" s="45" t="s">
        <v>492</v>
      </c>
      <c r="E87" s="6">
        <v>8.4</v>
      </c>
      <c r="F87" s="7">
        <v>8.3405701000000008</v>
      </c>
      <c r="G87" s="6">
        <v>70</v>
      </c>
      <c r="H87" s="6">
        <f>G87*E87</f>
        <v>588</v>
      </c>
      <c r="I87" s="6">
        <f>'Dividends per year'!B87</f>
        <v>147.82000000000002</v>
      </c>
      <c r="J87" s="8">
        <f t="shared" si="20"/>
        <v>2.1073211401809533E-3</v>
      </c>
      <c r="K87" s="7">
        <f>(H87-(G87*F87)+I87)</f>
        <v>151.98009299999998</v>
      </c>
      <c r="L87" s="8">
        <f>((E87*G87)+I87)/(F87*G87)-100%</f>
        <v>0.26031124487692825</v>
      </c>
      <c r="M87" s="10" t="s">
        <v>402</v>
      </c>
      <c r="N87" s="40">
        <v>43591</v>
      </c>
    </row>
    <row r="88" spans="1:15" ht="15">
      <c r="A88" s="133" t="s">
        <v>171</v>
      </c>
      <c r="B88" s="92" t="s">
        <v>172</v>
      </c>
      <c r="C88" s="45" t="s">
        <v>22</v>
      </c>
      <c r="D88" s="45" t="s">
        <v>492</v>
      </c>
      <c r="E88" s="7">
        <v>1.83</v>
      </c>
      <c r="F88" s="7">
        <v>2.0376669999999999</v>
      </c>
      <c r="G88" s="6">
        <v>150</v>
      </c>
      <c r="H88" s="14">
        <f t="shared" ref="H88:H98" si="26">G88*E88</f>
        <v>274.5</v>
      </c>
      <c r="I88" s="6">
        <f>'Dividends per year'!B88</f>
        <v>23.189999999999998</v>
      </c>
      <c r="J88" s="8">
        <f t="shared" si="20"/>
        <v>9.8377492003345521E-4</v>
      </c>
      <c r="K88" s="7">
        <f t="shared" ref="K88:K98" si="27">(H88-(G88*F88)+I88)</f>
        <v>-7.960049999999967</v>
      </c>
      <c r="L88" s="8">
        <f t="shared" si="21"/>
        <v>-2.6043018805329665E-2</v>
      </c>
      <c r="M88" s="10" t="s">
        <v>403</v>
      </c>
      <c r="N88" s="40">
        <v>44211</v>
      </c>
    </row>
    <row r="89" spans="1:15" ht="15">
      <c r="A89" s="133" t="s">
        <v>173</v>
      </c>
      <c r="B89" s="90" t="s">
        <v>174</v>
      </c>
      <c r="C89" s="45" t="s">
        <v>15</v>
      </c>
      <c r="D89" s="45" t="s">
        <v>492</v>
      </c>
      <c r="E89" s="7">
        <v>5.25</v>
      </c>
      <c r="F89" s="7">
        <v>5.2742500000000003</v>
      </c>
      <c r="G89" s="6">
        <v>80</v>
      </c>
      <c r="H89" s="6">
        <f t="shared" si="26"/>
        <v>420</v>
      </c>
      <c r="I89" s="6">
        <f>'Dividends per year'!B89</f>
        <v>7.629999999999999</v>
      </c>
      <c r="J89" s="8">
        <f t="shared" si="20"/>
        <v>1.5052293858435382E-3</v>
      </c>
      <c r="K89" s="7">
        <f t="shared" si="27"/>
        <v>5.6899999999999444</v>
      </c>
      <c r="L89" s="8">
        <f t="shared" si="21"/>
        <v>1.3485329667725088E-2</v>
      </c>
      <c r="M89" s="10" t="s">
        <v>404</v>
      </c>
      <c r="N89" s="40">
        <v>44215</v>
      </c>
    </row>
    <row r="90" spans="1:15" ht="15">
      <c r="A90" s="133" t="s">
        <v>175</v>
      </c>
      <c r="B90" s="90" t="s">
        <v>176</v>
      </c>
      <c r="C90" s="45" t="s">
        <v>15</v>
      </c>
      <c r="D90" s="45" t="s">
        <v>492</v>
      </c>
      <c r="E90" s="7">
        <v>40</v>
      </c>
      <c r="F90" s="7">
        <v>41.102727000000002</v>
      </c>
      <c r="G90" s="6">
        <v>11</v>
      </c>
      <c r="H90" s="6">
        <f t="shared" si="26"/>
        <v>440</v>
      </c>
      <c r="I90" s="6">
        <f>'Dividends per year'!B90</f>
        <v>0</v>
      </c>
      <c r="J90" s="8">
        <f t="shared" si="20"/>
        <v>1.5769069756456113E-3</v>
      </c>
      <c r="K90" s="7">
        <f t="shared" si="27"/>
        <v>-12.129997000000003</v>
      </c>
      <c r="L90" s="8">
        <f t="shared" si="21"/>
        <v>-2.6828560547819569E-2</v>
      </c>
      <c r="M90" s="10" t="s">
        <v>405</v>
      </c>
      <c r="N90" s="40">
        <v>44222</v>
      </c>
    </row>
    <row r="91" spans="1:15" ht="15">
      <c r="A91" s="134" t="s">
        <v>177</v>
      </c>
      <c r="B91" s="90" t="s">
        <v>178</v>
      </c>
      <c r="C91" s="45" t="s">
        <v>15</v>
      </c>
      <c r="D91" s="45" t="s">
        <v>492</v>
      </c>
      <c r="E91" s="7">
        <v>40</v>
      </c>
      <c r="F91" s="7">
        <v>177.38499999999999</v>
      </c>
      <c r="G91" s="6">
        <v>2</v>
      </c>
      <c r="H91" s="6">
        <f t="shared" si="26"/>
        <v>80</v>
      </c>
      <c r="I91" s="6">
        <f>'Dividends per year'!B91</f>
        <v>0</v>
      </c>
      <c r="J91" s="8">
        <f t="shared" si="20"/>
        <v>2.8671035920829296E-4</v>
      </c>
      <c r="K91" s="7">
        <f t="shared" si="27"/>
        <v>-274.77</v>
      </c>
      <c r="L91" s="8">
        <f t="shared" si="21"/>
        <v>-0.77450178989204277</v>
      </c>
      <c r="M91" s="10" t="s">
        <v>408</v>
      </c>
      <c r="N91" s="40">
        <v>44223</v>
      </c>
    </row>
    <row r="92" spans="1:15" ht="15">
      <c r="A92" s="134" t="s">
        <v>179</v>
      </c>
      <c r="B92" s="95" t="s">
        <v>180</v>
      </c>
      <c r="C92" s="45" t="s">
        <v>15</v>
      </c>
      <c r="D92" s="45" t="s">
        <v>492</v>
      </c>
      <c r="E92" s="7">
        <v>17.8</v>
      </c>
      <c r="F92" s="7">
        <v>18.069500000000001</v>
      </c>
      <c r="G92" s="6">
        <v>20</v>
      </c>
      <c r="H92" s="6">
        <f t="shared" si="26"/>
        <v>356</v>
      </c>
      <c r="I92" s="6">
        <f>'Dividends per year'!B92</f>
        <v>75.02</v>
      </c>
      <c r="J92" s="8">
        <f t="shared" si="20"/>
        <v>1.2758610984769038E-3</v>
      </c>
      <c r="K92" s="7">
        <f t="shared" si="27"/>
        <v>69.629999999999953</v>
      </c>
      <c r="L92" s="8">
        <f t="shared" si="21"/>
        <v>0.19267273582556221</v>
      </c>
      <c r="M92" s="10" t="s">
        <v>406</v>
      </c>
      <c r="N92" s="40">
        <v>44277</v>
      </c>
    </row>
    <row r="93" spans="1:15" ht="15">
      <c r="A93" s="134" t="s">
        <v>181</v>
      </c>
      <c r="B93" s="91" t="s">
        <v>182</v>
      </c>
      <c r="C93" s="45" t="s">
        <v>72</v>
      </c>
      <c r="D93" s="45" t="s">
        <v>492</v>
      </c>
      <c r="E93" s="7">
        <v>7</v>
      </c>
      <c r="F93" s="7">
        <v>17.789000000000001</v>
      </c>
      <c r="G93" s="6">
        <v>20</v>
      </c>
      <c r="H93" s="6">
        <f t="shared" si="26"/>
        <v>140</v>
      </c>
      <c r="I93" s="6">
        <f>'Dividends per year'!B93</f>
        <v>11.569999999999999</v>
      </c>
      <c r="J93" s="8">
        <f t="shared" si="20"/>
        <v>5.0174312861451273E-4</v>
      </c>
      <c r="K93" s="7">
        <f t="shared" si="27"/>
        <v>-204.21000000000004</v>
      </c>
      <c r="L93" s="8">
        <f t="shared" si="21"/>
        <v>-0.57397830119736915</v>
      </c>
      <c r="M93" s="10" t="s">
        <v>407</v>
      </c>
      <c r="N93" s="40">
        <v>44252</v>
      </c>
    </row>
    <row r="94" spans="1:15" ht="15">
      <c r="A94" s="134" t="s">
        <v>183</v>
      </c>
      <c r="B94" s="90" t="s">
        <v>184</v>
      </c>
      <c r="C94" s="45" t="s">
        <v>72</v>
      </c>
      <c r="D94" s="45" t="s">
        <v>492</v>
      </c>
      <c r="E94" s="7">
        <v>2.6</v>
      </c>
      <c r="F94" s="7">
        <v>2.7193999999999998</v>
      </c>
      <c r="G94" s="6">
        <v>150</v>
      </c>
      <c r="H94" s="6">
        <f t="shared" si="26"/>
        <v>390</v>
      </c>
      <c r="I94" s="6">
        <f>'Dividends per year'!B94</f>
        <v>0</v>
      </c>
      <c r="J94" s="8">
        <f t="shared" si="20"/>
        <v>1.3977130011404283E-3</v>
      </c>
      <c r="K94" s="7">
        <f t="shared" si="27"/>
        <v>-17.909999999999968</v>
      </c>
      <c r="L94" s="8">
        <f t="shared" si="21"/>
        <v>-4.3906744134735498E-2</v>
      </c>
      <c r="M94" s="10" t="s">
        <v>409</v>
      </c>
      <c r="N94" s="40">
        <v>44252</v>
      </c>
    </row>
    <row r="95" spans="1:15" ht="15">
      <c r="A95" s="134" t="s">
        <v>185</v>
      </c>
      <c r="B95" s="90" t="s">
        <v>186</v>
      </c>
      <c r="C95" s="45" t="s">
        <v>15</v>
      </c>
      <c r="D95" s="45" t="s">
        <v>492</v>
      </c>
      <c r="E95" s="7">
        <v>14.6</v>
      </c>
      <c r="F95" s="7">
        <v>14.8</v>
      </c>
      <c r="G95" s="6">
        <v>30</v>
      </c>
      <c r="H95" s="6">
        <f t="shared" si="26"/>
        <v>438</v>
      </c>
      <c r="I95" s="6">
        <f>'Dividends per year'!B95</f>
        <v>33.909999999999997</v>
      </c>
      <c r="J95" s="8">
        <f t="shared" si="20"/>
        <v>1.5697392166654041E-3</v>
      </c>
      <c r="K95" s="7">
        <f t="shared" si="27"/>
        <v>27.909999999999997</v>
      </c>
      <c r="L95" s="8">
        <f t="shared" si="21"/>
        <v>6.2860360360360357E-2</v>
      </c>
      <c r="M95" s="10" t="s">
        <v>410</v>
      </c>
      <c r="N95" s="40">
        <v>44243</v>
      </c>
    </row>
    <row r="96" spans="1:15" ht="15">
      <c r="A96" s="134" t="s">
        <v>187</v>
      </c>
      <c r="B96" s="90" t="s">
        <v>188</v>
      </c>
      <c r="C96" s="45" t="s">
        <v>22</v>
      </c>
      <c r="D96" s="45" t="s">
        <v>492</v>
      </c>
      <c r="E96" s="7">
        <v>112</v>
      </c>
      <c r="F96" s="7">
        <v>118.9266667</v>
      </c>
      <c r="G96" s="6">
        <v>3</v>
      </c>
      <c r="H96" s="6">
        <f t="shared" si="26"/>
        <v>336</v>
      </c>
      <c r="I96" s="6">
        <f>'Dividends per year'!B96</f>
        <v>0</v>
      </c>
      <c r="J96" s="8">
        <f t="shared" si="20"/>
        <v>1.2041835086748305E-3</v>
      </c>
      <c r="K96" s="7">
        <f t="shared" si="27"/>
        <v>-20.780000099999995</v>
      </c>
      <c r="L96" s="8">
        <f t="shared" si="21"/>
        <v>-5.8243175329827035E-2</v>
      </c>
      <c r="M96" s="10" t="s">
        <v>411</v>
      </c>
      <c r="N96" s="40">
        <v>44274</v>
      </c>
    </row>
    <row r="97" spans="1:14" ht="15">
      <c r="A97" s="134" t="s">
        <v>189</v>
      </c>
      <c r="B97" s="92" t="s">
        <v>190</v>
      </c>
      <c r="C97" s="45" t="s">
        <v>72</v>
      </c>
      <c r="D97" s="45" t="s">
        <v>492</v>
      </c>
      <c r="E97" s="7">
        <v>1.83</v>
      </c>
      <c r="F97" s="7">
        <v>1.9048400000000001</v>
      </c>
      <c r="G97" s="6">
        <v>250</v>
      </c>
      <c r="H97" s="6">
        <f t="shared" si="26"/>
        <v>457.5</v>
      </c>
      <c r="I97" s="6">
        <f>'Dividends per year'!B97</f>
        <v>42.78</v>
      </c>
      <c r="J97" s="8">
        <f t="shared" si="20"/>
        <v>1.6396248667224255E-3</v>
      </c>
      <c r="K97" s="7">
        <f t="shared" si="27"/>
        <v>24.069999999999965</v>
      </c>
      <c r="L97" s="8">
        <f t="shared" si="21"/>
        <v>5.0544927657965921E-2</v>
      </c>
      <c r="M97" s="10" t="s">
        <v>412</v>
      </c>
      <c r="N97" s="40">
        <v>44319</v>
      </c>
    </row>
    <row r="98" spans="1:14" ht="15">
      <c r="A98" s="134" t="s">
        <v>191</v>
      </c>
      <c r="B98" s="91" t="s">
        <v>192</v>
      </c>
      <c r="C98" s="45" t="s">
        <v>72</v>
      </c>
      <c r="D98" s="45" t="s">
        <v>492</v>
      </c>
      <c r="E98" s="7">
        <v>1.07</v>
      </c>
      <c r="F98" s="7">
        <v>1.01793</v>
      </c>
      <c r="G98" s="6">
        <v>1000</v>
      </c>
      <c r="H98" s="6">
        <f t="shared" si="26"/>
        <v>1070</v>
      </c>
      <c r="I98" s="6">
        <f>'Dividends per year'!B98</f>
        <v>99.06</v>
      </c>
      <c r="J98" s="8">
        <f t="shared" si="20"/>
        <v>3.8347510544109184E-3</v>
      </c>
      <c r="K98" s="7">
        <f t="shared" si="27"/>
        <v>151.13000000000005</v>
      </c>
      <c r="L98" s="8">
        <f t="shared" si="21"/>
        <v>0.14846796931026685</v>
      </c>
      <c r="M98" s="10" t="s">
        <v>413</v>
      </c>
      <c r="N98" s="40">
        <v>44566</v>
      </c>
    </row>
    <row r="99" spans="1:14" ht="15">
      <c r="A99" s="133" t="s">
        <v>106</v>
      </c>
      <c r="B99" s="95" t="s">
        <v>107</v>
      </c>
      <c r="C99" s="45" t="s">
        <v>72</v>
      </c>
      <c r="D99" s="45" t="s">
        <v>492</v>
      </c>
      <c r="E99" s="6">
        <v>5.9</v>
      </c>
      <c r="F99" s="7">
        <v>7.6779999999999999</v>
      </c>
      <c r="G99" s="6">
        <v>100</v>
      </c>
      <c r="H99" s="6">
        <f>G99*E99</f>
        <v>590</v>
      </c>
      <c r="I99" s="6">
        <f>'Dividends per year'!B99</f>
        <v>23.86</v>
      </c>
      <c r="J99" s="8">
        <f t="shared" si="20"/>
        <v>2.1144888991611608E-3</v>
      </c>
      <c r="K99" s="7">
        <f>(H99-(G99*F99)+I99)</f>
        <v>-153.93999999999994</v>
      </c>
      <c r="L99" s="8">
        <f>((E99*G99)+I99)/(F99*G99)-100%</f>
        <v>-0.20049492055222706</v>
      </c>
      <c r="M99" s="10" t="s">
        <v>414</v>
      </c>
      <c r="N99" s="40">
        <v>43902</v>
      </c>
    </row>
    <row r="100" spans="1:14" ht="15">
      <c r="A100" s="133" t="s">
        <v>94</v>
      </c>
      <c r="B100" s="90" t="s">
        <v>95</v>
      </c>
      <c r="C100" s="45" t="s">
        <v>15</v>
      </c>
      <c r="D100" s="45" t="s">
        <v>492</v>
      </c>
      <c r="E100" s="6">
        <v>78</v>
      </c>
      <c r="F100" s="7">
        <v>144.80500000000001</v>
      </c>
      <c r="G100" s="6">
        <v>11</v>
      </c>
      <c r="H100" s="6">
        <f>G100*E100</f>
        <v>858</v>
      </c>
      <c r="I100" s="6">
        <f>'Dividends per year'!B100</f>
        <v>0</v>
      </c>
      <c r="J100" s="8">
        <f t="shared" si="20"/>
        <v>3.074968602508942E-3</v>
      </c>
      <c r="K100" s="7">
        <f>(H100-(G100*F100)+I100)</f>
        <v>-734.85500000000002</v>
      </c>
      <c r="L100" s="8">
        <f>((E100*G100)+I100)/(F100*G100)-100%</f>
        <v>-0.4613445668312558</v>
      </c>
      <c r="M100" s="10" t="s">
        <v>415</v>
      </c>
      <c r="N100" s="40">
        <v>43591</v>
      </c>
    </row>
    <row r="101" spans="1:14" ht="15">
      <c r="A101" s="13"/>
      <c r="B101" s="97"/>
      <c r="C101" s="45"/>
      <c r="D101" s="45"/>
      <c r="E101" s="6"/>
      <c r="F101" s="7"/>
      <c r="G101" s="6"/>
      <c r="H101" s="6"/>
      <c r="I101" s="6"/>
      <c r="J101" s="8">
        <f t="shared" si="20"/>
        <v>0</v>
      </c>
      <c r="K101" s="7"/>
      <c r="L101" s="8"/>
      <c r="M101" s="10"/>
      <c r="N101" s="40"/>
    </row>
    <row r="102" spans="1:14" ht="15">
      <c r="A102" s="15"/>
      <c r="B102" s="97"/>
      <c r="C102" s="45"/>
      <c r="D102" s="45"/>
      <c r="F102" s="16"/>
      <c r="I102" s="6">
        <f>'Dividends per year'!B102</f>
        <v>0</v>
      </c>
      <c r="J102" s="8">
        <f t="shared" si="20"/>
        <v>0</v>
      </c>
      <c r="K102" s="16"/>
      <c r="L102" s="8"/>
      <c r="N102" s="40"/>
    </row>
    <row r="103" spans="1:14" ht="15">
      <c r="A103" s="15"/>
      <c r="B103" s="97"/>
      <c r="C103" s="45"/>
      <c r="D103" s="45"/>
      <c r="F103" s="16"/>
      <c r="I103" s="6">
        <f>'Dividends per year'!B103</f>
        <v>0</v>
      </c>
      <c r="J103" s="8">
        <f t="shared" si="20"/>
        <v>0</v>
      </c>
      <c r="K103" s="16"/>
      <c r="L103" s="8"/>
      <c r="N103" s="40"/>
    </row>
    <row r="104" spans="1:14" ht="15">
      <c r="A104" s="13" t="s">
        <v>193</v>
      </c>
      <c r="B104" s="97"/>
      <c r="C104" s="45"/>
      <c r="D104" s="45"/>
      <c r="F104" s="16"/>
      <c r="I104" s="6">
        <f>'Dividends per year'!B104</f>
        <v>0</v>
      </c>
      <c r="J104" s="8">
        <f t="shared" si="20"/>
        <v>0</v>
      </c>
      <c r="K104" s="16"/>
      <c r="L104" s="8"/>
      <c r="N104" s="40"/>
    </row>
    <row r="105" spans="1:14" ht="15">
      <c r="A105" s="13" t="s">
        <v>194</v>
      </c>
      <c r="B105" s="97" t="s">
        <v>195</v>
      </c>
      <c r="C105" s="45" t="s">
        <v>38</v>
      </c>
      <c r="D105" s="45"/>
      <c r="E105" s="6">
        <v>51.15</v>
      </c>
      <c r="F105" s="7">
        <v>55.33</v>
      </c>
      <c r="G105" s="6">
        <v>1.2</v>
      </c>
      <c r="H105" s="6">
        <f>G105*E105</f>
        <v>61.379999999999995</v>
      </c>
      <c r="I105" s="6">
        <f>'Dividends per year'!B105</f>
        <v>0.55000000000000004</v>
      </c>
      <c r="J105" s="8">
        <f t="shared" si="20"/>
        <v>2.1997852310256277E-4</v>
      </c>
      <c r="K105" s="7">
        <f t="shared" ref="K105:K110" si="28">(H105-(G105*F105)+I105)</f>
        <v>-4.4660000000000055</v>
      </c>
      <c r="L105" s="8">
        <f t="shared" ref="L105:L112" si="29">((E105*G105)+I105)/(F105*G105)-100%</f>
        <v>-6.7263088137839766E-2</v>
      </c>
      <c r="M105" s="10" t="s">
        <v>196</v>
      </c>
      <c r="N105" s="40">
        <v>43564</v>
      </c>
    </row>
    <row r="106" spans="1:14" ht="15">
      <c r="A106" s="13" t="s">
        <v>474</v>
      </c>
      <c r="B106" s="97" t="s">
        <v>197</v>
      </c>
      <c r="C106" s="45" t="s">
        <v>22</v>
      </c>
      <c r="D106" s="45"/>
      <c r="E106" s="6">
        <v>4.24</v>
      </c>
      <c r="F106" s="7">
        <v>7.3295000000000003</v>
      </c>
      <c r="G106" s="6">
        <v>15.96</v>
      </c>
      <c r="H106" s="6">
        <f>G106*F106</f>
        <v>116.97882000000001</v>
      </c>
      <c r="I106" s="6">
        <f>'Dividends per year'!B106</f>
        <v>0.35</v>
      </c>
      <c r="J106" s="8">
        <f t="shared" si="20"/>
        <v>4.1923799377452815E-4</v>
      </c>
      <c r="K106" s="7">
        <f t="shared" si="28"/>
        <v>0.35</v>
      </c>
      <c r="L106" s="8">
        <f t="shared" si="29"/>
        <v>-0.41852379772680226</v>
      </c>
      <c r="M106" s="10" t="s">
        <v>198</v>
      </c>
      <c r="N106" s="40">
        <v>44440</v>
      </c>
    </row>
    <row r="107" spans="1:14" ht="15">
      <c r="A107" s="13" t="s">
        <v>199</v>
      </c>
      <c r="B107" s="97" t="s">
        <v>200</v>
      </c>
      <c r="C107" s="45" t="s">
        <v>15</v>
      </c>
      <c r="D107" s="45"/>
      <c r="E107" s="6">
        <v>16.37</v>
      </c>
      <c r="F107" s="7">
        <v>16</v>
      </c>
      <c r="G107" s="6">
        <v>2</v>
      </c>
      <c r="H107" s="6">
        <f t="shared" ref="H107:H112" si="30">G107*E107</f>
        <v>32.74</v>
      </c>
      <c r="I107" s="6">
        <f>'Dividends per year'!B107</f>
        <v>1.9600000000000002</v>
      </c>
      <c r="J107" s="8">
        <f t="shared" si="20"/>
        <v>1.173362145059939E-4</v>
      </c>
      <c r="K107" s="7">
        <f t="shared" si="28"/>
        <v>2.700000000000002</v>
      </c>
      <c r="L107" s="8">
        <f t="shared" si="29"/>
        <v>8.4375000000000089E-2</v>
      </c>
      <c r="M107" s="10" t="s">
        <v>201</v>
      </c>
      <c r="N107" s="40">
        <v>44657</v>
      </c>
    </row>
    <row r="108" spans="1:14" ht="15">
      <c r="A108" s="13" t="s">
        <v>202</v>
      </c>
      <c r="B108" s="97" t="s">
        <v>203</v>
      </c>
      <c r="C108" s="45" t="s">
        <v>15</v>
      </c>
      <c r="D108" s="45"/>
      <c r="E108" s="6">
        <v>14.66</v>
      </c>
      <c r="F108" s="7">
        <v>100.21</v>
      </c>
      <c r="G108" s="6">
        <v>1</v>
      </c>
      <c r="H108" s="6">
        <f t="shared" si="30"/>
        <v>14.66</v>
      </c>
      <c r="I108" s="6">
        <f>'Dividends per year'!B108</f>
        <v>0.98</v>
      </c>
      <c r="J108" s="8">
        <f t="shared" si="20"/>
        <v>5.2539673324919684E-5</v>
      </c>
      <c r="K108" s="7">
        <f t="shared" si="28"/>
        <v>-84.57</v>
      </c>
      <c r="L108" s="8">
        <f t="shared" si="29"/>
        <v>-0.84392775172138501</v>
      </c>
      <c r="M108" s="10" t="s">
        <v>204</v>
      </c>
      <c r="N108" s="40">
        <v>43831</v>
      </c>
    </row>
    <row r="109" spans="1:14" ht="15">
      <c r="A109" s="13" t="s">
        <v>205</v>
      </c>
      <c r="B109" s="97" t="s">
        <v>206</v>
      </c>
      <c r="C109" s="45" t="s">
        <v>15</v>
      </c>
      <c r="D109" s="45"/>
      <c r="E109" s="6">
        <v>25.68</v>
      </c>
      <c r="F109" s="7">
        <v>46.11</v>
      </c>
      <c r="G109" s="6">
        <v>1</v>
      </c>
      <c r="H109" s="6">
        <f t="shared" si="30"/>
        <v>25.68</v>
      </c>
      <c r="I109" s="6">
        <f>'Dividends per year'!B109</f>
        <v>5.44</v>
      </c>
      <c r="J109" s="8">
        <f t="shared" si="20"/>
        <v>9.2034025305862041E-5</v>
      </c>
      <c r="K109" s="7">
        <f t="shared" si="28"/>
        <v>-14.989999999999998</v>
      </c>
      <c r="L109" s="8">
        <f t="shared" si="29"/>
        <v>-0.32509217089568421</v>
      </c>
      <c r="M109" s="10" t="s">
        <v>207</v>
      </c>
      <c r="N109" s="40">
        <v>45201</v>
      </c>
    </row>
    <row r="110" spans="1:14" ht="15">
      <c r="A110" s="13" t="s">
        <v>208</v>
      </c>
      <c r="B110" s="97" t="s">
        <v>209</v>
      </c>
      <c r="C110" s="45" t="s">
        <v>15</v>
      </c>
      <c r="D110" s="45"/>
      <c r="E110" s="6">
        <v>97</v>
      </c>
      <c r="F110" s="7">
        <v>114.8</v>
      </c>
      <c r="G110" s="6">
        <v>1</v>
      </c>
      <c r="H110" s="6">
        <f t="shared" si="30"/>
        <v>97</v>
      </c>
      <c r="I110" s="6">
        <f>'Dividends per year'!B110</f>
        <v>45.660000000000004</v>
      </c>
      <c r="J110" s="8">
        <f t="shared" si="20"/>
        <v>3.4763631054005522E-4</v>
      </c>
      <c r="K110" s="7">
        <f t="shared" si="28"/>
        <v>27.860000000000007</v>
      </c>
      <c r="L110" s="8">
        <f t="shared" si="29"/>
        <v>0.24268292682926829</v>
      </c>
      <c r="M110" s="10" t="s">
        <v>210</v>
      </c>
      <c r="N110" s="40">
        <v>45202</v>
      </c>
    </row>
    <row r="111" spans="1:14" ht="15">
      <c r="A111" s="13" t="s">
        <v>233</v>
      </c>
      <c r="B111" s="97" t="s">
        <v>235</v>
      </c>
      <c r="C111" s="45" t="s">
        <v>15</v>
      </c>
      <c r="D111" s="45"/>
      <c r="E111" s="6">
        <v>64</v>
      </c>
      <c r="F111" s="7">
        <v>63</v>
      </c>
      <c r="G111" s="6">
        <v>7</v>
      </c>
      <c r="H111" s="6">
        <f t="shared" si="30"/>
        <v>448</v>
      </c>
      <c r="I111" s="6">
        <f>'Dividends per year'!B111</f>
        <v>7.0000000000000007E-2</v>
      </c>
      <c r="J111" s="8">
        <f t="shared" si="20"/>
        <v>1.6055780115664406E-3</v>
      </c>
      <c r="K111" s="7">
        <f>(H111-(G111*F111)+I111)</f>
        <v>7.07</v>
      </c>
      <c r="L111" s="8">
        <f t="shared" si="29"/>
        <v>1.6031746031746064E-2</v>
      </c>
      <c r="M111" s="10" t="s">
        <v>234</v>
      </c>
      <c r="N111" s="40">
        <v>45392</v>
      </c>
    </row>
    <row r="112" spans="1:14" ht="15">
      <c r="A112" s="13" t="s">
        <v>344</v>
      </c>
      <c r="B112" s="98" t="s">
        <v>446</v>
      </c>
      <c r="C112" s="46" t="s">
        <v>15</v>
      </c>
      <c r="E112" s="6">
        <v>12.5</v>
      </c>
      <c r="F112" s="7">
        <v>1</v>
      </c>
      <c r="G112" s="6">
        <v>2</v>
      </c>
      <c r="H112" s="6">
        <f t="shared" si="30"/>
        <v>25</v>
      </c>
      <c r="I112" s="6">
        <v>0</v>
      </c>
      <c r="J112" s="8">
        <f t="shared" si="20"/>
        <v>8.9596987252591555E-5</v>
      </c>
      <c r="K112" s="7">
        <f>(H112-(G112*F112)+I112)</f>
        <v>23</v>
      </c>
      <c r="L112" s="8">
        <f t="shared" si="29"/>
        <v>11.5</v>
      </c>
      <c r="M112" s="10" t="s">
        <v>345</v>
      </c>
      <c r="N112" s="40">
        <v>45449</v>
      </c>
    </row>
    <row r="113" spans="1:14" ht="15">
      <c r="A113" s="13"/>
      <c r="B113" s="97"/>
      <c r="C113" s="45"/>
      <c r="D113" s="45"/>
      <c r="E113" s="6"/>
      <c r="F113" s="7"/>
      <c r="H113" s="6"/>
      <c r="I113" s="6"/>
      <c r="J113" s="8">
        <f t="shared" si="20"/>
        <v>0</v>
      </c>
      <c r="K113" s="7"/>
      <c r="L113" s="8"/>
      <c r="M113" s="10"/>
      <c r="N113" s="40"/>
    </row>
    <row r="114" spans="1:14" ht="15">
      <c r="A114" s="13"/>
      <c r="B114" s="97"/>
      <c r="C114" s="45"/>
      <c r="D114" s="45"/>
      <c r="E114" s="6"/>
      <c r="F114" s="7"/>
      <c r="H114" s="6"/>
      <c r="I114" s="6"/>
      <c r="J114" s="8">
        <f t="shared" si="20"/>
        <v>0</v>
      </c>
      <c r="K114" s="7"/>
      <c r="L114" s="8"/>
      <c r="M114" s="10"/>
      <c r="N114" s="40"/>
    </row>
    <row r="115" spans="1:14" ht="15">
      <c r="A115" s="15"/>
      <c r="B115" s="97"/>
      <c r="C115" s="45"/>
      <c r="D115" s="45"/>
      <c r="E115" s="6"/>
      <c r="F115" s="7"/>
      <c r="H115" s="6"/>
      <c r="I115" s="6"/>
      <c r="J115" s="8">
        <f t="shared" si="20"/>
        <v>0</v>
      </c>
      <c r="K115" s="7"/>
      <c r="L115" s="8"/>
      <c r="N115" s="40"/>
    </row>
    <row r="116" spans="1:14" ht="15">
      <c r="A116" s="15"/>
      <c r="B116" s="97"/>
      <c r="C116" s="45"/>
      <c r="D116" s="45"/>
      <c r="F116" s="7"/>
      <c r="H116" s="6"/>
      <c r="I116" s="6"/>
      <c r="J116" s="8">
        <f t="shared" si="20"/>
        <v>0</v>
      </c>
      <c r="K116" s="7"/>
      <c r="L116" s="8"/>
      <c r="N116" s="40"/>
    </row>
    <row r="117" spans="1:14" ht="15">
      <c r="A117" s="15"/>
      <c r="B117" s="97"/>
      <c r="C117" s="45"/>
      <c r="D117" s="45"/>
      <c r="F117" s="7"/>
      <c r="J117" s="8">
        <f t="shared" si="20"/>
        <v>0</v>
      </c>
      <c r="K117" s="16"/>
      <c r="L117" s="9"/>
      <c r="N117" s="40"/>
    </row>
    <row r="118" spans="1:14" ht="15">
      <c r="A118" s="15"/>
      <c r="B118" s="97"/>
      <c r="C118" s="45"/>
      <c r="D118" s="45"/>
      <c r="F118" s="16"/>
      <c r="J118" s="8">
        <f t="shared" si="20"/>
        <v>0</v>
      </c>
      <c r="K118" s="16"/>
      <c r="L118" s="9"/>
      <c r="N118" s="40"/>
    </row>
    <row r="119" spans="1:14" ht="15">
      <c r="A119" s="15"/>
      <c r="B119" s="97"/>
      <c r="C119" s="45"/>
      <c r="D119" s="45"/>
      <c r="F119" s="16"/>
      <c r="J119" s="8">
        <f t="shared" si="20"/>
        <v>0</v>
      </c>
      <c r="K119" s="16"/>
      <c r="L119" s="9"/>
      <c r="N119" s="40"/>
    </row>
    <row r="120" spans="1:14" ht="15.75" customHeight="1">
      <c r="A120" s="15"/>
      <c r="B120" s="97"/>
      <c r="C120" s="45"/>
      <c r="D120" s="45"/>
      <c r="J120" s="8">
        <f t="shared" si="20"/>
        <v>0</v>
      </c>
      <c r="N120" s="40"/>
    </row>
    <row r="121" spans="1:14" ht="15.75" customHeight="1">
      <c r="B121" s="97"/>
      <c r="C121" s="45"/>
      <c r="D121" s="45"/>
      <c r="N121" s="40"/>
    </row>
    <row r="122" spans="1:14" ht="15.75" customHeight="1">
      <c r="B122" s="97"/>
      <c r="C122" s="45"/>
      <c r="D122" s="45"/>
      <c r="N122" s="40"/>
    </row>
    <row r="123" spans="1:14" ht="15.75" customHeight="1">
      <c r="N123" s="40"/>
    </row>
    <row r="124" spans="1:14" ht="15.75" customHeight="1">
      <c r="N124" s="40"/>
    </row>
    <row r="125" spans="1:14" ht="15.75" customHeight="1">
      <c r="N125" s="40"/>
    </row>
    <row r="126" spans="1:14" ht="15.75" customHeight="1">
      <c r="N126" s="40"/>
    </row>
    <row r="127" spans="1:14" ht="15.75" customHeight="1">
      <c r="N127" s="40"/>
    </row>
    <row r="128" spans="1:14" ht="15.75" customHeight="1">
      <c r="N128" s="40"/>
    </row>
    <row r="129" spans="1:14" ht="15.75" customHeight="1">
      <c r="N129" s="40"/>
    </row>
    <row r="130" spans="1:14" ht="15.75" customHeight="1">
      <c r="N130" s="40"/>
    </row>
    <row r="131" spans="1:14" ht="12.75">
      <c r="A131" s="15" t="s">
        <v>497</v>
      </c>
      <c r="B131" s="99"/>
      <c r="C131" s="47"/>
      <c r="D131" s="47"/>
      <c r="F131" s="16"/>
      <c r="K131" s="16"/>
      <c r="L131" s="9"/>
      <c r="N131" s="40"/>
    </row>
    <row r="132" spans="1:14" ht="12.75">
      <c r="A132" s="15"/>
      <c r="B132" s="99"/>
      <c r="C132" s="47"/>
      <c r="D132" s="47"/>
      <c r="F132" s="16"/>
      <c r="K132" s="16"/>
      <c r="L132" s="9"/>
      <c r="N132" s="40"/>
    </row>
    <row r="133" spans="1:14" ht="12.75">
      <c r="A133" s="15"/>
      <c r="B133" s="99"/>
      <c r="C133" s="47"/>
      <c r="D133" s="47"/>
      <c r="F133" s="16"/>
      <c r="K133" s="16"/>
      <c r="L133" s="9"/>
      <c r="N133" s="40"/>
    </row>
    <row r="134" spans="1:14" ht="12.75">
      <c r="A134" s="15"/>
      <c r="B134" s="99"/>
      <c r="C134" s="47"/>
      <c r="D134" s="47"/>
      <c r="F134" s="16"/>
      <c r="K134" s="16"/>
      <c r="L134" s="9"/>
      <c r="N134" s="40"/>
    </row>
    <row r="135" spans="1:14" ht="12.75">
      <c r="A135" s="15"/>
      <c r="B135" s="99"/>
      <c r="C135" s="47"/>
      <c r="D135" s="47"/>
      <c r="F135" s="16"/>
      <c r="K135" s="16"/>
      <c r="L135" s="9"/>
      <c r="N135" s="40"/>
    </row>
    <row r="136" spans="1:14" ht="12.75">
      <c r="A136" s="15"/>
      <c r="B136" s="99"/>
      <c r="C136" s="47"/>
      <c r="D136" s="47"/>
      <c r="F136" s="16"/>
      <c r="K136" s="16"/>
      <c r="L136" s="9"/>
      <c r="N136" s="40"/>
    </row>
    <row r="137" spans="1:14" ht="12.75">
      <c r="A137" s="15"/>
      <c r="B137" s="99"/>
      <c r="C137" s="47"/>
      <c r="D137" s="47"/>
      <c r="F137" s="16"/>
      <c r="K137" s="16"/>
      <c r="L137" s="9"/>
      <c r="N137" s="40"/>
    </row>
    <row r="138" spans="1:14" ht="12.75">
      <c r="A138" s="15"/>
      <c r="B138" s="99"/>
      <c r="C138" s="47"/>
      <c r="D138" s="47"/>
      <c r="F138" s="16"/>
      <c r="K138" s="16"/>
      <c r="L138" s="9"/>
      <c r="N138" s="40"/>
    </row>
    <row r="139" spans="1:14" ht="12.75">
      <c r="A139" s="15"/>
      <c r="B139" s="99"/>
      <c r="C139" s="47"/>
      <c r="D139" s="47"/>
      <c r="F139" s="16"/>
      <c r="K139" s="16"/>
      <c r="L139" s="9"/>
      <c r="N139" s="40"/>
    </row>
    <row r="140" spans="1:14" ht="12.75">
      <c r="A140" s="15"/>
      <c r="B140" s="99"/>
      <c r="C140" s="47"/>
      <c r="D140" s="47"/>
      <c r="F140" s="16"/>
      <c r="K140" s="16"/>
      <c r="L140" s="9"/>
      <c r="N140" s="40"/>
    </row>
    <row r="141" spans="1:14" ht="12.75">
      <c r="A141" s="15"/>
      <c r="B141" s="99"/>
      <c r="C141" s="47"/>
      <c r="D141" s="47"/>
      <c r="F141" s="16"/>
      <c r="K141" s="16"/>
      <c r="L141" s="9"/>
      <c r="N141" s="40"/>
    </row>
    <row r="142" spans="1:14" ht="12.75">
      <c r="A142" s="15"/>
      <c r="B142" s="99"/>
      <c r="C142" s="47"/>
      <c r="D142" s="47"/>
      <c r="F142" s="16"/>
      <c r="K142" s="16"/>
      <c r="L142" s="9"/>
      <c r="N142" s="40"/>
    </row>
    <row r="143" spans="1:14" ht="12.75">
      <c r="A143" s="15"/>
      <c r="B143" s="99"/>
      <c r="C143" s="47"/>
      <c r="D143" s="47"/>
      <c r="F143" s="16"/>
      <c r="K143" s="16"/>
      <c r="L143" s="9"/>
      <c r="N143" s="40"/>
    </row>
    <row r="144" spans="1:14" ht="12.75">
      <c r="A144" s="15"/>
      <c r="B144" s="99"/>
      <c r="C144" s="47"/>
      <c r="D144" s="47"/>
      <c r="F144" s="16"/>
      <c r="K144" s="16"/>
      <c r="L144" s="9"/>
      <c r="N144" s="40"/>
    </row>
    <row r="145" spans="1:14" ht="12.75">
      <c r="A145" s="15"/>
      <c r="B145" s="99"/>
      <c r="C145" s="47"/>
      <c r="D145" s="47"/>
      <c r="F145" s="16"/>
      <c r="K145" s="16"/>
      <c r="L145" s="9"/>
      <c r="N145" s="40"/>
    </row>
    <row r="146" spans="1:14" ht="12.75">
      <c r="A146" s="15"/>
      <c r="B146" s="99"/>
      <c r="C146" s="47"/>
      <c r="D146" s="47"/>
      <c r="F146" s="16"/>
      <c r="K146" s="16"/>
      <c r="L146" s="9"/>
      <c r="N146" s="40"/>
    </row>
    <row r="147" spans="1:14" ht="12.75">
      <c r="A147" s="15"/>
      <c r="B147" s="99"/>
      <c r="C147" s="47"/>
      <c r="D147" s="47"/>
      <c r="F147" s="16"/>
      <c r="K147" s="16"/>
      <c r="L147" s="9"/>
      <c r="N147" s="40"/>
    </row>
    <row r="148" spans="1:14" ht="12.75">
      <c r="A148" s="15"/>
      <c r="B148" s="99"/>
      <c r="C148" s="47"/>
      <c r="D148" s="47"/>
      <c r="F148" s="16"/>
      <c r="K148" s="16"/>
      <c r="L148" s="9"/>
      <c r="N148" s="40"/>
    </row>
    <row r="149" spans="1:14" ht="12.75">
      <c r="A149" s="15"/>
      <c r="B149" s="99"/>
      <c r="C149" s="47"/>
      <c r="D149" s="47"/>
      <c r="F149" s="16"/>
      <c r="K149" s="16"/>
      <c r="L149" s="9"/>
      <c r="N149" s="40"/>
    </row>
    <row r="150" spans="1:14" ht="12.75">
      <c r="A150" s="15"/>
      <c r="B150" s="99"/>
      <c r="C150" s="47"/>
      <c r="D150" s="47"/>
      <c r="F150" s="16"/>
      <c r="K150" s="16"/>
      <c r="L150" s="9"/>
      <c r="N150" s="40"/>
    </row>
    <row r="151" spans="1:14" ht="12.75">
      <c r="A151" s="15"/>
      <c r="B151" s="99"/>
      <c r="C151" s="47"/>
      <c r="D151" s="47"/>
      <c r="F151" s="16"/>
      <c r="K151" s="16"/>
      <c r="L151" s="9"/>
      <c r="N151" s="40"/>
    </row>
    <row r="152" spans="1:14" ht="12.75">
      <c r="A152" s="15"/>
      <c r="B152" s="99"/>
      <c r="C152" s="47"/>
      <c r="D152" s="47"/>
      <c r="F152" s="16"/>
      <c r="K152" s="16"/>
      <c r="L152" s="9"/>
      <c r="N152" s="40"/>
    </row>
    <row r="153" spans="1:14" ht="12.75">
      <c r="A153" s="15"/>
      <c r="B153" s="99"/>
      <c r="C153" s="47"/>
      <c r="D153" s="47"/>
      <c r="F153" s="16"/>
      <c r="K153" s="16"/>
      <c r="L153" s="9"/>
      <c r="N153" s="40"/>
    </row>
    <row r="154" spans="1:14" ht="12.75">
      <c r="A154" s="15"/>
      <c r="B154" s="99"/>
      <c r="C154" s="47"/>
      <c r="D154" s="47"/>
      <c r="F154" s="16"/>
      <c r="K154" s="16"/>
      <c r="L154" s="9"/>
      <c r="N154" s="40"/>
    </row>
    <row r="155" spans="1:14" ht="12.75">
      <c r="A155" s="15"/>
      <c r="B155" s="99"/>
      <c r="C155" s="47"/>
      <c r="D155" s="47"/>
      <c r="F155" s="16"/>
      <c r="K155" s="16"/>
      <c r="L155" s="9"/>
      <c r="N155" s="40"/>
    </row>
    <row r="156" spans="1:14" ht="12.75">
      <c r="A156" s="15"/>
      <c r="B156" s="99"/>
      <c r="C156" s="47"/>
      <c r="D156" s="47"/>
      <c r="F156" s="16"/>
      <c r="K156" s="16"/>
      <c r="L156" s="9"/>
      <c r="N156" s="40"/>
    </row>
    <row r="157" spans="1:14" ht="12.75">
      <c r="A157" s="15"/>
      <c r="B157" s="99"/>
      <c r="C157" s="47"/>
      <c r="D157" s="47"/>
      <c r="F157" s="16"/>
      <c r="K157" s="16"/>
      <c r="L157" s="9"/>
      <c r="N157" s="40"/>
    </row>
    <row r="158" spans="1:14" ht="12.75">
      <c r="A158" s="15"/>
      <c r="B158" s="99"/>
      <c r="C158" s="47"/>
      <c r="D158" s="47"/>
      <c r="F158" s="16"/>
      <c r="K158" s="16"/>
      <c r="L158" s="9"/>
      <c r="N158" s="40"/>
    </row>
    <row r="159" spans="1:14" ht="12.75">
      <c r="A159" s="15"/>
      <c r="B159" s="99"/>
      <c r="C159" s="47"/>
      <c r="D159" s="47"/>
      <c r="F159" s="16"/>
      <c r="K159" s="16"/>
      <c r="L159" s="9"/>
      <c r="N159" s="40"/>
    </row>
    <row r="160" spans="1:14" ht="12.75">
      <c r="A160" s="15"/>
      <c r="B160" s="99"/>
      <c r="C160" s="47"/>
      <c r="D160" s="47"/>
      <c r="F160" s="16"/>
      <c r="K160" s="16"/>
      <c r="L160" s="9"/>
      <c r="N160" s="40"/>
    </row>
    <row r="161" spans="1:14" ht="12.75">
      <c r="A161" s="15"/>
      <c r="B161" s="99"/>
      <c r="C161" s="47"/>
      <c r="D161" s="47"/>
      <c r="F161" s="16"/>
      <c r="K161" s="16"/>
      <c r="L161" s="9"/>
      <c r="N161" s="40"/>
    </row>
    <row r="162" spans="1:14" ht="12.75">
      <c r="A162" s="15"/>
      <c r="B162" s="99"/>
      <c r="C162" s="47"/>
      <c r="D162" s="47"/>
      <c r="F162" s="16"/>
      <c r="K162" s="16"/>
      <c r="L162" s="9"/>
      <c r="N162" s="40"/>
    </row>
    <row r="163" spans="1:14" ht="12.75">
      <c r="A163" s="15"/>
      <c r="B163" s="99"/>
      <c r="C163" s="47"/>
      <c r="D163" s="47"/>
      <c r="F163" s="16"/>
      <c r="K163" s="16"/>
      <c r="L163" s="9"/>
      <c r="N163" s="40"/>
    </row>
    <row r="164" spans="1:14" ht="12.75">
      <c r="A164" s="15"/>
      <c r="B164" s="99"/>
      <c r="C164" s="47"/>
      <c r="D164" s="47"/>
      <c r="F164" s="16"/>
      <c r="K164" s="16"/>
      <c r="L164" s="9"/>
      <c r="N164" s="40"/>
    </row>
    <row r="165" spans="1:14" ht="12.75">
      <c r="A165" s="15"/>
      <c r="B165" s="99"/>
      <c r="C165" s="47"/>
      <c r="D165" s="47"/>
      <c r="F165" s="16"/>
      <c r="K165" s="16"/>
      <c r="L165" s="9"/>
      <c r="N165" s="40"/>
    </row>
    <row r="166" spans="1:14" ht="12.75">
      <c r="A166" s="15"/>
      <c r="B166" s="99"/>
      <c r="C166" s="47"/>
      <c r="D166" s="47"/>
      <c r="F166" s="16"/>
      <c r="K166" s="16"/>
      <c r="L166" s="9"/>
      <c r="N166" s="40"/>
    </row>
    <row r="167" spans="1:14" ht="12.75">
      <c r="A167" s="15"/>
      <c r="B167" s="99"/>
      <c r="C167" s="47"/>
      <c r="D167" s="47"/>
      <c r="F167" s="16"/>
      <c r="K167" s="16"/>
      <c r="L167" s="9"/>
      <c r="N167" s="40"/>
    </row>
    <row r="168" spans="1:14" ht="12.75">
      <c r="A168" s="15"/>
      <c r="B168" s="99"/>
      <c r="C168" s="47"/>
      <c r="D168" s="47"/>
      <c r="F168" s="16"/>
      <c r="K168" s="16"/>
      <c r="L168" s="9"/>
      <c r="N168" s="40"/>
    </row>
    <row r="169" spans="1:14" ht="12.75">
      <c r="A169" s="15"/>
      <c r="B169" s="99"/>
      <c r="C169" s="47"/>
      <c r="D169" s="47"/>
      <c r="F169" s="16"/>
      <c r="K169" s="16"/>
      <c r="L169" s="9"/>
      <c r="N169" s="40"/>
    </row>
    <row r="170" spans="1:14" ht="12.75">
      <c r="A170" s="15"/>
      <c r="B170" s="99"/>
      <c r="C170" s="47"/>
      <c r="D170" s="47"/>
      <c r="F170" s="16"/>
      <c r="K170" s="16"/>
      <c r="L170" s="9"/>
      <c r="N170" s="40"/>
    </row>
    <row r="171" spans="1:14" ht="12.75">
      <c r="A171" s="15"/>
      <c r="B171" s="99"/>
      <c r="C171" s="47"/>
      <c r="D171" s="47"/>
      <c r="F171" s="16"/>
      <c r="K171" s="16"/>
      <c r="L171" s="9"/>
      <c r="N171" s="40"/>
    </row>
    <row r="172" spans="1:14" ht="12.75">
      <c r="A172" s="15"/>
      <c r="B172" s="99"/>
      <c r="C172" s="47"/>
      <c r="D172" s="47"/>
      <c r="F172" s="16"/>
      <c r="K172" s="16"/>
      <c r="L172" s="9"/>
      <c r="N172" s="40"/>
    </row>
    <row r="173" spans="1:14" ht="12.75">
      <c r="A173" s="15"/>
      <c r="B173" s="99"/>
      <c r="C173" s="47"/>
      <c r="D173" s="47"/>
      <c r="F173" s="16"/>
      <c r="K173" s="16"/>
      <c r="L173" s="9"/>
      <c r="N173" s="40"/>
    </row>
    <row r="174" spans="1:14" ht="12.75">
      <c r="A174" s="15"/>
      <c r="B174" s="99"/>
      <c r="C174" s="47"/>
      <c r="D174" s="47"/>
      <c r="F174" s="16"/>
      <c r="K174" s="16"/>
      <c r="L174" s="9"/>
      <c r="N174" s="40"/>
    </row>
    <row r="175" spans="1:14" ht="12.75">
      <c r="A175" s="15"/>
      <c r="B175" s="99"/>
      <c r="C175" s="47"/>
      <c r="D175" s="47"/>
      <c r="F175" s="16"/>
      <c r="K175" s="16"/>
      <c r="L175" s="9"/>
      <c r="N175" s="40"/>
    </row>
    <row r="176" spans="1:14" ht="12.75">
      <c r="A176" s="15"/>
      <c r="B176" s="99"/>
      <c r="C176" s="47"/>
      <c r="D176" s="47"/>
      <c r="F176" s="16"/>
      <c r="K176" s="16"/>
      <c r="L176" s="9"/>
      <c r="N176" s="40"/>
    </row>
    <row r="177" spans="1:14" ht="12.75">
      <c r="A177" s="15"/>
      <c r="B177" s="99"/>
      <c r="C177" s="47"/>
      <c r="D177" s="47"/>
      <c r="F177" s="16"/>
      <c r="K177" s="16"/>
      <c r="L177" s="9"/>
      <c r="N177" s="40"/>
    </row>
    <row r="178" spans="1:14" ht="12.75">
      <c r="A178" s="15"/>
      <c r="B178" s="99"/>
      <c r="C178" s="47"/>
      <c r="D178" s="47"/>
      <c r="F178" s="16"/>
      <c r="K178" s="16"/>
      <c r="L178" s="9"/>
      <c r="N178" s="40"/>
    </row>
    <row r="179" spans="1:14" ht="12.75">
      <c r="A179" s="15"/>
      <c r="B179" s="99"/>
      <c r="C179" s="47"/>
      <c r="D179" s="47"/>
      <c r="F179" s="16"/>
      <c r="K179" s="16"/>
      <c r="L179" s="9"/>
      <c r="N179" s="40"/>
    </row>
    <row r="180" spans="1:14" ht="12.75">
      <c r="A180" s="15"/>
      <c r="B180" s="99"/>
      <c r="C180" s="47"/>
      <c r="D180" s="47"/>
      <c r="F180" s="16"/>
      <c r="K180" s="16"/>
      <c r="L180" s="9"/>
      <c r="N180" s="40"/>
    </row>
    <row r="181" spans="1:14" ht="12.75">
      <c r="A181" s="15"/>
      <c r="B181" s="99"/>
      <c r="C181" s="47"/>
      <c r="D181" s="47"/>
      <c r="F181" s="16"/>
      <c r="K181" s="16"/>
      <c r="L181" s="9"/>
      <c r="N181" s="40"/>
    </row>
    <row r="182" spans="1:14" ht="12.75">
      <c r="A182" s="15"/>
      <c r="B182" s="99"/>
      <c r="C182" s="47"/>
      <c r="D182" s="47"/>
      <c r="F182" s="16"/>
      <c r="K182" s="16"/>
      <c r="L182" s="9"/>
      <c r="N182" s="40"/>
    </row>
    <row r="183" spans="1:14" ht="12.75">
      <c r="A183" s="15"/>
      <c r="B183" s="99"/>
      <c r="C183" s="47"/>
      <c r="D183" s="47"/>
      <c r="F183" s="16"/>
      <c r="K183" s="16"/>
      <c r="L183" s="9"/>
      <c r="N183" s="40"/>
    </row>
    <row r="184" spans="1:14" ht="12.75">
      <c r="A184" s="15"/>
      <c r="B184" s="99"/>
      <c r="C184" s="47"/>
      <c r="D184" s="47"/>
      <c r="F184" s="16"/>
      <c r="K184" s="16"/>
      <c r="L184" s="9"/>
      <c r="N184" s="40"/>
    </row>
    <row r="185" spans="1:14" ht="12.75">
      <c r="A185" s="15"/>
      <c r="B185" s="99"/>
      <c r="C185" s="47"/>
      <c r="D185" s="47"/>
      <c r="F185" s="16"/>
      <c r="K185" s="16"/>
      <c r="L185" s="9"/>
      <c r="N185" s="40"/>
    </row>
    <row r="186" spans="1:14" ht="12.75">
      <c r="A186" s="15"/>
      <c r="B186" s="99"/>
      <c r="C186" s="47"/>
      <c r="D186" s="47"/>
      <c r="F186" s="16"/>
      <c r="K186" s="16"/>
      <c r="L186" s="9"/>
      <c r="N186" s="40"/>
    </row>
    <row r="187" spans="1:14" ht="12.75">
      <c r="A187" s="15"/>
      <c r="B187" s="99"/>
      <c r="C187" s="47"/>
      <c r="D187" s="47"/>
      <c r="F187" s="16"/>
      <c r="K187" s="16"/>
      <c r="L187" s="9"/>
      <c r="N187" s="40"/>
    </row>
    <row r="188" spans="1:14" ht="12.75">
      <c r="A188" s="15"/>
      <c r="B188" s="99"/>
      <c r="C188" s="47"/>
      <c r="D188" s="47"/>
      <c r="F188" s="16"/>
      <c r="K188" s="16"/>
      <c r="L188" s="9"/>
      <c r="N188" s="40"/>
    </row>
    <row r="189" spans="1:14" ht="12.75">
      <c r="A189" s="15"/>
      <c r="B189" s="99"/>
      <c r="C189" s="47"/>
      <c r="D189" s="47"/>
      <c r="F189" s="16"/>
      <c r="K189" s="16"/>
      <c r="L189" s="9"/>
      <c r="N189" s="40"/>
    </row>
    <row r="190" spans="1:14" ht="12.75">
      <c r="A190" s="15"/>
      <c r="B190" s="99"/>
      <c r="C190" s="47"/>
      <c r="D190" s="47"/>
      <c r="F190" s="16"/>
      <c r="K190" s="16"/>
      <c r="L190" s="9"/>
      <c r="N190" s="40"/>
    </row>
    <row r="191" spans="1:14" ht="12.75">
      <c r="A191" s="15"/>
      <c r="B191" s="99"/>
      <c r="C191" s="47"/>
      <c r="D191" s="47"/>
      <c r="F191" s="16"/>
      <c r="K191" s="16"/>
      <c r="L191" s="9"/>
      <c r="N191" s="40"/>
    </row>
    <row r="192" spans="1:14" ht="12.75">
      <c r="A192" s="15"/>
      <c r="B192" s="99"/>
      <c r="C192" s="47"/>
      <c r="D192" s="47"/>
      <c r="F192" s="16"/>
      <c r="K192" s="16"/>
      <c r="L192" s="9"/>
      <c r="N192" s="40"/>
    </row>
    <row r="193" spans="1:14" ht="12.75">
      <c r="A193" s="15"/>
      <c r="B193" s="99"/>
      <c r="C193" s="47"/>
      <c r="D193" s="47"/>
      <c r="F193" s="16"/>
      <c r="K193" s="16"/>
      <c r="L193" s="9"/>
      <c r="N193" s="40"/>
    </row>
    <row r="194" spans="1:14" ht="12.75">
      <c r="A194" s="15"/>
      <c r="B194" s="99"/>
      <c r="C194" s="47"/>
      <c r="D194" s="47"/>
      <c r="F194" s="16"/>
      <c r="K194" s="16"/>
      <c r="L194" s="9"/>
      <c r="N194" s="40"/>
    </row>
    <row r="195" spans="1:14" ht="12.75">
      <c r="A195" s="15"/>
      <c r="B195" s="99"/>
      <c r="C195" s="47"/>
      <c r="D195" s="47"/>
      <c r="F195" s="16"/>
      <c r="K195" s="16"/>
      <c r="L195" s="9"/>
      <c r="N195" s="40"/>
    </row>
    <row r="196" spans="1:14" ht="12.75">
      <c r="A196" s="15"/>
      <c r="B196" s="99"/>
      <c r="C196" s="47"/>
      <c r="D196" s="47"/>
      <c r="F196" s="16"/>
      <c r="K196" s="16"/>
      <c r="L196" s="9"/>
      <c r="N196" s="40"/>
    </row>
    <row r="197" spans="1:14" ht="12.75">
      <c r="A197" s="15"/>
      <c r="B197" s="99"/>
      <c r="C197" s="47"/>
      <c r="D197" s="47"/>
      <c r="F197" s="16"/>
      <c r="K197" s="16"/>
      <c r="L197" s="9"/>
      <c r="N197" s="40"/>
    </row>
    <row r="198" spans="1:14" ht="12.75">
      <c r="A198" s="15"/>
      <c r="B198" s="99"/>
      <c r="C198" s="47"/>
      <c r="D198" s="47"/>
      <c r="F198" s="16"/>
      <c r="K198" s="16"/>
      <c r="L198" s="9"/>
      <c r="N198" s="40"/>
    </row>
    <row r="199" spans="1:14" ht="12.75">
      <c r="A199" s="15"/>
      <c r="B199" s="99"/>
      <c r="C199" s="47"/>
      <c r="D199" s="47"/>
      <c r="F199" s="16"/>
      <c r="K199" s="16"/>
      <c r="L199" s="9"/>
      <c r="N199" s="40"/>
    </row>
    <row r="200" spans="1:14" ht="12.75">
      <c r="A200" s="15"/>
      <c r="B200" s="99"/>
      <c r="C200" s="47"/>
      <c r="D200" s="47"/>
      <c r="F200" s="16"/>
      <c r="K200" s="16"/>
      <c r="L200" s="9"/>
      <c r="N200" s="40"/>
    </row>
    <row r="201" spans="1:14" ht="12.75">
      <c r="A201" s="15"/>
      <c r="B201" s="99"/>
      <c r="C201" s="47"/>
      <c r="D201" s="47"/>
      <c r="F201" s="16"/>
      <c r="K201" s="16"/>
      <c r="L201" s="9"/>
      <c r="N201" s="40"/>
    </row>
    <row r="202" spans="1:14" ht="12.75">
      <c r="A202" s="15"/>
      <c r="B202" s="99"/>
      <c r="C202" s="47"/>
      <c r="D202" s="47"/>
      <c r="F202" s="16"/>
      <c r="K202" s="16"/>
      <c r="L202" s="9"/>
      <c r="N202" s="40"/>
    </row>
    <row r="203" spans="1:14" ht="12.75">
      <c r="A203" s="15"/>
      <c r="B203" s="99"/>
      <c r="C203" s="47"/>
      <c r="D203" s="47"/>
      <c r="F203" s="16"/>
      <c r="K203" s="16"/>
      <c r="L203" s="9"/>
      <c r="N203" s="40"/>
    </row>
    <row r="204" spans="1:14" ht="12.75">
      <c r="A204" s="15"/>
      <c r="B204" s="99"/>
      <c r="C204" s="47"/>
      <c r="D204" s="47"/>
      <c r="F204" s="16"/>
      <c r="K204" s="16"/>
      <c r="L204" s="9"/>
      <c r="N204" s="40"/>
    </row>
    <row r="205" spans="1:14" ht="12.75">
      <c r="A205" s="15"/>
      <c r="B205" s="99"/>
      <c r="C205" s="47"/>
      <c r="D205" s="47"/>
      <c r="F205" s="16"/>
      <c r="K205" s="16"/>
      <c r="L205" s="9"/>
      <c r="N205" s="40"/>
    </row>
    <row r="206" spans="1:14" ht="12.75">
      <c r="A206" s="15"/>
      <c r="B206" s="99"/>
      <c r="C206" s="47"/>
      <c r="D206" s="47"/>
      <c r="F206" s="16"/>
      <c r="K206" s="16"/>
      <c r="L206" s="9"/>
      <c r="N206" s="40"/>
    </row>
    <row r="207" spans="1:14" ht="12.75">
      <c r="A207" s="15"/>
      <c r="B207" s="99"/>
      <c r="C207" s="47"/>
      <c r="D207" s="47"/>
      <c r="F207" s="16"/>
      <c r="K207" s="16"/>
      <c r="L207" s="9"/>
      <c r="N207" s="40"/>
    </row>
    <row r="208" spans="1:14" ht="12.75">
      <c r="A208" s="15"/>
      <c r="B208" s="99"/>
      <c r="C208" s="47"/>
      <c r="D208" s="47"/>
      <c r="F208" s="16"/>
      <c r="K208" s="16"/>
      <c r="L208" s="9"/>
      <c r="N208" s="40"/>
    </row>
    <row r="209" spans="1:14" ht="12.75">
      <c r="A209" s="15"/>
      <c r="B209" s="99"/>
      <c r="C209" s="47"/>
      <c r="D209" s="47"/>
      <c r="F209" s="16"/>
      <c r="K209" s="16"/>
      <c r="L209" s="9"/>
      <c r="N209" s="40"/>
    </row>
    <row r="210" spans="1:14" ht="12.75">
      <c r="A210" s="15"/>
      <c r="B210" s="99"/>
      <c r="C210" s="47"/>
      <c r="D210" s="47"/>
      <c r="F210" s="16"/>
      <c r="K210" s="16"/>
      <c r="L210" s="9"/>
      <c r="N210" s="40"/>
    </row>
    <row r="211" spans="1:14" ht="12.75">
      <c r="A211" s="15"/>
      <c r="B211" s="99"/>
      <c r="C211" s="47"/>
      <c r="D211" s="47"/>
      <c r="F211" s="16"/>
      <c r="K211" s="16"/>
      <c r="L211" s="9"/>
      <c r="N211" s="40"/>
    </row>
    <row r="212" spans="1:14" ht="12.75">
      <c r="A212" s="15"/>
      <c r="B212" s="99"/>
      <c r="C212" s="47"/>
      <c r="D212" s="47"/>
      <c r="F212" s="16"/>
      <c r="K212" s="16"/>
      <c r="L212" s="9"/>
      <c r="N212" s="40"/>
    </row>
    <row r="213" spans="1:14" ht="12.75">
      <c r="A213" s="15"/>
      <c r="B213" s="99"/>
      <c r="C213" s="47"/>
      <c r="D213" s="47"/>
      <c r="F213" s="16"/>
      <c r="K213" s="16"/>
      <c r="L213" s="9"/>
      <c r="N213" s="40"/>
    </row>
    <row r="214" spans="1:14" ht="12.75">
      <c r="A214" s="15"/>
      <c r="B214" s="99"/>
      <c r="C214" s="47"/>
      <c r="D214" s="47"/>
      <c r="F214" s="16"/>
      <c r="K214" s="16"/>
      <c r="L214" s="9"/>
      <c r="N214" s="40"/>
    </row>
    <row r="215" spans="1:14" ht="12.75">
      <c r="A215" s="15"/>
      <c r="B215" s="99"/>
      <c r="C215" s="47"/>
      <c r="D215" s="47"/>
      <c r="F215" s="16"/>
      <c r="K215" s="16"/>
      <c r="L215" s="9"/>
      <c r="N215" s="40"/>
    </row>
    <row r="216" spans="1:14" ht="12.75">
      <c r="A216" s="15"/>
      <c r="B216" s="99"/>
      <c r="C216" s="47"/>
      <c r="D216" s="47"/>
      <c r="F216" s="16"/>
      <c r="K216" s="16"/>
      <c r="L216" s="9"/>
      <c r="N216" s="40"/>
    </row>
    <row r="217" spans="1:14" ht="12.75">
      <c r="A217" s="15"/>
      <c r="B217" s="99"/>
      <c r="C217" s="47"/>
      <c r="D217" s="47"/>
      <c r="F217" s="16"/>
      <c r="K217" s="16"/>
      <c r="L217" s="9"/>
      <c r="N217" s="40"/>
    </row>
    <row r="218" spans="1:14" ht="12.75">
      <c r="A218" s="15"/>
      <c r="B218" s="99"/>
      <c r="C218" s="47"/>
      <c r="D218" s="47"/>
      <c r="F218" s="16"/>
      <c r="K218" s="16"/>
      <c r="L218" s="9"/>
      <c r="N218" s="40"/>
    </row>
    <row r="219" spans="1:14" ht="12.75">
      <c r="A219" s="15"/>
      <c r="B219" s="99"/>
      <c r="C219" s="47"/>
      <c r="D219" s="47"/>
      <c r="F219" s="16"/>
      <c r="K219" s="16"/>
      <c r="L219" s="9"/>
      <c r="N219" s="40"/>
    </row>
    <row r="220" spans="1:14" ht="12.75">
      <c r="A220" s="15"/>
      <c r="B220" s="99"/>
      <c r="C220" s="47"/>
      <c r="D220" s="47"/>
      <c r="F220" s="16"/>
      <c r="K220" s="16"/>
      <c r="L220" s="9"/>
      <c r="N220" s="40"/>
    </row>
    <row r="221" spans="1:14" ht="12.75">
      <c r="A221" s="15"/>
      <c r="B221" s="99"/>
      <c r="C221" s="47"/>
      <c r="D221" s="47"/>
      <c r="F221" s="16"/>
      <c r="K221" s="16"/>
      <c r="L221" s="9"/>
      <c r="N221" s="40"/>
    </row>
    <row r="222" spans="1:14" ht="12.75">
      <c r="A222" s="15"/>
      <c r="B222" s="99"/>
      <c r="C222" s="47"/>
      <c r="D222" s="47"/>
      <c r="F222" s="16"/>
      <c r="K222" s="16"/>
      <c r="L222" s="9"/>
      <c r="N222" s="40"/>
    </row>
    <row r="223" spans="1:14" ht="12.75">
      <c r="A223" s="15"/>
      <c r="B223" s="99"/>
      <c r="C223" s="47"/>
      <c r="D223" s="47"/>
      <c r="F223" s="16"/>
      <c r="K223" s="16"/>
      <c r="L223" s="9"/>
      <c r="N223" s="40"/>
    </row>
    <row r="224" spans="1:14" ht="12.75">
      <c r="A224" s="15"/>
      <c r="B224" s="99"/>
      <c r="C224" s="47"/>
      <c r="D224" s="47"/>
      <c r="F224" s="16"/>
      <c r="K224" s="16"/>
      <c r="L224" s="9"/>
      <c r="N224" s="40"/>
    </row>
    <row r="225" spans="1:14" ht="12.75">
      <c r="A225" s="15"/>
      <c r="B225" s="99"/>
      <c r="C225" s="47"/>
      <c r="D225" s="47"/>
      <c r="F225" s="16"/>
      <c r="K225" s="16"/>
      <c r="L225" s="9"/>
      <c r="N225" s="40"/>
    </row>
    <row r="226" spans="1:14" ht="12.75">
      <c r="A226" s="15"/>
      <c r="B226" s="99"/>
      <c r="C226" s="47"/>
      <c r="D226" s="47"/>
      <c r="F226" s="16"/>
      <c r="K226" s="16"/>
      <c r="L226" s="9"/>
      <c r="N226" s="40"/>
    </row>
    <row r="227" spans="1:14" ht="12.75">
      <c r="A227" s="15"/>
      <c r="B227" s="99"/>
      <c r="C227" s="47"/>
      <c r="D227" s="47"/>
      <c r="F227" s="16"/>
      <c r="K227" s="16"/>
      <c r="L227" s="9"/>
      <c r="N227" s="40"/>
    </row>
    <row r="228" spans="1:14" ht="12.75">
      <c r="A228" s="15"/>
      <c r="B228" s="99"/>
      <c r="C228" s="47"/>
      <c r="D228" s="47"/>
      <c r="F228" s="16"/>
      <c r="K228" s="16"/>
      <c r="L228" s="9"/>
      <c r="N228" s="40"/>
    </row>
    <row r="229" spans="1:14" ht="12.75">
      <c r="A229" s="15"/>
      <c r="B229" s="99"/>
      <c r="C229" s="47"/>
      <c r="D229" s="47"/>
      <c r="F229" s="16"/>
      <c r="K229" s="16"/>
      <c r="L229" s="9"/>
      <c r="N229" s="40"/>
    </row>
    <row r="230" spans="1:14" ht="12.75">
      <c r="A230" s="15"/>
      <c r="B230" s="99"/>
      <c r="C230" s="47"/>
      <c r="D230" s="47"/>
      <c r="F230" s="16"/>
      <c r="K230" s="16"/>
      <c r="L230" s="9"/>
      <c r="N230" s="40"/>
    </row>
    <row r="231" spans="1:14" ht="12.75">
      <c r="A231" s="15"/>
      <c r="B231" s="99"/>
      <c r="C231" s="47"/>
      <c r="D231" s="47"/>
      <c r="F231" s="16"/>
      <c r="K231" s="16"/>
      <c r="L231" s="9"/>
      <c r="N231" s="40"/>
    </row>
    <row r="232" spans="1:14" ht="12.75">
      <c r="A232" s="15"/>
      <c r="B232" s="99"/>
      <c r="C232" s="47"/>
      <c r="D232" s="47"/>
      <c r="F232" s="16"/>
      <c r="K232" s="16"/>
      <c r="L232" s="9"/>
      <c r="N232" s="40"/>
    </row>
    <row r="233" spans="1:14" ht="12.75">
      <c r="A233" s="15"/>
      <c r="B233" s="99"/>
      <c r="C233" s="47"/>
      <c r="D233" s="47"/>
      <c r="F233" s="16"/>
      <c r="K233" s="16"/>
      <c r="L233" s="9"/>
      <c r="N233" s="40"/>
    </row>
    <row r="234" spans="1:14" ht="12.75">
      <c r="A234" s="15"/>
      <c r="B234" s="99"/>
      <c r="C234" s="47"/>
      <c r="D234" s="47"/>
      <c r="F234" s="16"/>
      <c r="K234" s="16"/>
      <c r="L234" s="9"/>
      <c r="N234" s="40"/>
    </row>
    <row r="235" spans="1:14" ht="12.75">
      <c r="A235" s="15"/>
      <c r="B235" s="99"/>
      <c r="C235" s="47"/>
      <c r="D235" s="47"/>
      <c r="F235" s="16"/>
      <c r="K235" s="16"/>
      <c r="L235" s="9"/>
      <c r="N235" s="40"/>
    </row>
    <row r="236" spans="1:14" ht="12.75">
      <c r="A236" s="15"/>
      <c r="B236" s="99"/>
      <c r="C236" s="47"/>
      <c r="D236" s="47"/>
      <c r="F236" s="16"/>
      <c r="K236" s="16"/>
      <c r="L236" s="9"/>
      <c r="N236" s="40"/>
    </row>
    <row r="237" spans="1:14" ht="12.75">
      <c r="A237" s="15"/>
      <c r="B237" s="99"/>
      <c r="C237" s="47"/>
      <c r="D237" s="47"/>
      <c r="F237" s="16"/>
      <c r="K237" s="16"/>
      <c r="L237" s="9"/>
      <c r="N237" s="40"/>
    </row>
    <row r="238" spans="1:14" ht="12.75">
      <c r="A238" s="15"/>
      <c r="B238" s="99"/>
      <c r="C238" s="47"/>
      <c r="D238" s="47"/>
      <c r="F238" s="16"/>
      <c r="K238" s="16"/>
      <c r="L238" s="9"/>
      <c r="N238" s="40"/>
    </row>
    <row r="239" spans="1:14" ht="12.75">
      <c r="A239" s="15"/>
      <c r="B239" s="99"/>
      <c r="C239" s="47"/>
      <c r="D239" s="47"/>
      <c r="F239" s="16"/>
      <c r="K239" s="16"/>
      <c r="L239" s="9"/>
      <c r="N239" s="40"/>
    </row>
    <row r="240" spans="1:14" ht="12.75">
      <c r="A240" s="15"/>
      <c r="B240" s="99"/>
      <c r="C240" s="47"/>
      <c r="D240" s="47"/>
      <c r="F240" s="16"/>
      <c r="K240" s="16"/>
      <c r="L240" s="9"/>
      <c r="N240" s="40"/>
    </row>
    <row r="241" spans="1:14" ht="12.75">
      <c r="A241" s="15"/>
      <c r="B241" s="99"/>
      <c r="C241" s="47"/>
      <c r="D241" s="47"/>
      <c r="F241" s="16"/>
      <c r="K241" s="16"/>
      <c r="L241" s="9"/>
      <c r="N241" s="40"/>
    </row>
    <row r="242" spans="1:14" ht="12.75">
      <c r="A242" s="15"/>
      <c r="B242" s="99"/>
      <c r="C242" s="47"/>
      <c r="D242" s="47"/>
      <c r="F242" s="16"/>
      <c r="K242" s="16"/>
      <c r="L242" s="9"/>
      <c r="N242" s="40"/>
    </row>
    <row r="243" spans="1:14" ht="12.75">
      <c r="A243" s="15"/>
      <c r="B243" s="99"/>
      <c r="C243" s="47"/>
      <c r="D243" s="47"/>
      <c r="F243" s="16"/>
      <c r="K243" s="16"/>
      <c r="L243" s="9"/>
      <c r="N243" s="40"/>
    </row>
    <row r="244" spans="1:14" ht="12.75">
      <c r="A244" s="15"/>
      <c r="B244" s="99"/>
      <c r="C244" s="47"/>
      <c r="D244" s="47"/>
      <c r="F244" s="16"/>
      <c r="K244" s="16"/>
      <c r="L244" s="9"/>
      <c r="N244" s="40"/>
    </row>
    <row r="245" spans="1:14" ht="12.75">
      <c r="A245" s="15"/>
      <c r="B245" s="99"/>
      <c r="C245" s="47"/>
      <c r="D245" s="47"/>
      <c r="F245" s="16"/>
      <c r="K245" s="16"/>
      <c r="L245" s="9"/>
      <c r="N245" s="40"/>
    </row>
    <row r="246" spans="1:14" ht="12.75">
      <c r="A246" s="15"/>
      <c r="B246" s="99"/>
      <c r="C246" s="47"/>
      <c r="D246" s="47"/>
      <c r="F246" s="16"/>
      <c r="K246" s="16"/>
      <c r="L246" s="9"/>
      <c r="N246" s="40"/>
    </row>
    <row r="247" spans="1:14" ht="12.75">
      <c r="A247" s="15"/>
      <c r="B247" s="99"/>
      <c r="C247" s="47"/>
      <c r="D247" s="47"/>
      <c r="F247" s="16"/>
      <c r="K247" s="16"/>
      <c r="L247" s="9"/>
      <c r="N247" s="40"/>
    </row>
    <row r="248" spans="1:14" ht="12.75">
      <c r="A248" s="15"/>
      <c r="B248" s="99"/>
      <c r="C248" s="47"/>
      <c r="D248" s="47"/>
      <c r="F248" s="16"/>
      <c r="K248" s="16"/>
      <c r="L248" s="9"/>
      <c r="N248" s="40"/>
    </row>
    <row r="249" spans="1:14" ht="12.75">
      <c r="A249" s="15"/>
      <c r="B249" s="99"/>
      <c r="C249" s="47"/>
      <c r="D249" s="47"/>
      <c r="F249" s="16"/>
      <c r="K249" s="16"/>
      <c r="L249" s="9"/>
      <c r="N249" s="40"/>
    </row>
    <row r="250" spans="1:14" ht="12.75">
      <c r="A250" s="15"/>
      <c r="B250" s="99"/>
      <c r="C250" s="47"/>
      <c r="D250" s="47"/>
      <c r="F250" s="16"/>
      <c r="K250" s="16"/>
      <c r="L250" s="9"/>
      <c r="N250" s="40"/>
    </row>
    <row r="251" spans="1:14" ht="12.75">
      <c r="A251" s="15"/>
      <c r="B251" s="99"/>
      <c r="C251" s="47"/>
      <c r="D251" s="47"/>
      <c r="F251" s="16"/>
      <c r="K251" s="16"/>
      <c r="L251" s="9"/>
      <c r="N251" s="40"/>
    </row>
    <row r="252" spans="1:14" ht="12.75">
      <c r="A252" s="15"/>
      <c r="B252" s="99"/>
      <c r="C252" s="47"/>
      <c r="D252" s="47"/>
      <c r="F252" s="16"/>
      <c r="K252" s="16"/>
      <c r="L252" s="9"/>
      <c r="N252" s="40"/>
    </row>
    <row r="253" spans="1:14" ht="12.75">
      <c r="A253" s="15"/>
      <c r="B253" s="99"/>
      <c r="C253" s="47"/>
      <c r="D253" s="47"/>
      <c r="F253" s="16"/>
      <c r="K253" s="16"/>
      <c r="L253" s="9"/>
      <c r="N253" s="40"/>
    </row>
    <row r="254" spans="1:14" ht="12.75">
      <c r="A254" s="15"/>
      <c r="B254" s="99"/>
      <c r="C254" s="47"/>
      <c r="D254" s="47"/>
      <c r="F254" s="16"/>
      <c r="K254" s="16"/>
      <c r="L254" s="9"/>
      <c r="N254" s="40"/>
    </row>
    <row r="255" spans="1:14" ht="12.75">
      <c r="A255" s="15"/>
      <c r="B255" s="99"/>
      <c r="C255" s="47"/>
      <c r="D255" s="47"/>
      <c r="F255" s="16"/>
      <c r="K255" s="16"/>
      <c r="L255" s="9"/>
      <c r="N255" s="40"/>
    </row>
    <row r="256" spans="1:14" ht="12.75">
      <c r="A256" s="15"/>
      <c r="B256" s="99"/>
      <c r="C256" s="47"/>
      <c r="D256" s="47"/>
      <c r="F256" s="16"/>
      <c r="K256" s="16"/>
      <c r="L256" s="9"/>
      <c r="N256" s="40"/>
    </row>
    <row r="257" spans="1:14" ht="12.75">
      <c r="A257" s="15"/>
      <c r="B257" s="99"/>
      <c r="C257" s="47"/>
      <c r="D257" s="47"/>
      <c r="F257" s="16"/>
      <c r="K257" s="16"/>
      <c r="L257" s="9"/>
      <c r="N257" s="40"/>
    </row>
    <row r="258" spans="1:14" ht="12.75">
      <c r="A258" s="15"/>
      <c r="B258" s="99"/>
      <c r="C258" s="47"/>
      <c r="D258" s="47"/>
      <c r="F258" s="16"/>
      <c r="K258" s="16"/>
      <c r="L258" s="9"/>
      <c r="N258" s="40"/>
    </row>
    <row r="259" spans="1:14" ht="12.75">
      <c r="A259" s="15"/>
      <c r="B259" s="99"/>
      <c r="C259" s="47"/>
      <c r="D259" s="47"/>
      <c r="F259" s="16"/>
      <c r="K259" s="16"/>
      <c r="L259" s="9"/>
      <c r="N259" s="40"/>
    </row>
    <row r="260" spans="1:14" ht="12.75">
      <c r="A260" s="15"/>
      <c r="B260" s="99"/>
      <c r="C260" s="47"/>
      <c r="D260" s="47"/>
      <c r="F260" s="16"/>
      <c r="K260" s="16"/>
      <c r="L260" s="9"/>
      <c r="N260" s="40"/>
    </row>
    <row r="261" spans="1:14" ht="12.75">
      <c r="A261" s="15"/>
      <c r="B261" s="99"/>
      <c r="C261" s="47"/>
      <c r="D261" s="47"/>
      <c r="F261" s="16"/>
      <c r="K261" s="16"/>
      <c r="L261" s="9"/>
      <c r="N261" s="40"/>
    </row>
    <row r="262" spans="1:14" ht="12.75">
      <c r="A262" s="15"/>
      <c r="B262" s="99"/>
      <c r="C262" s="47"/>
      <c r="D262" s="47"/>
      <c r="F262" s="16"/>
      <c r="K262" s="16"/>
      <c r="L262" s="9"/>
      <c r="N262" s="40"/>
    </row>
    <row r="263" spans="1:14" ht="12.75">
      <c r="A263" s="15"/>
      <c r="B263" s="99"/>
      <c r="C263" s="47"/>
      <c r="D263" s="47"/>
      <c r="F263" s="16"/>
      <c r="K263" s="16"/>
      <c r="L263" s="9"/>
      <c r="N263" s="40"/>
    </row>
    <row r="264" spans="1:14" ht="12.75">
      <c r="A264" s="15"/>
      <c r="B264" s="99"/>
      <c r="C264" s="47"/>
      <c r="D264" s="47"/>
      <c r="F264" s="16"/>
      <c r="K264" s="16"/>
      <c r="L264" s="9"/>
      <c r="N264" s="40"/>
    </row>
    <row r="265" spans="1:14" ht="12.75">
      <c r="A265" s="15"/>
      <c r="B265" s="99"/>
      <c r="C265" s="47"/>
      <c r="D265" s="47"/>
      <c r="F265" s="16"/>
      <c r="K265" s="16"/>
      <c r="L265" s="9"/>
      <c r="N265" s="40"/>
    </row>
    <row r="266" spans="1:14" ht="12.75">
      <c r="A266" s="15"/>
      <c r="B266" s="99"/>
      <c r="C266" s="47"/>
      <c r="D266" s="47"/>
      <c r="F266" s="16"/>
      <c r="K266" s="16"/>
      <c r="L266" s="9"/>
      <c r="N266" s="40"/>
    </row>
    <row r="267" spans="1:14" ht="12.75">
      <c r="A267" s="15"/>
      <c r="B267" s="99"/>
      <c r="C267" s="47"/>
      <c r="D267" s="47"/>
      <c r="F267" s="16"/>
      <c r="K267" s="16"/>
      <c r="L267" s="9"/>
      <c r="N267" s="40"/>
    </row>
    <row r="268" spans="1:14" ht="12.75">
      <c r="A268" s="15"/>
      <c r="B268" s="99"/>
      <c r="C268" s="47"/>
      <c r="D268" s="47"/>
      <c r="F268" s="16"/>
      <c r="K268" s="16"/>
      <c r="L268" s="9"/>
      <c r="N268" s="40"/>
    </row>
    <row r="269" spans="1:14" ht="12.75">
      <c r="A269" s="15"/>
      <c r="B269" s="99"/>
      <c r="C269" s="47"/>
      <c r="D269" s="47"/>
      <c r="F269" s="16"/>
      <c r="K269" s="16"/>
      <c r="L269" s="9"/>
      <c r="N269" s="40"/>
    </row>
    <row r="270" spans="1:14" ht="12.75">
      <c r="A270" s="15"/>
      <c r="B270" s="99"/>
      <c r="C270" s="47"/>
      <c r="D270" s="47"/>
      <c r="F270" s="16"/>
      <c r="K270" s="16"/>
      <c r="L270" s="9"/>
      <c r="N270" s="40"/>
    </row>
    <row r="271" spans="1:14" ht="12.75">
      <c r="A271" s="15"/>
      <c r="B271" s="99"/>
      <c r="C271" s="47"/>
      <c r="D271" s="47"/>
      <c r="F271" s="16"/>
      <c r="K271" s="16"/>
      <c r="L271" s="9"/>
      <c r="N271" s="40"/>
    </row>
    <row r="272" spans="1:14" ht="12.75">
      <c r="A272" s="15"/>
      <c r="B272" s="99"/>
      <c r="C272" s="47"/>
      <c r="D272" s="47"/>
      <c r="F272" s="16"/>
      <c r="K272" s="16"/>
      <c r="L272" s="9"/>
      <c r="N272" s="40"/>
    </row>
    <row r="273" spans="1:14" ht="12.75">
      <c r="A273" s="15"/>
      <c r="B273" s="99"/>
      <c r="C273" s="47"/>
      <c r="D273" s="47"/>
      <c r="F273" s="16"/>
      <c r="K273" s="16"/>
      <c r="L273" s="9"/>
      <c r="N273" s="40"/>
    </row>
    <row r="274" spans="1:14" ht="12.75">
      <c r="A274" s="15"/>
      <c r="B274" s="99"/>
      <c r="C274" s="47"/>
      <c r="D274" s="47"/>
      <c r="F274" s="16"/>
      <c r="K274" s="16"/>
      <c r="L274" s="9"/>
      <c r="N274" s="40"/>
    </row>
    <row r="275" spans="1:14" ht="12.75">
      <c r="A275" s="15"/>
      <c r="B275" s="99"/>
      <c r="C275" s="47"/>
      <c r="D275" s="47"/>
      <c r="F275" s="16"/>
      <c r="K275" s="16"/>
      <c r="L275" s="9"/>
      <c r="N275" s="40"/>
    </row>
    <row r="276" spans="1:14" ht="12.75">
      <c r="A276" s="15"/>
      <c r="B276" s="99"/>
      <c r="C276" s="47"/>
      <c r="D276" s="47"/>
      <c r="F276" s="16"/>
      <c r="K276" s="16"/>
      <c r="L276" s="9"/>
      <c r="N276" s="40"/>
    </row>
    <row r="277" spans="1:14" ht="12.75">
      <c r="A277" s="15"/>
      <c r="B277" s="99"/>
      <c r="C277" s="47"/>
      <c r="D277" s="47"/>
      <c r="F277" s="16"/>
      <c r="K277" s="16"/>
      <c r="L277" s="9"/>
      <c r="N277" s="40"/>
    </row>
    <row r="278" spans="1:14" ht="12.75">
      <c r="A278" s="15"/>
      <c r="B278" s="99"/>
      <c r="C278" s="47"/>
      <c r="D278" s="47"/>
      <c r="F278" s="16"/>
      <c r="K278" s="16"/>
      <c r="L278" s="9"/>
      <c r="N278" s="40"/>
    </row>
    <row r="279" spans="1:14" ht="12.75">
      <c r="A279" s="15"/>
      <c r="B279" s="99"/>
      <c r="C279" s="47"/>
      <c r="D279" s="47"/>
      <c r="F279" s="16"/>
      <c r="K279" s="16"/>
      <c r="L279" s="9"/>
      <c r="N279" s="40"/>
    </row>
    <row r="280" spans="1:14" ht="12.75">
      <c r="A280" s="15"/>
      <c r="B280" s="99"/>
      <c r="C280" s="47"/>
      <c r="D280" s="47"/>
      <c r="F280" s="16"/>
      <c r="K280" s="16"/>
      <c r="L280" s="9"/>
      <c r="N280" s="40"/>
    </row>
    <row r="281" spans="1:14" ht="12.75">
      <c r="A281" s="15"/>
      <c r="B281" s="99"/>
      <c r="C281" s="47"/>
      <c r="D281" s="47"/>
      <c r="F281" s="16"/>
      <c r="K281" s="16"/>
      <c r="L281" s="9"/>
      <c r="N281" s="40"/>
    </row>
    <row r="282" spans="1:14" ht="12.75">
      <c r="A282" s="15"/>
      <c r="B282" s="99"/>
      <c r="C282" s="47"/>
      <c r="D282" s="47"/>
      <c r="F282" s="16"/>
      <c r="K282" s="16"/>
      <c r="L282" s="9"/>
      <c r="N282" s="40"/>
    </row>
    <row r="283" spans="1:14" ht="12.75">
      <c r="A283" s="15"/>
      <c r="B283" s="99"/>
      <c r="C283" s="47"/>
      <c r="D283" s="47"/>
      <c r="F283" s="16"/>
      <c r="K283" s="16"/>
      <c r="L283" s="9"/>
      <c r="N283" s="40"/>
    </row>
    <row r="284" spans="1:14" ht="12.75">
      <c r="A284" s="15"/>
      <c r="B284" s="99"/>
      <c r="C284" s="47"/>
      <c r="D284" s="47"/>
      <c r="F284" s="16"/>
      <c r="K284" s="16"/>
      <c r="L284" s="9"/>
      <c r="N284" s="40"/>
    </row>
    <row r="285" spans="1:14" ht="12.75">
      <c r="A285" s="15"/>
      <c r="B285" s="99"/>
      <c r="C285" s="47"/>
      <c r="D285" s="47"/>
      <c r="F285" s="16"/>
      <c r="K285" s="16"/>
      <c r="L285" s="9"/>
      <c r="N285" s="40"/>
    </row>
    <row r="286" spans="1:14" ht="12.75">
      <c r="A286" s="15"/>
      <c r="B286" s="99"/>
      <c r="C286" s="47"/>
      <c r="D286" s="47"/>
      <c r="F286" s="16"/>
      <c r="K286" s="16"/>
      <c r="L286" s="9"/>
      <c r="N286" s="40"/>
    </row>
    <row r="287" spans="1:14" ht="12.75">
      <c r="A287" s="15"/>
      <c r="B287" s="99"/>
      <c r="C287" s="47"/>
      <c r="D287" s="47"/>
      <c r="F287" s="16"/>
      <c r="K287" s="16"/>
      <c r="L287" s="9"/>
      <c r="N287" s="40"/>
    </row>
    <row r="288" spans="1:14" ht="12.75">
      <c r="A288" s="15"/>
      <c r="B288" s="99"/>
      <c r="C288" s="47"/>
      <c r="D288" s="47"/>
      <c r="F288" s="16"/>
      <c r="K288" s="16"/>
      <c r="L288" s="9"/>
      <c r="N288" s="40"/>
    </row>
    <row r="289" spans="1:14" ht="12.75">
      <c r="A289" s="15"/>
      <c r="B289" s="99"/>
      <c r="C289" s="47"/>
      <c r="D289" s="47"/>
      <c r="F289" s="16"/>
      <c r="K289" s="16"/>
      <c r="L289" s="9"/>
      <c r="N289" s="40"/>
    </row>
    <row r="290" spans="1:14" ht="12.75">
      <c r="A290" s="15"/>
      <c r="B290" s="99"/>
      <c r="C290" s="47"/>
      <c r="D290" s="47"/>
      <c r="F290" s="16"/>
      <c r="K290" s="16"/>
      <c r="L290" s="9"/>
      <c r="N290" s="40"/>
    </row>
    <row r="291" spans="1:14" ht="12.75">
      <c r="A291" s="15"/>
      <c r="B291" s="99"/>
      <c r="C291" s="47"/>
      <c r="D291" s="47"/>
      <c r="F291" s="16"/>
      <c r="K291" s="16"/>
      <c r="L291" s="9"/>
      <c r="N291" s="40"/>
    </row>
    <row r="292" spans="1:14" ht="12.75">
      <c r="A292" s="15"/>
      <c r="B292" s="99"/>
      <c r="C292" s="47"/>
      <c r="D292" s="47"/>
      <c r="F292" s="16"/>
      <c r="K292" s="16"/>
      <c r="L292" s="9"/>
      <c r="N292" s="40"/>
    </row>
    <row r="293" spans="1:14" ht="12.75">
      <c r="A293" s="15"/>
      <c r="B293" s="99"/>
      <c r="C293" s="47"/>
      <c r="D293" s="47"/>
      <c r="F293" s="16"/>
      <c r="K293" s="16"/>
      <c r="L293" s="9"/>
      <c r="N293" s="40"/>
    </row>
    <row r="294" spans="1:14" ht="12.75">
      <c r="A294" s="15"/>
      <c r="B294" s="99"/>
      <c r="C294" s="47"/>
      <c r="D294" s="47"/>
      <c r="F294" s="16"/>
      <c r="K294" s="16"/>
      <c r="L294" s="9"/>
      <c r="N294" s="40"/>
    </row>
    <row r="295" spans="1:14" ht="12.75">
      <c r="A295" s="15"/>
      <c r="B295" s="99"/>
      <c r="C295" s="47"/>
      <c r="D295" s="47"/>
      <c r="F295" s="16"/>
      <c r="K295" s="16"/>
      <c r="L295" s="9"/>
      <c r="N295" s="40"/>
    </row>
    <row r="296" spans="1:14" ht="12.75">
      <c r="A296" s="15"/>
      <c r="B296" s="99"/>
      <c r="C296" s="47"/>
      <c r="D296" s="47"/>
      <c r="F296" s="16"/>
      <c r="K296" s="16"/>
      <c r="L296" s="9"/>
      <c r="N296" s="40"/>
    </row>
    <row r="297" spans="1:14" ht="12.75">
      <c r="A297" s="15"/>
      <c r="B297" s="99"/>
      <c r="C297" s="47"/>
      <c r="D297" s="47"/>
      <c r="F297" s="16"/>
      <c r="K297" s="16"/>
      <c r="L297" s="9"/>
      <c r="N297" s="40"/>
    </row>
    <row r="298" spans="1:14" ht="12.75">
      <c r="A298" s="15"/>
      <c r="B298" s="99"/>
      <c r="C298" s="47"/>
      <c r="D298" s="47"/>
      <c r="F298" s="16"/>
      <c r="K298" s="16"/>
      <c r="L298" s="9"/>
      <c r="N298" s="40"/>
    </row>
    <row r="299" spans="1:14" ht="12.75">
      <c r="A299" s="15"/>
      <c r="B299" s="99"/>
      <c r="C299" s="47"/>
      <c r="D299" s="47"/>
      <c r="F299" s="16"/>
      <c r="K299" s="16"/>
      <c r="L299" s="9"/>
      <c r="N299" s="40"/>
    </row>
    <row r="300" spans="1:14" ht="12.75">
      <c r="A300" s="15"/>
      <c r="B300" s="99"/>
      <c r="C300" s="47"/>
      <c r="D300" s="47"/>
      <c r="F300" s="16"/>
      <c r="K300" s="16"/>
      <c r="L300" s="9"/>
      <c r="N300" s="40"/>
    </row>
    <row r="301" spans="1:14" ht="12.75">
      <c r="A301" s="15"/>
      <c r="B301" s="99"/>
      <c r="C301" s="47"/>
      <c r="D301" s="47"/>
      <c r="F301" s="16"/>
      <c r="K301" s="16"/>
      <c r="L301" s="9"/>
      <c r="N301" s="40"/>
    </row>
    <row r="302" spans="1:14" ht="12.75">
      <c r="A302" s="15"/>
      <c r="B302" s="99"/>
      <c r="C302" s="47"/>
      <c r="D302" s="47"/>
      <c r="F302" s="16"/>
      <c r="K302" s="16"/>
      <c r="L302" s="9"/>
      <c r="N302" s="40"/>
    </row>
    <row r="303" spans="1:14" ht="12.75">
      <c r="A303" s="15"/>
      <c r="B303" s="99"/>
      <c r="C303" s="47"/>
      <c r="D303" s="47"/>
      <c r="F303" s="16"/>
      <c r="K303" s="16"/>
      <c r="L303" s="9"/>
      <c r="N303" s="40"/>
    </row>
    <row r="304" spans="1:14" ht="12.75">
      <c r="A304" s="15"/>
      <c r="B304" s="99"/>
      <c r="C304" s="47"/>
      <c r="D304" s="47"/>
      <c r="F304" s="16"/>
      <c r="K304" s="16"/>
      <c r="L304" s="9"/>
      <c r="N304" s="40"/>
    </row>
    <row r="305" spans="1:14" ht="12.75">
      <c r="A305" s="15"/>
      <c r="B305" s="99"/>
      <c r="C305" s="47"/>
      <c r="D305" s="47"/>
      <c r="F305" s="16"/>
      <c r="K305" s="16"/>
      <c r="L305" s="9"/>
      <c r="N305" s="40"/>
    </row>
    <row r="306" spans="1:14" ht="12.75">
      <c r="A306" s="15"/>
      <c r="B306" s="99"/>
      <c r="C306" s="47"/>
      <c r="D306" s="47"/>
      <c r="F306" s="16"/>
      <c r="K306" s="16"/>
      <c r="L306" s="9"/>
      <c r="N306" s="40"/>
    </row>
    <row r="307" spans="1:14" ht="12.75">
      <c r="A307" s="15"/>
      <c r="B307" s="99"/>
      <c r="C307" s="47"/>
      <c r="D307" s="47"/>
      <c r="F307" s="16"/>
      <c r="K307" s="16"/>
      <c r="L307" s="9"/>
      <c r="N307" s="40"/>
    </row>
    <row r="308" spans="1:14" ht="12.75">
      <c r="A308" s="15"/>
      <c r="B308" s="99"/>
      <c r="C308" s="47"/>
      <c r="D308" s="47"/>
      <c r="F308" s="16"/>
      <c r="K308" s="16"/>
      <c r="L308" s="9"/>
      <c r="N308" s="40"/>
    </row>
    <row r="309" spans="1:14" ht="12.75">
      <c r="A309" s="15"/>
      <c r="B309" s="99"/>
      <c r="C309" s="47"/>
      <c r="D309" s="47"/>
      <c r="F309" s="16"/>
      <c r="K309" s="16"/>
      <c r="L309" s="9"/>
      <c r="N309" s="40"/>
    </row>
    <row r="310" spans="1:14" ht="12.75">
      <c r="A310" s="15"/>
      <c r="B310" s="99"/>
      <c r="C310" s="47"/>
      <c r="D310" s="47"/>
      <c r="F310" s="16"/>
      <c r="K310" s="16"/>
      <c r="L310" s="9"/>
      <c r="N310" s="40"/>
    </row>
    <row r="311" spans="1:14" ht="12.75">
      <c r="A311" s="15"/>
      <c r="B311" s="99"/>
      <c r="C311" s="47"/>
      <c r="D311" s="47"/>
      <c r="F311" s="16"/>
      <c r="K311" s="16"/>
      <c r="L311" s="9"/>
      <c r="N311" s="40"/>
    </row>
    <row r="312" spans="1:14" ht="12.75">
      <c r="A312" s="15"/>
      <c r="B312" s="99"/>
      <c r="C312" s="47"/>
      <c r="D312" s="47"/>
      <c r="F312" s="16"/>
      <c r="K312" s="16"/>
      <c r="L312" s="9"/>
      <c r="N312" s="40"/>
    </row>
    <row r="313" spans="1:14" ht="12.75">
      <c r="A313" s="15"/>
      <c r="B313" s="99"/>
      <c r="C313" s="47"/>
      <c r="D313" s="47"/>
      <c r="F313" s="16"/>
      <c r="K313" s="16"/>
      <c r="L313" s="9"/>
      <c r="N313" s="40"/>
    </row>
    <row r="314" spans="1:14" ht="12.75">
      <c r="A314" s="15"/>
      <c r="B314" s="99"/>
      <c r="C314" s="47"/>
      <c r="D314" s="47"/>
      <c r="F314" s="16"/>
      <c r="K314" s="16"/>
      <c r="L314" s="9"/>
      <c r="N314" s="40"/>
    </row>
    <row r="315" spans="1:14" ht="12.75">
      <c r="A315" s="15"/>
      <c r="B315" s="99"/>
      <c r="C315" s="47"/>
      <c r="D315" s="47"/>
      <c r="F315" s="16"/>
      <c r="K315" s="16"/>
      <c r="L315" s="9"/>
      <c r="N315" s="40"/>
    </row>
    <row r="316" spans="1:14" ht="12.75">
      <c r="A316" s="15"/>
      <c r="B316" s="99"/>
      <c r="C316" s="47"/>
      <c r="D316" s="47"/>
      <c r="F316" s="16"/>
      <c r="K316" s="16"/>
      <c r="L316" s="9"/>
      <c r="N316" s="40"/>
    </row>
    <row r="317" spans="1:14" ht="12.75">
      <c r="A317" s="15"/>
      <c r="B317" s="99"/>
      <c r="C317" s="47"/>
      <c r="D317" s="47"/>
      <c r="F317" s="16"/>
      <c r="K317" s="16"/>
      <c r="L317" s="9"/>
      <c r="N317" s="40"/>
    </row>
    <row r="318" spans="1:14" ht="12.75">
      <c r="A318" s="15"/>
      <c r="B318" s="99"/>
      <c r="C318" s="47"/>
      <c r="D318" s="47"/>
      <c r="F318" s="16"/>
      <c r="K318" s="16"/>
      <c r="L318" s="9"/>
      <c r="N318" s="40"/>
    </row>
    <row r="319" spans="1:14" ht="12.75">
      <c r="A319" s="15"/>
      <c r="B319" s="99"/>
      <c r="C319" s="47"/>
      <c r="D319" s="47"/>
      <c r="F319" s="16"/>
      <c r="K319" s="16"/>
      <c r="L319" s="9"/>
      <c r="N319" s="40"/>
    </row>
    <row r="320" spans="1:14" ht="12.75">
      <c r="A320" s="15"/>
      <c r="B320" s="99"/>
      <c r="C320" s="47"/>
      <c r="D320" s="47"/>
      <c r="F320" s="16"/>
      <c r="K320" s="16"/>
      <c r="L320" s="9"/>
      <c r="N320" s="40"/>
    </row>
    <row r="321" spans="1:14" ht="12.75">
      <c r="A321" s="15"/>
      <c r="B321" s="99"/>
      <c r="C321" s="47"/>
      <c r="D321" s="47"/>
      <c r="F321" s="16"/>
      <c r="K321" s="16"/>
      <c r="L321" s="9"/>
      <c r="N321" s="40"/>
    </row>
    <row r="322" spans="1:14" ht="12.75">
      <c r="A322" s="15"/>
      <c r="B322" s="99"/>
      <c r="C322" s="47"/>
      <c r="D322" s="47"/>
      <c r="F322" s="16"/>
      <c r="K322" s="16"/>
      <c r="L322" s="9"/>
      <c r="N322" s="40"/>
    </row>
    <row r="323" spans="1:14" ht="12.75">
      <c r="A323" s="15"/>
      <c r="B323" s="99"/>
      <c r="C323" s="47"/>
      <c r="D323" s="47"/>
      <c r="F323" s="16"/>
      <c r="K323" s="16"/>
      <c r="L323" s="9"/>
      <c r="N323" s="40"/>
    </row>
    <row r="324" spans="1:14" ht="12.75">
      <c r="A324" s="15"/>
      <c r="B324" s="99"/>
      <c r="C324" s="47"/>
      <c r="D324" s="47"/>
      <c r="F324" s="16"/>
      <c r="K324" s="16"/>
      <c r="L324" s="9"/>
      <c r="N324" s="40"/>
    </row>
    <row r="325" spans="1:14" ht="12.75">
      <c r="A325" s="15"/>
      <c r="B325" s="99"/>
      <c r="C325" s="47"/>
      <c r="D325" s="47"/>
      <c r="F325" s="16"/>
      <c r="K325" s="16"/>
      <c r="L325" s="9"/>
      <c r="N325" s="40"/>
    </row>
    <row r="326" spans="1:14" ht="12.75">
      <c r="A326" s="15"/>
      <c r="B326" s="99"/>
      <c r="C326" s="47"/>
      <c r="D326" s="47"/>
      <c r="F326" s="16"/>
      <c r="K326" s="16"/>
      <c r="L326" s="9"/>
      <c r="N326" s="40"/>
    </row>
    <row r="327" spans="1:14" ht="12.75">
      <c r="A327" s="15"/>
      <c r="B327" s="99"/>
      <c r="C327" s="47"/>
      <c r="D327" s="47"/>
      <c r="F327" s="16"/>
      <c r="K327" s="16"/>
      <c r="L327" s="9"/>
      <c r="N327" s="40"/>
    </row>
    <row r="328" spans="1:14" ht="12.75">
      <c r="A328" s="15"/>
      <c r="B328" s="99"/>
      <c r="C328" s="47"/>
      <c r="D328" s="47"/>
      <c r="F328" s="16"/>
      <c r="K328" s="16"/>
      <c r="L328" s="9"/>
      <c r="N328" s="40"/>
    </row>
    <row r="329" spans="1:14" ht="12.75">
      <c r="A329" s="15"/>
      <c r="B329" s="99"/>
      <c r="C329" s="47"/>
      <c r="D329" s="47"/>
      <c r="F329" s="16"/>
      <c r="K329" s="16"/>
      <c r="L329" s="9"/>
      <c r="N329" s="40"/>
    </row>
    <row r="330" spans="1:14" ht="12.75">
      <c r="A330" s="15"/>
      <c r="B330" s="99"/>
      <c r="C330" s="47"/>
      <c r="D330" s="47"/>
      <c r="F330" s="16"/>
      <c r="K330" s="16"/>
      <c r="L330" s="9"/>
      <c r="N330" s="40"/>
    </row>
    <row r="331" spans="1:14" ht="12.75">
      <c r="A331" s="15"/>
      <c r="B331" s="99"/>
      <c r="C331" s="47"/>
      <c r="D331" s="47"/>
      <c r="F331" s="16"/>
      <c r="K331" s="16"/>
      <c r="L331" s="9"/>
      <c r="N331" s="40"/>
    </row>
    <row r="332" spans="1:14" ht="12.75">
      <c r="A332" s="15"/>
      <c r="B332" s="99"/>
      <c r="C332" s="47"/>
      <c r="D332" s="47"/>
      <c r="F332" s="16"/>
      <c r="K332" s="16"/>
      <c r="L332" s="9"/>
      <c r="N332" s="40"/>
    </row>
    <row r="333" spans="1:14" ht="12.75">
      <c r="A333" s="15"/>
      <c r="B333" s="99"/>
      <c r="C333" s="47"/>
      <c r="D333" s="47"/>
      <c r="F333" s="16"/>
      <c r="K333" s="16"/>
      <c r="L333" s="9"/>
      <c r="N333" s="40"/>
    </row>
    <row r="334" spans="1:14" ht="12.75">
      <c r="A334" s="15"/>
      <c r="B334" s="99"/>
      <c r="C334" s="47"/>
      <c r="D334" s="47"/>
      <c r="F334" s="16"/>
      <c r="K334" s="16"/>
      <c r="L334" s="9"/>
      <c r="N334" s="40"/>
    </row>
    <row r="335" spans="1:14" ht="12.75">
      <c r="A335" s="15"/>
      <c r="B335" s="99"/>
      <c r="C335" s="47"/>
      <c r="D335" s="47"/>
      <c r="F335" s="16"/>
      <c r="K335" s="16"/>
      <c r="L335" s="9"/>
      <c r="N335" s="40"/>
    </row>
    <row r="336" spans="1:14" ht="12.75">
      <c r="A336" s="15"/>
      <c r="B336" s="99"/>
      <c r="C336" s="47"/>
      <c r="D336" s="47"/>
      <c r="F336" s="16"/>
      <c r="K336" s="16"/>
      <c r="L336" s="9"/>
      <c r="N336" s="40"/>
    </row>
    <row r="337" spans="1:14" ht="12.75">
      <c r="A337" s="15"/>
      <c r="B337" s="99"/>
      <c r="C337" s="47"/>
      <c r="D337" s="47"/>
      <c r="F337" s="16"/>
      <c r="K337" s="16"/>
      <c r="L337" s="9"/>
      <c r="N337" s="40"/>
    </row>
    <row r="338" spans="1:14" ht="12.75">
      <c r="A338" s="15"/>
      <c r="B338" s="99"/>
      <c r="C338" s="47"/>
      <c r="D338" s="47"/>
      <c r="F338" s="16"/>
      <c r="K338" s="16"/>
      <c r="L338" s="9"/>
      <c r="N338" s="40"/>
    </row>
    <row r="339" spans="1:14" ht="12.75">
      <c r="A339" s="15"/>
      <c r="B339" s="99"/>
      <c r="C339" s="47"/>
      <c r="D339" s="47"/>
      <c r="F339" s="16"/>
      <c r="K339" s="16"/>
      <c r="L339" s="9"/>
      <c r="N339" s="40"/>
    </row>
    <row r="340" spans="1:14" ht="12.75">
      <c r="A340" s="15"/>
      <c r="B340" s="99"/>
      <c r="C340" s="47"/>
      <c r="D340" s="47"/>
      <c r="F340" s="16"/>
      <c r="K340" s="16"/>
      <c r="L340" s="9"/>
      <c r="N340" s="40"/>
    </row>
    <row r="341" spans="1:14" ht="12.75">
      <c r="A341" s="15"/>
      <c r="B341" s="99"/>
      <c r="C341" s="47"/>
      <c r="D341" s="47"/>
      <c r="F341" s="16"/>
      <c r="K341" s="16"/>
      <c r="L341" s="9"/>
      <c r="N341" s="40"/>
    </row>
    <row r="342" spans="1:14" ht="12.75">
      <c r="A342" s="15"/>
      <c r="B342" s="99"/>
      <c r="C342" s="47"/>
      <c r="D342" s="47"/>
      <c r="F342" s="16"/>
      <c r="K342" s="16"/>
      <c r="L342" s="9"/>
      <c r="N342" s="40"/>
    </row>
    <row r="343" spans="1:14" ht="12.75">
      <c r="A343" s="15"/>
      <c r="B343" s="99"/>
      <c r="C343" s="47"/>
      <c r="D343" s="47"/>
      <c r="F343" s="16"/>
      <c r="K343" s="16"/>
      <c r="L343" s="9"/>
      <c r="N343" s="40"/>
    </row>
    <row r="344" spans="1:14" ht="12.75">
      <c r="A344" s="15"/>
      <c r="B344" s="99"/>
      <c r="C344" s="47"/>
      <c r="D344" s="47"/>
      <c r="F344" s="16"/>
      <c r="K344" s="16"/>
      <c r="L344" s="9"/>
      <c r="N344" s="40"/>
    </row>
    <row r="345" spans="1:14" ht="12.75">
      <c r="A345" s="15"/>
      <c r="B345" s="99"/>
      <c r="C345" s="47"/>
      <c r="D345" s="47"/>
      <c r="F345" s="16"/>
      <c r="K345" s="16"/>
      <c r="L345" s="9"/>
      <c r="N345" s="40"/>
    </row>
    <row r="346" spans="1:14" ht="12.75">
      <c r="A346" s="15"/>
      <c r="B346" s="99"/>
      <c r="C346" s="47"/>
      <c r="D346" s="47"/>
      <c r="F346" s="16"/>
      <c r="K346" s="16"/>
      <c r="L346" s="9"/>
      <c r="N346" s="40"/>
    </row>
    <row r="347" spans="1:14" ht="12.75">
      <c r="A347" s="15"/>
      <c r="B347" s="99"/>
      <c r="C347" s="47"/>
      <c r="D347" s="47"/>
      <c r="F347" s="16"/>
      <c r="K347" s="16"/>
      <c r="L347" s="9"/>
      <c r="N347" s="40"/>
    </row>
    <row r="348" spans="1:14" ht="12.75">
      <c r="A348" s="15"/>
      <c r="B348" s="99"/>
      <c r="C348" s="47"/>
      <c r="D348" s="47"/>
      <c r="F348" s="16"/>
      <c r="K348" s="16"/>
      <c r="L348" s="9"/>
      <c r="N348" s="40"/>
    </row>
    <row r="349" spans="1:14" ht="12.75">
      <c r="A349" s="15"/>
      <c r="B349" s="99"/>
      <c r="C349" s="47"/>
      <c r="D349" s="47"/>
      <c r="F349" s="16"/>
      <c r="K349" s="16"/>
      <c r="L349" s="9"/>
      <c r="N349" s="40"/>
    </row>
    <row r="350" spans="1:14" ht="12.75">
      <c r="A350" s="15"/>
      <c r="B350" s="99"/>
      <c r="C350" s="47"/>
      <c r="D350" s="47"/>
      <c r="F350" s="16"/>
      <c r="K350" s="16"/>
      <c r="L350" s="9"/>
      <c r="N350" s="40"/>
    </row>
    <row r="351" spans="1:14" ht="12.75">
      <c r="A351" s="15"/>
      <c r="B351" s="99"/>
      <c r="C351" s="47"/>
      <c r="D351" s="47"/>
      <c r="F351" s="16"/>
      <c r="K351" s="16"/>
      <c r="L351" s="9"/>
      <c r="N351" s="40"/>
    </row>
    <row r="352" spans="1:14" ht="12.75">
      <c r="A352" s="15"/>
      <c r="B352" s="99"/>
      <c r="C352" s="47"/>
      <c r="D352" s="47"/>
      <c r="F352" s="16"/>
      <c r="K352" s="16"/>
      <c r="L352" s="9"/>
      <c r="N352" s="40"/>
    </row>
    <row r="353" spans="1:14" ht="12.75">
      <c r="A353" s="15"/>
      <c r="B353" s="99"/>
      <c r="C353" s="47"/>
      <c r="D353" s="47"/>
      <c r="F353" s="16"/>
      <c r="K353" s="16"/>
      <c r="L353" s="9"/>
      <c r="N353" s="40"/>
    </row>
    <row r="354" spans="1:14" ht="12.75">
      <c r="A354" s="15"/>
      <c r="B354" s="99"/>
      <c r="C354" s="47"/>
      <c r="D354" s="47"/>
      <c r="F354" s="16"/>
      <c r="K354" s="16"/>
      <c r="L354" s="9"/>
      <c r="N354" s="40"/>
    </row>
    <row r="355" spans="1:14" ht="12.75">
      <c r="A355" s="15"/>
      <c r="B355" s="99"/>
      <c r="C355" s="47"/>
      <c r="D355" s="47"/>
      <c r="F355" s="16"/>
      <c r="K355" s="16"/>
      <c r="L355" s="9"/>
      <c r="N355" s="40"/>
    </row>
    <row r="356" spans="1:14" ht="12.75">
      <c r="A356" s="15"/>
      <c r="B356" s="99"/>
      <c r="C356" s="47"/>
      <c r="D356" s="47"/>
      <c r="F356" s="16"/>
      <c r="K356" s="16"/>
      <c r="L356" s="9"/>
      <c r="N356" s="40"/>
    </row>
    <row r="357" spans="1:14" ht="12.75">
      <c r="A357" s="15"/>
      <c r="B357" s="99"/>
      <c r="C357" s="47"/>
      <c r="D357" s="47"/>
      <c r="F357" s="16"/>
      <c r="K357" s="16"/>
      <c r="L357" s="9"/>
      <c r="N357" s="40"/>
    </row>
    <row r="358" spans="1:14" ht="12.75">
      <c r="A358" s="15"/>
      <c r="B358" s="99"/>
      <c r="C358" s="47"/>
      <c r="D358" s="47"/>
      <c r="F358" s="16"/>
      <c r="K358" s="16"/>
      <c r="L358" s="9"/>
      <c r="N358" s="40"/>
    </row>
    <row r="359" spans="1:14" ht="12.75">
      <c r="A359" s="15"/>
      <c r="B359" s="99"/>
      <c r="C359" s="47"/>
      <c r="D359" s="47"/>
      <c r="F359" s="16"/>
      <c r="K359" s="16"/>
      <c r="L359" s="9"/>
      <c r="N359" s="40"/>
    </row>
    <row r="360" spans="1:14" ht="12.75">
      <c r="A360" s="15"/>
      <c r="B360" s="99"/>
      <c r="C360" s="47"/>
      <c r="D360" s="47"/>
      <c r="F360" s="16"/>
      <c r="K360" s="16"/>
      <c r="L360" s="9"/>
      <c r="N360" s="40"/>
    </row>
    <row r="361" spans="1:14" ht="12.75">
      <c r="A361" s="15"/>
      <c r="B361" s="99"/>
      <c r="C361" s="47"/>
      <c r="D361" s="47"/>
      <c r="F361" s="16"/>
      <c r="K361" s="16"/>
      <c r="L361" s="9"/>
      <c r="N361" s="40"/>
    </row>
    <row r="362" spans="1:14" ht="12.75">
      <c r="A362" s="15"/>
      <c r="B362" s="99"/>
      <c r="C362" s="47"/>
      <c r="D362" s="47"/>
      <c r="F362" s="16"/>
      <c r="K362" s="16"/>
      <c r="L362" s="9"/>
      <c r="N362" s="40"/>
    </row>
    <row r="363" spans="1:14" ht="12.75">
      <c r="A363" s="15"/>
      <c r="B363" s="99"/>
      <c r="C363" s="47"/>
      <c r="D363" s="47"/>
      <c r="F363" s="16"/>
      <c r="K363" s="16"/>
      <c r="L363" s="9"/>
      <c r="N363" s="40"/>
    </row>
    <row r="364" spans="1:14" ht="12.75">
      <c r="A364" s="15"/>
      <c r="B364" s="99"/>
      <c r="C364" s="47"/>
      <c r="D364" s="47"/>
      <c r="F364" s="16"/>
      <c r="K364" s="16"/>
      <c r="L364" s="9"/>
      <c r="N364" s="40"/>
    </row>
    <row r="365" spans="1:14" ht="12.75">
      <c r="A365" s="15"/>
      <c r="B365" s="99"/>
      <c r="C365" s="47"/>
      <c r="D365" s="47"/>
      <c r="F365" s="16"/>
      <c r="K365" s="16"/>
      <c r="L365" s="9"/>
      <c r="N365" s="40"/>
    </row>
    <row r="366" spans="1:14" ht="12.75">
      <c r="A366" s="15"/>
      <c r="B366" s="99"/>
      <c r="C366" s="47"/>
      <c r="D366" s="47"/>
      <c r="F366" s="16"/>
      <c r="K366" s="16"/>
      <c r="L366" s="9"/>
      <c r="N366" s="40"/>
    </row>
    <row r="367" spans="1:14" ht="12.75">
      <c r="A367" s="15"/>
      <c r="B367" s="99"/>
      <c r="C367" s="47"/>
      <c r="D367" s="47"/>
      <c r="F367" s="16"/>
      <c r="K367" s="16"/>
      <c r="L367" s="9"/>
      <c r="N367" s="40"/>
    </row>
    <row r="368" spans="1:14" ht="12.75">
      <c r="A368" s="15"/>
      <c r="B368" s="99"/>
      <c r="C368" s="47"/>
      <c r="D368" s="47"/>
      <c r="F368" s="16"/>
      <c r="K368" s="16"/>
      <c r="L368" s="9"/>
      <c r="N368" s="40"/>
    </row>
    <row r="369" spans="1:14" ht="12.75">
      <c r="A369" s="15"/>
      <c r="B369" s="99"/>
      <c r="C369" s="47"/>
      <c r="D369" s="47"/>
      <c r="F369" s="16"/>
      <c r="K369" s="16"/>
      <c r="L369" s="9"/>
      <c r="N369" s="40"/>
    </row>
    <row r="370" spans="1:14" ht="12.75">
      <c r="A370" s="15"/>
      <c r="B370" s="99"/>
      <c r="C370" s="47"/>
      <c r="D370" s="47"/>
      <c r="F370" s="16"/>
      <c r="K370" s="16"/>
      <c r="L370" s="9"/>
      <c r="N370" s="40"/>
    </row>
    <row r="371" spans="1:14" ht="12.75">
      <c r="A371" s="15"/>
      <c r="B371" s="99"/>
      <c r="C371" s="47"/>
      <c r="D371" s="47"/>
      <c r="F371" s="16"/>
      <c r="K371" s="16"/>
      <c r="L371" s="9"/>
      <c r="N371" s="40"/>
    </row>
    <row r="372" spans="1:14" ht="12.75">
      <c r="A372" s="15"/>
      <c r="B372" s="99"/>
      <c r="C372" s="47"/>
      <c r="D372" s="47"/>
      <c r="F372" s="16"/>
      <c r="K372" s="16"/>
      <c r="L372" s="9"/>
      <c r="N372" s="40"/>
    </row>
    <row r="373" spans="1:14" ht="12.75">
      <c r="A373" s="15"/>
      <c r="B373" s="99"/>
      <c r="C373" s="47"/>
      <c r="D373" s="47"/>
      <c r="F373" s="16"/>
      <c r="K373" s="16"/>
      <c r="L373" s="9"/>
      <c r="N373" s="40"/>
    </row>
    <row r="374" spans="1:14" ht="12.75">
      <c r="A374" s="15"/>
      <c r="B374" s="99"/>
      <c r="C374" s="47"/>
      <c r="D374" s="47"/>
      <c r="F374" s="16"/>
      <c r="K374" s="16"/>
      <c r="L374" s="9"/>
      <c r="N374" s="40"/>
    </row>
    <row r="375" spans="1:14" ht="12.75">
      <c r="A375" s="15"/>
      <c r="B375" s="99"/>
      <c r="C375" s="47"/>
      <c r="D375" s="47"/>
      <c r="F375" s="16"/>
      <c r="K375" s="16"/>
      <c r="L375" s="9"/>
      <c r="N375" s="40"/>
    </row>
    <row r="376" spans="1:14" ht="12.75">
      <c r="A376" s="15"/>
      <c r="B376" s="99"/>
      <c r="C376" s="47"/>
      <c r="D376" s="47"/>
      <c r="F376" s="16"/>
      <c r="K376" s="16"/>
      <c r="L376" s="9"/>
      <c r="N376" s="40"/>
    </row>
    <row r="377" spans="1:14" ht="12.75">
      <c r="A377" s="15"/>
      <c r="B377" s="99"/>
      <c r="C377" s="47"/>
      <c r="D377" s="47"/>
      <c r="F377" s="16"/>
      <c r="K377" s="16"/>
      <c r="L377" s="9"/>
      <c r="N377" s="40"/>
    </row>
    <row r="378" spans="1:14" ht="12.75">
      <c r="A378" s="15"/>
      <c r="B378" s="99"/>
      <c r="C378" s="47"/>
      <c r="D378" s="47"/>
      <c r="F378" s="16"/>
      <c r="K378" s="16"/>
      <c r="L378" s="9"/>
      <c r="N378" s="40"/>
    </row>
    <row r="379" spans="1:14" ht="12.75">
      <c r="A379" s="15"/>
      <c r="B379" s="99"/>
      <c r="C379" s="47"/>
      <c r="D379" s="47"/>
      <c r="F379" s="16"/>
      <c r="K379" s="16"/>
      <c r="L379" s="9"/>
      <c r="N379" s="40"/>
    </row>
    <row r="380" spans="1:14" ht="12.75">
      <c r="A380" s="15"/>
      <c r="B380" s="99"/>
      <c r="C380" s="47"/>
      <c r="D380" s="47"/>
      <c r="F380" s="16"/>
      <c r="K380" s="16"/>
      <c r="L380" s="9"/>
      <c r="N380" s="40"/>
    </row>
    <row r="381" spans="1:14" ht="12.75">
      <c r="A381" s="15"/>
      <c r="B381" s="99"/>
      <c r="C381" s="47"/>
      <c r="D381" s="47"/>
      <c r="F381" s="16"/>
      <c r="K381" s="16"/>
      <c r="L381" s="9"/>
      <c r="N381" s="40"/>
    </row>
    <row r="382" spans="1:14" ht="12.75">
      <c r="A382" s="15"/>
      <c r="B382" s="99"/>
      <c r="C382" s="47"/>
      <c r="D382" s="47"/>
      <c r="F382" s="16"/>
      <c r="K382" s="16"/>
      <c r="L382" s="9"/>
      <c r="N382" s="40"/>
    </row>
    <row r="383" spans="1:14" ht="12.75">
      <c r="A383" s="15"/>
      <c r="B383" s="99"/>
      <c r="C383" s="47"/>
      <c r="D383" s="47"/>
      <c r="F383" s="16"/>
      <c r="K383" s="16"/>
      <c r="L383" s="9"/>
      <c r="N383" s="40"/>
    </row>
    <row r="384" spans="1:14" ht="12.75">
      <c r="A384" s="15"/>
      <c r="B384" s="99"/>
      <c r="C384" s="47"/>
      <c r="D384" s="47"/>
      <c r="F384" s="16"/>
      <c r="K384" s="16"/>
      <c r="L384" s="9"/>
      <c r="N384" s="40"/>
    </row>
    <row r="385" spans="1:14" ht="12.75">
      <c r="A385" s="15"/>
      <c r="B385" s="99"/>
      <c r="C385" s="47"/>
      <c r="D385" s="47"/>
      <c r="F385" s="16"/>
      <c r="K385" s="16"/>
      <c r="L385" s="9"/>
      <c r="N385" s="40"/>
    </row>
    <row r="386" spans="1:14" ht="12.75">
      <c r="A386" s="15"/>
      <c r="B386" s="99"/>
      <c r="C386" s="47"/>
      <c r="D386" s="47"/>
      <c r="F386" s="16"/>
      <c r="K386" s="16"/>
      <c r="L386" s="9"/>
      <c r="N386" s="40"/>
    </row>
    <row r="387" spans="1:14" ht="12.75">
      <c r="A387" s="15"/>
      <c r="B387" s="99"/>
      <c r="C387" s="47"/>
      <c r="D387" s="47"/>
      <c r="F387" s="16"/>
      <c r="K387" s="16"/>
      <c r="L387" s="9"/>
      <c r="N387" s="40"/>
    </row>
    <row r="388" spans="1:14" ht="12.75">
      <c r="A388" s="15"/>
      <c r="B388" s="99"/>
      <c r="C388" s="47"/>
      <c r="D388" s="47"/>
      <c r="F388" s="16"/>
      <c r="K388" s="16"/>
      <c r="L388" s="9"/>
      <c r="N388" s="40"/>
    </row>
    <row r="389" spans="1:14" ht="12.75">
      <c r="A389" s="15"/>
      <c r="B389" s="99"/>
      <c r="C389" s="47"/>
      <c r="D389" s="47"/>
      <c r="F389" s="16"/>
      <c r="K389" s="16"/>
      <c r="L389" s="9"/>
      <c r="N389" s="40"/>
    </row>
    <row r="390" spans="1:14" ht="12.75">
      <c r="A390" s="15"/>
      <c r="B390" s="99"/>
      <c r="C390" s="47"/>
      <c r="D390" s="47"/>
      <c r="F390" s="16"/>
      <c r="K390" s="16"/>
      <c r="L390" s="9"/>
      <c r="N390" s="40"/>
    </row>
    <row r="391" spans="1:14" ht="12.75">
      <c r="A391" s="15"/>
      <c r="B391" s="99"/>
      <c r="C391" s="47"/>
      <c r="D391" s="47"/>
      <c r="F391" s="16"/>
      <c r="K391" s="16"/>
      <c r="L391" s="9"/>
      <c r="N391" s="40"/>
    </row>
    <row r="392" spans="1:14" ht="12.75">
      <c r="A392" s="15"/>
      <c r="B392" s="99"/>
      <c r="C392" s="47"/>
      <c r="D392" s="47"/>
      <c r="F392" s="16"/>
      <c r="K392" s="16"/>
      <c r="L392" s="9"/>
      <c r="N392" s="40"/>
    </row>
    <row r="393" spans="1:14" ht="12.75">
      <c r="A393" s="15"/>
      <c r="B393" s="99"/>
      <c r="C393" s="47"/>
      <c r="D393" s="47"/>
      <c r="F393" s="16"/>
      <c r="K393" s="16"/>
      <c r="L393" s="9"/>
      <c r="N393" s="40"/>
    </row>
    <row r="394" spans="1:14" ht="12.75">
      <c r="A394" s="15"/>
      <c r="B394" s="99"/>
      <c r="C394" s="47"/>
      <c r="D394" s="47"/>
      <c r="F394" s="16"/>
      <c r="K394" s="16"/>
      <c r="L394" s="9"/>
      <c r="N394" s="40"/>
    </row>
    <row r="395" spans="1:14" ht="12.75">
      <c r="A395" s="15"/>
      <c r="B395" s="99"/>
      <c r="C395" s="47"/>
      <c r="D395" s="47"/>
      <c r="F395" s="16"/>
      <c r="K395" s="16"/>
      <c r="L395" s="9"/>
      <c r="N395" s="40"/>
    </row>
    <row r="396" spans="1:14" ht="12.75">
      <c r="A396" s="15"/>
      <c r="B396" s="99"/>
      <c r="C396" s="47"/>
      <c r="D396" s="47"/>
      <c r="F396" s="16"/>
      <c r="K396" s="16"/>
      <c r="L396" s="9"/>
      <c r="N396" s="40"/>
    </row>
    <row r="397" spans="1:14" ht="12.75">
      <c r="A397" s="15"/>
      <c r="B397" s="99"/>
      <c r="C397" s="47"/>
      <c r="D397" s="47"/>
      <c r="F397" s="16"/>
      <c r="K397" s="16"/>
      <c r="L397" s="9"/>
      <c r="N397" s="40"/>
    </row>
    <row r="398" spans="1:14" ht="12.75">
      <c r="A398" s="15"/>
      <c r="B398" s="99"/>
      <c r="C398" s="47"/>
      <c r="D398" s="47"/>
      <c r="F398" s="16"/>
      <c r="K398" s="16"/>
      <c r="L398" s="9"/>
      <c r="N398" s="40"/>
    </row>
    <row r="399" spans="1:14" ht="12.75">
      <c r="A399" s="15"/>
      <c r="B399" s="99"/>
      <c r="C399" s="47"/>
      <c r="D399" s="47"/>
      <c r="F399" s="16"/>
      <c r="K399" s="16"/>
      <c r="L399" s="9"/>
      <c r="N399" s="40"/>
    </row>
    <row r="400" spans="1:14" ht="12.75">
      <c r="A400" s="15"/>
      <c r="B400" s="99"/>
      <c r="C400" s="47"/>
      <c r="D400" s="47"/>
      <c r="F400" s="16"/>
      <c r="K400" s="16"/>
      <c r="L400" s="9"/>
      <c r="N400" s="40"/>
    </row>
    <row r="401" spans="1:14" ht="12.75">
      <c r="A401" s="15"/>
      <c r="B401" s="99"/>
      <c r="C401" s="47"/>
      <c r="D401" s="47"/>
      <c r="F401" s="16"/>
      <c r="K401" s="16"/>
      <c r="L401" s="9"/>
      <c r="N401" s="40"/>
    </row>
    <row r="402" spans="1:14" ht="12.75">
      <c r="A402" s="15"/>
      <c r="B402" s="99"/>
      <c r="C402" s="47"/>
      <c r="D402" s="47"/>
      <c r="F402" s="16"/>
      <c r="K402" s="16"/>
      <c r="L402" s="9"/>
      <c r="N402" s="40"/>
    </row>
    <row r="403" spans="1:14" ht="12.75">
      <c r="A403" s="15"/>
      <c r="B403" s="99"/>
      <c r="C403" s="47"/>
      <c r="D403" s="47"/>
      <c r="F403" s="16"/>
      <c r="K403" s="16"/>
      <c r="L403" s="9"/>
      <c r="N403" s="40"/>
    </row>
    <row r="404" spans="1:14" ht="12.75">
      <c r="A404" s="15"/>
      <c r="B404" s="99"/>
      <c r="C404" s="47"/>
      <c r="D404" s="47"/>
      <c r="F404" s="16"/>
      <c r="K404" s="16"/>
      <c r="L404" s="9"/>
      <c r="N404" s="40"/>
    </row>
    <row r="405" spans="1:14" ht="12.75">
      <c r="A405" s="15"/>
      <c r="B405" s="99"/>
      <c r="C405" s="47"/>
      <c r="D405" s="47"/>
      <c r="F405" s="16"/>
      <c r="K405" s="16"/>
      <c r="L405" s="9"/>
      <c r="N405" s="40"/>
    </row>
    <row r="406" spans="1:14" ht="12.75">
      <c r="A406" s="15"/>
      <c r="B406" s="99"/>
      <c r="C406" s="47"/>
      <c r="D406" s="47"/>
      <c r="F406" s="16"/>
      <c r="K406" s="16"/>
      <c r="L406" s="9"/>
      <c r="N406" s="40"/>
    </row>
    <row r="407" spans="1:14" ht="12.75">
      <c r="A407" s="15"/>
      <c r="B407" s="99"/>
      <c r="C407" s="47"/>
      <c r="D407" s="47"/>
      <c r="F407" s="16"/>
      <c r="K407" s="16"/>
      <c r="L407" s="9"/>
      <c r="N407" s="40"/>
    </row>
    <row r="408" spans="1:14" ht="12.75">
      <c r="A408" s="15"/>
      <c r="B408" s="99"/>
      <c r="C408" s="47"/>
      <c r="D408" s="47"/>
      <c r="F408" s="16"/>
      <c r="K408" s="16"/>
      <c r="L408" s="9"/>
      <c r="N408" s="40"/>
    </row>
    <row r="409" spans="1:14" ht="12.75">
      <c r="A409" s="15"/>
      <c r="B409" s="99"/>
      <c r="C409" s="47"/>
      <c r="D409" s="47"/>
      <c r="F409" s="16"/>
      <c r="K409" s="16"/>
      <c r="L409" s="9"/>
      <c r="N409" s="40"/>
    </row>
    <row r="410" spans="1:14" ht="12.75">
      <c r="A410" s="15"/>
      <c r="B410" s="99"/>
      <c r="C410" s="47"/>
      <c r="D410" s="47"/>
      <c r="F410" s="16"/>
      <c r="K410" s="16"/>
      <c r="L410" s="9"/>
      <c r="N410" s="40"/>
    </row>
    <row r="411" spans="1:14" ht="12.75">
      <c r="A411" s="15"/>
      <c r="B411" s="99"/>
      <c r="C411" s="47"/>
      <c r="D411" s="47"/>
      <c r="F411" s="16"/>
      <c r="K411" s="16"/>
      <c r="L411" s="9"/>
      <c r="N411" s="40"/>
    </row>
    <row r="412" spans="1:14" ht="12.75">
      <c r="A412" s="15"/>
      <c r="B412" s="99"/>
      <c r="C412" s="47"/>
      <c r="D412" s="47"/>
      <c r="F412" s="16"/>
      <c r="K412" s="16"/>
      <c r="L412" s="9"/>
      <c r="N412" s="40"/>
    </row>
    <row r="413" spans="1:14" ht="12.75">
      <c r="A413" s="15"/>
      <c r="B413" s="99"/>
      <c r="C413" s="47"/>
      <c r="D413" s="47"/>
      <c r="F413" s="16"/>
      <c r="K413" s="16"/>
      <c r="L413" s="9"/>
      <c r="N413" s="40"/>
    </row>
    <row r="414" spans="1:14" ht="12.75">
      <c r="A414" s="15"/>
      <c r="B414" s="99"/>
      <c r="C414" s="47"/>
      <c r="D414" s="47"/>
      <c r="F414" s="16"/>
      <c r="K414" s="16"/>
      <c r="L414" s="9"/>
      <c r="N414" s="40"/>
    </row>
    <row r="415" spans="1:14" ht="12.75">
      <c r="A415" s="15"/>
      <c r="B415" s="99"/>
      <c r="C415" s="47"/>
      <c r="D415" s="47"/>
      <c r="F415" s="16"/>
      <c r="K415" s="16"/>
      <c r="L415" s="9"/>
      <c r="N415" s="40"/>
    </row>
    <row r="416" spans="1:14" ht="12.75">
      <c r="A416" s="15"/>
      <c r="B416" s="99"/>
      <c r="C416" s="47"/>
      <c r="D416" s="47"/>
      <c r="F416" s="16"/>
      <c r="K416" s="16"/>
      <c r="L416" s="9"/>
      <c r="N416" s="40"/>
    </row>
    <row r="417" spans="1:14" ht="12.75">
      <c r="A417" s="15"/>
      <c r="B417" s="99"/>
      <c r="C417" s="47"/>
      <c r="D417" s="47"/>
      <c r="F417" s="16"/>
      <c r="K417" s="16"/>
      <c r="L417" s="9"/>
      <c r="N417" s="40"/>
    </row>
    <row r="418" spans="1:14" ht="12.75">
      <c r="A418" s="15"/>
      <c r="B418" s="99"/>
      <c r="C418" s="47"/>
      <c r="D418" s="47"/>
      <c r="F418" s="16"/>
      <c r="K418" s="16"/>
      <c r="L418" s="9"/>
      <c r="N418" s="40"/>
    </row>
    <row r="419" spans="1:14" ht="12.75">
      <c r="A419" s="15"/>
      <c r="B419" s="99"/>
      <c r="C419" s="47"/>
      <c r="D419" s="47"/>
      <c r="F419" s="16"/>
      <c r="K419" s="16"/>
      <c r="L419" s="9"/>
      <c r="N419" s="40"/>
    </row>
    <row r="420" spans="1:14" ht="12.75">
      <c r="A420" s="15"/>
      <c r="B420" s="99"/>
      <c r="C420" s="47"/>
      <c r="D420" s="47"/>
      <c r="F420" s="16"/>
      <c r="K420" s="16"/>
      <c r="L420" s="9"/>
      <c r="N420" s="40"/>
    </row>
    <row r="421" spans="1:14" ht="12.75">
      <c r="A421" s="15"/>
      <c r="B421" s="99"/>
      <c r="C421" s="47"/>
      <c r="D421" s="47"/>
      <c r="F421" s="16"/>
      <c r="K421" s="16"/>
      <c r="L421" s="9"/>
      <c r="N421" s="40"/>
    </row>
    <row r="422" spans="1:14" ht="12.75">
      <c r="A422" s="15"/>
      <c r="B422" s="99"/>
      <c r="C422" s="47"/>
      <c r="D422" s="47"/>
      <c r="F422" s="16"/>
      <c r="K422" s="16"/>
      <c r="L422" s="9"/>
      <c r="N422" s="40"/>
    </row>
    <row r="423" spans="1:14" ht="12.75">
      <c r="A423" s="15"/>
      <c r="B423" s="99"/>
      <c r="C423" s="47"/>
      <c r="D423" s="47"/>
      <c r="F423" s="16"/>
      <c r="K423" s="16"/>
      <c r="L423" s="9"/>
      <c r="N423" s="40"/>
    </row>
    <row r="424" spans="1:14" ht="12.75">
      <c r="A424" s="15"/>
      <c r="B424" s="99"/>
      <c r="C424" s="47"/>
      <c r="D424" s="47"/>
      <c r="F424" s="16"/>
      <c r="K424" s="16"/>
      <c r="L424" s="9"/>
      <c r="N424" s="40"/>
    </row>
    <row r="425" spans="1:14" ht="12.75">
      <c r="A425" s="15"/>
      <c r="B425" s="99"/>
      <c r="C425" s="47"/>
      <c r="D425" s="47"/>
      <c r="F425" s="16"/>
      <c r="K425" s="16"/>
      <c r="L425" s="9"/>
      <c r="N425" s="40"/>
    </row>
    <row r="426" spans="1:14" ht="12.75">
      <c r="A426" s="15"/>
      <c r="B426" s="99"/>
      <c r="C426" s="47"/>
      <c r="D426" s="47"/>
      <c r="F426" s="16"/>
      <c r="K426" s="16"/>
      <c r="L426" s="9"/>
      <c r="N426" s="40"/>
    </row>
    <row r="427" spans="1:14" ht="12.75">
      <c r="A427" s="15"/>
      <c r="B427" s="99"/>
      <c r="C427" s="47"/>
      <c r="D427" s="47"/>
      <c r="F427" s="16"/>
      <c r="K427" s="16"/>
      <c r="L427" s="9"/>
      <c r="N427" s="40"/>
    </row>
    <row r="428" spans="1:14" ht="12.75">
      <c r="A428" s="15"/>
      <c r="B428" s="99"/>
      <c r="C428" s="47"/>
      <c r="D428" s="47"/>
      <c r="F428" s="16"/>
      <c r="K428" s="16"/>
      <c r="L428" s="9"/>
      <c r="N428" s="40"/>
    </row>
    <row r="429" spans="1:14" ht="12.75">
      <c r="A429" s="15"/>
      <c r="B429" s="99"/>
      <c r="C429" s="47"/>
      <c r="D429" s="47"/>
      <c r="F429" s="16"/>
      <c r="K429" s="16"/>
      <c r="L429" s="9"/>
      <c r="N429" s="40"/>
    </row>
    <row r="430" spans="1:14" ht="12.75">
      <c r="A430" s="15"/>
      <c r="B430" s="99"/>
      <c r="C430" s="47"/>
      <c r="D430" s="47"/>
      <c r="F430" s="16"/>
      <c r="K430" s="16"/>
      <c r="L430" s="9"/>
      <c r="N430" s="40"/>
    </row>
    <row r="431" spans="1:14" ht="12.75">
      <c r="A431" s="15"/>
      <c r="B431" s="99"/>
      <c r="C431" s="47"/>
      <c r="D431" s="47"/>
      <c r="F431" s="16"/>
      <c r="K431" s="16"/>
      <c r="L431" s="9"/>
      <c r="N431" s="40"/>
    </row>
    <row r="432" spans="1:14" ht="12.75">
      <c r="A432" s="15"/>
      <c r="B432" s="99"/>
      <c r="C432" s="47"/>
      <c r="D432" s="47"/>
      <c r="F432" s="16"/>
      <c r="K432" s="16"/>
      <c r="L432" s="9"/>
      <c r="N432" s="40"/>
    </row>
    <row r="433" spans="1:14" ht="12.75">
      <c r="A433" s="15"/>
      <c r="B433" s="99"/>
      <c r="C433" s="47"/>
      <c r="D433" s="47"/>
      <c r="F433" s="16"/>
      <c r="K433" s="16"/>
      <c r="L433" s="9"/>
      <c r="N433" s="40"/>
    </row>
    <row r="434" spans="1:14" ht="12.75">
      <c r="A434" s="15"/>
      <c r="B434" s="99"/>
      <c r="C434" s="47"/>
      <c r="D434" s="47"/>
      <c r="F434" s="16"/>
      <c r="K434" s="16"/>
      <c r="L434" s="9"/>
      <c r="N434" s="40"/>
    </row>
    <row r="435" spans="1:14" ht="12.75">
      <c r="A435" s="15"/>
      <c r="B435" s="99"/>
      <c r="C435" s="47"/>
      <c r="D435" s="47"/>
      <c r="F435" s="16"/>
      <c r="K435" s="16"/>
      <c r="L435" s="9"/>
      <c r="N435" s="40"/>
    </row>
    <row r="436" spans="1:14" ht="12.75">
      <c r="A436" s="15"/>
      <c r="B436" s="99"/>
      <c r="C436" s="47"/>
      <c r="D436" s="47"/>
      <c r="F436" s="16"/>
      <c r="K436" s="16"/>
      <c r="L436" s="9"/>
      <c r="N436" s="40"/>
    </row>
    <row r="437" spans="1:14" ht="12.75">
      <c r="A437" s="15"/>
      <c r="B437" s="99"/>
      <c r="C437" s="47"/>
      <c r="D437" s="47"/>
      <c r="F437" s="16"/>
      <c r="K437" s="16"/>
      <c r="L437" s="9"/>
      <c r="N437" s="40"/>
    </row>
    <row r="438" spans="1:14" ht="12.75">
      <c r="A438" s="15"/>
      <c r="B438" s="99"/>
      <c r="C438" s="47"/>
      <c r="D438" s="47"/>
      <c r="F438" s="16"/>
      <c r="K438" s="16"/>
      <c r="L438" s="9"/>
      <c r="N438" s="40"/>
    </row>
    <row r="439" spans="1:14" ht="12.75">
      <c r="A439" s="15"/>
      <c r="B439" s="99"/>
      <c r="C439" s="47"/>
      <c r="D439" s="47"/>
      <c r="F439" s="16"/>
      <c r="K439" s="16"/>
      <c r="L439" s="9"/>
      <c r="N439" s="40"/>
    </row>
    <row r="440" spans="1:14" ht="12.75">
      <c r="A440" s="15"/>
      <c r="B440" s="99"/>
      <c r="C440" s="47"/>
      <c r="D440" s="47"/>
      <c r="F440" s="16"/>
      <c r="K440" s="16"/>
      <c r="L440" s="9"/>
      <c r="N440" s="40"/>
    </row>
    <row r="441" spans="1:14" ht="12.75">
      <c r="A441" s="15"/>
      <c r="B441" s="99"/>
      <c r="C441" s="47"/>
      <c r="D441" s="47"/>
      <c r="F441" s="16"/>
      <c r="K441" s="16"/>
      <c r="L441" s="9"/>
      <c r="N441" s="40"/>
    </row>
    <row r="442" spans="1:14" ht="12.75">
      <c r="A442" s="15"/>
      <c r="B442" s="99"/>
      <c r="C442" s="47"/>
      <c r="D442" s="47"/>
      <c r="F442" s="16"/>
      <c r="K442" s="16"/>
      <c r="L442" s="9"/>
      <c r="N442" s="40"/>
    </row>
    <row r="443" spans="1:14" ht="12.75">
      <c r="A443" s="15"/>
      <c r="B443" s="99"/>
      <c r="C443" s="47"/>
      <c r="D443" s="47"/>
      <c r="F443" s="16"/>
      <c r="K443" s="16"/>
      <c r="L443" s="9"/>
      <c r="N443" s="40"/>
    </row>
    <row r="444" spans="1:14" ht="12.75">
      <c r="A444" s="15"/>
      <c r="B444" s="99"/>
      <c r="C444" s="47"/>
      <c r="D444" s="47"/>
      <c r="F444" s="16"/>
      <c r="K444" s="16"/>
      <c r="L444" s="9"/>
      <c r="N444" s="40"/>
    </row>
    <row r="445" spans="1:14" ht="12.75">
      <c r="A445" s="15"/>
      <c r="B445" s="99"/>
      <c r="C445" s="47"/>
      <c r="D445" s="47"/>
      <c r="F445" s="16"/>
      <c r="K445" s="16"/>
      <c r="L445" s="9"/>
      <c r="N445" s="40"/>
    </row>
    <row r="446" spans="1:14" ht="12.75">
      <c r="A446" s="15"/>
      <c r="B446" s="99"/>
      <c r="C446" s="47"/>
      <c r="D446" s="47"/>
      <c r="F446" s="16"/>
      <c r="K446" s="16"/>
      <c r="L446" s="9"/>
      <c r="N446" s="40"/>
    </row>
    <row r="447" spans="1:14" ht="12.75">
      <c r="A447" s="15"/>
      <c r="B447" s="99"/>
      <c r="C447" s="47"/>
      <c r="D447" s="47"/>
      <c r="F447" s="16"/>
      <c r="K447" s="16"/>
      <c r="L447" s="9"/>
      <c r="N447" s="40"/>
    </row>
    <row r="448" spans="1:14" ht="12.75">
      <c r="A448" s="15"/>
      <c r="B448" s="99"/>
      <c r="C448" s="47"/>
      <c r="D448" s="47"/>
      <c r="F448" s="16"/>
      <c r="K448" s="16"/>
      <c r="L448" s="9"/>
      <c r="N448" s="40"/>
    </row>
    <row r="449" spans="1:14" ht="12.75">
      <c r="A449" s="15"/>
      <c r="B449" s="99"/>
      <c r="C449" s="47"/>
      <c r="D449" s="47"/>
      <c r="F449" s="16"/>
      <c r="K449" s="16"/>
      <c r="L449" s="9"/>
      <c r="N449" s="40"/>
    </row>
    <row r="450" spans="1:14" ht="12.75">
      <c r="A450" s="15"/>
      <c r="B450" s="99"/>
      <c r="C450" s="47"/>
      <c r="D450" s="47"/>
      <c r="F450" s="16"/>
      <c r="K450" s="16"/>
      <c r="L450" s="9"/>
      <c r="N450" s="40"/>
    </row>
    <row r="451" spans="1:14" ht="12.75">
      <c r="A451" s="15"/>
      <c r="B451" s="99"/>
      <c r="C451" s="47"/>
      <c r="D451" s="47"/>
      <c r="F451" s="16"/>
      <c r="K451" s="16"/>
      <c r="L451" s="9"/>
      <c r="N451" s="40"/>
    </row>
    <row r="452" spans="1:14" ht="12.75">
      <c r="A452" s="15"/>
      <c r="B452" s="99"/>
      <c r="C452" s="47"/>
      <c r="D452" s="47"/>
      <c r="F452" s="16"/>
      <c r="K452" s="16"/>
      <c r="L452" s="9"/>
      <c r="N452" s="40"/>
    </row>
    <row r="453" spans="1:14" ht="12.75">
      <c r="A453" s="15"/>
      <c r="B453" s="99"/>
      <c r="C453" s="47"/>
      <c r="D453" s="47"/>
      <c r="F453" s="16"/>
      <c r="K453" s="16"/>
      <c r="L453" s="9"/>
      <c r="N453" s="40"/>
    </row>
    <row r="454" spans="1:14" ht="12.75">
      <c r="A454" s="15"/>
      <c r="B454" s="99"/>
      <c r="C454" s="47"/>
      <c r="D454" s="47"/>
      <c r="F454" s="16"/>
      <c r="K454" s="16"/>
      <c r="L454" s="9"/>
      <c r="N454" s="40"/>
    </row>
    <row r="455" spans="1:14" ht="12.75">
      <c r="A455" s="15"/>
      <c r="B455" s="99"/>
      <c r="C455" s="47"/>
      <c r="D455" s="47"/>
      <c r="F455" s="16"/>
      <c r="K455" s="16"/>
      <c r="L455" s="9"/>
      <c r="N455" s="40"/>
    </row>
    <row r="456" spans="1:14" ht="12.75">
      <c r="A456" s="15"/>
      <c r="B456" s="99"/>
      <c r="C456" s="47"/>
      <c r="D456" s="47"/>
      <c r="F456" s="16"/>
      <c r="K456" s="16"/>
      <c r="L456" s="9"/>
      <c r="N456" s="40"/>
    </row>
    <row r="457" spans="1:14" ht="12.75">
      <c r="A457" s="15"/>
      <c r="B457" s="99"/>
      <c r="C457" s="47"/>
      <c r="D457" s="47"/>
      <c r="F457" s="16"/>
      <c r="K457" s="16"/>
      <c r="L457" s="9"/>
      <c r="N457" s="40"/>
    </row>
    <row r="458" spans="1:14" ht="12.75">
      <c r="A458" s="15"/>
      <c r="B458" s="99"/>
      <c r="C458" s="47"/>
      <c r="D458" s="47"/>
      <c r="F458" s="16"/>
      <c r="K458" s="16"/>
      <c r="L458" s="9"/>
      <c r="N458" s="40"/>
    </row>
    <row r="459" spans="1:14" ht="12.75">
      <c r="A459" s="15"/>
      <c r="B459" s="99"/>
      <c r="C459" s="47"/>
      <c r="D459" s="47"/>
      <c r="F459" s="16"/>
      <c r="K459" s="16"/>
      <c r="L459" s="9"/>
      <c r="N459" s="40"/>
    </row>
    <row r="460" spans="1:14" ht="12.75">
      <c r="A460" s="15"/>
      <c r="B460" s="99"/>
      <c r="C460" s="47"/>
      <c r="D460" s="47"/>
      <c r="F460" s="16"/>
      <c r="K460" s="16"/>
      <c r="L460" s="9"/>
      <c r="N460" s="40"/>
    </row>
    <row r="461" spans="1:14" ht="12.75">
      <c r="A461" s="15"/>
      <c r="B461" s="99"/>
      <c r="C461" s="47"/>
      <c r="D461" s="47"/>
      <c r="F461" s="16"/>
      <c r="K461" s="16"/>
      <c r="L461" s="9"/>
      <c r="N461" s="40"/>
    </row>
    <row r="462" spans="1:14" ht="12.75">
      <c r="A462" s="15"/>
      <c r="B462" s="99"/>
      <c r="C462" s="47"/>
      <c r="D462" s="47"/>
      <c r="F462" s="16"/>
      <c r="K462" s="16"/>
      <c r="L462" s="9"/>
      <c r="N462" s="40"/>
    </row>
    <row r="463" spans="1:14" ht="12.75">
      <c r="A463" s="15"/>
      <c r="B463" s="99"/>
      <c r="C463" s="47"/>
      <c r="D463" s="47"/>
      <c r="F463" s="16"/>
      <c r="K463" s="16"/>
      <c r="L463" s="9"/>
      <c r="N463" s="40"/>
    </row>
    <row r="464" spans="1:14" ht="12.75">
      <c r="A464" s="15"/>
      <c r="B464" s="99"/>
      <c r="C464" s="47"/>
      <c r="D464" s="47"/>
      <c r="F464" s="16"/>
      <c r="K464" s="16"/>
      <c r="L464" s="9"/>
      <c r="N464" s="40"/>
    </row>
    <row r="465" spans="1:14" ht="12.75">
      <c r="A465" s="15"/>
      <c r="B465" s="99"/>
      <c r="C465" s="47"/>
      <c r="D465" s="47"/>
      <c r="F465" s="16"/>
      <c r="K465" s="16"/>
      <c r="L465" s="9"/>
      <c r="N465" s="40"/>
    </row>
    <row r="466" spans="1:14" ht="12.75">
      <c r="A466" s="15"/>
      <c r="B466" s="99"/>
      <c r="C466" s="47"/>
      <c r="D466" s="47"/>
      <c r="F466" s="16"/>
      <c r="K466" s="16"/>
      <c r="L466" s="9"/>
      <c r="N466" s="40"/>
    </row>
    <row r="467" spans="1:14" ht="12.75">
      <c r="A467" s="15"/>
      <c r="B467" s="99"/>
      <c r="C467" s="47"/>
      <c r="D467" s="47"/>
      <c r="F467" s="16"/>
      <c r="K467" s="16"/>
      <c r="L467" s="9"/>
      <c r="N467" s="40"/>
    </row>
    <row r="468" spans="1:14" ht="12.75">
      <c r="A468" s="15"/>
      <c r="B468" s="99"/>
      <c r="C468" s="47"/>
      <c r="D468" s="47"/>
      <c r="F468" s="16"/>
      <c r="K468" s="16"/>
      <c r="L468" s="9"/>
      <c r="N468" s="40"/>
    </row>
    <row r="469" spans="1:14" ht="12.75">
      <c r="A469" s="15"/>
      <c r="B469" s="99"/>
      <c r="C469" s="47"/>
      <c r="D469" s="47"/>
      <c r="F469" s="16"/>
      <c r="K469" s="16"/>
      <c r="L469" s="9"/>
      <c r="N469" s="40"/>
    </row>
    <row r="470" spans="1:14" ht="12.75">
      <c r="A470" s="15"/>
      <c r="B470" s="99"/>
      <c r="C470" s="47"/>
      <c r="D470" s="47"/>
      <c r="F470" s="16"/>
      <c r="K470" s="16"/>
      <c r="L470" s="9"/>
      <c r="N470" s="40"/>
    </row>
    <row r="471" spans="1:14" ht="12.75">
      <c r="A471" s="15"/>
      <c r="B471" s="99"/>
      <c r="C471" s="47"/>
      <c r="D471" s="47"/>
      <c r="F471" s="16"/>
      <c r="K471" s="16"/>
      <c r="L471" s="9"/>
      <c r="N471" s="40"/>
    </row>
    <row r="472" spans="1:14" ht="12.75">
      <c r="A472" s="15"/>
      <c r="B472" s="99"/>
      <c r="C472" s="47"/>
      <c r="D472" s="47"/>
      <c r="F472" s="16"/>
      <c r="K472" s="16"/>
      <c r="L472" s="9"/>
      <c r="N472" s="40"/>
    </row>
    <row r="473" spans="1:14" ht="12.75">
      <c r="A473" s="15"/>
      <c r="B473" s="99"/>
      <c r="C473" s="47"/>
      <c r="D473" s="47"/>
      <c r="F473" s="16"/>
      <c r="K473" s="16"/>
      <c r="L473" s="9"/>
      <c r="N473" s="40"/>
    </row>
    <row r="474" spans="1:14" ht="12.75">
      <c r="A474" s="15"/>
      <c r="B474" s="99"/>
      <c r="C474" s="47"/>
      <c r="D474" s="47"/>
      <c r="F474" s="16"/>
      <c r="K474" s="16"/>
      <c r="L474" s="9"/>
      <c r="N474" s="40"/>
    </row>
    <row r="475" spans="1:14" ht="12.75">
      <c r="A475" s="15"/>
      <c r="B475" s="99"/>
      <c r="C475" s="47"/>
      <c r="D475" s="47"/>
      <c r="F475" s="16"/>
      <c r="K475" s="16"/>
      <c r="L475" s="9"/>
      <c r="N475" s="40"/>
    </row>
    <row r="476" spans="1:14" ht="12.75">
      <c r="A476" s="15"/>
      <c r="B476" s="99"/>
      <c r="C476" s="47"/>
      <c r="D476" s="47"/>
      <c r="F476" s="16"/>
      <c r="K476" s="16"/>
      <c r="L476" s="9"/>
      <c r="N476" s="40"/>
    </row>
    <row r="477" spans="1:14" ht="12.75">
      <c r="A477" s="15"/>
      <c r="B477" s="99"/>
      <c r="C477" s="47"/>
      <c r="D477" s="47"/>
      <c r="F477" s="16"/>
      <c r="K477" s="16"/>
      <c r="L477" s="9"/>
      <c r="N477" s="40"/>
    </row>
    <row r="478" spans="1:14" ht="12.75">
      <c r="A478" s="15"/>
      <c r="B478" s="99"/>
      <c r="C478" s="47"/>
      <c r="D478" s="47"/>
      <c r="F478" s="16"/>
      <c r="K478" s="16"/>
      <c r="L478" s="9"/>
      <c r="N478" s="40"/>
    </row>
    <row r="479" spans="1:14" ht="12.75">
      <c r="A479" s="15"/>
      <c r="B479" s="99"/>
      <c r="C479" s="47"/>
      <c r="D479" s="47"/>
      <c r="F479" s="16"/>
      <c r="K479" s="16"/>
      <c r="L479" s="9"/>
      <c r="N479" s="40"/>
    </row>
    <row r="480" spans="1:14" ht="12.75">
      <c r="A480" s="15"/>
      <c r="B480" s="99"/>
      <c r="C480" s="47"/>
      <c r="D480" s="47"/>
      <c r="F480" s="16"/>
      <c r="K480" s="16"/>
      <c r="L480" s="9"/>
      <c r="N480" s="40"/>
    </row>
    <row r="481" spans="1:14" ht="12.75">
      <c r="A481" s="15"/>
      <c r="B481" s="99"/>
      <c r="C481" s="47"/>
      <c r="D481" s="47"/>
      <c r="F481" s="16"/>
      <c r="K481" s="16"/>
      <c r="L481" s="9"/>
      <c r="N481" s="40"/>
    </row>
    <row r="482" spans="1:14" ht="12.75">
      <c r="A482" s="15"/>
      <c r="B482" s="99"/>
      <c r="C482" s="47"/>
      <c r="D482" s="47"/>
      <c r="F482" s="16"/>
      <c r="K482" s="16"/>
      <c r="L482" s="9"/>
      <c r="N482" s="40"/>
    </row>
    <row r="483" spans="1:14" ht="12.75">
      <c r="A483" s="15"/>
      <c r="B483" s="99"/>
      <c r="C483" s="47"/>
      <c r="D483" s="47"/>
      <c r="F483" s="16"/>
      <c r="K483" s="16"/>
      <c r="L483" s="9"/>
      <c r="N483" s="40"/>
    </row>
    <row r="484" spans="1:14" ht="12.75">
      <c r="A484" s="15"/>
      <c r="B484" s="99"/>
      <c r="C484" s="47"/>
      <c r="D484" s="47"/>
      <c r="F484" s="16"/>
      <c r="K484" s="16"/>
      <c r="L484" s="9"/>
      <c r="N484" s="40"/>
    </row>
    <row r="485" spans="1:14" ht="12.75">
      <c r="A485" s="15"/>
      <c r="B485" s="99"/>
      <c r="C485" s="47"/>
      <c r="D485" s="47"/>
      <c r="F485" s="16"/>
      <c r="K485" s="16"/>
      <c r="L485" s="9"/>
      <c r="N485" s="40"/>
    </row>
    <row r="486" spans="1:14" ht="12.75">
      <c r="A486" s="15"/>
      <c r="B486" s="99"/>
      <c r="C486" s="47"/>
      <c r="D486" s="47"/>
      <c r="F486" s="16"/>
      <c r="K486" s="16"/>
      <c r="L486" s="9"/>
      <c r="N486" s="40"/>
    </row>
    <row r="487" spans="1:14" ht="12.75">
      <c r="A487" s="15"/>
      <c r="B487" s="99"/>
      <c r="C487" s="47"/>
      <c r="D487" s="47"/>
      <c r="F487" s="16"/>
      <c r="K487" s="16"/>
      <c r="L487" s="9"/>
      <c r="N487" s="40"/>
    </row>
    <row r="488" spans="1:14" ht="12.75">
      <c r="A488" s="15"/>
      <c r="B488" s="99"/>
      <c r="C488" s="47"/>
      <c r="D488" s="47"/>
      <c r="F488" s="16"/>
      <c r="K488" s="16"/>
      <c r="L488" s="9"/>
      <c r="N488" s="40"/>
    </row>
    <row r="489" spans="1:14" ht="12.75">
      <c r="A489" s="15"/>
      <c r="B489" s="99"/>
      <c r="C489" s="47"/>
      <c r="D489" s="47"/>
      <c r="F489" s="16"/>
      <c r="K489" s="16"/>
      <c r="L489" s="9"/>
      <c r="N489" s="40"/>
    </row>
    <row r="490" spans="1:14" ht="12.75">
      <c r="A490" s="15"/>
      <c r="B490" s="99"/>
      <c r="C490" s="47"/>
      <c r="D490" s="47"/>
      <c r="F490" s="16"/>
      <c r="K490" s="16"/>
      <c r="L490" s="9"/>
      <c r="N490" s="40"/>
    </row>
    <row r="491" spans="1:14" ht="12.75">
      <c r="A491" s="15"/>
      <c r="B491" s="99"/>
      <c r="C491" s="47"/>
      <c r="D491" s="47"/>
      <c r="F491" s="16"/>
      <c r="K491" s="16"/>
      <c r="L491" s="9"/>
      <c r="N491" s="40"/>
    </row>
    <row r="492" spans="1:14" ht="12.75">
      <c r="A492" s="15"/>
      <c r="B492" s="99"/>
      <c r="C492" s="47"/>
      <c r="D492" s="47"/>
      <c r="F492" s="16"/>
      <c r="K492" s="16"/>
      <c r="L492" s="9"/>
      <c r="N492" s="40"/>
    </row>
    <row r="493" spans="1:14" ht="12.75">
      <c r="A493" s="15"/>
      <c r="B493" s="99"/>
      <c r="C493" s="47"/>
      <c r="D493" s="47"/>
      <c r="F493" s="16"/>
      <c r="K493" s="16"/>
      <c r="L493" s="9"/>
      <c r="N493" s="40"/>
    </row>
    <row r="494" spans="1:14" ht="12.75">
      <c r="A494" s="15"/>
      <c r="B494" s="99"/>
      <c r="C494" s="47"/>
      <c r="D494" s="47"/>
      <c r="F494" s="16"/>
      <c r="K494" s="16"/>
      <c r="L494" s="9"/>
      <c r="N494" s="40"/>
    </row>
    <row r="495" spans="1:14" ht="12.75">
      <c r="A495" s="15"/>
      <c r="B495" s="99"/>
      <c r="C495" s="47"/>
      <c r="D495" s="47"/>
      <c r="F495" s="16"/>
      <c r="K495" s="16"/>
      <c r="L495" s="9"/>
      <c r="N495" s="40"/>
    </row>
    <row r="496" spans="1:14" ht="12.75">
      <c r="A496" s="15"/>
      <c r="B496" s="99"/>
      <c r="C496" s="47"/>
      <c r="D496" s="47"/>
      <c r="F496" s="16"/>
      <c r="K496" s="16"/>
      <c r="L496" s="9"/>
      <c r="N496" s="40"/>
    </row>
    <row r="497" spans="1:14" ht="12.75">
      <c r="A497" s="15"/>
      <c r="B497" s="99"/>
      <c r="C497" s="47"/>
      <c r="D497" s="47"/>
      <c r="F497" s="16"/>
      <c r="K497" s="16"/>
      <c r="L497" s="9"/>
      <c r="N497" s="40"/>
    </row>
    <row r="498" spans="1:14" ht="12.75">
      <c r="A498" s="15"/>
      <c r="B498" s="99"/>
      <c r="C498" s="47"/>
      <c r="D498" s="47"/>
      <c r="F498" s="16"/>
      <c r="K498" s="16"/>
      <c r="L498" s="9"/>
      <c r="N498" s="40"/>
    </row>
    <row r="499" spans="1:14" ht="12.75">
      <c r="A499" s="15"/>
      <c r="B499" s="99"/>
      <c r="C499" s="47"/>
      <c r="D499" s="47"/>
      <c r="F499" s="16"/>
      <c r="K499" s="16"/>
      <c r="L499" s="9"/>
      <c r="N499" s="40"/>
    </row>
    <row r="500" spans="1:14" ht="12.75">
      <c r="A500" s="15"/>
      <c r="B500" s="99"/>
      <c r="C500" s="47"/>
      <c r="D500" s="47"/>
      <c r="F500" s="16"/>
      <c r="K500" s="16"/>
      <c r="L500" s="9"/>
      <c r="N500" s="40"/>
    </row>
    <row r="501" spans="1:14" ht="12.75">
      <c r="A501" s="15"/>
      <c r="B501" s="99"/>
      <c r="C501" s="47"/>
      <c r="D501" s="47"/>
      <c r="F501" s="16"/>
      <c r="K501" s="16"/>
      <c r="L501" s="9"/>
      <c r="N501" s="40"/>
    </row>
    <row r="502" spans="1:14" ht="12.75">
      <c r="A502" s="15"/>
      <c r="B502" s="99"/>
      <c r="C502" s="47"/>
      <c r="D502" s="47"/>
      <c r="F502" s="16"/>
      <c r="K502" s="16"/>
      <c r="L502" s="9"/>
      <c r="N502" s="40"/>
    </row>
    <row r="503" spans="1:14" ht="12.75">
      <c r="A503" s="15"/>
      <c r="B503" s="99"/>
      <c r="C503" s="47"/>
      <c r="D503" s="47"/>
      <c r="F503" s="16"/>
      <c r="K503" s="16"/>
      <c r="L503" s="9"/>
    </row>
    <row r="504" spans="1:14" ht="12.75">
      <c r="A504" s="15"/>
      <c r="B504" s="99"/>
      <c r="C504" s="47"/>
      <c r="D504" s="47"/>
      <c r="F504" s="16"/>
      <c r="K504" s="16"/>
      <c r="L504" s="9"/>
    </row>
    <row r="505" spans="1:14" ht="12.75">
      <c r="A505" s="15"/>
      <c r="B505" s="99"/>
      <c r="C505" s="47"/>
      <c r="D505" s="47"/>
      <c r="F505" s="16"/>
      <c r="K505" s="16"/>
      <c r="L505" s="9"/>
    </row>
    <row r="506" spans="1:14" ht="12.75">
      <c r="A506" s="15"/>
      <c r="B506" s="99"/>
      <c r="C506" s="47"/>
      <c r="D506" s="47"/>
      <c r="F506" s="16"/>
      <c r="K506" s="16"/>
      <c r="L506" s="9"/>
    </row>
    <row r="507" spans="1:14" ht="12.75">
      <c r="A507" s="15"/>
      <c r="B507" s="99"/>
      <c r="C507" s="47"/>
      <c r="D507" s="47"/>
      <c r="F507" s="16"/>
      <c r="K507" s="16"/>
      <c r="L507" s="9"/>
    </row>
    <row r="508" spans="1:14" ht="12.75">
      <c r="A508" s="15"/>
      <c r="B508" s="99"/>
      <c r="C508" s="47"/>
      <c r="D508" s="47"/>
      <c r="F508" s="16"/>
      <c r="K508" s="16"/>
      <c r="L508" s="9"/>
    </row>
    <row r="509" spans="1:14" ht="12.75">
      <c r="A509" s="15"/>
      <c r="B509" s="99"/>
      <c r="C509" s="47"/>
      <c r="D509" s="47"/>
      <c r="F509" s="16"/>
      <c r="K509" s="16"/>
      <c r="L509" s="9"/>
    </row>
    <row r="510" spans="1:14" ht="12.75">
      <c r="A510" s="15"/>
      <c r="B510" s="99"/>
      <c r="C510" s="47"/>
      <c r="D510" s="47"/>
      <c r="F510" s="16"/>
      <c r="K510" s="16"/>
      <c r="L510" s="9"/>
    </row>
    <row r="511" spans="1:14" ht="12.75">
      <c r="A511" s="15"/>
      <c r="B511" s="99"/>
      <c r="C511" s="47"/>
      <c r="D511" s="47"/>
      <c r="F511" s="16"/>
      <c r="K511" s="16"/>
      <c r="L511" s="9"/>
    </row>
    <row r="512" spans="1:14" ht="12.75">
      <c r="A512" s="15"/>
      <c r="B512" s="99"/>
      <c r="C512" s="47"/>
      <c r="D512" s="47"/>
      <c r="F512" s="16"/>
      <c r="K512" s="16"/>
      <c r="L512" s="9"/>
    </row>
    <row r="513" spans="1:12" ht="12.75">
      <c r="A513" s="15"/>
      <c r="B513" s="99"/>
      <c r="C513" s="47"/>
      <c r="D513" s="47"/>
      <c r="F513" s="16"/>
      <c r="K513" s="16"/>
      <c r="L513" s="9"/>
    </row>
    <row r="514" spans="1:12" ht="12.75">
      <c r="A514" s="15"/>
      <c r="B514" s="99"/>
      <c r="C514" s="47"/>
      <c r="D514" s="47"/>
      <c r="F514" s="16"/>
      <c r="K514" s="16"/>
      <c r="L514" s="9"/>
    </row>
    <row r="515" spans="1:12" ht="12.75">
      <c r="A515" s="15"/>
      <c r="B515" s="99"/>
      <c r="C515" s="47"/>
      <c r="D515" s="47"/>
      <c r="F515" s="16"/>
      <c r="K515" s="16"/>
      <c r="L515" s="9"/>
    </row>
    <row r="516" spans="1:12" ht="12.75">
      <c r="A516" s="15"/>
      <c r="B516" s="99"/>
      <c r="C516" s="47"/>
      <c r="D516" s="47"/>
      <c r="F516" s="16"/>
      <c r="K516" s="16"/>
      <c r="L516" s="9"/>
    </row>
    <row r="517" spans="1:12" ht="12.75">
      <c r="A517" s="15"/>
      <c r="B517" s="99"/>
      <c r="C517" s="47"/>
      <c r="D517" s="47"/>
      <c r="F517" s="16"/>
      <c r="K517" s="16"/>
      <c r="L517" s="9"/>
    </row>
    <row r="518" spans="1:12" ht="12.75">
      <c r="A518" s="15"/>
      <c r="B518" s="99"/>
      <c r="C518" s="47"/>
      <c r="D518" s="47"/>
      <c r="F518" s="16"/>
      <c r="K518" s="16"/>
      <c r="L518" s="9"/>
    </row>
    <row r="519" spans="1:12" ht="12.75">
      <c r="A519" s="15"/>
      <c r="B519" s="99"/>
      <c r="C519" s="47"/>
      <c r="D519" s="47"/>
      <c r="F519" s="16"/>
      <c r="K519" s="16"/>
      <c r="L519" s="9"/>
    </row>
    <row r="520" spans="1:12" ht="12.75">
      <c r="A520" s="15"/>
      <c r="B520" s="99"/>
      <c r="C520" s="47"/>
      <c r="D520" s="47"/>
      <c r="F520" s="16"/>
      <c r="K520" s="16"/>
      <c r="L520" s="9"/>
    </row>
    <row r="521" spans="1:12" ht="12.75">
      <c r="A521" s="15"/>
      <c r="B521" s="99"/>
      <c r="C521" s="47"/>
      <c r="D521" s="47"/>
      <c r="F521" s="16"/>
      <c r="K521" s="16"/>
      <c r="L521" s="9"/>
    </row>
    <row r="522" spans="1:12" ht="12.75">
      <c r="A522" s="15"/>
      <c r="B522" s="99"/>
      <c r="C522" s="47"/>
      <c r="D522" s="47"/>
      <c r="F522" s="16"/>
      <c r="K522" s="16"/>
      <c r="L522" s="9"/>
    </row>
    <row r="523" spans="1:12" ht="12.75">
      <c r="A523" s="15"/>
      <c r="B523" s="99"/>
      <c r="C523" s="47"/>
      <c r="D523" s="47"/>
      <c r="F523" s="16"/>
      <c r="K523" s="16"/>
      <c r="L523" s="9"/>
    </row>
    <row r="524" spans="1:12" ht="12.75">
      <c r="A524" s="15"/>
      <c r="B524" s="99"/>
      <c r="C524" s="47"/>
      <c r="D524" s="47"/>
      <c r="F524" s="16"/>
      <c r="K524" s="16"/>
      <c r="L524" s="9"/>
    </row>
    <row r="525" spans="1:12" ht="12.75">
      <c r="A525" s="15"/>
      <c r="B525" s="99"/>
      <c r="C525" s="47"/>
      <c r="D525" s="47"/>
      <c r="F525" s="16"/>
      <c r="K525" s="16"/>
      <c r="L525" s="9"/>
    </row>
    <row r="526" spans="1:12" ht="12.75">
      <c r="A526" s="15"/>
      <c r="B526" s="99"/>
      <c r="C526" s="47"/>
      <c r="D526" s="47"/>
      <c r="F526" s="16"/>
      <c r="K526" s="16"/>
      <c r="L526" s="9"/>
    </row>
    <row r="527" spans="1:12" ht="12.75">
      <c r="A527" s="15"/>
      <c r="B527" s="99"/>
      <c r="C527" s="47"/>
      <c r="D527" s="47"/>
      <c r="F527" s="16"/>
      <c r="K527" s="16"/>
      <c r="L527" s="9"/>
    </row>
    <row r="528" spans="1:12" ht="12.75">
      <c r="A528" s="15"/>
      <c r="B528" s="99"/>
      <c r="C528" s="47"/>
      <c r="D528" s="47"/>
      <c r="F528" s="16"/>
      <c r="K528" s="16"/>
      <c r="L528" s="9"/>
    </row>
    <row r="529" spans="1:12" ht="12.75">
      <c r="A529" s="15"/>
      <c r="B529" s="99"/>
      <c r="C529" s="47"/>
      <c r="D529" s="47"/>
      <c r="F529" s="16"/>
      <c r="K529" s="16"/>
      <c r="L529" s="9"/>
    </row>
    <row r="530" spans="1:12" ht="12.75">
      <c r="A530" s="15"/>
      <c r="B530" s="99"/>
      <c r="C530" s="47"/>
      <c r="D530" s="47"/>
      <c r="F530" s="16"/>
      <c r="K530" s="16"/>
      <c r="L530" s="9"/>
    </row>
    <row r="531" spans="1:12" ht="12.75">
      <c r="A531" s="15"/>
      <c r="B531" s="99"/>
      <c r="C531" s="47"/>
      <c r="D531" s="47"/>
      <c r="F531" s="16"/>
      <c r="K531" s="16"/>
      <c r="L531" s="9"/>
    </row>
    <row r="532" spans="1:12" ht="12.75">
      <c r="A532" s="15"/>
      <c r="B532" s="99"/>
      <c r="C532" s="47"/>
      <c r="D532" s="47"/>
      <c r="F532" s="16"/>
      <c r="K532" s="16"/>
      <c r="L532" s="9"/>
    </row>
    <row r="533" spans="1:12" ht="12.75">
      <c r="A533" s="15"/>
      <c r="B533" s="99"/>
      <c r="C533" s="47"/>
      <c r="D533" s="47"/>
      <c r="F533" s="16"/>
      <c r="K533" s="16"/>
      <c r="L533" s="9"/>
    </row>
    <row r="534" spans="1:12" ht="12.75">
      <c r="A534" s="15"/>
      <c r="B534" s="99"/>
      <c r="C534" s="47"/>
      <c r="D534" s="47"/>
      <c r="F534" s="16"/>
      <c r="K534" s="16"/>
      <c r="L534" s="9"/>
    </row>
    <row r="535" spans="1:12" ht="12.75">
      <c r="A535" s="15"/>
      <c r="B535" s="99"/>
      <c r="C535" s="47"/>
      <c r="D535" s="47"/>
      <c r="F535" s="16"/>
      <c r="K535" s="16"/>
      <c r="L535" s="9"/>
    </row>
    <row r="536" spans="1:12" ht="12.75">
      <c r="A536" s="15"/>
      <c r="B536" s="99"/>
      <c r="C536" s="47"/>
      <c r="D536" s="47"/>
      <c r="F536" s="16"/>
      <c r="K536" s="16"/>
      <c r="L536" s="9"/>
    </row>
    <row r="537" spans="1:12" ht="12.75">
      <c r="A537" s="15"/>
      <c r="B537" s="99"/>
      <c r="C537" s="47"/>
      <c r="D537" s="47"/>
      <c r="F537" s="16"/>
      <c r="K537" s="16"/>
      <c r="L537" s="9"/>
    </row>
    <row r="538" spans="1:12" ht="12.75">
      <c r="A538" s="15"/>
      <c r="B538" s="99"/>
      <c r="C538" s="47"/>
      <c r="D538" s="47"/>
      <c r="F538" s="16"/>
      <c r="K538" s="16"/>
      <c r="L538" s="9"/>
    </row>
    <row r="539" spans="1:12" ht="12.75">
      <c r="A539" s="15"/>
      <c r="B539" s="99"/>
      <c r="C539" s="47"/>
      <c r="D539" s="47"/>
      <c r="F539" s="16"/>
      <c r="K539" s="16"/>
      <c r="L539" s="9"/>
    </row>
    <row r="540" spans="1:12" ht="12.75">
      <c r="A540" s="15"/>
      <c r="B540" s="99"/>
      <c r="C540" s="47"/>
      <c r="D540" s="47"/>
      <c r="F540" s="16"/>
      <c r="K540" s="16"/>
      <c r="L540" s="9"/>
    </row>
    <row r="541" spans="1:12" ht="12.75">
      <c r="A541" s="15"/>
      <c r="B541" s="99"/>
      <c r="C541" s="47"/>
      <c r="D541" s="47"/>
      <c r="F541" s="16"/>
      <c r="K541" s="16"/>
      <c r="L541" s="9"/>
    </row>
    <row r="542" spans="1:12" ht="12.75">
      <c r="A542" s="15"/>
      <c r="B542" s="99"/>
      <c r="C542" s="47"/>
      <c r="D542" s="47"/>
      <c r="F542" s="16"/>
      <c r="K542" s="16"/>
      <c r="L542" s="9"/>
    </row>
    <row r="543" spans="1:12" ht="12.75">
      <c r="A543" s="15"/>
      <c r="B543" s="99"/>
      <c r="C543" s="47"/>
      <c r="D543" s="47"/>
      <c r="F543" s="16"/>
      <c r="K543" s="16"/>
      <c r="L543" s="9"/>
    </row>
    <row r="544" spans="1:12" ht="12.75">
      <c r="A544" s="15"/>
      <c r="B544" s="99"/>
      <c r="C544" s="47"/>
      <c r="D544" s="47"/>
      <c r="F544" s="16"/>
      <c r="K544" s="16"/>
      <c r="L544" s="9"/>
    </row>
    <row r="545" spans="1:12" ht="12.75">
      <c r="A545" s="15"/>
      <c r="B545" s="99"/>
      <c r="C545" s="47"/>
      <c r="D545" s="47"/>
      <c r="F545" s="16"/>
      <c r="K545" s="16"/>
      <c r="L545" s="9"/>
    </row>
    <row r="546" spans="1:12" ht="12.75">
      <c r="A546" s="15"/>
      <c r="B546" s="99"/>
      <c r="C546" s="47"/>
      <c r="D546" s="47"/>
      <c r="F546" s="16"/>
      <c r="K546" s="16"/>
      <c r="L546" s="9"/>
    </row>
    <row r="547" spans="1:12" ht="12.75">
      <c r="A547" s="15"/>
      <c r="B547" s="99"/>
      <c r="C547" s="47"/>
      <c r="D547" s="47"/>
      <c r="F547" s="16"/>
      <c r="K547" s="16"/>
      <c r="L547" s="9"/>
    </row>
    <row r="548" spans="1:12" ht="12.75">
      <c r="A548" s="15"/>
      <c r="B548" s="99"/>
      <c r="C548" s="47"/>
      <c r="D548" s="47"/>
      <c r="F548" s="16"/>
      <c r="K548" s="16"/>
      <c r="L548" s="9"/>
    </row>
    <row r="549" spans="1:12" ht="12.75">
      <c r="A549" s="15"/>
      <c r="B549" s="99"/>
      <c r="C549" s="47"/>
      <c r="D549" s="47"/>
      <c r="F549" s="16"/>
      <c r="K549" s="16"/>
      <c r="L549" s="9"/>
    </row>
    <row r="550" spans="1:12" ht="12.75">
      <c r="A550" s="15"/>
      <c r="B550" s="99"/>
      <c r="C550" s="47"/>
      <c r="D550" s="47"/>
      <c r="F550" s="16"/>
      <c r="K550" s="16"/>
      <c r="L550" s="9"/>
    </row>
    <row r="551" spans="1:12" ht="12.75">
      <c r="A551" s="15"/>
      <c r="B551" s="99"/>
      <c r="C551" s="47"/>
      <c r="D551" s="47"/>
      <c r="F551" s="16"/>
      <c r="K551" s="16"/>
      <c r="L551" s="9"/>
    </row>
    <row r="552" spans="1:12" ht="12.75">
      <c r="A552" s="15"/>
      <c r="B552" s="99"/>
      <c r="C552" s="47"/>
      <c r="D552" s="47"/>
      <c r="F552" s="16"/>
      <c r="K552" s="16"/>
      <c r="L552" s="9"/>
    </row>
    <row r="553" spans="1:12" ht="12.75">
      <c r="A553" s="15"/>
      <c r="B553" s="99"/>
      <c r="C553" s="47"/>
      <c r="D553" s="47"/>
      <c r="F553" s="16"/>
      <c r="K553" s="16"/>
      <c r="L553" s="9"/>
    </row>
    <row r="554" spans="1:12" ht="12.75">
      <c r="A554" s="15"/>
      <c r="B554" s="99"/>
      <c r="C554" s="47"/>
      <c r="D554" s="47"/>
      <c r="F554" s="16"/>
      <c r="K554" s="16"/>
      <c r="L554" s="9"/>
    </row>
    <row r="555" spans="1:12" ht="12.75">
      <c r="A555" s="15"/>
      <c r="B555" s="99"/>
      <c r="C555" s="47"/>
      <c r="D555" s="47"/>
      <c r="F555" s="16"/>
      <c r="K555" s="16"/>
      <c r="L555" s="9"/>
    </row>
    <row r="556" spans="1:12" ht="12.75">
      <c r="A556" s="15"/>
      <c r="B556" s="99"/>
      <c r="C556" s="47"/>
      <c r="D556" s="47"/>
      <c r="F556" s="16"/>
      <c r="K556" s="16"/>
      <c r="L556" s="9"/>
    </row>
    <row r="557" spans="1:12" ht="12.75">
      <c r="A557" s="15"/>
      <c r="B557" s="99"/>
      <c r="C557" s="47"/>
      <c r="D557" s="47"/>
      <c r="F557" s="16"/>
      <c r="K557" s="16"/>
      <c r="L557" s="9"/>
    </row>
    <row r="558" spans="1:12" ht="12.75">
      <c r="A558" s="15"/>
      <c r="B558" s="99"/>
      <c r="C558" s="47"/>
      <c r="D558" s="47"/>
      <c r="F558" s="16"/>
      <c r="K558" s="16"/>
      <c r="L558" s="9"/>
    </row>
    <row r="559" spans="1:12" ht="12.75">
      <c r="A559" s="15"/>
      <c r="B559" s="99"/>
      <c r="C559" s="47"/>
      <c r="D559" s="47"/>
      <c r="F559" s="16"/>
      <c r="K559" s="16"/>
      <c r="L559" s="9"/>
    </row>
    <row r="560" spans="1:12" ht="12.75">
      <c r="A560" s="15"/>
      <c r="B560" s="99"/>
      <c r="C560" s="47"/>
      <c r="D560" s="47"/>
      <c r="F560" s="16"/>
      <c r="K560" s="16"/>
      <c r="L560" s="9"/>
    </row>
    <row r="561" spans="1:12" ht="12.75">
      <c r="A561" s="15"/>
      <c r="B561" s="99"/>
      <c r="C561" s="47"/>
      <c r="D561" s="47"/>
      <c r="F561" s="16"/>
      <c r="K561" s="16"/>
      <c r="L561" s="9"/>
    </row>
    <row r="562" spans="1:12" ht="12.75">
      <c r="A562" s="15"/>
      <c r="B562" s="99"/>
      <c r="C562" s="47"/>
      <c r="D562" s="47"/>
      <c r="F562" s="16"/>
      <c r="K562" s="16"/>
      <c r="L562" s="9"/>
    </row>
    <row r="563" spans="1:12" ht="12.75">
      <c r="A563" s="15"/>
      <c r="B563" s="99"/>
      <c r="C563" s="47"/>
      <c r="D563" s="47"/>
      <c r="F563" s="16"/>
      <c r="K563" s="16"/>
      <c r="L563" s="9"/>
    </row>
    <row r="564" spans="1:12" ht="12.75">
      <c r="A564" s="15"/>
      <c r="B564" s="99"/>
      <c r="C564" s="47"/>
      <c r="D564" s="47"/>
      <c r="F564" s="16"/>
      <c r="K564" s="16"/>
      <c r="L564" s="9"/>
    </row>
    <row r="565" spans="1:12" ht="12.75">
      <c r="A565" s="15"/>
      <c r="B565" s="99"/>
      <c r="C565" s="47"/>
      <c r="D565" s="47"/>
      <c r="F565" s="16"/>
      <c r="K565" s="16"/>
      <c r="L565" s="9"/>
    </row>
    <row r="566" spans="1:12" ht="12.75">
      <c r="A566" s="15"/>
      <c r="B566" s="99"/>
      <c r="C566" s="47"/>
      <c r="D566" s="47"/>
      <c r="F566" s="16"/>
      <c r="K566" s="16"/>
      <c r="L566" s="9"/>
    </row>
    <row r="567" spans="1:12" ht="12.75">
      <c r="A567" s="15"/>
      <c r="B567" s="99"/>
      <c r="C567" s="47"/>
      <c r="D567" s="47"/>
      <c r="F567" s="16"/>
      <c r="K567" s="16"/>
      <c r="L567" s="9"/>
    </row>
    <row r="568" spans="1:12" ht="12.75">
      <c r="A568" s="15"/>
      <c r="B568" s="99"/>
      <c r="C568" s="47"/>
      <c r="D568" s="47"/>
      <c r="F568" s="16"/>
      <c r="K568" s="16"/>
      <c r="L568" s="9"/>
    </row>
    <row r="569" spans="1:12" ht="12.75">
      <c r="A569" s="15"/>
      <c r="B569" s="99"/>
      <c r="C569" s="47"/>
      <c r="D569" s="47"/>
      <c r="F569" s="16"/>
      <c r="K569" s="16"/>
      <c r="L569" s="9"/>
    </row>
    <row r="570" spans="1:12" ht="12.75">
      <c r="A570" s="15"/>
      <c r="B570" s="99"/>
      <c r="C570" s="47"/>
      <c r="D570" s="47"/>
      <c r="F570" s="16"/>
      <c r="K570" s="16"/>
      <c r="L570" s="9"/>
    </row>
    <row r="571" spans="1:12" ht="12.75">
      <c r="A571" s="15"/>
      <c r="B571" s="99"/>
      <c r="C571" s="47"/>
      <c r="D571" s="47"/>
      <c r="F571" s="16"/>
      <c r="K571" s="16"/>
      <c r="L571" s="9"/>
    </row>
    <row r="572" spans="1:12" ht="12.75">
      <c r="A572" s="15"/>
      <c r="B572" s="99"/>
      <c r="C572" s="47"/>
      <c r="D572" s="47"/>
      <c r="F572" s="16"/>
      <c r="K572" s="16"/>
      <c r="L572" s="9"/>
    </row>
    <row r="573" spans="1:12" ht="12.75">
      <c r="A573" s="15"/>
      <c r="B573" s="99"/>
      <c r="C573" s="47"/>
      <c r="D573" s="47"/>
      <c r="F573" s="16"/>
      <c r="K573" s="16"/>
      <c r="L573" s="9"/>
    </row>
    <row r="574" spans="1:12" ht="12.75">
      <c r="A574" s="15"/>
      <c r="B574" s="99"/>
      <c r="C574" s="47"/>
      <c r="D574" s="47"/>
      <c r="F574" s="16"/>
      <c r="K574" s="16"/>
      <c r="L574" s="9"/>
    </row>
    <row r="575" spans="1:12" ht="12.75">
      <c r="A575" s="15"/>
      <c r="B575" s="99"/>
      <c r="C575" s="47"/>
      <c r="D575" s="47"/>
      <c r="F575" s="16"/>
      <c r="K575" s="16"/>
      <c r="L575" s="9"/>
    </row>
    <row r="576" spans="1:12" ht="12.75">
      <c r="A576" s="15"/>
      <c r="B576" s="99"/>
      <c r="C576" s="47"/>
      <c r="D576" s="47"/>
      <c r="F576" s="16"/>
      <c r="K576" s="16"/>
      <c r="L576" s="9"/>
    </row>
    <row r="577" spans="1:12" ht="12.75">
      <c r="A577" s="15"/>
      <c r="B577" s="99"/>
      <c r="C577" s="47"/>
      <c r="D577" s="47"/>
      <c r="F577" s="16"/>
      <c r="K577" s="16"/>
      <c r="L577" s="9"/>
    </row>
    <row r="578" spans="1:12" ht="12.75">
      <c r="A578" s="15"/>
      <c r="B578" s="99"/>
      <c r="C578" s="47"/>
      <c r="D578" s="47"/>
      <c r="F578" s="16"/>
      <c r="K578" s="16"/>
      <c r="L578" s="9"/>
    </row>
    <row r="579" spans="1:12" ht="12.75">
      <c r="A579" s="15"/>
      <c r="B579" s="99"/>
      <c r="C579" s="47"/>
      <c r="D579" s="47"/>
      <c r="F579" s="16"/>
      <c r="K579" s="16"/>
      <c r="L579" s="9"/>
    </row>
    <row r="580" spans="1:12" ht="12.75">
      <c r="A580" s="15"/>
      <c r="B580" s="99"/>
      <c r="C580" s="47"/>
      <c r="D580" s="47"/>
      <c r="F580" s="16"/>
      <c r="K580" s="16"/>
      <c r="L580" s="9"/>
    </row>
    <row r="581" spans="1:12" ht="12.75">
      <c r="A581" s="15"/>
      <c r="B581" s="99"/>
      <c r="C581" s="47"/>
      <c r="D581" s="47"/>
      <c r="F581" s="16"/>
      <c r="K581" s="16"/>
      <c r="L581" s="9"/>
    </row>
    <row r="582" spans="1:12" ht="12.75">
      <c r="A582" s="15"/>
      <c r="B582" s="99"/>
      <c r="C582" s="47"/>
      <c r="D582" s="47"/>
      <c r="F582" s="16"/>
      <c r="K582" s="16"/>
      <c r="L582" s="9"/>
    </row>
    <row r="583" spans="1:12" ht="12.75">
      <c r="A583" s="15"/>
      <c r="B583" s="99"/>
      <c r="C583" s="47"/>
      <c r="D583" s="47"/>
      <c r="F583" s="16"/>
      <c r="K583" s="16"/>
      <c r="L583" s="9"/>
    </row>
    <row r="584" spans="1:12" ht="12.75">
      <c r="A584" s="15"/>
      <c r="B584" s="99"/>
      <c r="C584" s="47"/>
      <c r="D584" s="47"/>
      <c r="F584" s="16"/>
      <c r="K584" s="16"/>
      <c r="L584" s="9"/>
    </row>
    <row r="585" spans="1:12" ht="12.75">
      <c r="A585" s="15"/>
      <c r="B585" s="99"/>
      <c r="C585" s="47"/>
      <c r="D585" s="47"/>
      <c r="F585" s="16"/>
      <c r="K585" s="16"/>
      <c r="L585" s="9"/>
    </row>
    <row r="586" spans="1:12" ht="12.75">
      <c r="A586" s="15"/>
      <c r="B586" s="99"/>
      <c r="C586" s="47"/>
      <c r="D586" s="47"/>
      <c r="F586" s="16"/>
      <c r="K586" s="16"/>
      <c r="L586" s="9"/>
    </row>
    <row r="587" spans="1:12" ht="12.75">
      <c r="A587" s="15"/>
      <c r="B587" s="99"/>
      <c r="C587" s="47"/>
      <c r="D587" s="47"/>
      <c r="F587" s="16"/>
      <c r="K587" s="16"/>
      <c r="L587" s="9"/>
    </row>
    <row r="588" spans="1:12" ht="12.75">
      <c r="A588" s="15"/>
      <c r="B588" s="99"/>
      <c r="C588" s="47"/>
      <c r="D588" s="47"/>
      <c r="F588" s="16"/>
      <c r="K588" s="16"/>
      <c r="L588" s="9"/>
    </row>
    <row r="589" spans="1:12" ht="12.75">
      <c r="A589" s="15"/>
      <c r="B589" s="99"/>
      <c r="C589" s="47"/>
      <c r="D589" s="47"/>
      <c r="F589" s="16"/>
      <c r="K589" s="16"/>
      <c r="L589" s="9"/>
    </row>
    <row r="590" spans="1:12" ht="12.75">
      <c r="A590" s="15"/>
      <c r="B590" s="99"/>
      <c r="C590" s="47"/>
      <c r="D590" s="47"/>
      <c r="F590" s="16"/>
      <c r="K590" s="16"/>
      <c r="L590" s="9"/>
    </row>
    <row r="591" spans="1:12" ht="12.75">
      <c r="A591" s="15"/>
      <c r="B591" s="99"/>
      <c r="C591" s="47"/>
      <c r="D591" s="47"/>
      <c r="F591" s="16"/>
      <c r="K591" s="16"/>
      <c r="L591" s="9"/>
    </row>
    <row r="592" spans="1:12" ht="12.75">
      <c r="A592" s="15"/>
      <c r="B592" s="99"/>
      <c r="C592" s="47"/>
      <c r="D592" s="47"/>
      <c r="F592" s="16"/>
      <c r="K592" s="16"/>
      <c r="L592" s="9"/>
    </row>
    <row r="593" spans="1:12" ht="12.75">
      <c r="A593" s="15"/>
      <c r="B593" s="99"/>
      <c r="C593" s="47"/>
      <c r="D593" s="47"/>
      <c r="F593" s="16"/>
      <c r="K593" s="16"/>
      <c r="L593" s="9"/>
    </row>
    <row r="594" spans="1:12" ht="12.75">
      <c r="A594" s="15"/>
      <c r="B594" s="99"/>
      <c r="C594" s="47"/>
      <c r="D594" s="47"/>
      <c r="F594" s="16"/>
      <c r="K594" s="16"/>
      <c r="L594" s="9"/>
    </row>
    <row r="595" spans="1:12" ht="12.75">
      <c r="A595" s="15"/>
      <c r="B595" s="99"/>
      <c r="C595" s="47"/>
      <c r="D595" s="47"/>
      <c r="F595" s="16"/>
      <c r="K595" s="16"/>
      <c r="L595" s="9"/>
    </row>
    <row r="596" spans="1:12" ht="12.75">
      <c r="A596" s="15"/>
      <c r="B596" s="99"/>
      <c r="C596" s="47"/>
      <c r="D596" s="47"/>
      <c r="F596" s="16"/>
      <c r="K596" s="16"/>
      <c r="L596" s="9"/>
    </row>
    <row r="597" spans="1:12" ht="12.75">
      <c r="A597" s="15"/>
      <c r="B597" s="99"/>
      <c r="C597" s="47"/>
      <c r="D597" s="47"/>
      <c r="F597" s="16"/>
      <c r="K597" s="16"/>
      <c r="L597" s="9"/>
    </row>
    <row r="598" spans="1:12" ht="12.75">
      <c r="A598" s="15"/>
      <c r="B598" s="99"/>
      <c r="C598" s="47"/>
      <c r="D598" s="47"/>
      <c r="F598" s="16"/>
      <c r="K598" s="16"/>
      <c r="L598" s="9"/>
    </row>
    <row r="599" spans="1:12" ht="12.75">
      <c r="A599" s="15"/>
      <c r="B599" s="99"/>
      <c r="C599" s="47"/>
      <c r="D599" s="47"/>
      <c r="F599" s="16"/>
      <c r="K599" s="16"/>
      <c r="L599" s="9"/>
    </row>
    <row r="600" spans="1:12" ht="12.75">
      <c r="A600" s="15"/>
      <c r="B600" s="99"/>
      <c r="C600" s="47"/>
      <c r="D600" s="47"/>
      <c r="F600" s="16"/>
      <c r="K600" s="16"/>
      <c r="L600" s="9"/>
    </row>
    <row r="601" spans="1:12" ht="12.75">
      <c r="A601" s="15"/>
      <c r="B601" s="99"/>
      <c r="C601" s="47"/>
      <c r="D601" s="47"/>
      <c r="F601" s="16"/>
      <c r="K601" s="16"/>
      <c r="L601" s="9"/>
    </row>
    <row r="602" spans="1:12" ht="12.75">
      <c r="A602" s="15"/>
      <c r="B602" s="99"/>
      <c r="C602" s="47"/>
      <c r="D602" s="47"/>
      <c r="F602" s="16"/>
      <c r="K602" s="16"/>
      <c r="L602" s="9"/>
    </row>
    <row r="603" spans="1:12" ht="12.75">
      <c r="A603" s="15"/>
      <c r="B603" s="99"/>
      <c r="C603" s="47"/>
      <c r="D603" s="47"/>
      <c r="F603" s="16"/>
      <c r="K603" s="16"/>
      <c r="L603" s="9"/>
    </row>
    <row r="604" spans="1:12" ht="12.75">
      <c r="A604" s="15"/>
      <c r="B604" s="99"/>
      <c r="C604" s="47"/>
      <c r="D604" s="47"/>
      <c r="F604" s="16"/>
      <c r="K604" s="16"/>
      <c r="L604" s="9"/>
    </row>
    <row r="605" spans="1:12" ht="12.75">
      <c r="A605" s="15"/>
      <c r="B605" s="99"/>
      <c r="C605" s="47"/>
      <c r="D605" s="47"/>
      <c r="F605" s="16"/>
      <c r="K605" s="16"/>
      <c r="L605" s="9"/>
    </row>
    <row r="606" spans="1:12" ht="12.75">
      <c r="A606" s="15"/>
      <c r="B606" s="99"/>
      <c r="C606" s="47"/>
      <c r="D606" s="47"/>
      <c r="F606" s="16"/>
      <c r="K606" s="16"/>
      <c r="L606" s="9"/>
    </row>
    <row r="607" spans="1:12" ht="12.75">
      <c r="A607" s="15"/>
      <c r="B607" s="99"/>
      <c r="C607" s="47"/>
      <c r="D607" s="47"/>
      <c r="F607" s="16"/>
      <c r="K607" s="16"/>
      <c r="L607" s="9"/>
    </row>
    <row r="608" spans="1:12" ht="12.75">
      <c r="A608" s="15"/>
      <c r="B608" s="99"/>
      <c r="C608" s="47"/>
      <c r="D608" s="47"/>
      <c r="F608" s="16"/>
      <c r="K608" s="16"/>
      <c r="L608" s="9"/>
    </row>
    <row r="609" spans="1:12" ht="12.75">
      <c r="A609" s="15"/>
      <c r="B609" s="99"/>
      <c r="C609" s="47"/>
      <c r="D609" s="47"/>
      <c r="F609" s="16"/>
      <c r="K609" s="16"/>
      <c r="L609" s="9"/>
    </row>
    <row r="610" spans="1:12" ht="12.75">
      <c r="A610" s="15"/>
      <c r="B610" s="99"/>
      <c r="C610" s="47"/>
      <c r="D610" s="47"/>
      <c r="F610" s="16"/>
      <c r="K610" s="16"/>
      <c r="L610" s="9"/>
    </row>
    <row r="611" spans="1:12" ht="12.75">
      <c r="A611" s="15"/>
      <c r="B611" s="99"/>
      <c r="C611" s="47"/>
      <c r="D611" s="47"/>
      <c r="F611" s="16"/>
      <c r="K611" s="16"/>
      <c r="L611" s="9"/>
    </row>
    <row r="612" spans="1:12" ht="12.75">
      <c r="A612" s="15"/>
      <c r="B612" s="99"/>
      <c r="C612" s="47"/>
      <c r="D612" s="47"/>
      <c r="F612" s="16"/>
      <c r="K612" s="16"/>
      <c r="L612" s="9"/>
    </row>
    <row r="613" spans="1:12" ht="12.75">
      <c r="A613" s="15"/>
      <c r="B613" s="99"/>
      <c r="C613" s="47"/>
      <c r="D613" s="47"/>
      <c r="F613" s="16"/>
      <c r="K613" s="16"/>
      <c r="L613" s="9"/>
    </row>
    <row r="614" spans="1:12" ht="12.75">
      <c r="A614" s="15"/>
      <c r="B614" s="99"/>
      <c r="C614" s="47"/>
      <c r="D614" s="47"/>
      <c r="F614" s="16"/>
      <c r="K614" s="16"/>
      <c r="L614" s="9"/>
    </row>
    <row r="615" spans="1:12" ht="12.75">
      <c r="A615" s="15"/>
      <c r="B615" s="99"/>
      <c r="C615" s="47"/>
      <c r="D615" s="47"/>
      <c r="F615" s="16"/>
      <c r="K615" s="16"/>
      <c r="L615" s="9"/>
    </row>
    <row r="616" spans="1:12" ht="12.75">
      <c r="A616" s="15"/>
      <c r="B616" s="99"/>
      <c r="C616" s="47"/>
      <c r="D616" s="47"/>
      <c r="F616" s="16"/>
      <c r="K616" s="16"/>
      <c r="L616" s="9"/>
    </row>
    <row r="617" spans="1:12" ht="12.75">
      <c r="A617" s="15"/>
      <c r="B617" s="99"/>
      <c r="C617" s="47"/>
      <c r="D617" s="47"/>
      <c r="F617" s="16"/>
      <c r="K617" s="16"/>
      <c r="L617" s="9"/>
    </row>
    <row r="618" spans="1:12" ht="12.75">
      <c r="A618" s="15"/>
      <c r="B618" s="99"/>
      <c r="C618" s="47"/>
      <c r="D618" s="47"/>
      <c r="F618" s="16"/>
      <c r="K618" s="16"/>
      <c r="L618" s="9"/>
    </row>
    <row r="619" spans="1:12" ht="12.75">
      <c r="A619" s="15"/>
      <c r="B619" s="99"/>
      <c r="C619" s="47"/>
      <c r="D619" s="47"/>
      <c r="F619" s="16"/>
      <c r="K619" s="16"/>
      <c r="L619" s="9"/>
    </row>
    <row r="620" spans="1:12" ht="12.75">
      <c r="A620" s="15"/>
      <c r="B620" s="99"/>
      <c r="C620" s="47"/>
      <c r="D620" s="47"/>
      <c r="F620" s="16"/>
      <c r="K620" s="16"/>
      <c r="L620" s="9"/>
    </row>
    <row r="621" spans="1:12" ht="12.75">
      <c r="A621" s="15"/>
      <c r="B621" s="99"/>
      <c r="C621" s="47"/>
      <c r="D621" s="47"/>
      <c r="F621" s="16"/>
      <c r="K621" s="16"/>
      <c r="L621" s="9"/>
    </row>
    <row r="622" spans="1:12" ht="12.75">
      <c r="A622" s="15"/>
      <c r="B622" s="99"/>
      <c r="C622" s="47"/>
      <c r="D622" s="47"/>
      <c r="F622" s="16"/>
      <c r="K622" s="16"/>
      <c r="L622" s="9"/>
    </row>
    <row r="623" spans="1:12" ht="12.75">
      <c r="A623" s="15"/>
      <c r="B623" s="99"/>
      <c r="C623" s="47"/>
      <c r="D623" s="47"/>
      <c r="F623" s="16"/>
      <c r="K623" s="16"/>
      <c r="L623" s="9"/>
    </row>
    <row r="624" spans="1:12" ht="12.75">
      <c r="A624" s="15"/>
      <c r="B624" s="99"/>
      <c r="C624" s="47"/>
      <c r="D624" s="47"/>
      <c r="F624" s="16"/>
      <c r="K624" s="16"/>
      <c r="L624" s="9"/>
    </row>
    <row r="625" spans="1:12" ht="12.75">
      <c r="A625" s="15"/>
      <c r="B625" s="99"/>
      <c r="C625" s="47"/>
      <c r="D625" s="47"/>
      <c r="F625" s="16"/>
      <c r="K625" s="16"/>
      <c r="L625" s="9"/>
    </row>
    <row r="626" spans="1:12" ht="12.75">
      <c r="A626" s="15"/>
      <c r="B626" s="99"/>
      <c r="C626" s="47"/>
      <c r="D626" s="47"/>
      <c r="F626" s="16"/>
      <c r="K626" s="16"/>
      <c r="L626" s="9"/>
    </row>
    <row r="627" spans="1:12" ht="12.75">
      <c r="A627" s="15"/>
      <c r="B627" s="99"/>
      <c r="C627" s="47"/>
      <c r="D627" s="47"/>
      <c r="F627" s="16"/>
      <c r="K627" s="16"/>
      <c r="L627" s="9"/>
    </row>
    <row r="628" spans="1:12" ht="12.75">
      <c r="A628" s="15"/>
      <c r="B628" s="99"/>
      <c r="C628" s="47"/>
      <c r="D628" s="47"/>
      <c r="F628" s="16"/>
      <c r="K628" s="16"/>
      <c r="L628" s="9"/>
    </row>
    <row r="629" spans="1:12" ht="12.75">
      <c r="A629" s="15"/>
      <c r="B629" s="99"/>
      <c r="C629" s="47"/>
      <c r="D629" s="47"/>
      <c r="F629" s="16"/>
      <c r="K629" s="16"/>
      <c r="L629" s="9"/>
    </row>
    <row r="630" spans="1:12" ht="12.75">
      <c r="A630" s="15"/>
      <c r="B630" s="99"/>
      <c r="C630" s="47"/>
      <c r="D630" s="47"/>
      <c r="F630" s="16"/>
      <c r="K630" s="16"/>
      <c r="L630" s="9"/>
    </row>
    <row r="631" spans="1:12" ht="12.75">
      <c r="A631" s="15"/>
      <c r="B631" s="99"/>
      <c r="C631" s="47"/>
      <c r="D631" s="47"/>
      <c r="F631" s="16"/>
      <c r="K631" s="16"/>
      <c r="L631" s="9"/>
    </row>
    <row r="632" spans="1:12" ht="12.75">
      <c r="A632" s="15"/>
      <c r="B632" s="99"/>
      <c r="C632" s="47"/>
      <c r="D632" s="47"/>
      <c r="F632" s="16"/>
      <c r="K632" s="16"/>
      <c r="L632" s="9"/>
    </row>
    <row r="633" spans="1:12" ht="12.75">
      <c r="A633" s="15"/>
      <c r="B633" s="99"/>
      <c r="C633" s="47"/>
      <c r="D633" s="47"/>
      <c r="F633" s="16"/>
      <c r="K633" s="16"/>
      <c r="L633" s="9"/>
    </row>
    <row r="634" spans="1:12" ht="12.75">
      <c r="A634" s="15"/>
      <c r="B634" s="99"/>
      <c r="C634" s="47"/>
      <c r="D634" s="47"/>
      <c r="F634" s="16"/>
      <c r="K634" s="16"/>
      <c r="L634" s="9"/>
    </row>
    <row r="635" spans="1:12" ht="12.75">
      <c r="A635" s="15"/>
      <c r="B635" s="99"/>
      <c r="C635" s="47"/>
      <c r="D635" s="47"/>
      <c r="F635" s="16"/>
      <c r="K635" s="16"/>
      <c r="L635" s="9"/>
    </row>
    <row r="636" spans="1:12" ht="12.75">
      <c r="A636" s="15"/>
      <c r="B636" s="99"/>
      <c r="C636" s="47"/>
      <c r="D636" s="47"/>
      <c r="F636" s="16"/>
      <c r="K636" s="16"/>
      <c r="L636" s="9"/>
    </row>
    <row r="637" spans="1:12" ht="12.75">
      <c r="A637" s="15"/>
      <c r="B637" s="99"/>
      <c r="C637" s="47"/>
      <c r="D637" s="47"/>
      <c r="F637" s="16"/>
      <c r="K637" s="16"/>
      <c r="L637" s="9"/>
    </row>
    <row r="638" spans="1:12" ht="12.75">
      <c r="A638" s="15"/>
      <c r="B638" s="99"/>
      <c r="C638" s="47"/>
      <c r="D638" s="47"/>
      <c r="F638" s="16"/>
      <c r="K638" s="16"/>
      <c r="L638" s="9"/>
    </row>
    <row r="639" spans="1:12" ht="12.75">
      <c r="A639" s="15"/>
      <c r="B639" s="99"/>
      <c r="C639" s="47"/>
      <c r="D639" s="47"/>
      <c r="F639" s="16"/>
      <c r="K639" s="16"/>
      <c r="L639" s="9"/>
    </row>
    <row r="640" spans="1:12" ht="12.75">
      <c r="A640" s="15"/>
      <c r="B640" s="99"/>
      <c r="C640" s="47"/>
      <c r="D640" s="47"/>
      <c r="F640" s="16"/>
      <c r="K640" s="16"/>
      <c r="L640" s="9"/>
    </row>
    <row r="641" spans="1:12" ht="12.75">
      <c r="A641" s="15"/>
      <c r="B641" s="99"/>
      <c r="C641" s="47"/>
      <c r="D641" s="47"/>
      <c r="F641" s="16"/>
      <c r="K641" s="16"/>
      <c r="L641" s="9"/>
    </row>
    <row r="642" spans="1:12" ht="12.75">
      <c r="A642" s="15"/>
      <c r="B642" s="99"/>
      <c r="C642" s="47"/>
      <c r="D642" s="47"/>
      <c r="F642" s="16"/>
      <c r="K642" s="16"/>
      <c r="L642" s="9"/>
    </row>
    <row r="643" spans="1:12" ht="12.75">
      <c r="A643" s="15"/>
      <c r="B643" s="99"/>
      <c r="C643" s="47"/>
      <c r="D643" s="47"/>
      <c r="F643" s="16"/>
      <c r="K643" s="16"/>
      <c r="L643" s="9"/>
    </row>
    <row r="644" spans="1:12" ht="12.75">
      <c r="A644" s="15"/>
      <c r="B644" s="99"/>
      <c r="C644" s="47"/>
      <c r="D644" s="47"/>
      <c r="F644" s="16"/>
      <c r="K644" s="16"/>
      <c r="L644" s="9"/>
    </row>
    <row r="645" spans="1:12" ht="12.75">
      <c r="A645" s="15"/>
      <c r="B645" s="99"/>
      <c r="C645" s="47"/>
      <c r="D645" s="47"/>
      <c r="F645" s="16"/>
      <c r="K645" s="16"/>
      <c r="L645" s="9"/>
    </row>
    <row r="646" spans="1:12" ht="12.75">
      <c r="A646" s="15"/>
      <c r="B646" s="99"/>
      <c r="C646" s="47"/>
      <c r="D646" s="47"/>
      <c r="F646" s="16"/>
      <c r="K646" s="16"/>
      <c r="L646" s="9"/>
    </row>
    <row r="647" spans="1:12" ht="12.75">
      <c r="A647" s="15"/>
      <c r="B647" s="99"/>
      <c r="C647" s="47"/>
      <c r="D647" s="47"/>
      <c r="F647" s="16"/>
      <c r="K647" s="16"/>
      <c r="L647" s="9"/>
    </row>
    <row r="648" spans="1:12" ht="12.75">
      <c r="A648" s="15"/>
      <c r="B648" s="99"/>
      <c r="C648" s="47"/>
      <c r="D648" s="47"/>
      <c r="F648" s="16"/>
      <c r="K648" s="16"/>
      <c r="L648" s="9"/>
    </row>
    <row r="649" spans="1:12" ht="12.75">
      <c r="A649" s="15"/>
      <c r="B649" s="99"/>
      <c r="C649" s="47"/>
      <c r="D649" s="47"/>
      <c r="F649" s="16"/>
      <c r="K649" s="16"/>
      <c r="L649" s="9"/>
    </row>
    <row r="650" spans="1:12" ht="12.75">
      <c r="A650" s="15"/>
      <c r="B650" s="99"/>
      <c r="C650" s="47"/>
      <c r="D650" s="47"/>
      <c r="F650" s="16"/>
      <c r="K650" s="16"/>
      <c r="L650" s="9"/>
    </row>
    <row r="651" spans="1:12" ht="12.75">
      <c r="A651" s="15"/>
      <c r="B651" s="99"/>
      <c r="C651" s="47"/>
      <c r="D651" s="47"/>
      <c r="F651" s="16"/>
      <c r="K651" s="16"/>
      <c r="L651" s="9"/>
    </row>
    <row r="652" spans="1:12" ht="12.75">
      <c r="A652" s="15"/>
      <c r="B652" s="99"/>
      <c r="C652" s="47"/>
      <c r="D652" s="47"/>
      <c r="F652" s="16"/>
      <c r="K652" s="16"/>
      <c r="L652" s="9"/>
    </row>
    <row r="653" spans="1:12" ht="12.75">
      <c r="A653" s="15"/>
      <c r="B653" s="99"/>
      <c r="C653" s="47"/>
      <c r="D653" s="47"/>
      <c r="F653" s="16"/>
      <c r="K653" s="16"/>
      <c r="L653" s="9"/>
    </row>
    <row r="654" spans="1:12" ht="12.75">
      <c r="A654" s="15"/>
      <c r="B654" s="99"/>
      <c r="C654" s="47"/>
      <c r="D654" s="47"/>
      <c r="F654" s="16"/>
      <c r="K654" s="16"/>
      <c r="L654" s="9"/>
    </row>
    <row r="655" spans="1:12" ht="12.75">
      <c r="A655" s="15"/>
      <c r="B655" s="99"/>
      <c r="C655" s="47"/>
      <c r="D655" s="47"/>
      <c r="F655" s="16"/>
      <c r="K655" s="16"/>
      <c r="L655" s="9"/>
    </row>
    <row r="656" spans="1:12" ht="12.75">
      <c r="A656" s="15"/>
      <c r="B656" s="99"/>
      <c r="C656" s="47"/>
      <c r="D656" s="47"/>
      <c r="F656" s="16"/>
      <c r="K656" s="16"/>
      <c r="L656" s="9"/>
    </row>
    <row r="657" spans="1:12" ht="12.75">
      <c r="A657" s="15"/>
      <c r="B657" s="99"/>
      <c r="C657" s="47"/>
      <c r="D657" s="47"/>
      <c r="F657" s="16"/>
      <c r="K657" s="16"/>
      <c r="L657" s="9"/>
    </row>
    <row r="658" spans="1:12" ht="12.75">
      <c r="A658" s="15"/>
      <c r="B658" s="99"/>
      <c r="C658" s="47"/>
      <c r="D658" s="47"/>
      <c r="F658" s="16"/>
      <c r="K658" s="16"/>
      <c r="L658" s="9"/>
    </row>
    <row r="659" spans="1:12" ht="12.75">
      <c r="A659" s="15"/>
      <c r="B659" s="99"/>
      <c r="C659" s="47"/>
      <c r="D659" s="47"/>
      <c r="F659" s="16"/>
      <c r="K659" s="16"/>
      <c r="L659" s="9"/>
    </row>
    <row r="660" spans="1:12" ht="12.75">
      <c r="A660" s="15"/>
      <c r="B660" s="99"/>
      <c r="C660" s="47"/>
      <c r="D660" s="47"/>
      <c r="F660" s="16"/>
      <c r="K660" s="16"/>
      <c r="L660" s="9"/>
    </row>
    <row r="661" spans="1:12" ht="12.75">
      <c r="A661" s="15"/>
      <c r="B661" s="99"/>
      <c r="C661" s="47"/>
      <c r="D661" s="47"/>
      <c r="F661" s="16"/>
      <c r="K661" s="16"/>
      <c r="L661" s="9"/>
    </row>
    <row r="662" spans="1:12" ht="12.75">
      <c r="A662" s="15"/>
      <c r="B662" s="99"/>
      <c r="C662" s="47"/>
      <c r="D662" s="47"/>
      <c r="F662" s="16"/>
      <c r="K662" s="16"/>
      <c r="L662" s="9"/>
    </row>
    <row r="663" spans="1:12" ht="12.75">
      <c r="A663" s="15"/>
      <c r="B663" s="99"/>
      <c r="C663" s="47"/>
      <c r="D663" s="47"/>
      <c r="F663" s="16"/>
      <c r="K663" s="16"/>
      <c r="L663" s="9"/>
    </row>
    <row r="664" spans="1:12" ht="12.75">
      <c r="A664" s="15"/>
      <c r="B664" s="99"/>
      <c r="C664" s="47"/>
      <c r="D664" s="47"/>
      <c r="F664" s="16"/>
      <c r="K664" s="16"/>
      <c r="L664" s="9"/>
    </row>
    <row r="665" spans="1:12" ht="12.75">
      <c r="A665" s="15"/>
      <c r="B665" s="99"/>
      <c r="C665" s="47"/>
      <c r="D665" s="47"/>
      <c r="F665" s="16"/>
      <c r="K665" s="16"/>
      <c r="L665" s="9"/>
    </row>
    <row r="666" spans="1:12" ht="12.75">
      <c r="A666" s="15"/>
      <c r="B666" s="99"/>
      <c r="C666" s="47"/>
      <c r="D666" s="47"/>
      <c r="F666" s="16"/>
      <c r="K666" s="16"/>
      <c r="L666" s="9"/>
    </row>
    <row r="667" spans="1:12" ht="12.75">
      <c r="A667" s="15"/>
      <c r="B667" s="99"/>
      <c r="C667" s="47"/>
      <c r="D667" s="47"/>
      <c r="F667" s="16"/>
      <c r="K667" s="16"/>
      <c r="L667" s="9"/>
    </row>
    <row r="668" spans="1:12" ht="12.75">
      <c r="A668" s="15"/>
      <c r="B668" s="99"/>
      <c r="C668" s="47"/>
      <c r="D668" s="47"/>
      <c r="F668" s="16"/>
      <c r="K668" s="16"/>
      <c r="L668" s="9"/>
    </row>
    <row r="669" spans="1:12" ht="12.75">
      <c r="A669" s="15"/>
      <c r="B669" s="99"/>
      <c r="C669" s="47"/>
      <c r="D669" s="47"/>
      <c r="F669" s="16"/>
      <c r="K669" s="16"/>
      <c r="L669" s="9"/>
    </row>
    <row r="670" spans="1:12" ht="12.75">
      <c r="A670" s="15"/>
      <c r="B670" s="99"/>
      <c r="C670" s="47"/>
      <c r="D670" s="47"/>
      <c r="F670" s="16"/>
      <c r="K670" s="16"/>
      <c r="L670" s="9"/>
    </row>
    <row r="671" spans="1:12" ht="12.75">
      <c r="A671" s="15"/>
      <c r="B671" s="99"/>
      <c r="C671" s="47"/>
      <c r="D671" s="47"/>
      <c r="F671" s="16"/>
      <c r="K671" s="16"/>
      <c r="L671" s="9"/>
    </row>
    <row r="672" spans="1:12" ht="12.75">
      <c r="A672" s="15"/>
      <c r="B672" s="99"/>
      <c r="C672" s="47"/>
      <c r="D672" s="47"/>
      <c r="F672" s="16"/>
      <c r="K672" s="16"/>
      <c r="L672" s="9"/>
    </row>
    <row r="673" spans="1:12" ht="12.75">
      <c r="A673" s="15"/>
      <c r="B673" s="99"/>
      <c r="C673" s="47"/>
      <c r="D673" s="47"/>
      <c r="F673" s="16"/>
      <c r="K673" s="16"/>
      <c r="L673" s="9"/>
    </row>
    <row r="674" spans="1:12" ht="12.75">
      <c r="A674" s="15"/>
      <c r="B674" s="99"/>
      <c r="C674" s="47"/>
      <c r="D674" s="47"/>
      <c r="F674" s="16"/>
      <c r="K674" s="16"/>
      <c r="L674" s="9"/>
    </row>
    <row r="675" spans="1:12" ht="12.75">
      <c r="A675" s="15"/>
      <c r="B675" s="99"/>
      <c r="C675" s="47"/>
      <c r="D675" s="47"/>
      <c r="F675" s="16"/>
      <c r="K675" s="16"/>
      <c r="L675" s="9"/>
    </row>
    <row r="676" spans="1:12" ht="12.75">
      <c r="A676" s="15"/>
      <c r="B676" s="99"/>
      <c r="C676" s="47"/>
      <c r="D676" s="47"/>
      <c r="F676" s="16"/>
      <c r="K676" s="16"/>
      <c r="L676" s="9"/>
    </row>
    <row r="677" spans="1:12" ht="12.75">
      <c r="A677" s="15"/>
      <c r="B677" s="99"/>
      <c r="C677" s="47"/>
      <c r="D677" s="47"/>
      <c r="F677" s="16"/>
      <c r="K677" s="16"/>
      <c r="L677" s="9"/>
    </row>
    <row r="678" spans="1:12" ht="12.75">
      <c r="A678" s="15"/>
      <c r="B678" s="99"/>
      <c r="C678" s="47"/>
      <c r="D678" s="47"/>
      <c r="F678" s="16"/>
      <c r="K678" s="16"/>
      <c r="L678" s="9"/>
    </row>
    <row r="679" spans="1:12" ht="12.75">
      <c r="A679" s="15"/>
      <c r="B679" s="99"/>
      <c r="C679" s="47"/>
      <c r="D679" s="47"/>
      <c r="F679" s="16"/>
      <c r="K679" s="16"/>
      <c r="L679" s="9"/>
    </row>
    <row r="680" spans="1:12" ht="12.75">
      <c r="A680" s="15"/>
      <c r="B680" s="99"/>
      <c r="C680" s="47"/>
      <c r="D680" s="47"/>
      <c r="F680" s="16"/>
      <c r="K680" s="16"/>
      <c r="L680" s="9"/>
    </row>
    <row r="681" spans="1:12" ht="12.75">
      <c r="A681" s="15"/>
      <c r="B681" s="99"/>
      <c r="C681" s="47"/>
      <c r="D681" s="47"/>
      <c r="F681" s="16"/>
      <c r="K681" s="16"/>
      <c r="L681" s="9"/>
    </row>
    <row r="682" spans="1:12" ht="12.75">
      <c r="A682" s="15"/>
      <c r="B682" s="99"/>
      <c r="C682" s="47"/>
      <c r="D682" s="47"/>
      <c r="F682" s="16"/>
      <c r="K682" s="16"/>
      <c r="L682" s="9"/>
    </row>
    <row r="683" spans="1:12" ht="12.75">
      <c r="A683" s="15"/>
      <c r="B683" s="99"/>
      <c r="C683" s="47"/>
      <c r="D683" s="47"/>
      <c r="F683" s="16"/>
      <c r="K683" s="16"/>
      <c r="L683" s="9"/>
    </row>
    <row r="684" spans="1:12" ht="12.75">
      <c r="A684" s="15"/>
      <c r="B684" s="99"/>
      <c r="C684" s="47"/>
      <c r="D684" s="47"/>
      <c r="F684" s="16"/>
      <c r="K684" s="16"/>
      <c r="L684" s="9"/>
    </row>
    <row r="685" spans="1:12" ht="12.75">
      <c r="A685" s="15"/>
      <c r="B685" s="99"/>
      <c r="C685" s="47"/>
      <c r="D685" s="47"/>
      <c r="F685" s="16"/>
      <c r="K685" s="16"/>
      <c r="L685" s="9"/>
    </row>
    <row r="686" spans="1:12" ht="12.75">
      <c r="A686" s="15"/>
      <c r="B686" s="99"/>
      <c r="C686" s="47"/>
      <c r="D686" s="47"/>
      <c r="F686" s="16"/>
      <c r="K686" s="16"/>
      <c r="L686" s="9"/>
    </row>
    <row r="687" spans="1:12" ht="12.75">
      <c r="A687" s="15"/>
      <c r="B687" s="99"/>
      <c r="C687" s="47"/>
      <c r="D687" s="47"/>
      <c r="F687" s="16"/>
      <c r="K687" s="16"/>
      <c r="L687" s="9"/>
    </row>
    <row r="688" spans="1:12" ht="12.75">
      <c r="A688" s="15"/>
      <c r="B688" s="99"/>
      <c r="C688" s="47"/>
      <c r="D688" s="47"/>
      <c r="F688" s="16"/>
      <c r="K688" s="16"/>
      <c r="L688" s="9"/>
    </row>
    <row r="689" spans="1:12" ht="12.75">
      <c r="A689" s="15"/>
      <c r="B689" s="99"/>
      <c r="C689" s="47"/>
      <c r="D689" s="47"/>
      <c r="F689" s="16"/>
      <c r="K689" s="16"/>
      <c r="L689" s="9"/>
    </row>
    <row r="690" spans="1:12" ht="12.75">
      <c r="A690" s="15"/>
      <c r="B690" s="99"/>
      <c r="C690" s="47"/>
      <c r="D690" s="47"/>
      <c r="F690" s="16"/>
      <c r="K690" s="16"/>
      <c r="L690" s="9"/>
    </row>
    <row r="691" spans="1:12" ht="12.75">
      <c r="A691" s="15"/>
      <c r="B691" s="99"/>
      <c r="C691" s="47"/>
      <c r="D691" s="47"/>
      <c r="F691" s="16"/>
      <c r="K691" s="16"/>
      <c r="L691" s="9"/>
    </row>
    <row r="692" spans="1:12" ht="12.75">
      <c r="A692" s="15"/>
      <c r="B692" s="99"/>
      <c r="C692" s="47"/>
      <c r="D692" s="47"/>
      <c r="F692" s="16"/>
      <c r="K692" s="16"/>
      <c r="L692" s="9"/>
    </row>
    <row r="693" spans="1:12" ht="12.75">
      <c r="A693" s="15"/>
      <c r="B693" s="99"/>
      <c r="C693" s="47"/>
      <c r="D693" s="47"/>
      <c r="F693" s="16"/>
      <c r="K693" s="16"/>
      <c r="L693" s="9"/>
    </row>
    <row r="694" spans="1:12" ht="12.75">
      <c r="A694" s="15"/>
      <c r="B694" s="99"/>
      <c r="C694" s="47"/>
      <c r="D694" s="47"/>
      <c r="F694" s="16"/>
      <c r="K694" s="16"/>
      <c r="L694" s="9"/>
    </row>
    <row r="695" spans="1:12" ht="12.75">
      <c r="A695" s="15"/>
      <c r="B695" s="99"/>
      <c r="C695" s="47"/>
      <c r="D695" s="47"/>
      <c r="F695" s="16"/>
      <c r="K695" s="16"/>
      <c r="L695" s="9"/>
    </row>
    <row r="696" spans="1:12" ht="12.75">
      <c r="A696" s="15"/>
      <c r="B696" s="99"/>
      <c r="C696" s="47"/>
      <c r="D696" s="47"/>
      <c r="F696" s="16"/>
      <c r="K696" s="16"/>
      <c r="L696" s="9"/>
    </row>
    <row r="697" spans="1:12" ht="12.75">
      <c r="A697" s="15"/>
      <c r="B697" s="99"/>
      <c r="C697" s="47"/>
      <c r="D697" s="47"/>
      <c r="F697" s="16"/>
      <c r="K697" s="16"/>
      <c r="L697" s="9"/>
    </row>
    <row r="698" spans="1:12" ht="12.75">
      <c r="A698" s="15"/>
      <c r="B698" s="99"/>
      <c r="C698" s="47"/>
      <c r="D698" s="47"/>
      <c r="F698" s="16"/>
      <c r="K698" s="16"/>
      <c r="L698" s="9"/>
    </row>
    <row r="699" spans="1:12" ht="12.75">
      <c r="A699" s="15"/>
      <c r="B699" s="99"/>
      <c r="C699" s="47"/>
      <c r="D699" s="47"/>
      <c r="F699" s="16"/>
      <c r="K699" s="16"/>
      <c r="L699" s="9"/>
    </row>
    <row r="700" spans="1:12" ht="12.75">
      <c r="A700" s="15"/>
      <c r="B700" s="99"/>
      <c r="C700" s="47"/>
      <c r="D700" s="47"/>
      <c r="F700" s="16"/>
      <c r="K700" s="16"/>
      <c r="L700" s="9"/>
    </row>
    <row r="701" spans="1:12" ht="12.75">
      <c r="A701" s="15"/>
      <c r="B701" s="99"/>
      <c r="C701" s="47"/>
      <c r="D701" s="47"/>
      <c r="F701" s="16"/>
      <c r="K701" s="16"/>
      <c r="L701" s="9"/>
    </row>
    <row r="702" spans="1:12" ht="12.75">
      <c r="A702" s="15"/>
      <c r="B702" s="99"/>
      <c r="C702" s="47"/>
      <c r="D702" s="47"/>
      <c r="F702" s="16"/>
      <c r="K702" s="16"/>
      <c r="L702" s="9"/>
    </row>
    <row r="703" spans="1:12" ht="12.75">
      <c r="A703" s="15"/>
      <c r="B703" s="99"/>
      <c r="C703" s="47"/>
      <c r="D703" s="47"/>
      <c r="F703" s="16"/>
      <c r="K703" s="16"/>
      <c r="L703" s="9"/>
    </row>
    <row r="704" spans="1:12" ht="12.75">
      <c r="A704" s="15"/>
      <c r="B704" s="99"/>
      <c r="C704" s="47"/>
      <c r="D704" s="47"/>
      <c r="F704" s="16"/>
      <c r="K704" s="16"/>
      <c r="L704" s="9"/>
    </row>
    <row r="705" spans="1:12" ht="12.75">
      <c r="A705" s="15"/>
      <c r="B705" s="99"/>
      <c r="C705" s="47"/>
      <c r="D705" s="47"/>
      <c r="F705" s="16"/>
      <c r="K705" s="16"/>
      <c r="L705" s="9"/>
    </row>
    <row r="706" spans="1:12" ht="12.75">
      <c r="A706" s="15"/>
      <c r="B706" s="99"/>
      <c r="C706" s="47"/>
      <c r="D706" s="47"/>
      <c r="F706" s="16"/>
      <c r="K706" s="16"/>
      <c r="L706" s="9"/>
    </row>
    <row r="707" spans="1:12" ht="12.75">
      <c r="A707" s="15"/>
      <c r="B707" s="99"/>
      <c r="C707" s="47"/>
      <c r="D707" s="47"/>
      <c r="F707" s="16"/>
      <c r="K707" s="16"/>
      <c r="L707" s="9"/>
    </row>
    <row r="708" spans="1:12" ht="12.75">
      <c r="A708" s="15"/>
      <c r="B708" s="99"/>
      <c r="C708" s="47"/>
      <c r="D708" s="47"/>
      <c r="F708" s="16"/>
      <c r="K708" s="16"/>
      <c r="L708" s="9"/>
    </row>
    <row r="709" spans="1:12" ht="12.75">
      <c r="A709" s="15"/>
      <c r="B709" s="99"/>
      <c r="C709" s="47"/>
      <c r="D709" s="47"/>
      <c r="F709" s="16"/>
      <c r="K709" s="16"/>
      <c r="L709" s="9"/>
    </row>
    <row r="710" spans="1:12" ht="12.75">
      <c r="A710" s="15"/>
      <c r="B710" s="99"/>
      <c r="C710" s="47"/>
      <c r="D710" s="47"/>
      <c r="F710" s="16"/>
      <c r="K710" s="16"/>
      <c r="L710" s="9"/>
    </row>
    <row r="711" spans="1:12" ht="12.75">
      <c r="A711" s="15"/>
      <c r="B711" s="99"/>
      <c r="C711" s="47"/>
      <c r="D711" s="47"/>
      <c r="F711" s="16"/>
      <c r="K711" s="16"/>
      <c r="L711" s="9"/>
    </row>
    <row r="712" spans="1:12" ht="12.75">
      <c r="A712" s="15"/>
      <c r="B712" s="99"/>
      <c r="C712" s="47"/>
      <c r="D712" s="47"/>
      <c r="F712" s="16"/>
      <c r="K712" s="16"/>
      <c r="L712" s="9"/>
    </row>
    <row r="713" spans="1:12" ht="12.75">
      <c r="A713" s="15"/>
      <c r="B713" s="99"/>
      <c r="C713" s="47"/>
      <c r="D713" s="47"/>
      <c r="F713" s="16"/>
      <c r="K713" s="16"/>
      <c r="L713" s="9"/>
    </row>
    <row r="714" spans="1:12" ht="12.75">
      <c r="A714" s="15"/>
      <c r="B714" s="99"/>
      <c r="C714" s="47"/>
      <c r="D714" s="47"/>
      <c r="F714" s="16"/>
      <c r="K714" s="16"/>
      <c r="L714" s="9"/>
    </row>
    <row r="715" spans="1:12" ht="12.75">
      <c r="A715" s="15"/>
      <c r="B715" s="99"/>
      <c r="C715" s="47"/>
      <c r="D715" s="47"/>
      <c r="F715" s="16"/>
      <c r="K715" s="16"/>
      <c r="L715" s="9"/>
    </row>
    <row r="716" spans="1:12" ht="12.75">
      <c r="A716" s="15"/>
      <c r="B716" s="99"/>
      <c r="C716" s="47"/>
      <c r="D716" s="47"/>
      <c r="F716" s="16"/>
      <c r="K716" s="16"/>
      <c r="L716" s="9"/>
    </row>
    <row r="717" spans="1:12" ht="12.75">
      <c r="A717" s="15"/>
      <c r="B717" s="99"/>
      <c r="C717" s="47"/>
      <c r="D717" s="47"/>
      <c r="F717" s="16"/>
      <c r="K717" s="16"/>
      <c r="L717" s="9"/>
    </row>
    <row r="718" spans="1:12" ht="12.75">
      <c r="A718" s="15"/>
      <c r="B718" s="99"/>
      <c r="C718" s="47"/>
      <c r="D718" s="47"/>
      <c r="F718" s="16"/>
      <c r="K718" s="16"/>
      <c r="L718" s="9"/>
    </row>
    <row r="719" spans="1:12" ht="12.75">
      <c r="A719" s="15"/>
      <c r="B719" s="99"/>
      <c r="C719" s="47"/>
      <c r="D719" s="47"/>
      <c r="F719" s="16"/>
      <c r="K719" s="16"/>
      <c r="L719" s="9"/>
    </row>
    <row r="720" spans="1:12" ht="12.75">
      <c r="A720" s="15"/>
      <c r="B720" s="99"/>
      <c r="C720" s="47"/>
      <c r="D720" s="47"/>
      <c r="F720" s="16"/>
      <c r="K720" s="16"/>
      <c r="L720" s="9"/>
    </row>
    <row r="721" spans="1:12" ht="12.75">
      <c r="A721" s="15"/>
      <c r="B721" s="99"/>
      <c r="C721" s="47"/>
      <c r="D721" s="47"/>
      <c r="F721" s="16"/>
      <c r="K721" s="16"/>
      <c r="L721" s="9"/>
    </row>
    <row r="722" spans="1:12" ht="12.75">
      <c r="A722" s="15"/>
      <c r="B722" s="99"/>
      <c r="C722" s="47"/>
      <c r="D722" s="47"/>
      <c r="F722" s="16"/>
      <c r="K722" s="16"/>
      <c r="L722" s="9"/>
    </row>
    <row r="723" spans="1:12" ht="12.75">
      <c r="A723" s="15"/>
      <c r="B723" s="99"/>
      <c r="C723" s="47"/>
      <c r="D723" s="47"/>
      <c r="F723" s="16"/>
      <c r="K723" s="16"/>
      <c r="L723" s="9"/>
    </row>
    <row r="724" spans="1:12" ht="12.75">
      <c r="A724" s="15"/>
      <c r="B724" s="99"/>
      <c r="C724" s="47"/>
      <c r="D724" s="47"/>
      <c r="F724" s="16"/>
      <c r="K724" s="16"/>
      <c r="L724" s="9"/>
    </row>
    <row r="725" spans="1:12" ht="12.75">
      <c r="A725" s="15"/>
      <c r="B725" s="99"/>
      <c r="C725" s="47"/>
      <c r="D725" s="47"/>
      <c r="F725" s="16"/>
      <c r="K725" s="16"/>
      <c r="L725" s="9"/>
    </row>
    <row r="726" spans="1:12" ht="12.75">
      <c r="A726" s="15"/>
      <c r="B726" s="99"/>
      <c r="C726" s="47"/>
      <c r="D726" s="47"/>
      <c r="F726" s="16"/>
      <c r="K726" s="16"/>
      <c r="L726" s="9"/>
    </row>
    <row r="727" spans="1:12" ht="12.75">
      <c r="A727" s="15"/>
      <c r="B727" s="99"/>
      <c r="C727" s="47"/>
      <c r="D727" s="47"/>
      <c r="F727" s="16"/>
      <c r="K727" s="16"/>
      <c r="L727" s="9"/>
    </row>
    <row r="728" spans="1:12" ht="12.75">
      <c r="A728" s="15"/>
      <c r="B728" s="99"/>
      <c r="C728" s="47"/>
      <c r="D728" s="47"/>
      <c r="F728" s="16"/>
      <c r="K728" s="16"/>
      <c r="L728" s="9"/>
    </row>
    <row r="729" spans="1:12" ht="12.75">
      <c r="A729" s="15"/>
      <c r="B729" s="99"/>
      <c r="C729" s="47"/>
      <c r="D729" s="47"/>
      <c r="F729" s="16"/>
      <c r="K729" s="16"/>
      <c r="L729" s="9"/>
    </row>
    <row r="730" spans="1:12" ht="12.75">
      <c r="A730" s="15"/>
      <c r="B730" s="99"/>
      <c r="C730" s="47"/>
      <c r="D730" s="47"/>
      <c r="F730" s="16"/>
      <c r="K730" s="16"/>
      <c r="L730" s="9"/>
    </row>
    <row r="731" spans="1:12" ht="12.75">
      <c r="A731" s="15"/>
      <c r="B731" s="99"/>
      <c r="C731" s="47"/>
      <c r="D731" s="47"/>
      <c r="F731" s="16"/>
      <c r="K731" s="16"/>
      <c r="L731" s="9"/>
    </row>
    <row r="732" spans="1:12" ht="12.75">
      <c r="A732" s="15"/>
      <c r="B732" s="99"/>
      <c r="C732" s="47"/>
      <c r="D732" s="47"/>
      <c r="F732" s="16"/>
      <c r="K732" s="16"/>
      <c r="L732" s="9"/>
    </row>
    <row r="733" spans="1:12" ht="12.75">
      <c r="A733" s="15"/>
      <c r="B733" s="99"/>
      <c r="C733" s="47"/>
      <c r="D733" s="47"/>
      <c r="F733" s="16"/>
      <c r="K733" s="16"/>
      <c r="L733" s="9"/>
    </row>
    <row r="734" spans="1:12" ht="12.75">
      <c r="A734" s="15"/>
      <c r="B734" s="99"/>
      <c r="C734" s="47"/>
      <c r="D734" s="47"/>
      <c r="F734" s="16"/>
      <c r="K734" s="16"/>
      <c r="L734" s="9"/>
    </row>
    <row r="735" spans="1:12" ht="12.75">
      <c r="A735" s="15"/>
      <c r="B735" s="99"/>
      <c r="C735" s="47"/>
      <c r="D735" s="47"/>
      <c r="F735" s="16"/>
      <c r="K735" s="16"/>
      <c r="L735" s="9"/>
    </row>
    <row r="736" spans="1:12" ht="12.75">
      <c r="A736" s="15"/>
      <c r="B736" s="99"/>
      <c r="C736" s="47"/>
      <c r="D736" s="47"/>
      <c r="F736" s="16"/>
      <c r="K736" s="16"/>
      <c r="L736" s="9"/>
    </row>
    <row r="737" spans="1:12" ht="12.75">
      <c r="A737" s="15"/>
      <c r="B737" s="99"/>
      <c r="C737" s="47"/>
      <c r="D737" s="47"/>
      <c r="F737" s="16"/>
      <c r="K737" s="16"/>
      <c r="L737" s="9"/>
    </row>
    <row r="738" spans="1:12" ht="12.75">
      <c r="A738" s="15"/>
      <c r="B738" s="99"/>
      <c r="C738" s="47"/>
      <c r="D738" s="47"/>
      <c r="F738" s="16"/>
      <c r="K738" s="16"/>
      <c r="L738" s="9"/>
    </row>
    <row r="739" spans="1:12" ht="12.75">
      <c r="A739" s="15"/>
      <c r="B739" s="99"/>
      <c r="C739" s="47"/>
      <c r="D739" s="47"/>
      <c r="F739" s="16"/>
      <c r="K739" s="16"/>
      <c r="L739" s="9"/>
    </row>
    <row r="740" spans="1:12" ht="12.75">
      <c r="A740" s="15"/>
      <c r="B740" s="99"/>
      <c r="C740" s="47"/>
      <c r="D740" s="47"/>
      <c r="F740" s="16"/>
      <c r="K740" s="16"/>
      <c r="L740" s="9"/>
    </row>
    <row r="741" spans="1:12" ht="12.75">
      <c r="A741" s="15"/>
      <c r="B741" s="99"/>
      <c r="C741" s="47"/>
      <c r="D741" s="47"/>
      <c r="F741" s="16"/>
      <c r="K741" s="16"/>
      <c r="L741" s="9"/>
    </row>
    <row r="742" spans="1:12" ht="12.75">
      <c r="A742" s="15"/>
      <c r="B742" s="99"/>
      <c r="C742" s="47"/>
      <c r="D742" s="47"/>
      <c r="F742" s="16"/>
      <c r="K742" s="16"/>
      <c r="L742" s="9"/>
    </row>
    <row r="743" spans="1:12" ht="12.75">
      <c r="A743" s="15"/>
      <c r="B743" s="99"/>
      <c r="C743" s="47"/>
      <c r="D743" s="47"/>
      <c r="F743" s="16"/>
      <c r="K743" s="16"/>
      <c r="L743" s="9"/>
    </row>
    <row r="744" spans="1:12" ht="12.75">
      <c r="A744" s="15"/>
      <c r="B744" s="99"/>
      <c r="C744" s="47"/>
      <c r="D744" s="47"/>
      <c r="F744" s="16"/>
      <c r="K744" s="16"/>
      <c r="L744" s="9"/>
    </row>
    <row r="745" spans="1:12" ht="12.75">
      <c r="A745" s="15"/>
      <c r="B745" s="99"/>
      <c r="C745" s="47"/>
      <c r="D745" s="47"/>
      <c r="F745" s="16"/>
      <c r="K745" s="16"/>
      <c r="L745" s="9"/>
    </row>
    <row r="746" spans="1:12" ht="12.75">
      <c r="A746" s="15"/>
      <c r="B746" s="99"/>
      <c r="C746" s="47"/>
      <c r="D746" s="47"/>
      <c r="F746" s="16"/>
      <c r="K746" s="16"/>
      <c r="L746" s="9"/>
    </row>
    <row r="747" spans="1:12" ht="12.75">
      <c r="A747" s="15"/>
      <c r="B747" s="99"/>
      <c r="C747" s="47"/>
      <c r="D747" s="47"/>
      <c r="F747" s="16"/>
      <c r="K747" s="16"/>
      <c r="L747" s="9"/>
    </row>
    <row r="748" spans="1:12" ht="12.75">
      <c r="A748" s="15"/>
      <c r="B748" s="99"/>
      <c r="C748" s="47"/>
      <c r="D748" s="47"/>
      <c r="F748" s="16"/>
      <c r="K748" s="16"/>
      <c r="L748" s="9"/>
    </row>
    <row r="749" spans="1:12" ht="12.75">
      <c r="A749" s="15"/>
      <c r="B749" s="99"/>
      <c r="C749" s="47"/>
      <c r="D749" s="47"/>
      <c r="F749" s="16"/>
      <c r="K749" s="16"/>
      <c r="L749" s="9"/>
    </row>
    <row r="750" spans="1:12" ht="12.75">
      <c r="A750" s="15"/>
      <c r="B750" s="99"/>
      <c r="C750" s="47"/>
      <c r="D750" s="47"/>
      <c r="F750" s="16"/>
      <c r="K750" s="16"/>
      <c r="L750" s="9"/>
    </row>
    <row r="751" spans="1:12" ht="12.75">
      <c r="A751" s="15"/>
      <c r="B751" s="99"/>
      <c r="C751" s="47"/>
      <c r="D751" s="47"/>
      <c r="F751" s="16"/>
      <c r="K751" s="16"/>
      <c r="L751" s="9"/>
    </row>
    <row r="752" spans="1:12" ht="12.75">
      <c r="A752" s="15"/>
      <c r="B752" s="99"/>
      <c r="C752" s="47"/>
      <c r="D752" s="47"/>
      <c r="F752" s="16"/>
      <c r="K752" s="16"/>
      <c r="L752" s="9"/>
    </row>
    <row r="753" spans="1:12" ht="12.75">
      <c r="A753" s="15"/>
      <c r="B753" s="99"/>
      <c r="C753" s="47"/>
      <c r="D753" s="47"/>
      <c r="F753" s="16"/>
      <c r="K753" s="16"/>
      <c r="L753" s="9"/>
    </row>
    <row r="754" spans="1:12" ht="12.75">
      <c r="A754" s="15"/>
      <c r="B754" s="99"/>
      <c r="C754" s="47"/>
      <c r="D754" s="47"/>
      <c r="F754" s="16"/>
      <c r="K754" s="16"/>
      <c r="L754" s="9"/>
    </row>
    <row r="755" spans="1:12" ht="12.75">
      <c r="A755" s="15"/>
      <c r="B755" s="99"/>
      <c r="C755" s="47"/>
      <c r="D755" s="47"/>
      <c r="F755" s="16"/>
      <c r="K755" s="16"/>
      <c r="L755" s="9"/>
    </row>
    <row r="756" spans="1:12" ht="12.75">
      <c r="A756" s="15"/>
      <c r="B756" s="99"/>
      <c r="C756" s="47"/>
      <c r="D756" s="47"/>
      <c r="F756" s="16"/>
      <c r="K756" s="16"/>
      <c r="L756" s="9"/>
    </row>
    <row r="757" spans="1:12" ht="12.75">
      <c r="A757" s="15"/>
      <c r="B757" s="99"/>
      <c r="C757" s="47"/>
      <c r="D757" s="47"/>
      <c r="F757" s="16"/>
      <c r="K757" s="16"/>
      <c r="L757" s="9"/>
    </row>
    <row r="758" spans="1:12" ht="12.75">
      <c r="A758" s="15"/>
      <c r="B758" s="99"/>
      <c r="C758" s="47"/>
      <c r="D758" s="47"/>
      <c r="F758" s="16"/>
      <c r="K758" s="16"/>
      <c r="L758" s="9"/>
    </row>
    <row r="759" spans="1:12" ht="12.75">
      <c r="A759" s="15"/>
      <c r="B759" s="99"/>
      <c r="C759" s="47"/>
      <c r="D759" s="47"/>
      <c r="F759" s="16"/>
      <c r="K759" s="16"/>
      <c r="L759" s="9"/>
    </row>
    <row r="760" spans="1:12" ht="12.75">
      <c r="A760" s="15"/>
      <c r="B760" s="99"/>
      <c r="C760" s="47"/>
      <c r="D760" s="47"/>
      <c r="F760" s="16"/>
      <c r="K760" s="16"/>
      <c r="L760" s="9"/>
    </row>
    <row r="761" spans="1:12" ht="12.75">
      <c r="A761" s="15"/>
      <c r="B761" s="99"/>
      <c r="C761" s="47"/>
      <c r="D761" s="47"/>
      <c r="F761" s="16"/>
      <c r="K761" s="16"/>
      <c r="L761" s="9"/>
    </row>
    <row r="762" spans="1:12" ht="12.75">
      <c r="A762" s="15"/>
      <c r="B762" s="99"/>
      <c r="C762" s="47"/>
      <c r="D762" s="47"/>
      <c r="F762" s="16"/>
      <c r="K762" s="16"/>
      <c r="L762" s="9"/>
    </row>
    <row r="763" spans="1:12" ht="12.75">
      <c r="A763" s="15"/>
      <c r="B763" s="99"/>
      <c r="C763" s="47"/>
      <c r="D763" s="47"/>
      <c r="F763" s="16"/>
      <c r="K763" s="16"/>
      <c r="L763" s="9"/>
    </row>
    <row r="764" spans="1:12" ht="12.75">
      <c r="A764" s="15"/>
      <c r="B764" s="99"/>
      <c r="C764" s="47"/>
      <c r="D764" s="47"/>
      <c r="F764" s="16"/>
      <c r="K764" s="16"/>
      <c r="L764" s="9"/>
    </row>
    <row r="765" spans="1:12" ht="12.75">
      <c r="A765" s="15"/>
      <c r="B765" s="99"/>
      <c r="C765" s="47"/>
      <c r="D765" s="47"/>
      <c r="F765" s="16"/>
      <c r="K765" s="16"/>
      <c r="L765" s="9"/>
    </row>
    <row r="766" spans="1:12" ht="12.75">
      <c r="A766" s="15"/>
      <c r="B766" s="99"/>
      <c r="C766" s="47"/>
      <c r="D766" s="47"/>
      <c r="F766" s="16"/>
      <c r="K766" s="16"/>
      <c r="L766" s="9"/>
    </row>
    <row r="767" spans="1:12" ht="12.75">
      <c r="A767" s="15"/>
      <c r="B767" s="99"/>
      <c r="C767" s="47"/>
      <c r="D767" s="47"/>
      <c r="F767" s="16"/>
      <c r="K767" s="16"/>
      <c r="L767" s="9"/>
    </row>
    <row r="768" spans="1:12" ht="12.75">
      <c r="A768" s="15"/>
      <c r="B768" s="99"/>
      <c r="C768" s="47"/>
      <c r="D768" s="47"/>
      <c r="F768" s="16"/>
      <c r="K768" s="16"/>
      <c r="L768" s="9"/>
    </row>
    <row r="769" spans="1:12" ht="12.75">
      <c r="A769" s="15"/>
      <c r="B769" s="99"/>
      <c r="C769" s="47"/>
      <c r="D769" s="47"/>
      <c r="F769" s="16"/>
      <c r="K769" s="16"/>
      <c r="L769" s="9"/>
    </row>
    <row r="770" spans="1:12" ht="12.75">
      <c r="A770" s="15"/>
      <c r="B770" s="99"/>
      <c r="C770" s="47"/>
      <c r="D770" s="47"/>
      <c r="F770" s="16"/>
      <c r="K770" s="16"/>
      <c r="L770" s="9"/>
    </row>
    <row r="771" spans="1:12" ht="12.75">
      <c r="A771" s="15"/>
      <c r="B771" s="99"/>
      <c r="C771" s="47"/>
      <c r="D771" s="47"/>
      <c r="F771" s="16"/>
      <c r="K771" s="16"/>
      <c r="L771" s="9"/>
    </row>
    <row r="772" spans="1:12" ht="12.75">
      <c r="A772" s="15"/>
      <c r="B772" s="99"/>
      <c r="C772" s="47"/>
      <c r="D772" s="47"/>
      <c r="F772" s="16"/>
      <c r="K772" s="16"/>
      <c r="L772" s="9"/>
    </row>
    <row r="773" spans="1:12" ht="12.75">
      <c r="A773" s="15"/>
      <c r="B773" s="99"/>
      <c r="C773" s="47"/>
      <c r="D773" s="47"/>
      <c r="F773" s="16"/>
      <c r="K773" s="16"/>
      <c r="L773" s="9"/>
    </row>
    <row r="774" spans="1:12" ht="12.75">
      <c r="A774" s="15"/>
      <c r="B774" s="99"/>
      <c r="C774" s="47"/>
      <c r="D774" s="47"/>
      <c r="F774" s="16"/>
      <c r="K774" s="16"/>
      <c r="L774" s="9"/>
    </row>
    <row r="775" spans="1:12" ht="12.75">
      <c r="A775" s="15"/>
      <c r="B775" s="99"/>
      <c r="C775" s="47"/>
      <c r="D775" s="47"/>
      <c r="F775" s="16"/>
      <c r="K775" s="16"/>
      <c r="L775" s="9"/>
    </row>
    <row r="776" spans="1:12" ht="12.75">
      <c r="A776" s="15"/>
      <c r="B776" s="99"/>
      <c r="C776" s="47"/>
      <c r="D776" s="47"/>
      <c r="F776" s="16"/>
      <c r="K776" s="16"/>
      <c r="L776" s="9"/>
    </row>
    <row r="777" spans="1:12" ht="12.75">
      <c r="A777" s="15"/>
      <c r="B777" s="99"/>
      <c r="C777" s="47"/>
      <c r="D777" s="47"/>
      <c r="F777" s="16"/>
      <c r="K777" s="16"/>
      <c r="L777" s="9"/>
    </row>
    <row r="778" spans="1:12" ht="12.75">
      <c r="A778" s="15"/>
      <c r="B778" s="99"/>
      <c r="C778" s="47"/>
      <c r="D778" s="47"/>
      <c r="F778" s="16"/>
      <c r="K778" s="16"/>
      <c r="L778" s="9"/>
    </row>
    <row r="779" spans="1:12" ht="12.75">
      <c r="A779" s="15"/>
      <c r="B779" s="99"/>
      <c r="C779" s="47"/>
      <c r="D779" s="47"/>
      <c r="F779" s="16"/>
      <c r="K779" s="16"/>
      <c r="L779" s="9"/>
    </row>
    <row r="780" spans="1:12" ht="12.75">
      <c r="A780" s="15"/>
      <c r="B780" s="99"/>
      <c r="C780" s="47"/>
      <c r="D780" s="47"/>
      <c r="F780" s="16"/>
      <c r="K780" s="16"/>
      <c r="L780" s="9"/>
    </row>
    <row r="781" spans="1:12" ht="12.75">
      <c r="A781" s="15"/>
      <c r="B781" s="99"/>
      <c r="C781" s="47"/>
      <c r="D781" s="47"/>
      <c r="F781" s="16"/>
      <c r="K781" s="16"/>
      <c r="L781" s="9"/>
    </row>
    <row r="782" spans="1:12" ht="12.75">
      <c r="A782" s="15"/>
      <c r="B782" s="99"/>
      <c r="C782" s="47"/>
      <c r="D782" s="47"/>
      <c r="F782" s="16"/>
      <c r="K782" s="16"/>
      <c r="L782" s="9"/>
    </row>
    <row r="783" spans="1:12" ht="12.75">
      <c r="A783" s="15"/>
      <c r="B783" s="99"/>
      <c r="C783" s="47"/>
      <c r="D783" s="47"/>
      <c r="F783" s="16"/>
      <c r="K783" s="16"/>
      <c r="L783" s="9"/>
    </row>
    <row r="784" spans="1:12" ht="12.75">
      <c r="A784" s="15"/>
      <c r="B784" s="99"/>
      <c r="C784" s="47"/>
      <c r="D784" s="47"/>
      <c r="F784" s="16"/>
      <c r="K784" s="16"/>
      <c r="L784" s="9"/>
    </row>
    <row r="785" spans="1:12" ht="12.75">
      <c r="A785" s="15"/>
      <c r="B785" s="99"/>
      <c r="C785" s="47"/>
      <c r="D785" s="47"/>
      <c r="F785" s="16"/>
      <c r="K785" s="16"/>
      <c r="L785" s="9"/>
    </row>
    <row r="786" spans="1:12" ht="12.75">
      <c r="A786" s="15"/>
      <c r="B786" s="99"/>
      <c r="C786" s="47"/>
      <c r="D786" s="47"/>
      <c r="F786" s="16"/>
      <c r="K786" s="16"/>
      <c r="L786" s="9"/>
    </row>
    <row r="787" spans="1:12" ht="12.75">
      <c r="A787" s="15"/>
      <c r="B787" s="99"/>
      <c r="C787" s="47"/>
      <c r="D787" s="47"/>
      <c r="F787" s="16"/>
      <c r="K787" s="16"/>
      <c r="L787" s="9"/>
    </row>
    <row r="788" spans="1:12" ht="12.75">
      <c r="A788" s="15"/>
      <c r="B788" s="99"/>
      <c r="C788" s="47"/>
      <c r="D788" s="47"/>
      <c r="F788" s="16"/>
      <c r="K788" s="16"/>
      <c r="L788" s="9"/>
    </row>
    <row r="789" spans="1:12" ht="12.75">
      <c r="A789" s="15"/>
      <c r="B789" s="99"/>
      <c r="C789" s="47"/>
      <c r="D789" s="47"/>
      <c r="F789" s="16"/>
      <c r="K789" s="16"/>
      <c r="L789" s="9"/>
    </row>
    <row r="790" spans="1:12" ht="12.75">
      <c r="A790" s="15"/>
      <c r="B790" s="99"/>
      <c r="C790" s="47"/>
      <c r="D790" s="47"/>
      <c r="F790" s="16"/>
      <c r="K790" s="16"/>
      <c r="L790" s="9"/>
    </row>
    <row r="791" spans="1:12" ht="12.75">
      <c r="A791" s="15"/>
      <c r="B791" s="99"/>
      <c r="C791" s="47"/>
      <c r="D791" s="47"/>
      <c r="F791" s="16"/>
      <c r="K791" s="16"/>
      <c r="L791" s="9"/>
    </row>
    <row r="792" spans="1:12" ht="12.75">
      <c r="A792" s="15"/>
      <c r="B792" s="99"/>
      <c r="C792" s="47"/>
      <c r="D792" s="47"/>
      <c r="F792" s="16"/>
      <c r="K792" s="16"/>
      <c r="L792" s="9"/>
    </row>
    <row r="793" spans="1:12" ht="12.75">
      <c r="A793" s="15"/>
      <c r="B793" s="99"/>
      <c r="C793" s="47"/>
      <c r="D793" s="47"/>
      <c r="F793" s="16"/>
      <c r="K793" s="16"/>
      <c r="L793" s="9"/>
    </row>
    <row r="794" spans="1:12" ht="12.75">
      <c r="A794" s="15"/>
      <c r="B794" s="99"/>
      <c r="C794" s="47"/>
      <c r="D794" s="47"/>
      <c r="F794" s="16"/>
      <c r="K794" s="16"/>
      <c r="L794" s="9"/>
    </row>
    <row r="795" spans="1:12" ht="12.75">
      <c r="A795" s="15"/>
      <c r="B795" s="99"/>
      <c r="C795" s="47"/>
      <c r="D795" s="47"/>
      <c r="F795" s="16"/>
      <c r="K795" s="16"/>
      <c r="L795" s="9"/>
    </row>
    <row r="796" spans="1:12" ht="12.75">
      <c r="A796" s="15"/>
      <c r="B796" s="99"/>
      <c r="C796" s="47"/>
      <c r="D796" s="47"/>
      <c r="F796" s="16"/>
      <c r="K796" s="16"/>
      <c r="L796" s="9"/>
    </row>
    <row r="797" spans="1:12" ht="12.75">
      <c r="A797" s="15"/>
      <c r="B797" s="99"/>
      <c r="C797" s="47"/>
      <c r="D797" s="47"/>
      <c r="F797" s="16"/>
      <c r="K797" s="16"/>
      <c r="L797" s="9"/>
    </row>
    <row r="798" spans="1:12" ht="12.75">
      <c r="A798" s="15"/>
      <c r="B798" s="99"/>
      <c r="C798" s="47"/>
      <c r="D798" s="47"/>
      <c r="F798" s="16"/>
      <c r="K798" s="16"/>
      <c r="L798" s="9"/>
    </row>
    <row r="799" spans="1:12" ht="12.75">
      <c r="A799" s="15"/>
      <c r="B799" s="99"/>
      <c r="C799" s="47"/>
      <c r="D799" s="47"/>
      <c r="F799" s="16"/>
      <c r="K799" s="16"/>
      <c r="L799" s="9"/>
    </row>
    <row r="800" spans="1:12" ht="12.75">
      <c r="A800" s="15"/>
      <c r="B800" s="99"/>
      <c r="C800" s="47"/>
      <c r="D800" s="47"/>
      <c r="F800" s="16"/>
      <c r="K800" s="16"/>
      <c r="L800" s="9"/>
    </row>
    <row r="801" spans="1:12" ht="12.75">
      <c r="A801" s="15"/>
      <c r="B801" s="99"/>
      <c r="C801" s="47"/>
      <c r="D801" s="47"/>
      <c r="F801" s="16"/>
      <c r="K801" s="16"/>
      <c r="L801" s="9"/>
    </row>
    <row r="802" spans="1:12" ht="12.75">
      <c r="A802" s="15"/>
      <c r="B802" s="99"/>
      <c r="C802" s="47"/>
      <c r="D802" s="47"/>
      <c r="F802" s="16"/>
      <c r="K802" s="16"/>
      <c r="L802" s="9"/>
    </row>
    <row r="803" spans="1:12" ht="12.75">
      <c r="A803" s="15"/>
      <c r="B803" s="99"/>
      <c r="C803" s="47"/>
      <c r="D803" s="47"/>
      <c r="F803" s="16"/>
      <c r="K803" s="16"/>
      <c r="L803" s="9"/>
    </row>
    <row r="804" spans="1:12" ht="12.75">
      <c r="A804" s="15"/>
      <c r="B804" s="99"/>
      <c r="C804" s="47"/>
      <c r="D804" s="47"/>
      <c r="F804" s="16"/>
      <c r="K804" s="16"/>
      <c r="L804" s="9"/>
    </row>
    <row r="805" spans="1:12" ht="12.75">
      <c r="A805" s="15"/>
      <c r="B805" s="99"/>
      <c r="C805" s="47"/>
      <c r="D805" s="47"/>
      <c r="F805" s="16"/>
      <c r="K805" s="16"/>
      <c r="L805" s="9"/>
    </row>
    <row r="806" spans="1:12" ht="12.75">
      <c r="A806" s="15"/>
      <c r="B806" s="99"/>
      <c r="C806" s="47"/>
      <c r="D806" s="47"/>
      <c r="F806" s="16"/>
      <c r="K806" s="16"/>
      <c r="L806" s="9"/>
    </row>
    <row r="807" spans="1:12" ht="12.75">
      <c r="A807" s="15"/>
      <c r="B807" s="99"/>
      <c r="C807" s="47"/>
      <c r="D807" s="47"/>
      <c r="F807" s="16"/>
      <c r="K807" s="16"/>
      <c r="L807" s="9"/>
    </row>
    <row r="808" spans="1:12" ht="12.75">
      <c r="A808" s="15"/>
      <c r="B808" s="99"/>
      <c r="C808" s="47"/>
      <c r="D808" s="47"/>
      <c r="F808" s="16"/>
      <c r="K808" s="16"/>
      <c r="L808" s="9"/>
    </row>
    <row r="809" spans="1:12" ht="12.75">
      <c r="A809" s="15"/>
      <c r="B809" s="99"/>
      <c r="C809" s="47"/>
      <c r="D809" s="47"/>
      <c r="F809" s="16"/>
      <c r="K809" s="16"/>
      <c r="L809" s="9"/>
    </row>
    <row r="810" spans="1:12" ht="12.75">
      <c r="A810" s="15"/>
      <c r="B810" s="99"/>
      <c r="C810" s="47"/>
      <c r="D810" s="47"/>
      <c r="F810" s="16"/>
      <c r="K810" s="16"/>
      <c r="L810" s="9"/>
    </row>
    <row r="811" spans="1:12" ht="12.75">
      <c r="A811" s="15"/>
      <c r="B811" s="99"/>
      <c r="C811" s="47"/>
      <c r="D811" s="47"/>
      <c r="F811" s="16"/>
      <c r="K811" s="16"/>
      <c r="L811" s="9"/>
    </row>
    <row r="812" spans="1:12" ht="12.75">
      <c r="A812" s="15"/>
      <c r="B812" s="99"/>
      <c r="C812" s="47"/>
      <c r="D812" s="47"/>
      <c r="F812" s="16"/>
      <c r="K812" s="16"/>
      <c r="L812" s="9"/>
    </row>
    <row r="813" spans="1:12" ht="12.75">
      <c r="A813" s="15"/>
      <c r="B813" s="99"/>
      <c r="C813" s="47"/>
      <c r="D813" s="47"/>
      <c r="F813" s="16"/>
      <c r="K813" s="16"/>
      <c r="L813" s="9"/>
    </row>
    <row r="814" spans="1:12" ht="12.75">
      <c r="A814" s="15"/>
      <c r="B814" s="99"/>
      <c r="C814" s="47"/>
      <c r="D814" s="47"/>
      <c r="F814" s="16"/>
      <c r="K814" s="16"/>
      <c r="L814" s="9"/>
    </row>
    <row r="815" spans="1:12" ht="12.75">
      <c r="A815" s="15"/>
      <c r="B815" s="99"/>
      <c r="C815" s="47"/>
      <c r="D815" s="47"/>
      <c r="F815" s="16"/>
      <c r="K815" s="16"/>
      <c r="L815" s="9"/>
    </row>
    <row r="816" spans="1:12" ht="12.75">
      <c r="A816" s="15"/>
      <c r="B816" s="99"/>
      <c r="C816" s="47"/>
      <c r="D816" s="47"/>
      <c r="F816" s="16"/>
      <c r="K816" s="16"/>
      <c r="L816" s="9"/>
    </row>
    <row r="817" spans="1:12" ht="12.75">
      <c r="A817" s="15"/>
      <c r="B817" s="99"/>
      <c r="C817" s="47"/>
      <c r="D817" s="47"/>
      <c r="F817" s="16"/>
      <c r="K817" s="16"/>
      <c r="L817" s="9"/>
    </row>
    <row r="818" spans="1:12" ht="12.75">
      <c r="A818" s="15"/>
      <c r="B818" s="99"/>
      <c r="C818" s="47"/>
      <c r="D818" s="47"/>
      <c r="F818" s="16"/>
      <c r="K818" s="16"/>
      <c r="L818" s="9"/>
    </row>
    <row r="819" spans="1:12" ht="12.75">
      <c r="A819" s="15"/>
      <c r="B819" s="99"/>
      <c r="C819" s="47"/>
      <c r="D819" s="47"/>
      <c r="F819" s="16"/>
      <c r="K819" s="16"/>
      <c r="L819" s="9"/>
    </row>
    <row r="820" spans="1:12" ht="12.75">
      <c r="A820" s="15"/>
      <c r="B820" s="99"/>
      <c r="C820" s="47"/>
      <c r="D820" s="47"/>
      <c r="F820" s="16"/>
      <c r="K820" s="16"/>
      <c r="L820" s="9"/>
    </row>
    <row r="821" spans="1:12" ht="12.75">
      <c r="A821" s="15"/>
      <c r="B821" s="99"/>
      <c r="C821" s="47"/>
      <c r="D821" s="47"/>
      <c r="F821" s="16"/>
      <c r="K821" s="16"/>
      <c r="L821" s="9"/>
    </row>
    <row r="822" spans="1:12" ht="12.75">
      <c r="A822" s="15"/>
      <c r="B822" s="99"/>
      <c r="C822" s="47"/>
      <c r="D822" s="47"/>
      <c r="F822" s="16"/>
      <c r="K822" s="16"/>
      <c r="L822" s="9"/>
    </row>
    <row r="823" spans="1:12" ht="12.75">
      <c r="A823" s="15"/>
      <c r="B823" s="99"/>
      <c r="C823" s="47"/>
      <c r="D823" s="47"/>
      <c r="F823" s="16"/>
      <c r="K823" s="16"/>
      <c r="L823" s="9"/>
    </row>
    <row r="824" spans="1:12" ht="12.75">
      <c r="A824" s="15"/>
      <c r="B824" s="99"/>
      <c r="C824" s="47"/>
      <c r="D824" s="47"/>
      <c r="F824" s="16"/>
      <c r="K824" s="16"/>
      <c r="L824" s="9"/>
    </row>
    <row r="825" spans="1:12" ht="12.75">
      <c r="A825" s="15"/>
      <c r="B825" s="99"/>
      <c r="C825" s="47"/>
      <c r="D825" s="47"/>
      <c r="F825" s="16"/>
      <c r="K825" s="16"/>
      <c r="L825" s="9"/>
    </row>
    <row r="826" spans="1:12" ht="12.75">
      <c r="A826" s="15"/>
      <c r="B826" s="99"/>
      <c r="C826" s="47"/>
      <c r="D826" s="47"/>
      <c r="F826" s="16"/>
      <c r="K826" s="16"/>
      <c r="L826" s="9"/>
    </row>
    <row r="827" spans="1:12" ht="12.75">
      <c r="A827" s="15"/>
      <c r="B827" s="99"/>
      <c r="C827" s="47"/>
      <c r="D827" s="47"/>
      <c r="F827" s="16"/>
      <c r="K827" s="16"/>
      <c r="L827" s="9"/>
    </row>
    <row r="828" spans="1:12" ht="12.75">
      <c r="A828" s="15"/>
      <c r="B828" s="99"/>
      <c r="C828" s="47"/>
      <c r="D828" s="47"/>
      <c r="F828" s="16"/>
      <c r="K828" s="16"/>
      <c r="L828" s="9"/>
    </row>
    <row r="829" spans="1:12" ht="12.75">
      <c r="A829" s="15"/>
      <c r="B829" s="99"/>
      <c r="C829" s="47"/>
      <c r="D829" s="47"/>
      <c r="F829" s="16"/>
      <c r="K829" s="16"/>
      <c r="L829" s="9"/>
    </row>
    <row r="830" spans="1:12" ht="12.75">
      <c r="A830" s="15"/>
      <c r="B830" s="99"/>
      <c r="C830" s="47"/>
      <c r="D830" s="47"/>
      <c r="F830" s="16"/>
      <c r="K830" s="16"/>
      <c r="L830" s="9"/>
    </row>
    <row r="831" spans="1:12" ht="12.75">
      <c r="A831" s="15"/>
      <c r="B831" s="99"/>
      <c r="C831" s="47"/>
      <c r="D831" s="47"/>
      <c r="F831" s="16"/>
      <c r="K831" s="16"/>
      <c r="L831" s="9"/>
    </row>
    <row r="832" spans="1:12" ht="12.75">
      <c r="A832" s="15"/>
      <c r="B832" s="99"/>
      <c r="C832" s="47"/>
      <c r="D832" s="47"/>
      <c r="F832" s="16"/>
      <c r="K832" s="16"/>
      <c r="L832" s="9"/>
    </row>
    <row r="833" spans="1:12" ht="12.75">
      <c r="A833" s="15"/>
      <c r="B833" s="99"/>
      <c r="C833" s="47"/>
      <c r="D833" s="47"/>
      <c r="F833" s="16"/>
      <c r="K833" s="16"/>
      <c r="L833" s="9"/>
    </row>
    <row r="834" spans="1:12" ht="12.75">
      <c r="A834" s="15"/>
      <c r="B834" s="99"/>
      <c r="C834" s="47"/>
      <c r="D834" s="47"/>
      <c r="F834" s="16"/>
      <c r="K834" s="16"/>
      <c r="L834" s="9"/>
    </row>
    <row r="835" spans="1:12" ht="12.75">
      <c r="A835" s="15"/>
      <c r="B835" s="99"/>
      <c r="C835" s="47"/>
      <c r="D835" s="47"/>
      <c r="F835" s="16"/>
      <c r="K835" s="16"/>
      <c r="L835" s="9"/>
    </row>
    <row r="836" spans="1:12" ht="12.75">
      <c r="A836" s="15"/>
      <c r="B836" s="99"/>
      <c r="C836" s="47"/>
      <c r="D836" s="47"/>
      <c r="F836" s="16"/>
      <c r="K836" s="16"/>
      <c r="L836" s="9"/>
    </row>
    <row r="837" spans="1:12" ht="12.75">
      <c r="A837" s="15"/>
      <c r="B837" s="99"/>
      <c r="C837" s="47"/>
      <c r="D837" s="47"/>
      <c r="F837" s="16"/>
      <c r="K837" s="16"/>
      <c r="L837" s="9"/>
    </row>
    <row r="838" spans="1:12" ht="12.75">
      <c r="A838" s="15"/>
      <c r="B838" s="99"/>
      <c r="C838" s="47"/>
      <c r="D838" s="47"/>
      <c r="F838" s="16"/>
      <c r="K838" s="16"/>
      <c r="L838" s="9"/>
    </row>
    <row r="839" spans="1:12" ht="12.75">
      <c r="A839" s="15"/>
      <c r="B839" s="99"/>
      <c r="C839" s="47"/>
      <c r="D839" s="47"/>
      <c r="F839" s="16"/>
      <c r="K839" s="16"/>
      <c r="L839" s="9"/>
    </row>
    <row r="840" spans="1:12" ht="12.75">
      <c r="A840" s="15"/>
      <c r="B840" s="99"/>
      <c r="C840" s="47"/>
      <c r="D840" s="47"/>
      <c r="F840" s="16"/>
      <c r="K840" s="16"/>
      <c r="L840" s="9"/>
    </row>
    <row r="841" spans="1:12" ht="12.75">
      <c r="A841" s="15"/>
      <c r="B841" s="99"/>
      <c r="C841" s="47"/>
      <c r="D841" s="47"/>
      <c r="F841" s="16"/>
      <c r="K841" s="16"/>
      <c r="L841" s="9"/>
    </row>
    <row r="842" spans="1:12" ht="12.75">
      <c r="A842" s="15"/>
      <c r="B842" s="99"/>
      <c r="C842" s="47"/>
      <c r="D842" s="47"/>
      <c r="F842" s="16"/>
      <c r="K842" s="16"/>
      <c r="L842" s="9"/>
    </row>
    <row r="843" spans="1:12" ht="12.75">
      <c r="A843" s="15"/>
      <c r="B843" s="99"/>
      <c r="C843" s="47"/>
      <c r="D843" s="47"/>
      <c r="F843" s="16"/>
      <c r="K843" s="16"/>
      <c r="L843" s="9"/>
    </row>
    <row r="844" spans="1:12" ht="12.75">
      <c r="A844" s="15"/>
      <c r="B844" s="99"/>
      <c r="C844" s="47"/>
      <c r="D844" s="47"/>
      <c r="F844" s="16"/>
      <c r="K844" s="16"/>
      <c r="L844" s="9"/>
    </row>
    <row r="845" spans="1:12" ht="12.75">
      <c r="A845" s="15"/>
      <c r="B845" s="99"/>
      <c r="C845" s="47"/>
      <c r="D845" s="47"/>
      <c r="F845" s="16"/>
      <c r="K845" s="16"/>
      <c r="L845" s="9"/>
    </row>
    <row r="846" spans="1:12" ht="12.75">
      <c r="A846" s="15"/>
      <c r="B846" s="99"/>
      <c r="C846" s="47"/>
      <c r="D846" s="47"/>
      <c r="F846" s="16"/>
      <c r="K846" s="16"/>
      <c r="L846" s="9"/>
    </row>
    <row r="847" spans="1:12" ht="12.75">
      <c r="A847" s="15"/>
      <c r="B847" s="99"/>
      <c r="C847" s="47"/>
      <c r="D847" s="47"/>
      <c r="F847" s="16"/>
      <c r="K847" s="16"/>
      <c r="L847" s="9"/>
    </row>
    <row r="848" spans="1:12" ht="12.75">
      <c r="A848" s="15"/>
      <c r="B848" s="99"/>
      <c r="C848" s="47"/>
      <c r="D848" s="47"/>
      <c r="F848" s="16"/>
      <c r="K848" s="16"/>
      <c r="L848" s="9"/>
    </row>
    <row r="849" spans="1:12" ht="12.75">
      <c r="A849" s="15"/>
      <c r="B849" s="99"/>
      <c r="C849" s="47"/>
      <c r="D849" s="47"/>
      <c r="F849" s="16"/>
      <c r="K849" s="16"/>
      <c r="L849" s="9"/>
    </row>
    <row r="850" spans="1:12" ht="12.75">
      <c r="A850" s="15"/>
      <c r="B850" s="99"/>
      <c r="C850" s="47"/>
      <c r="D850" s="47"/>
      <c r="F850" s="16"/>
      <c r="K850" s="16"/>
      <c r="L850" s="9"/>
    </row>
    <row r="851" spans="1:12" ht="12.75">
      <c r="A851" s="15"/>
      <c r="B851" s="99"/>
      <c r="C851" s="47"/>
      <c r="D851" s="47"/>
      <c r="F851" s="16"/>
      <c r="K851" s="16"/>
      <c r="L851" s="9"/>
    </row>
    <row r="852" spans="1:12" ht="12.75">
      <c r="A852" s="15"/>
      <c r="B852" s="99"/>
      <c r="C852" s="47"/>
      <c r="D852" s="47"/>
      <c r="F852" s="16"/>
      <c r="K852" s="16"/>
      <c r="L852" s="9"/>
    </row>
    <row r="853" spans="1:12" ht="12.75">
      <c r="A853" s="15"/>
      <c r="B853" s="99"/>
      <c r="C853" s="47"/>
      <c r="D853" s="47"/>
      <c r="F853" s="16"/>
      <c r="K853" s="16"/>
      <c r="L853" s="9"/>
    </row>
    <row r="854" spans="1:12" ht="12.75">
      <c r="A854" s="15"/>
      <c r="B854" s="99"/>
      <c r="C854" s="47"/>
      <c r="D854" s="47"/>
      <c r="F854" s="16"/>
      <c r="K854" s="16"/>
      <c r="L854" s="9"/>
    </row>
    <row r="855" spans="1:12" ht="12.75">
      <c r="A855" s="15"/>
      <c r="B855" s="99"/>
      <c r="C855" s="47"/>
      <c r="D855" s="47"/>
      <c r="F855" s="16"/>
      <c r="K855" s="16"/>
      <c r="L855" s="9"/>
    </row>
    <row r="856" spans="1:12" ht="12.75">
      <c r="A856" s="15"/>
      <c r="B856" s="99"/>
      <c r="C856" s="47"/>
      <c r="D856" s="47"/>
      <c r="F856" s="16"/>
      <c r="K856" s="16"/>
      <c r="L856" s="9"/>
    </row>
    <row r="857" spans="1:12" ht="12.75">
      <c r="A857" s="15"/>
      <c r="B857" s="99"/>
      <c r="C857" s="47"/>
      <c r="D857" s="47"/>
      <c r="F857" s="16"/>
      <c r="K857" s="16"/>
      <c r="L857" s="9"/>
    </row>
    <row r="858" spans="1:12" ht="12.75">
      <c r="A858" s="15"/>
      <c r="B858" s="99"/>
      <c r="C858" s="47"/>
      <c r="D858" s="47"/>
      <c r="F858" s="16"/>
      <c r="K858" s="16"/>
      <c r="L858" s="9"/>
    </row>
    <row r="859" spans="1:12" ht="12.75">
      <c r="A859" s="15"/>
      <c r="B859" s="99"/>
      <c r="C859" s="47"/>
      <c r="D859" s="47"/>
      <c r="F859" s="16"/>
      <c r="K859" s="16"/>
      <c r="L859" s="9"/>
    </row>
    <row r="860" spans="1:12" ht="12.75">
      <c r="A860" s="15"/>
      <c r="B860" s="99"/>
      <c r="C860" s="47"/>
      <c r="D860" s="47"/>
      <c r="F860" s="16"/>
      <c r="K860" s="16"/>
      <c r="L860" s="9"/>
    </row>
    <row r="861" spans="1:12" ht="12.75">
      <c r="A861" s="15"/>
      <c r="B861" s="99"/>
      <c r="C861" s="47"/>
      <c r="D861" s="47"/>
      <c r="F861" s="16"/>
      <c r="K861" s="16"/>
      <c r="L861" s="9"/>
    </row>
    <row r="862" spans="1:12" ht="12.75">
      <c r="A862" s="15"/>
      <c r="B862" s="99"/>
      <c r="C862" s="47"/>
      <c r="D862" s="47"/>
      <c r="F862" s="16"/>
      <c r="K862" s="16"/>
      <c r="L862" s="9"/>
    </row>
    <row r="863" spans="1:12" ht="12.75">
      <c r="A863" s="15"/>
      <c r="B863" s="99"/>
      <c r="C863" s="47"/>
      <c r="D863" s="47"/>
      <c r="F863" s="16"/>
      <c r="K863" s="16"/>
      <c r="L863" s="9"/>
    </row>
    <row r="864" spans="1:12" ht="12.75">
      <c r="A864" s="15"/>
      <c r="B864" s="99"/>
      <c r="C864" s="47"/>
      <c r="D864" s="47"/>
      <c r="F864" s="16"/>
      <c r="K864" s="16"/>
      <c r="L864" s="9"/>
    </row>
    <row r="865" spans="1:12" ht="12.75">
      <c r="A865" s="15"/>
      <c r="B865" s="99"/>
      <c r="C865" s="47"/>
      <c r="D865" s="47"/>
      <c r="F865" s="16"/>
      <c r="K865" s="16"/>
      <c r="L865" s="9"/>
    </row>
    <row r="866" spans="1:12" ht="12.75">
      <c r="A866" s="15"/>
      <c r="B866" s="99"/>
      <c r="C866" s="47"/>
      <c r="D866" s="47"/>
      <c r="F866" s="16"/>
      <c r="K866" s="16"/>
      <c r="L866" s="9"/>
    </row>
    <row r="867" spans="1:12" ht="12.75">
      <c r="A867" s="15"/>
      <c r="B867" s="99"/>
      <c r="C867" s="47"/>
      <c r="D867" s="47"/>
      <c r="F867" s="16"/>
      <c r="K867" s="16"/>
      <c r="L867" s="9"/>
    </row>
    <row r="868" spans="1:12" ht="12.75">
      <c r="A868" s="15"/>
      <c r="B868" s="99"/>
      <c r="C868" s="47"/>
      <c r="D868" s="47"/>
      <c r="F868" s="16"/>
      <c r="K868" s="16"/>
      <c r="L868" s="9"/>
    </row>
    <row r="869" spans="1:12" ht="12.75">
      <c r="A869" s="15"/>
      <c r="B869" s="99"/>
      <c r="C869" s="47"/>
      <c r="D869" s="47"/>
      <c r="F869" s="16"/>
      <c r="K869" s="16"/>
      <c r="L869" s="9"/>
    </row>
    <row r="870" spans="1:12" ht="12.75">
      <c r="A870" s="15"/>
      <c r="B870" s="99"/>
      <c r="C870" s="47"/>
      <c r="D870" s="47"/>
      <c r="F870" s="16"/>
      <c r="K870" s="16"/>
      <c r="L870" s="9"/>
    </row>
    <row r="871" spans="1:12" ht="12.75">
      <c r="A871" s="15"/>
      <c r="B871" s="99"/>
      <c r="C871" s="47"/>
      <c r="D871" s="47"/>
      <c r="F871" s="16"/>
      <c r="K871" s="16"/>
      <c r="L871" s="9"/>
    </row>
    <row r="872" spans="1:12" ht="12.75">
      <c r="A872" s="15"/>
      <c r="B872" s="99"/>
      <c r="C872" s="47"/>
      <c r="D872" s="47"/>
      <c r="F872" s="16"/>
      <c r="K872" s="16"/>
      <c r="L872" s="9"/>
    </row>
    <row r="873" spans="1:12" ht="12.75">
      <c r="A873" s="15"/>
      <c r="B873" s="99"/>
      <c r="C873" s="47"/>
      <c r="D873" s="47"/>
      <c r="F873" s="16"/>
      <c r="K873" s="16"/>
      <c r="L873" s="9"/>
    </row>
    <row r="874" spans="1:12" ht="12.75">
      <c r="A874" s="15"/>
      <c r="B874" s="99"/>
      <c r="C874" s="47"/>
      <c r="D874" s="47"/>
      <c r="F874" s="16"/>
      <c r="K874" s="16"/>
      <c r="L874" s="9"/>
    </row>
    <row r="875" spans="1:12" ht="12.75">
      <c r="A875" s="15"/>
      <c r="B875" s="99"/>
      <c r="C875" s="47"/>
      <c r="D875" s="47"/>
      <c r="F875" s="16"/>
      <c r="K875" s="16"/>
      <c r="L875" s="9"/>
    </row>
    <row r="876" spans="1:12" ht="12.75">
      <c r="A876" s="15"/>
      <c r="B876" s="99"/>
      <c r="C876" s="47"/>
      <c r="D876" s="47"/>
      <c r="F876" s="16"/>
      <c r="K876" s="16"/>
      <c r="L876" s="9"/>
    </row>
    <row r="877" spans="1:12" ht="12.75">
      <c r="A877" s="15"/>
      <c r="B877" s="99"/>
      <c r="C877" s="47"/>
      <c r="D877" s="47"/>
      <c r="F877" s="16"/>
      <c r="K877" s="16"/>
      <c r="L877" s="9"/>
    </row>
    <row r="878" spans="1:12" ht="12.75">
      <c r="A878" s="15"/>
      <c r="B878" s="99"/>
      <c r="C878" s="47"/>
      <c r="D878" s="47"/>
      <c r="F878" s="16"/>
      <c r="K878" s="16"/>
      <c r="L878" s="9"/>
    </row>
    <row r="879" spans="1:12" ht="12.75">
      <c r="A879" s="15"/>
      <c r="B879" s="99"/>
      <c r="C879" s="47"/>
      <c r="D879" s="47"/>
      <c r="F879" s="16"/>
      <c r="K879" s="16"/>
      <c r="L879" s="9"/>
    </row>
    <row r="880" spans="1:12" ht="12.75">
      <c r="A880" s="15"/>
      <c r="B880" s="99"/>
      <c r="C880" s="47"/>
      <c r="D880" s="47"/>
      <c r="F880" s="16"/>
      <c r="K880" s="16"/>
      <c r="L880" s="9"/>
    </row>
    <row r="881" spans="1:12" ht="12.75">
      <c r="A881" s="15"/>
      <c r="B881" s="99"/>
      <c r="C881" s="47"/>
      <c r="D881" s="47"/>
      <c r="F881" s="16"/>
      <c r="K881" s="16"/>
      <c r="L881" s="9"/>
    </row>
    <row r="882" spans="1:12" ht="12.75">
      <c r="A882" s="15"/>
      <c r="B882" s="99"/>
      <c r="C882" s="47"/>
      <c r="D882" s="47"/>
      <c r="F882" s="16"/>
      <c r="K882" s="16"/>
      <c r="L882" s="9"/>
    </row>
    <row r="883" spans="1:12" ht="12.75">
      <c r="A883" s="15"/>
      <c r="B883" s="99"/>
      <c r="C883" s="47"/>
      <c r="D883" s="47"/>
      <c r="F883" s="16"/>
      <c r="K883" s="16"/>
      <c r="L883" s="9"/>
    </row>
    <row r="884" spans="1:12" ht="12.75">
      <c r="A884" s="15"/>
      <c r="B884" s="99"/>
      <c r="C884" s="47"/>
      <c r="D884" s="47"/>
      <c r="F884" s="16"/>
      <c r="K884" s="16"/>
      <c r="L884" s="9"/>
    </row>
    <row r="885" spans="1:12" ht="12.75">
      <c r="A885" s="15"/>
      <c r="B885" s="99"/>
      <c r="C885" s="47"/>
      <c r="D885" s="47"/>
      <c r="F885" s="16"/>
      <c r="K885" s="16"/>
      <c r="L885" s="9"/>
    </row>
    <row r="886" spans="1:12" ht="12.75">
      <c r="A886" s="15"/>
      <c r="B886" s="99"/>
      <c r="C886" s="47"/>
      <c r="D886" s="47"/>
      <c r="F886" s="16"/>
      <c r="K886" s="16"/>
      <c r="L886" s="9"/>
    </row>
    <row r="887" spans="1:12" ht="12.75">
      <c r="A887" s="15"/>
      <c r="B887" s="99"/>
      <c r="C887" s="47"/>
      <c r="D887" s="47"/>
      <c r="F887" s="16"/>
      <c r="K887" s="16"/>
      <c r="L887" s="9"/>
    </row>
    <row r="888" spans="1:12" ht="12.75">
      <c r="A888" s="15"/>
      <c r="B888" s="99"/>
      <c r="C888" s="47"/>
      <c r="D888" s="47"/>
      <c r="F888" s="16"/>
      <c r="K888" s="16"/>
      <c r="L888" s="9"/>
    </row>
    <row r="889" spans="1:12" ht="12.75">
      <c r="A889" s="15"/>
      <c r="B889" s="99"/>
      <c r="C889" s="47"/>
      <c r="D889" s="47"/>
      <c r="F889" s="16"/>
      <c r="K889" s="16"/>
      <c r="L889" s="9"/>
    </row>
    <row r="890" spans="1:12" ht="12.75">
      <c r="A890" s="15"/>
      <c r="B890" s="99"/>
      <c r="C890" s="47"/>
      <c r="D890" s="47"/>
      <c r="F890" s="16"/>
      <c r="K890" s="16"/>
      <c r="L890" s="9"/>
    </row>
    <row r="891" spans="1:12" ht="12.75">
      <c r="A891" s="15"/>
      <c r="B891" s="99"/>
      <c r="C891" s="47"/>
      <c r="D891" s="47"/>
      <c r="F891" s="16"/>
      <c r="K891" s="16"/>
      <c r="L891" s="9"/>
    </row>
    <row r="892" spans="1:12" ht="12.75">
      <c r="A892" s="15"/>
      <c r="B892" s="99"/>
      <c r="C892" s="47"/>
      <c r="D892" s="47"/>
      <c r="F892" s="16"/>
      <c r="K892" s="16"/>
      <c r="L892" s="9"/>
    </row>
    <row r="893" spans="1:12" ht="12.75">
      <c r="A893" s="15"/>
      <c r="B893" s="99"/>
      <c r="C893" s="47"/>
      <c r="D893" s="47"/>
      <c r="F893" s="16"/>
      <c r="K893" s="16"/>
      <c r="L893" s="9"/>
    </row>
    <row r="894" spans="1:12" ht="12.75">
      <c r="A894" s="15"/>
      <c r="B894" s="99"/>
      <c r="C894" s="47"/>
      <c r="D894" s="47"/>
      <c r="F894" s="16"/>
      <c r="K894" s="16"/>
      <c r="L894" s="9"/>
    </row>
    <row r="895" spans="1:12" ht="12.75">
      <c r="A895" s="15"/>
      <c r="B895" s="99"/>
      <c r="C895" s="47"/>
      <c r="D895" s="47"/>
      <c r="F895" s="16"/>
      <c r="K895" s="16"/>
      <c r="L895" s="9"/>
    </row>
    <row r="896" spans="1:12" ht="12.75">
      <c r="A896" s="15"/>
      <c r="B896" s="99"/>
      <c r="C896" s="47"/>
      <c r="D896" s="47"/>
      <c r="F896" s="16"/>
      <c r="K896" s="16"/>
      <c r="L896" s="9"/>
    </row>
    <row r="897" spans="1:12" ht="12.75">
      <c r="A897" s="15"/>
      <c r="B897" s="99"/>
      <c r="C897" s="47"/>
      <c r="D897" s="47"/>
      <c r="F897" s="16"/>
      <c r="K897" s="16"/>
      <c r="L897" s="9"/>
    </row>
    <row r="898" spans="1:12" ht="12.75">
      <c r="A898" s="15"/>
      <c r="B898" s="99"/>
      <c r="C898" s="47"/>
      <c r="D898" s="47"/>
      <c r="F898" s="16"/>
      <c r="K898" s="16"/>
      <c r="L898" s="9"/>
    </row>
    <row r="899" spans="1:12" ht="12.75">
      <c r="A899" s="15"/>
      <c r="B899" s="99"/>
      <c r="C899" s="47"/>
      <c r="D899" s="47"/>
      <c r="F899" s="16"/>
      <c r="K899" s="16"/>
      <c r="L899" s="9"/>
    </row>
    <row r="900" spans="1:12" ht="12.75">
      <c r="A900" s="15"/>
      <c r="B900" s="99"/>
      <c r="C900" s="47"/>
      <c r="D900" s="47"/>
      <c r="F900" s="16"/>
      <c r="K900" s="16"/>
      <c r="L900" s="9"/>
    </row>
    <row r="901" spans="1:12" ht="12.75">
      <c r="A901" s="15"/>
      <c r="B901" s="99"/>
      <c r="C901" s="47"/>
      <c r="D901" s="47"/>
      <c r="F901" s="16"/>
      <c r="K901" s="16"/>
      <c r="L901" s="9"/>
    </row>
    <row r="902" spans="1:12" ht="12.75">
      <c r="A902" s="15"/>
      <c r="B902" s="99"/>
      <c r="C902" s="47"/>
      <c r="D902" s="47"/>
      <c r="F902" s="16"/>
      <c r="K902" s="16"/>
      <c r="L902" s="9"/>
    </row>
    <row r="903" spans="1:12" ht="12.75">
      <c r="A903" s="15"/>
      <c r="B903" s="99"/>
      <c r="C903" s="47"/>
      <c r="D903" s="47"/>
      <c r="F903" s="16"/>
      <c r="K903" s="16"/>
      <c r="L903" s="9"/>
    </row>
    <row r="904" spans="1:12" ht="12.75">
      <c r="A904" s="15"/>
      <c r="B904" s="99"/>
      <c r="C904" s="47"/>
      <c r="D904" s="47"/>
      <c r="F904" s="16"/>
      <c r="K904" s="16"/>
      <c r="L904" s="9"/>
    </row>
    <row r="905" spans="1:12" ht="12.75">
      <c r="A905" s="15"/>
      <c r="B905" s="99"/>
      <c r="C905" s="47"/>
      <c r="D905" s="47"/>
      <c r="F905" s="16"/>
      <c r="K905" s="16"/>
      <c r="L905" s="9"/>
    </row>
    <row r="906" spans="1:12" ht="12.75">
      <c r="A906" s="15"/>
      <c r="B906" s="99"/>
      <c r="C906" s="47"/>
      <c r="D906" s="47"/>
      <c r="F906" s="16"/>
      <c r="K906" s="16"/>
      <c r="L906" s="9"/>
    </row>
    <row r="907" spans="1:12" ht="12.75">
      <c r="A907" s="15"/>
      <c r="B907" s="99"/>
      <c r="C907" s="47"/>
      <c r="D907" s="47"/>
      <c r="F907" s="16"/>
      <c r="K907" s="16"/>
      <c r="L907" s="9"/>
    </row>
    <row r="908" spans="1:12" ht="12.75">
      <c r="A908" s="15"/>
      <c r="B908" s="99"/>
      <c r="C908" s="47"/>
      <c r="D908" s="47"/>
      <c r="F908" s="16"/>
      <c r="K908" s="16"/>
      <c r="L908" s="9"/>
    </row>
    <row r="909" spans="1:12" ht="12.75">
      <c r="A909" s="15"/>
      <c r="B909" s="99"/>
      <c r="C909" s="47"/>
      <c r="D909" s="47"/>
      <c r="F909" s="16"/>
      <c r="K909" s="16"/>
      <c r="L909" s="9"/>
    </row>
    <row r="910" spans="1:12" ht="12.75">
      <c r="A910" s="15"/>
      <c r="B910" s="99"/>
      <c r="C910" s="47"/>
      <c r="D910" s="47"/>
      <c r="F910" s="16"/>
      <c r="K910" s="16"/>
      <c r="L910" s="9"/>
    </row>
    <row r="911" spans="1:12" ht="12.75">
      <c r="A911" s="15"/>
      <c r="B911" s="99"/>
      <c r="C911" s="47"/>
      <c r="D911" s="47"/>
      <c r="F911" s="16"/>
      <c r="K911" s="16"/>
      <c r="L911" s="9"/>
    </row>
    <row r="912" spans="1:12" ht="12.75">
      <c r="A912" s="15"/>
      <c r="B912" s="99"/>
      <c r="C912" s="47"/>
      <c r="D912" s="47"/>
      <c r="F912" s="16"/>
      <c r="K912" s="16"/>
      <c r="L912" s="9"/>
    </row>
    <row r="913" spans="1:12" ht="12.75">
      <c r="A913" s="15"/>
      <c r="B913" s="99"/>
      <c r="C913" s="47"/>
      <c r="D913" s="47"/>
      <c r="F913" s="16"/>
      <c r="K913" s="16"/>
      <c r="L913" s="9"/>
    </row>
    <row r="914" spans="1:12" ht="12.75">
      <c r="A914" s="15"/>
      <c r="B914" s="99"/>
      <c r="C914" s="47"/>
      <c r="D914" s="47"/>
      <c r="F914" s="16"/>
      <c r="K914" s="16"/>
      <c r="L914" s="9"/>
    </row>
    <row r="915" spans="1:12" ht="12.75">
      <c r="A915" s="15"/>
      <c r="B915" s="99"/>
      <c r="C915" s="47"/>
      <c r="D915" s="47"/>
      <c r="F915" s="16"/>
      <c r="K915" s="16"/>
      <c r="L915" s="9"/>
    </row>
    <row r="916" spans="1:12" ht="12.75">
      <c r="A916" s="15"/>
      <c r="B916" s="99"/>
      <c r="C916" s="47"/>
      <c r="D916" s="47"/>
      <c r="F916" s="16"/>
      <c r="K916" s="16"/>
      <c r="L916" s="9"/>
    </row>
    <row r="917" spans="1:12" ht="12.75">
      <c r="A917" s="15"/>
      <c r="B917" s="99"/>
      <c r="C917" s="47"/>
      <c r="D917" s="47"/>
      <c r="F917" s="16"/>
      <c r="K917" s="16"/>
      <c r="L917" s="9"/>
    </row>
    <row r="918" spans="1:12" ht="12.75">
      <c r="A918" s="15"/>
      <c r="B918" s="99"/>
      <c r="C918" s="47"/>
      <c r="D918" s="47"/>
      <c r="F918" s="16"/>
      <c r="K918" s="16"/>
      <c r="L918" s="9"/>
    </row>
    <row r="919" spans="1:12" ht="12.75">
      <c r="A919" s="15"/>
      <c r="B919" s="99"/>
      <c r="C919" s="47"/>
      <c r="D919" s="47"/>
      <c r="F919" s="16"/>
      <c r="K919" s="16"/>
      <c r="L919" s="9"/>
    </row>
    <row r="920" spans="1:12" ht="12.75">
      <c r="A920" s="15"/>
      <c r="B920" s="99"/>
      <c r="C920" s="47"/>
      <c r="D920" s="47"/>
      <c r="F920" s="16"/>
      <c r="K920" s="16"/>
      <c r="L920" s="9"/>
    </row>
    <row r="921" spans="1:12" ht="12.75">
      <c r="A921" s="15"/>
      <c r="B921" s="99"/>
      <c r="C921" s="47"/>
      <c r="D921" s="47"/>
      <c r="F921" s="16"/>
      <c r="K921" s="16"/>
      <c r="L921" s="9"/>
    </row>
    <row r="922" spans="1:12" ht="12.75">
      <c r="A922" s="15"/>
      <c r="B922" s="99"/>
      <c r="C922" s="47"/>
      <c r="D922" s="47"/>
      <c r="F922" s="16"/>
      <c r="K922" s="16"/>
      <c r="L922" s="9"/>
    </row>
    <row r="923" spans="1:12" ht="12.75">
      <c r="A923" s="15"/>
      <c r="B923" s="99"/>
      <c r="C923" s="47"/>
      <c r="D923" s="47"/>
      <c r="F923" s="16"/>
      <c r="K923" s="16"/>
      <c r="L923" s="9"/>
    </row>
    <row r="924" spans="1:12" ht="12.75">
      <c r="A924" s="15"/>
      <c r="B924" s="99"/>
      <c r="C924" s="47"/>
      <c r="D924" s="47"/>
      <c r="F924" s="16"/>
      <c r="K924" s="16"/>
      <c r="L924" s="9"/>
    </row>
    <row r="925" spans="1:12" ht="12.75">
      <c r="A925" s="15"/>
      <c r="B925" s="99"/>
      <c r="C925" s="47"/>
      <c r="D925" s="47"/>
      <c r="F925" s="16"/>
      <c r="K925" s="16"/>
      <c r="L925" s="9"/>
    </row>
    <row r="926" spans="1:12" ht="12.75">
      <c r="A926" s="15"/>
      <c r="B926" s="99"/>
      <c r="C926" s="47"/>
      <c r="D926" s="47"/>
      <c r="F926" s="16"/>
      <c r="K926" s="16"/>
      <c r="L926" s="9"/>
    </row>
    <row r="927" spans="1:12" ht="12.75">
      <c r="A927" s="15"/>
      <c r="B927" s="99"/>
      <c r="C927" s="47"/>
      <c r="D927" s="47"/>
      <c r="F927" s="16"/>
      <c r="K927" s="16"/>
      <c r="L927" s="9"/>
    </row>
    <row r="928" spans="1:12" ht="12.75">
      <c r="A928" s="15"/>
      <c r="B928" s="99"/>
      <c r="C928" s="47"/>
      <c r="D928" s="47"/>
      <c r="F928" s="16"/>
      <c r="K928" s="16"/>
      <c r="L928" s="9"/>
    </row>
    <row r="929" spans="1:12" ht="12.75">
      <c r="A929" s="15"/>
      <c r="B929" s="99"/>
      <c r="C929" s="47"/>
      <c r="D929" s="47"/>
      <c r="F929" s="16"/>
      <c r="K929" s="16"/>
      <c r="L929" s="9"/>
    </row>
    <row r="930" spans="1:12" ht="12.75">
      <c r="A930" s="15"/>
      <c r="B930" s="99"/>
      <c r="C930" s="47"/>
      <c r="D930" s="47"/>
      <c r="F930" s="16"/>
      <c r="K930" s="16"/>
      <c r="L930" s="9"/>
    </row>
    <row r="931" spans="1:12" ht="12.75">
      <c r="A931" s="15"/>
      <c r="B931" s="99"/>
      <c r="C931" s="47"/>
      <c r="D931" s="47"/>
      <c r="F931" s="16"/>
      <c r="K931" s="16"/>
      <c r="L931" s="9"/>
    </row>
    <row r="932" spans="1:12" ht="12.75">
      <c r="A932" s="15"/>
      <c r="B932" s="99"/>
      <c r="C932" s="47"/>
      <c r="D932" s="47"/>
      <c r="F932" s="16"/>
      <c r="K932" s="16"/>
      <c r="L932" s="9"/>
    </row>
    <row r="933" spans="1:12" ht="12.75">
      <c r="A933" s="15"/>
      <c r="B933" s="99"/>
      <c r="C933" s="47"/>
      <c r="D933" s="47"/>
      <c r="F933" s="16"/>
      <c r="K933" s="16"/>
      <c r="L933" s="9"/>
    </row>
    <row r="934" spans="1:12" ht="12.75">
      <c r="A934" s="15"/>
      <c r="B934" s="99"/>
      <c r="C934" s="47"/>
      <c r="D934" s="47"/>
      <c r="F934" s="16"/>
      <c r="K934" s="16"/>
      <c r="L934" s="9"/>
    </row>
    <row r="935" spans="1:12" ht="12.75">
      <c r="A935" s="15"/>
      <c r="B935" s="99"/>
      <c r="C935" s="47"/>
      <c r="D935" s="47"/>
      <c r="F935" s="16"/>
      <c r="K935" s="16"/>
      <c r="L935" s="9"/>
    </row>
    <row r="936" spans="1:12" ht="12.75">
      <c r="A936" s="15"/>
      <c r="B936" s="99"/>
      <c r="C936" s="47"/>
      <c r="D936" s="47"/>
      <c r="F936" s="16"/>
      <c r="K936" s="16"/>
      <c r="L936" s="9"/>
    </row>
    <row r="937" spans="1:12" ht="12.75">
      <c r="A937" s="15"/>
      <c r="B937" s="99"/>
      <c r="C937" s="47"/>
      <c r="D937" s="47"/>
      <c r="F937" s="16"/>
      <c r="K937" s="16"/>
      <c r="L937" s="9"/>
    </row>
    <row r="938" spans="1:12" ht="12.75">
      <c r="A938" s="15"/>
      <c r="B938" s="99"/>
      <c r="C938" s="47"/>
      <c r="D938" s="47"/>
      <c r="F938" s="16"/>
      <c r="K938" s="16"/>
      <c r="L938" s="9"/>
    </row>
    <row r="939" spans="1:12" ht="12.75">
      <c r="A939" s="15"/>
      <c r="B939" s="99"/>
      <c r="C939" s="47"/>
      <c r="D939" s="47"/>
      <c r="F939" s="16"/>
      <c r="K939" s="16"/>
      <c r="L939" s="9"/>
    </row>
    <row r="940" spans="1:12" ht="12.75">
      <c r="A940" s="15"/>
      <c r="B940" s="99"/>
      <c r="C940" s="47"/>
      <c r="D940" s="47"/>
      <c r="F940" s="16"/>
      <c r="K940" s="16"/>
      <c r="L940" s="9"/>
    </row>
    <row r="941" spans="1:12" ht="12.75">
      <c r="A941" s="15"/>
      <c r="B941" s="99"/>
      <c r="C941" s="47"/>
      <c r="D941" s="47"/>
      <c r="F941" s="16"/>
      <c r="K941" s="16"/>
      <c r="L941" s="9"/>
    </row>
    <row r="942" spans="1:12" ht="12.75">
      <c r="A942" s="15"/>
      <c r="B942" s="99"/>
      <c r="C942" s="47"/>
      <c r="D942" s="47"/>
      <c r="F942" s="16"/>
      <c r="K942" s="16"/>
      <c r="L942" s="9"/>
    </row>
    <row r="943" spans="1:12" ht="12.75">
      <c r="A943" s="15"/>
      <c r="B943" s="99"/>
      <c r="C943" s="47"/>
      <c r="D943" s="47"/>
      <c r="F943" s="16"/>
      <c r="K943" s="16"/>
      <c r="L943" s="9"/>
    </row>
    <row r="944" spans="1:12" ht="12.75">
      <c r="A944" s="15"/>
      <c r="B944" s="99"/>
      <c r="C944" s="47"/>
      <c r="D944" s="47"/>
      <c r="F944" s="16"/>
      <c r="K944" s="16"/>
      <c r="L944" s="9"/>
    </row>
    <row r="945" spans="1:12" ht="12.75">
      <c r="A945" s="15"/>
      <c r="B945" s="99"/>
      <c r="C945" s="47"/>
      <c r="D945" s="47"/>
      <c r="F945" s="16"/>
      <c r="K945" s="16"/>
      <c r="L945" s="9"/>
    </row>
    <row r="946" spans="1:12" ht="12.75">
      <c r="A946" s="15"/>
      <c r="B946" s="99"/>
      <c r="C946" s="47"/>
      <c r="D946" s="47"/>
      <c r="F946" s="16"/>
      <c r="K946" s="16"/>
      <c r="L946" s="9"/>
    </row>
    <row r="947" spans="1:12" ht="12.75">
      <c r="A947" s="15"/>
      <c r="B947" s="99"/>
      <c r="C947" s="47"/>
      <c r="D947" s="47"/>
      <c r="F947" s="16"/>
      <c r="K947" s="16"/>
      <c r="L947" s="9"/>
    </row>
    <row r="948" spans="1:12" ht="12.75">
      <c r="A948" s="15"/>
      <c r="B948" s="99"/>
      <c r="C948" s="47"/>
      <c r="D948" s="47"/>
      <c r="F948" s="16"/>
      <c r="K948" s="16"/>
      <c r="L948" s="9"/>
    </row>
    <row r="949" spans="1:12" ht="12.75">
      <c r="A949" s="15"/>
      <c r="B949" s="99"/>
      <c r="C949" s="47"/>
      <c r="D949" s="47"/>
      <c r="F949" s="16"/>
      <c r="K949" s="16"/>
      <c r="L949" s="9"/>
    </row>
    <row r="950" spans="1:12" ht="12.75">
      <c r="A950" s="15"/>
      <c r="B950" s="99"/>
      <c r="C950" s="47"/>
      <c r="D950" s="47"/>
      <c r="F950" s="16"/>
      <c r="K950" s="16"/>
      <c r="L950" s="9"/>
    </row>
    <row r="951" spans="1:12" ht="12.75">
      <c r="A951" s="15"/>
      <c r="B951" s="99"/>
      <c r="C951" s="47"/>
      <c r="D951" s="47"/>
      <c r="F951" s="16"/>
      <c r="K951" s="16"/>
      <c r="L951" s="9"/>
    </row>
    <row r="952" spans="1:12" ht="12.75">
      <c r="A952" s="15"/>
      <c r="B952" s="99"/>
      <c r="C952" s="47"/>
      <c r="D952" s="47"/>
      <c r="F952" s="16"/>
      <c r="K952" s="16"/>
      <c r="L952" s="9"/>
    </row>
    <row r="953" spans="1:12" ht="12.75">
      <c r="A953" s="15"/>
      <c r="B953" s="99"/>
      <c r="C953" s="47"/>
      <c r="D953" s="47"/>
      <c r="F953" s="16"/>
      <c r="K953" s="16"/>
      <c r="L953" s="9"/>
    </row>
    <row r="954" spans="1:12" ht="12.75">
      <c r="A954" s="15"/>
      <c r="B954" s="99"/>
      <c r="C954" s="47"/>
      <c r="D954" s="47"/>
      <c r="F954" s="16"/>
      <c r="K954" s="16"/>
      <c r="L954" s="9"/>
    </row>
    <row r="955" spans="1:12" ht="12.75">
      <c r="A955" s="15"/>
      <c r="B955" s="99"/>
      <c r="C955" s="47"/>
      <c r="D955" s="47"/>
      <c r="F955" s="16"/>
      <c r="K955" s="16"/>
      <c r="L955" s="9"/>
    </row>
    <row r="956" spans="1:12" ht="12.75">
      <c r="A956" s="15"/>
      <c r="B956" s="99"/>
      <c r="C956" s="47"/>
      <c r="D956" s="47"/>
      <c r="F956" s="16"/>
      <c r="K956" s="16"/>
      <c r="L956" s="9"/>
    </row>
    <row r="957" spans="1:12" ht="12.75">
      <c r="A957" s="15"/>
      <c r="B957" s="99"/>
      <c r="C957" s="47"/>
      <c r="D957" s="47"/>
      <c r="F957" s="16"/>
      <c r="K957" s="16"/>
      <c r="L957" s="9"/>
    </row>
    <row r="958" spans="1:12" ht="12.75">
      <c r="A958" s="15"/>
      <c r="B958" s="99"/>
      <c r="C958" s="47"/>
      <c r="D958" s="47"/>
      <c r="F958" s="16"/>
      <c r="K958" s="16"/>
      <c r="L958" s="9"/>
    </row>
    <row r="959" spans="1:12" ht="12.75">
      <c r="A959" s="15"/>
      <c r="B959" s="99"/>
      <c r="C959" s="47"/>
      <c r="D959" s="47"/>
      <c r="F959" s="16"/>
      <c r="K959" s="16"/>
      <c r="L959" s="9"/>
    </row>
    <row r="960" spans="1:12" ht="12.75">
      <c r="A960" s="15"/>
      <c r="B960" s="99"/>
      <c r="C960" s="47"/>
      <c r="D960" s="47"/>
      <c r="F960" s="16"/>
      <c r="K960" s="16"/>
      <c r="L960" s="9"/>
    </row>
    <row r="961" spans="1:12" ht="12.75">
      <c r="A961" s="15"/>
      <c r="B961" s="99"/>
      <c r="C961" s="47"/>
      <c r="D961" s="47"/>
      <c r="F961" s="16"/>
      <c r="K961" s="16"/>
      <c r="L961" s="9"/>
    </row>
    <row r="962" spans="1:12" ht="12.75">
      <c r="A962" s="15"/>
      <c r="B962" s="99"/>
      <c r="C962" s="47"/>
      <c r="D962" s="47"/>
      <c r="F962" s="16"/>
      <c r="K962" s="16"/>
      <c r="L962" s="9"/>
    </row>
    <row r="963" spans="1:12" ht="12.75">
      <c r="A963" s="15"/>
      <c r="B963" s="99"/>
      <c r="C963" s="47"/>
      <c r="D963" s="47"/>
      <c r="F963" s="16"/>
      <c r="K963" s="16"/>
      <c r="L963" s="9"/>
    </row>
    <row r="964" spans="1:12" ht="12.75">
      <c r="A964" s="15"/>
      <c r="B964" s="99"/>
      <c r="C964" s="47"/>
      <c r="D964" s="47"/>
      <c r="F964" s="16"/>
      <c r="K964" s="16"/>
      <c r="L964" s="9"/>
    </row>
    <row r="965" spans="1:12" ht="12.75">
      <c r="A965" s="15"/>
      <c r="B965" s="99"/>
      <c r="C965" s="47"/>
      <c r="D965" s="47"/>
      <c r="F965" s="16"/>
      <c r="K965" s="16"/>
      <c r="L965" s="9"/>
    </row>
    <row r="966" spans="1:12" ht="12.75">
      <c r="A966" s="15"/>
      <c r="B966" s="99"/>
      <c r="C966" s="47"/>
      <c r="D966" s="47"/>
      <c r="F966" s="16"/>
      <c r="K966" s="16"/>
      <c r="L966" s="9"/>
    </row>
    <row r="967" spans="1:12" ht="12.75">
      <c r="A967" s="15"/>
      <c r="B967" s="99"/>
      <c r="C967" s="47"/>
      <c r="D967" s="47"/>
      <c r="F967" s="16"/>
      <c r="K967" s="16"/>
      <c r="L967" s="9"/>
    </row>
    <row r="968" spans="1:12" ht="12.75">
      <c r="A968" s="15"/>
      <c r="B968" s="99"/>
      <c r="C968" s="47"/>
      <c r="D968" s="47"/>
      <c r="F968" s="16"/>
      <c r="K968" s="16"/>
      <c r="L968" s="9"/>
    </row>
    <row r="969" spans="1:12" ht="12.75">
      <c r="A969" s="15"/>
      <c r="B969" s="99"/>
      <c r="C969" s="47"/>
      <c r="D969" s="47"/>
      <c r="F969" s="16"/>
      <c r="K969" s="16"/>
      <c r="L969" s="9"/>
    </row>
    <row r="970" spans="1:12" ht="12.75">
      <c r="A970" s="15"/>
      <c r="B970" s="99"/>
      <c r="C970" s="47"/>
      <c r="D970" s="47"/>
      <c r="F970" s="16"/>
      <c r="K970" s="16"/>
      <c r="L970" s="9"/>
    </row>
    <row r="971" spans="1:12" ht="12.75">
      <c r="A971" s="15"/>
      <c r="B971" s="99"/>
      <c r="C971" s="47"/>
      <c r="D971" s="47"/>
      <c r="F971" s="16"/>
      <c r="K971" s="16"/>
      <c r="L971" s="9"/>
    </row>
    <row r="972" spans="1:12" ht="12.75">
      <c r="A972" s="15"/>
      <c r="B972" s="99"/>
      <c r="C972" s="47"/>
      <c r="D972" s="47"/>
      <c r="F972" s="16"/>
      <c r="K972" s="16"/>
      <c r="L972" s="9"/>
    </row>
    <row r="973" spans="1:12" ht="12.75">
      <c r="A973" s="15"/>
      <c r="B973" s="99"/>
      <c r="C973" s="47"/>
      <c r="D973" s="47"/>
      <c r="F973" s="16"/>
      <c r="K973" s="16"/>
      <c r="L973" s="9"/>
    </row>
    <row r="974" spans="1:12" ht="12.75">
      <c r="A974" s="15"/>
      <c r="B974" s="99"/>
      <c r="C974" s="47"/>
      <c r="D974" s="47"/>
      <c r="F974" s="16"/>
      <c r="K974" s="16"/>
      <c r="L974" s="9"/>
    </row>
    <row r="975" spans="1:12" ht="12.75">
      <c r="A975" s="15"/>
      <c r="B975" s="99"/>
      <c r="C975" s="47"/>
      <c r="D975" s="47"/>
      <c r="F975" s="16"/>
      <c r="K975" s="16"/>
      <c r="L975" s="9"/>
    </row>
    <row r="976" spans="1:12" ht="12.75">
      <c r="A976" s="15"/>
      <c r="B976" s="99"/>
      <c r="C976" s="47"/>
      <c r="D976" s="47"/>
      <c r="F976" s="16"/>
      <c r="K976" s="16"/>
      <c r="L976" s="9"/>
    </row>
    <row r="977" spans="1:12" ht="12.75">
      <c r="A977" s="15"/>
      <c r="B977" s="99"/>
      <c r="C977" s="47"/>
      <c r="D977" s="47"/>
      <c r="F977" s="16"/>
      <c r="K977" s="16"/>
      <c r="L977" s="9"/>
    </row>
    <row r="978" spans="1:12" ht="12.75">
      <c r="A978" s="15"/>
      <c r="B978" s="99"/>
      <c r="C978" s="47"/>
      <c r="D978" s="47"/>
      <c r="F978" s="16"/>
      <c r="K978" s="16"/>
      <c r="L978" s="9"/>
    </row>
    <row r="979" spans="1:12" ht="12.75">
      <c r="A979" s="15"/>
      <c r="B979" s="99"/>
      <c r="C979" s="47"/>
      <c r="D979" s="47"/>
      <c r="F979" s="16"/>
      <c r="K979" s="16"/>
      <c r="L979" s="9"/>
    </row>
    <row r="980" spans="1:12" ht="12.75">
      <c r="A980" s="15"/>
      <c r="B980" s="99"/>
      <c r="C980" s="47"/>
      <c r="D980" s="47"/>
      <c r="F980" s="16"/>
      <c r="K980" s="16"/>
      <c r="L980" s="9"/>
    </row>
    <row r="981" spans="1:12" ht="12.75">
      <c r="A981" s="15"/>
      <c r="B981" s="99"/>
      <c r="C981" s="47"/>
      <c r="D981" s="47"/>
      <c r="F981" s="16"/>
      <c r="K981" s="16"/>
      <c r="L981" s="9"/>
    </row>
    <row r="982" spans="1:12" ht="12.75">
      <c r="A982" s="15"/>
      <c r="B982" s="99"/>
      <c r="C982" s="47"/>
      <c r="D982" s="47"/>
      <c r="F982" s="16"/>
      <c r="K982" s="16"/>
      <c r="L982" s="9"/>
    </row>
    <row r="983" spans="1:12" ht="12.75">
      <c r="A983" s="15"/>
      <c r="B983" s="99"/>
      <c r="C983" s="47"/>
      <c r="D983" s="47"/>
      <c r="F983" s="16"/>
      <c r="K983" s="16"/>
      <c r="L983" s="9"/>
    </row>
    <row r="984" spans="1:12" ht="12.75">
      <c r="A984" s="15"/>
      <c r="B984" s="99"/>
      <c r="C984" s="47"/>
      <c r="D984" s="47"/>
      <c r="F984" s="16"/>
      <c r="K984" s="16"/>
      <c r="L984" s="9"/>
    </row>
    <row r="985" spans="1:12" ht="12.75">
      <c r="A985" s="15"/>
      <c r="B985" s="99"/>
      <c r="C985" s="47"/>
      <c r="D985" s="47"/>
      <c r="F985" s="16"/>
      <c r="K985" s="16"/>
      <c r="L985" s="9"/>
    </row>
    <row r="986" spans="1:12" ht="12.75">
      <c r="A986" s="15"/>
      <c r="B986" s="99"/>
      <c r="C986" s="47"/>
      <c r="D986" s="47"/>
      <c r="F986" s="16"/>
      <c r="K986" s="16"/>
      <c r="L986" s="9"/>
    </row>
    <row r="987" spans="1:12" ht="12.75">
      <c r="A987" s="15"/>
      <c r="B987" s="99"/>
      <c r="C987" s="47"/>
      <c r="D987" s="47"/>
      <c r="F987" s="16"/>
      <c r="K987" s="16"/>
      <c r="L987" s="9"/>
    </row>
    <row r="988" spans="1:12" ht="12.75">
      <c r="A988" s="15"/>
      <c r="B988" s="99"/>
      <c r="C988" s="47"/>
      <c r="D988" s="47"/>
      <c r="F988" s="16"/>
      <c r="K988" s="16"/>
      <c r="L988" s="9"/>
    </row>
    <row r="989" spans="1:12" ht="12.75">
      <c r="A989" s="15"/>
      <c r="B989" s="99"/>
      <c r="C989" s="47"/>
      <c r="D989" s="47"/>
      <c r="F989" s="16"/>
      <c r="K989" s="16"/>
      <c r="L989" s="9"/>
    </row>
    <row r="990" spans="1:12" ht="12.75">
      <c r="A990" s="15"/>
      <c r="B990" s="99"/>
      <c r="C990" s="47"/>
      <c r="D990" s="47"/>
      <c r="F990" s="16"/>
      <c r="K990" s="16"/>
      <c r="L990" s="9"/>
    </row>
    <row r="991" spans="1:12" ht="12.75">
      <c r="A991" s="15"/>
      <c r="B991" s="99"/>
      <c r="C991" s="47"/>
      <c r="D991" s="47"/>
      <c r="F991" s="16"/>
      <c r="K991" s="16"/>
      <c r="L991" s="9"/>
    </row>
    <row r="992" spans="1:12" ht="12.75">
      <c r="A992" s="15"/>
      <c r="B992" s="99"/>
      <c r="C992" s="47"/>
      <c r="D992" s="47"/>
      <c r="F992" s="16"/>
      <c r="K992" s="16"/>
      <c r="L992" s="9"/>
    </row>
    <row r="993" spans="1:12" ht="12.75">
      <c r="A993" s="15"/>
      <c r="B993" s="99"/>
      <c r="C993" s="47"/>
      <c r="D993" s="47"/>
      <c r="F993" s="16"/>
      <c r="K993" s="16"/>
      <c r="L993" s="9"/>
    </row>
    <row r="994" spans="1:12" ht="12.75">
      <c r="A994" s="15"/>
      <c r="B994" s="99"/>
      <c r="C994" s="47"/>
      <c r="D994" s="47"/>
      <c r="F994" s="16"/>
      <c r="K994" s="16"/>
      <c r="L994" s="9"/>
    </row>
    <row r="995" spans="1:12" ht="12.75">
      <c r="A995" s="15"/>
      <c r="B995" s="99"/>
      <c r="C995" s="47"/>
      <c r="D995" s="47"/>
      <c r="F995" s="16"/>
      <c r="K995" s="16"/>
      <c r="L995" s="9"/>
    </row>
    <row r="996" spans="1:12" ht="12.75">
      <c r="A996" s="15"/>
      <c r="B996" s="99"/>
      <c r="C996" s="47"/>
      <c r="D996" s="47"/>
      <c r="F996" s="16"/>
      <c r="K996" s="16"/>
      <c r="L996" s="9"/>
    </row>
    <row r="997" spans="1:12" ht="12.75">
      <c r="A997" s="15"/>
      <c r="B997" s="99"/>
      <c r="C997" s="47"/>
      <c r="D997" s="47"/>
      <c r="F997" s="16"/>
      <c r="K997" s="16"/>
      <c r="L997" s="9"/>
    </row>
    <row r="998" spans="1:12" ht="12.75">
      <c r="A998" s="15"/>
      <c r="B998" s="99"/>
      <c r="C998" s="47"/>
      <c r="D998" s="47"/>
      <c r="F998" s="16"/>
      <c r="K998" s="16"/>
      <c r="L998" s="9"/>
    </row>
    <row r="999" spans="1:12" ht="12.75">
      <c r="A999" s="15"/>
      <c r="B999" s="99"/>
      <c r="C999" s="47"/>
      <c r="D999" s="47"/>
      <c r="F999" s="16"/>
      <c r="K999" s="16"/>
      <c r="L999" s="9"/>
    </row>
    <row r="1000" spans="1:12" ht="12.75">
      <c r="A1000" s="15"/>
      <c r="B1000" s="99"/>
      <c r="C1000" s="47"/>
      <c r="D1000" s="47"/>
      <c r="F1000" s="16"/>
      <c r="K1000" s="16"/>
      <c r="L1000" s="9"/>
    </row>
  </sheetData>
  <phoneticPr fontId="13" type="noConversion"/>
  <conditionalFormatting sqref="L2:L36 L38:L71 L73:L76 L79:L83 L85:L1000">
    <cfRule type="cellIs" dxfId="17" priority="5" operator="greaterThan">
      <formula>0</formula>
    </cfRule>
    <cfRule type="cellIs" dxfId="16" priority="6" operator="lessThan">
      <formula>0</formula>
    </cfRule>
  </conditionalFormatting>
  <conditionalFormatting sqref="M1:M36 M38:M71 M73:M76 M79:M83 M85:M110">
    <cfRule type="containsText" dxfId="15" priority="1" operator="containsText" text="buy">
      <formula>NOT(ISERROR(SEARCH("buy",M1)))</formula>
    </cfRule>
    <cfRule type="containsText" dxfId="14" priority="2" operator="containsText" text="keep">
      <formula>NOT(ISERROR(SEARCH("keep",M1)))</formula>
    </cfRule>
    <cfRule type="containsText" dxfId="13" priority="3" operator="containsText" text="sell">
      <formula>NOT(ISERROR(SEARCH("sell",M1)))</formula>
    </cfRule>
    <cfRule type="containsText" dxfId="12" priority="4" operator="containsText" text="Hold">
      <formula>NOT(ISERROR(SEARCH("Hold",M1)))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414C-26C8-46F0-821D-27AE9C0ACA4F}">
  <dimension ref="A1:C6"/>
  <sheetViews>
    <sheetView workbookViewId="0">
      <selection activeCell="C3" sqref="C3"/>
    </sheetView>
  </sheetViews>
  <sheetFormatPr defaultRowHeight="12.75"/>
  <cols>
    <col min="1" max="1" width="15" customWidth="1"/>
    <col min="2" max="2" width="11.28515625" customWidth="1"/>
  </cols>
  <sheetData>
    <row r="1" spans="1:3">
      <c r="A1" t="s">
        <v>556</v>
      </c>
      <c r="B1" t="s">
        <v>558</v>
      </c>
    </row>
    <row r="2" spans="1:3">
      <c r="A2" t="s">
        <v>559</v>
      </c>
      <c r="B2">
        <v>700</v>
      </c>
    </row>
    <row r="3" spans="1:3">
      <c r="A3" t="s">
        <v>562</v>
      </c>
      <c r="B3">
        <f>0.035*700</f>
        <v>24.500000000000004</v>
      </c>
    </row>
    <row r="5" spans="1:3">
      <c r="A5" t="s">
        <v>557</v>
      </c>
      <c r="B5" s="182">
        <v>0.03</v>
      </c>
      <c r="C5">
        <f>0.03*700</f>
        <v>21</v>
      </c>
    </row>
    <row r="6" spans="1:3">
      <c r="A6" t="s">
        <v>561</v>
      </c>
      <c r="B6" t="s">
        <v>560</v>
      </c>
      <c r="C6">
        <f>100*0.02*12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3"/>
  <sheetViews>
    <sheetView zoomScale="115" zoomScaleNormal="115" workbookViewId="0">
      <pane ySplit="1" topLeftCell="A32" activePane="bottomLeft" state="frozen"/>
      <selection pane="bottomLeft" activeCell="G37" sqref="G37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5" width="13.7109375" bestFit="1" customWidth="1"/>
    <col min="16" max="16" width="21.140625" customWidth="1"/>
    <col min="17" max="18" width="13.7109375" bestFit="1" customWidth="1"/>
    <col min="19" max="20" width="14.7109375" bestFit="1" customWidth="1"/>
  </cols>
  <sheetData>
    <row r="1" spans="1:28" s="73" customFormat="1" ht="18.75" thickBot="1">
      <c r="A1" s="71" t="s">
        <v>326</v>
      </c>
      <c r="B1" s="72" t="s">
        <v>211</v>
      </c>
      <c r="C1" s="72" t="s">
        <v>212</v>
      </c>
      <c r="D1" s="72">
        <v>2024</v>
      </c>
      <c r="E1" s="72">
        <v>2025</v>
      </c>
      <c r="F1" s="72">
        <v>2026</v>
      </c>
      <c r="G1" s="72">
        <v>2027</v>
      </c>
      <c r="H1" s="72">
        <v>2028</v>
      </c>
      <c r="I1" s="72">
        <v>2029</v>
      </c>
      <c r="J1" s="72">
        <v>2030</v>
      </c>
      <c r="K1" s="72">
        <v>2031</v>
      </c>
      <c r="L1" s="72">
        <v>2032</v>
      </c>
      <c r="M1" s="72">
        <v>2033</v>
      </c>
      <c r="N1" s="72">
        <v>2034</v>
      </c>
      <c r="O1" s="72">
        <v>2035</v>
      </c>
      <c r="P1" s="168" t="s">
        <v>12</v>
      </c>
    </row>
    <row r="2" spans="1:28" ht="15.75" customHeight="1">
      <c r="A2" s="70" t="str">
        <f>'Portfolio Ned'!A:A</f>
        <v>Johnson&amp;Johnson</v>
      </c>
      <c r="B2" s="18">
        <f t="shared" ref="B2:B23" si="0">SUM(C2:X2)</f>
        <v>916.83999999999992</v>
      </c>
      <c r="C2" s="19">
        <v>686.67</v>
      </c>
      <c r="D2" s="19">
        <f>61.09+55.8+55.46+57.82</f>
        <v>230.17</v>
      </c>
      <c r="E2" s="19"/>
      <c r="F2" s="19"/>
      <c r="G2" s="19"/>
      <c r="H2" s="19"/>
      <c r="I2" s="19"/>
      <c r="J2" s="19"/>
      <c r="K2" s="19"/>
      <c r="P2" s="169" t="s">
        <v>528</v>
      </c>
    </row>
    <row r="3" spans="1:28" ht="15.75" customHeight="1">
      <c r="A3" s="70" t="str">
        <f>'Portfolio Ned'!A:A</f>
        <v>ThermoFisher Scientific</v>
      </c>
      <c r="B3" s="18">
        <f t="shared" si="0"/>
        <v>53.350000000000009</v>
      </c>
      <c r="C3" s="19">
        <v>38.99</v>
      </c>
      <c r="D3" s="19">
        <f>2.73+3.1+2.66+2.67</f>
        <v>11.16</v>
      </c>
      <c r="E3" s="19">
        <f>3.2</f>
        <v>3.2</v>
      </c>
      <c r="F3" s="19"/>
      <c r="G3" s="19"/>
      <c r="H3" s="19"/>
      <c r="I3" s="19"/>
      <c r="J3" s="19"/>
      <c r="K3" s="19"/>
    </row>
    <row r="4" spans="1:28" ht="15.75" customHeight="1">
      <c r="A4" s="70" t="str">
        <f>'Portfolio Ned'!A:A</f>
        <v>Alphabet</v>
      </c>
      <c r="B4" s="18">
        <f t="shared" si="0"/>
        <v>33.050000000000004</v>
      </c>
      <c r="C4" s="19">
        <v>0</v>
      </c>
      <c r="D4" s="19">
        <f>11.06+10.68+11.31</f>
        <v>33.050000000000004</v>
      </c>
      <c r="E4" s="19"/>
      <c r="F4" s="19"/>
      <c r="G4" s="19"/>
      <c r="H4" s="19"/>
      <c r="I4" s="19"/>
      <c r="J4" s="19"/>
      <c r="K4" s="19"/>
    </row>
    <row r="5" spans="1:28" ht="15.75" customHeight="1">
      <c r="A5" s="70" t="str">
        <f>'Portfolio Ned'!A:A</f>
        <v>Samsung</v>
      </c>
      <c r="B5" s="18">
        <f t="shared" si="0"/>
        <v>889.68999999999994</v>
      </c>
      <c r="C5" s="19">
        <v>664.43</v>
      </c>
      <c r="D5" s="19">
        <f>40.51+41.05+41.04+102.66</f>
        <v>225.26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>
      <c r="A6" s="70" t="str">
        <f>'Portfolio Ned'!A:A</f>
        <v>Brookfield Corp</v>
      </c>
      <c r="B6" s="18">
        <f t="shared" si="0"/>
        <v>463.71</v>
      </c>
      <c r="C6" s="19">
        <v>317.08</v>
      </c>
      <c r="D6" s="19">
        <f>9.41+13.37+0.05+16.63+15.01+12.71+16.55+12.85+13.69+10.61</f>
        <v>120.88</v>
      </c>
      <c r="E6" s="19">
        <f>11.3+14.45</f>
        <v>25.75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>
      <c r="A7" s="70" t="str">
        <f>'Portfolio Ned'!A:A</f>
        <v>BASF</v>
      </c>
      <c r="B7" s="18">
        <f t="shared" si="0"/>
        <v>1846</v>
      </c>
      <c r="C7" s="19">
        <v>1462.33</v>
      </c>
      <c r="D7" s="19">
        <v>383.67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>
      <c r="A8" s="70" t="str">
        <f>'Portfolio Ned'!A:A</f>
        <v>NVIDIA</v>
      </c>
      <c r="B8" s="18">
        <f t="shared" si="0"/>
        <v>31.420000000000005</v>
      </c>
      <c r="C8" s="19">
        <v>20.330000000000002</v>
      </c>
      <c r="D8" s="19">
        <f>1.08+1.26+3.16+2.72</f>
        <v>8.2200000000000006</v>
      </c>
      <c r="E8" s="19">
        <v>2.87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>
      <c r="A9" s="70" t="str">
        <f>'Portfolio Ned'!A:A</f>
        <v>Rexford Realty</v>
      </c>
      <c r="B9" s="18">
        <f t="shared" si="0"/>
        <v>282.06000000000006</v>
      </c>
      <c r="C9" s="19">
        <v>98.330000000000013</v>
      </c>
      <c r="D9" s="19">
        <f>8.88+9.98+8.55+8.54</f>
        <v>35.950000000000003</v>
      </c>
      <c r="E9" s="19">
        <f>147.78</f>
        <v>147.78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>
      <c r="A10" s="70" t="str">
        <f>'Portfolio Ned'!A:A</f>
        <v>Synopsis</v>
      </c>
      <c r="B10" s="18">
        <f t="shared" si="0"/>
        <v>0</v>
      </c>
      <c r="C10" s="19">
        <v>0</v>
      </c>
      <c r="D10" s="19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 customHeight="1">
      <c r="A11" s="70" t="str">
        <f>'Portfolio Ned'!A:A</f>
        <v>Alibaba</v>
      </c>
      <c r="B11" s="18">
        <f t="shared" si="0"/>
        <v>92.77000000000001</v>
      </c>
      <c r="C11" s="19">
        <v>0</v>
      </c>
      <c r="D11" s="19">
        <f>53.6+39.17</f>
        <v>92.77000000000001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s="56" customFormat="1" ht="15.75" customHeight="1">
      <c r="A12" s="70" t="str">
        <f>'Portfolio Ned'!A:A</f>
        <v>Prosus NV</v>
      </c>
      <c r="B12" s="18">
        <f t="shared" si="0"/>
        <v>45.22</v>
      </c>
      <c r="C12" s="19">
        <v>32.06</v>
      </c>
      <c r="D12" s="19">
        <f>13.16</f>
        <v>13.16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15.75" customHeight="1">
      <c r="A13" s="70" t="str">
        <f>'Portfolio Ned'!A:A</f>
        <v>Texas Instruments</v>
      </c>
      <c r="B13" s="18">
        <f t="shared" si="0"/>
        <v>207.23</v>
      </c>
      <c r="C13" s="19">
        <v>39.590000000000003</v>
      </c>
      <c r="D13" s="19">
        <f>46.02+40.14+39.6+41.88</f>
        <v>167.64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5.75" customHeight="1">
      <c r="A14" s="70" t="str">
        <f>'Portfolio Ned'!A:A</f>
        <v>Softbank Group</v>
      </c>
      <c r="B14" s="18">
        <f t="shared" si="0"/>
        <v>59.16</v>
      </c>
      <c r="C14" s="19">
        <v>43.3</v>
      </c>
      <c r="D14" s="19">
        <f>8.14+7.72</f>
        <v>15.86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5.75" customHeight="1">
      <c r="A15" s="70" t="str">
        <f>'Portfolio Ned'!A:A</f>
        <v>Microsoft</v>
      </c>
      <c r="B15" s="18">
        <f t="shared" si="0"/>
        <v>0</v>
      </c>
      <c r="D15" s="19">
        <f>0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5.75" customHeight="1">
      <c r="A16" s="70" t="str">
        <f>'Portfolio Ned'!A:A</f>
        <v>10k trading</v>
      </c>
      <c r="B16" s="18">
        <f t="shared" si="0"/>
        <v>0</v>
      </c>
      <c r="D16" s="19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161.65</v>
      </c>
      <c r="C17" s="19">
        <v>133.52000000000001</v>
      </c>
      <c r="D17" s="19">
        <f>7.4+6.89+6.77+7.07</f>
        <v>28.13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32.83</v>
      </c>
      <c r="C18" s="19">
        <v>27.15</v>
      </c>
      <c r="D18" s="19">
        <f>1.56+1.38+1.34+1.4</f>
        <v>5.68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Corteva</v>
      </c>
      <c r="B19" s="18">
        <f t="shared" si="0"/>
        <v>29.590000000000003</v>
      </c>
      <c r="C19" s="19">
        <v>23.970000000000002</v>
      </c>
      <c r="D19" s="19">
        <f>1.5+1.33+1.36+1.43</f>
        <v>5.62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Coca Cola</v>
      </c>
      <c r="B20" s="18">
        <f t="shared" si="0"/>
        <v>56.279999999999987</v>
      </c>
      <c r="C20" s="19">
        <v>41.949999999999989</v>
      </c>
      <c r="D20" s="19">
        <f>3.81+3.82+3.27+3.43</f>
        <v>14.33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Starbucks</v>
      </c>
      <c r="B21" s="18">
        <f t="shared" si="0"/>
        <v>205.96000000000004</v>
      </c>
      <c r="C21" s="19">
        <v>128.54000000000002</v>
      </c>
      <c r="D21" s="19">
        <f>20.91+18.28+18+20.23</f>
        <v>77.42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Nestle SA</v>
      </c>
      <c r="B22" s="18">
        <f t="shared" si="0"/>
        <v>43.879999999999995</v>
      </c>
      <c r="C22" s="19">
        <v>31.97</v>
      </c>
      <c r="D22" s="19">
        <f>11.91</f>
        <v>11.91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17.310000000000002</v>
      </c>
      <c r="C23" s="19">
        <v>0</v>
      </c>
      <c r="D23" s="19">
        <f>7.48</f>
        <v>7.48</v>
      </c>
      <c r="E23" s="19">
        <f>9.83</f>
        <v>9.83</v>
      </c>
      <c r="F23" s="19"/>
      <c r="G23" s="19"/>
      <c r="H23" s="19"/>
      <c r="I23" s="19"/>
      <c r="J23" s="19"/>
      <c r="K23" s="19"/>
    </row>
    <row r="24" spans="1:11" ht="15.75" customHeight="1">
      <c r="A24" s="17" t="str">
        <f>'Portfolio Ned'!A:A</f>
        <v>Walmart</v>
      </c>
      <c r="B24" s="18">
        <f t="shared" ref="B24:B34" si="1">SUM(C24:X24)</f>
        <v>44.39</v>
      </c>
      <c r="C24" s="19">
        <v>30.64</v>
      </c>
      <c r="D24" s="19">
        <f>2.65+2.94+2.58+2.51</f>
        <v>10.68</v>
      </c>
      <c r="E24" s="19">
        <f>3.07</f>
        <v>3.07</v>
      </c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Mowi SK</v>
      </c>
      <c r="B25" s="18">
        <f t="shared" si="1"/>
        <v>62.430000000000007</v>
      </c>
      <c r="C25" s="19">
        <v>46.49</v>
      </c>
      <c r="D25" s="19">
        <f>6.19+3.18+3.46+3.11</f>
        <v>15.940000000000001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 xml:space="preserve">Oreal (L`) </v>
      </c>
      <c r="B26" s="18">
        <f t="shared" si="1"/>
        <v>51.260000000000005</v>
      </c>
      <c r="C26" s="19">
        <v>38.67</v>
      </c>
      <c r="D26" s="19">
        <f>12.3+0.29</f>
        <v>12.59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Reckit Benckiser</v>
      </c>
      <c r="B27" s="18">
        <f t="shared" si="1"/>
        <v>117.30000000000001</v>
      </c>
      <c r="C27" s="19">
        <v>100.29</v>
      </c>
      <c r="D27" s="19">
        <f>10+7.01</f>
        <v>17.009999999999998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Unilever</v>
      </c>
      <c r="B28" s="18">
        <f t="shared" si="1"/>
        <v>299.75</v>
      </c>
      <c r="C28" s="19">
        <v>227.52999999999997</v>
      </c>
      <c r="D28" s="19">
        <f>22.06+16.57+16.71+16.88</f>
        <v>72.22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Anheuser-Busch Inbev</v>
      </c>
      <c r="B29" s="18">
        <f t="shared" si="1"/>
        <v>14.52</v>
      </c>
      <c r="C29" s="19">
        <v>9.15</v>
      </c>
      <c r="D29" s="19">
        <f>5.37</f>
        <v>5.37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LVHM</v>
      </c>
      <c r="B30" s="18">
        <f t="shared" si="1"/>
        <v>31.900000000000002</v>
      </c>
      <c r="C30" s="19">
        <v>22.87</v>
      </c>
      <c r="D30" s="19">
        <f>5.62+3.41</f>
        <v>9.0300000000000011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Porsche Holding</v>
      </c>
      <c r="B31" s="18">
        <f t="shared" si="1"/>
        <v>219.32</v>
      </c>
      <c r="C31" s="19">
        <v>181.62</v>
      </c>
      <c r="D31" s="19">
        <f>37.7</f>
        <v>37.700000000000003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Diageo</v>
      </c>
      <c r="B32" s="18">
        <f t="shared" si="1"/>
        <v>72.569999999999993</v>
      </c>
      <c r="C32" s="19">
        <v>56.8</v>
      </c>
      <c r="D32" s="19">
        <f>7.47+8.3</f>
        <v>15.77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Heineken</v>
      </c>
      <c r="B33" s="18">
        <f t="shared" si="1"/>
        <v>47.56</v>
      </c>
      <c r="C33" s="19">
        <v>34.67</v>
      </c>
      <c r="D33" s="19">
        <f>7.75+5.14</f>
        <v>12.89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Carlsberg</v>
      </c>
      <c r="B34" s="18">
        <f t="shared" si="1"/>
        <v>68.44</v>
      </c>
      <c r="C34" s="19">
        <v>49.989999999999995</v>
      </c>
      <c r="D34" s="19">
        <f>18.45</f>
        <v>18.45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J Martins</v>
      </c>
      <c r="B35" s="18">
        <f t="shared" ref="B35:B41" si="2">SUM(C35:X35)</f>
        <v>104.4</v>
      </c>
      <c r="C35" s="19">
        <v>75.86</v>
      </c>
      <c r="D35" s="19">
        <f>28.54</f>
        <v>28.54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Kering</v>
      </c>
      <c r="B36" s="18">
        <f t="shared" si="2"/>
        <v>33.950000000000003</v>
      </c>
      <c r="C36" s="19">
        <v>23.18</v>
      </c>
      <c r="D36" s="19">
        <f>3.37+5.9</f>
        <v>9.27</v>
      </c>
      <c r="E36" s="19">
        <f>1.5</f>
        <v>1.5</v>
      </c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Pepsico</v>
      </c>
      <c r="B37" s="18">
        <f t="shared" si="2"/>
        <v>0</v>
      </c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Realty Income REIT</v>
      </c>
      <c r="B38" s="18">
        <f t="shared" si="2"/>
        <v>806.43000000000018</v>
      </c>
      <c r="C38" s="19">
        <v>437.65000000000009</v>
      </c>
      <c r="D38" s="19">
        <f>29.95+30.26+30.05+30.7+26.36+27.29+26.84+26.52+26.29+27+27+27.95</f>
        <v>336.21</v>
      </c>
      <c r="E38" s="19">
        <f>32.57</f>
        <v>32.57</v>
      </c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SL Green REIT</v>
      </c>
      <c r="B39" s="18">
        <f t="shared" si="2"/>
        <v>318.47000000000003</v>
      </c>
      <c r="C39" s="19">
        <v>261.59000000000003</v>
      </c>
      <c r="D39" s="19">
        <f>4.69+4.72+4.66+4.78+4.1+4.15+4.08+4.07+4.01+4.09+4.22+4.23</f>
        <v>51.8</v>
      </c>
      <c r="E39" s="19">
        <f>5.08</f>
        <v>5.08</v>
      </c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LTC Properties</v>
      </c>
      <c r="B40" s="18">
        <f t="shared" si="2"/>
        <v>545.41</v>
      </c>
      <c r="C40" s="19">
        <v>456.65</v>
      </c>
      <c r="D40" s="19">
        <f>6.37+7.44+7.48+6.59+6.5+7.48+6.48+6.38+6.35+6.32+6.7</f>
        <v>74.090000000000018</v>
      </c>
      <c r="E40" s="19">
        <f>6.82+7.85</f>
        <v>14.67</v>
      </c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Brookfield AS</v>
      </c>
      <c r="B41" s="18">
        <f t="shared" si="2"/>
        <v>52.13</v>
      </c>
      <c r="C41" s="19">
        <v>0.51</v>
      </c>
      <c r="D41" s="19">
        <f>10.66+15.12+12.48</f>
        <v>38.260000000000005</v>
      </c>
      <c r="E41" s="19">
        <f>13.36</f>
        <v>13.36</v>
      </c>
      <c r="F41" s="19"/>
      <c r="G41" s="19"/>
      <c r="H41" s="19"/>
      <c r="I41" s="19"/>
      <c r="J41" s="19"/>
      <c r="K41" s="19"/>
    </row>
    <row r="42" spans="1:11" ht="12.75">
      <c r="A42" s="17" t="str">
        <f>'Portfolio Ned'!A:A</f>
        <v>Crown Castle REIT</v>
      </c>
      <c r="B42" s="18"/>
      <c r="C42" s="19">
        <v>21.94</v>
      </c>
      <c r="D42" s="19">
        <f>10+24.62+24.74+20.97</f>
        <v>80.33</v>
      </c>
      <c r="E42" s="19">
        <f>22.56</f>
        <v>22.56</v>
      </c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Flughafen Zürich</v>
      </c>
      <c r="B43" s="18">
        <f t="shared" ref="B43:B50" si="3">SUM(C43:X43)</f>
        <v>80.06</v>
      </c>
      <c r="C43" s="19">
        <v>60.16</v>
      </c>
      <c r="D43" s="19">
        <f>13.27+6.63</f>
        <v>19.899999999999999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Vinci</v>
      </c>
      <c r="B44" s="18">
        <f t="shared" si="3"/>
        <v>103.22</v>
      </c>
      <c r="C44" s="19">
        <v>70.84</v>
      </c>
      <c r="D44" s="19">
        <f>25.87+6.51</f>
        <v>32.380000000000003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Prologis</v>
      </c>
      <c r="B45" s="18">
        <f t="shared" si="3"/>
        <v>99.670000000000016</v>
      </c>
      <c r="C45" s="19">
        <v>65.330000000000013</v>
      </c>
      <c r="D45" s="19">
        <f>5.87+7.57+7.59+6.42</f>
        <v>27.450000000000003</v>
      </c>
      <c r="E45" s="19">
        <f>6.89</f>
        <v>6.89</v>
      </c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KKR&amp;CO.</v>
      </c>
      <c r="B46" s="18">
        <f t="shared" si="3"/>
        <v>52.2</v>
      </c>
      <c r="C46" s="19">
        <v>38.99</v>
      </c>
      <c r="D46" s="19">
        <f>3.48+3.24+3.16+3.33</f>
        <v>13.21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Fraport AG</v>
      </c>
      <c r="B47" s="18">
        <f t="shared" si="3"/>
        <v>0</v>
      </c>
      <c r="C47" s="19">
        <v>0</v>
      </c>
      <c r="D47" s="19">
        <v>0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British Land REIT</v>
      </c>
      <c r="B48" s="18">
        <f t="shared" si="3"/>
        <v>83.460000000000008</v>
      </c>
      <c r="C48" s="19">
        <v>51.87</v>
      </c>
      <c r="D48" s="19">
        <f>11.27+8.75</f>
        <v>20.02</v>
      </c>
      <c r="E48" s="19">
        <f>11.57</f>
        <v>11.57</v>
      </c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CA Immo REIT</v>
      </c>
      <c r="B49" s="18">
        <f t="shared" si="3"/>
        <v>99.57</v>
      </c>
      <c r="C49" s="19">
        <v>92.13</v>
      </c>
      <c r="D49" s="19">
        <f>7.44</f>
        <v>7.44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>Swisscom</v>
      </c>
      <c r="B50" s="18">
        <f t="shared" si="3"/>
        <v>94.28</v>
      </c>
      <c r="C50" s="19">
        <v>79.72</v>
      </c>
      <c r="D50" s="19">
        <f>14.56</f>
        <v>14.56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Essex Property Trust</v>
      </c>
      <c r="B51" s="18">
        <f>SUM(C51:X51)</f>
        <v>152.44999999999999</v>
      </c>
      <c r="C51" s="19">
        <v>106.98</v>
      </c>
      <c r="D51" s="19">
        <f>8.98+9.75+8.34+8.33</f>
        <v>35.4</v>
      </c>
      <c r="E51" s="19">
        <f>10.07</f>
        <v>10.07</v>
      </c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3M</v>
      </c>
      <c r="B52" s="18">
        <f t="shared" ref="B52:B59" si="4">SUM(C52:X52)</f>
        <v>291.11</v>
      </c>
      <c r="C52" s="19">
        <v>212.80999999999997</v>
      </c>
      <c r="D52" s="19">
        <f>35.09+14.56+13.81+14.84</f>
        <v>78.300000000000011</v>
      </c>
      <c r="E52" s="19"/>
      <c r="F52" s="19"/>
      <c r="G52" s="19"/>
      <c r="H52" s="19"/>
      <c r="I52" s="19"/>
      <c r="J52" s="19"/>
      <c r="K52" s="19"/>
    </row>
    <row r="53" spans="1:11" ht="12.75">
      <c r="A53" s="17" t="str">
        <f>'Portfolio Ned'!A:A</f>
        <v>Danaher</v>
      </c>
      <c r="B53" s="18">
        <f t="shared" si="4"/>
        <v>16.670000000000002</v>
      </c>
      <c r="C53" s="19">
        <v>12.010000000000002</v>
      </c>
      <c r="D53" s="19">
        <f>0.94+0.94+0.93+0.74</f>
        <v>3.55</v>
      </c>
      <c r="E53" s="19">
        <f>1.11</f>
        <v>1.1100000000000001</v>
      </c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HB Fuller</v>
      </c>
      <c r="B54" s="18">
        <f t="shared" si="4"/>
        <v>0</v>
      </c>
      <c r="C54" s="19">
        <v>0</v>
      </c>
      <c r="D54" s="19">
        <v>0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Covestro</v>
      </c>
      <c r="B55" s="18">
        <f t="shared" si="4"/>
        <v>159.26999999999998</v>
      </c>
      <c r="C55" s="19">
        <v>159.26999999999998</v>
      </c>
      <c r="D55" s="19">
        <v>0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Exxon Mobil Corp</v>
      </c>
      <c r="B56" s="18">
        <f t="shared" si="4"/>
        <v>247.69</v>
      </c>
      <c r="C56" s="19">
        <v>199.72</v>
      </c>
      <c r="D56" s="19">
        <f>12.51+11.14+12.42+11.9</f>
        <v>47.97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Glencore</v>
      </c>
      <c r="B57" s="18">
        <f t="shared" si="4"/>
        <v>210.81</v>
      </c>
      <c r="C57" s="19">
        <v>184.78</v>
      </c>
      <c r="D57" s="19">
        <f>13.15+12.88</f>
        <v>26.03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Hochtief AG</v>
      </c>
      <c r="B58" s="18">
        <f t="shared" si="4"/>
        <v>106.77000000000001</v>
      </c>
      <c r="C58" s="19">
        <v>82.34</v>
      </c>
      <c r="D58" s="19">
        <f>24.43</f>
        <v>24.43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Sika</v>
      </c>
      <c r="B59" s="18">
        <f t="shared" si="4"/>
        <v>92.859999999999985</v>
      </c>
      <c r="C59" s="19">
        <v>65.289999999999992</v>
      </c>
      <c r="D59" s="19">
        <f>10.86+16.71</f>
        <v>27.57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Dupont de Nemours</v>
      </c>
      <c r="B60" s="18">
        <f>SUM(C60:X60)</f>
        <v>55.45</v>
      </c>
      <c r="C60" s="19">
        <v>42.47</v>
      </c>
      <c r="D60" s="19">
        <f>3.56+3.15+3.04+3.23</f>
        <v>12.98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Fuchs Petroclub</v>
      </c>
      <c r="B61" s="18">
        <f>SUM(C61:X61)</f>
        <v>58.75</v>
      </c>
      <c r="C61" s="19">
        <v>50.58</v>
      </c>
      <c r="D61" s="19">
        <f>8.17</f>
        <v>8.17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Continental</v>
      </c>
      <c r="B62" s="18">
        <f>SUM(C62:X62)</f>
        <v>52.370000000000005</v>
      </c>
      <c r="C62" s="19">
        <v>41.03</v>
      </c>
      <c r="D62" s="19">
        <f>11.34</f>
        <v>11.34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Linde PLC</v>
      </c>
      <c r="B63" s="18">
        <f>SUM(C63:X63)</f>
        <v>59.070000000000007</v>
      </c>
      <c r="C63" s="19">
        <v>42.550000000000004</v>
      </c>
      <c r="D63" s="19">
        <f>5.14+3.8+3.66+3.92</f>
        <v>16.52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JP Morgan</v>
      </c>
      <c r="B64" s="18">
        <f t="shared" ref="B64:B75" si="5">SUM(C64:X64)</f>
        <v>69.830000000000013</v>
      </c>
      <c r="C64" s="19">
        <v>53.27</v>
      </c>
      <c r="D64" s="19">
        <f>3.99+3.95+3.5</f>
        <v>11.440000000000001</v>
      </c>
      <c r="E64" s="19">
        <f>5.12</f>
        <v>5.12</v>
      </c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Commonwealth Bank AUS</v>
      </c>
      <c r="B65" s="18">
        <f t="shared" si="5"/>
        <v>88.179999999999993</v>
      </c>
      <c r="C65" s="19">
        <v>63.809999999999995</v>
      </c>
      <c r="D65" s="19">
        <f>12.96+11.41</f>
        <v>24.37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Charter Hall Grp</v>
      </c>
      <c r="B66" s="18">
        <f t="shared" si="5"/>
        <v>430.46</v>
      </c>
      <c r="C66" s="19">
        <v>369.77</v>
      </c>
      <c r="D66" s="19">
        <f>24.48+8.05+28.16</f>
        <v>60.69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IBM</v>
      </c>
      <c r="B67" s="18">
        <f t="shared" si="5"/>
        <v>186.32999999999998</v>
      </c>
      <c r="C67" s="19">
        <v>157.88</v>
      </c>
      <c r="D67" s="19">
        <f>7.72+6.91+6.75+7.07</f>
        <v>28.45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5"/>
        <v>26.3</v>
      </c>
      <c r="C68" s="19">
        <v>18.66</v>
      </c>
      <c r="D68" s="19">
        <f>2.03+1.78+1.74+2.09</f>
        <v>7.64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Sony Corp</v>
      </c>
      <c r="B69" s="18">
        <f t="shared" si="5"/>
        <v>41.800000000000004</v>
      </c>
      <c r="C69" s="19">
        <v>33.190000000000005</v>
      </c>
      <c r="D69" s="19">
        <f>3.94+4.67</f>
        <v>8.61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Adobe</v>
      </c>
      <c r="B70" s="18">
        <f t="shared" si="5"/>
        <v>0</v>
      </c>
      <c r="C70" s="19">
        <v>0</v>
      </c>
      <c r="D70" s="19">
        <v>0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Naspers</v>
      </c>
      <c r="B71" s="18">
        <f t="shared" si="5"/>
        <v>12.709999999999999</v>
      </c>
      <c r="C71" s="19">
        <v>9.61</v>
      </c>
      <c r="D71" s="19">
        <f>3.1</f>
        <v>3.1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Palo Alto</v>
      </c>
      <c r="B72" s="18">
        <f t="shared" si="5"/>
        <v>0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Illumina</v>
      </c>
      <c r="B73" s="18">
        <f t="shared" si="5"/>
        <v>0</v>
      </c>
      <c r="C73" s="19">
        <v>0</v>
      </c>
      <c r="D73" s="19">
        <v>0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Novartis</v>
      </c>
      <c r="B74" s="18">
        <f t="shared" si="5"/>
        <v>68.900000000000006</v>
      </c>
      <c r="C74" s="19">
        <v>55.51</v>
      </c>
      <c r="D74" s="19">
        <f>13.39</f>
        <v>13.39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Bayer AG</v>
      </c>
      <c r="B75" s="18">
        <f t="shared" si="5"/>
        <v>230.24</v>
      </c>
      <c r="C75" s="19">
        <v>226.19</v>
      </c>
      <c r="D75" s="19">
        <f>4.05</f>
        <v>4.05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>SUM(C76:X76)</f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Merck</v>
      </c>
      <c r="B77" s="18">
        <f>SUM(C77:X77)</f>
        <v>0</v>
      </c>
      <c r="E77" s="19"/>
      <c r="F77" s="19"/>
      <c r="G77" s="19"/>
      <c r="H77" s="19"/>
      <c r="I77" s="19"/>
      <c r="J77" s="19"/>
      <c r="K77" s="19"/>
    </row>
    <row r="78" spans="1:11" ht="12.75">
      <c r="A78" s="17">
        <f>'Portfolio Ned'!A:A</f>
        <v>0</v>
      </c>
      <c r="B78" s="18">
        <f>SUM(C78:X78)</f>
        <v>0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NextEra Energy</v>
      </c>
      <c r="B79" s="18">
        <f t="shared" ref="B79:B84" si="6">SUM(C79:X79)</f>
        <v>276.3</v>
      </c>
      <c r="C79" s="19">
        <v>217.78000000000003</v>
      </c>
      <c r="D79" s="19">
        <f>16.09+14.23+13.74+14.46</f>
        <v>58.52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Enel</v>
      </c>
      <c r="B80" s="18">
        <f t="shared" si="6"/>
        <v>161.32999999999998</v>
      </c>
      <c r="C80" s="19">
        <v>87.2</v>
      </c>
      <c r="D80" s="19">
        <f>25.94+22.25</f>
        <v>48.19</v>
      </c>
      <c r="E80" s="19">
        <f>25.94</f>
        <v>25.94</v>
      </c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EDP-Energias</v>
      </c>
      <c r="B81" s="18">
        <f>SUM(C81:X81)</f>
        <v>70.64</v>
      </c>
      <c r="C81" s="19">
        <v>49.4</v>
      </c>
      <c r="D81" s="19">
        <f>21.24</f>
        <v>21.24</v>
      </c>
      <c r="E81" s="19"/>
      <c r="F81" s="19"/>
      <c r="G81" s="19"/>
      <c r="H81" s="19"/>
      <c r="I81" s="19"/>
      <c r="J81" s="19"/>
      <c r="K81" s="19"/>
    </row>
    <row r="82" spans="1:11" ht="12.75">
      <c r="A82" s="17">
        <f>'Portfolio Ned'!A:A</f>
        <v>0</v>
      </c>
      <c r="B82" s="18">
        <f t="shared" si="6"/>
        <v>0</v>
      </c>
      <c r="C82" s="19"/>
      <c r="D82" s="19"/>
      <c r="E82" s="19"/>
      <c r="F82" s="19"/>
      <c r="G82" s="19"/>
      <c r="H82" s="19"/>
      <c r="I82" s="19"/>
      <c r="J82" s="19"/>
      <c r="K82" s="19"/>
    </row>
    <row r="83" spans="1:11" ht="12.75">
      <c r="A83" s="17" t="str">
        <f>'Portfolio Ned'!A:A</f>
        <v>Sixt SE</v>
      </c>
      <c r="B83" s="18">
        <f t="shared" si="6"/>
        <v>9.9600000000000009</v>
      </c>
      <c r="C83" s="19">
        <v>7.09</v>
      </c>
      <c r="D83" s="19">
        <f>2.87</f>
        <v>2.87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Tencent</v>
      </c>
      <c r="B84" s="18">
        <f t="shared" si="6"/>
        <v>0</v>
      </c>
      <c r="E84" s="19"/>
      <c r="F84" s="19"/>
      <c r="G84" s="19"/>
      <c r="H84" s="19"/>
      <c r="I84" s="19"/>
      <c r="J84" s="19"/>
      <c r="K84" s="19"/>
    </row>
    <row r="85" spans="1:11" ht="12.75">
      <c r="A85" s="68" t="str">
        <f>'Portfolio Ned'!A:A</f>
        <v>ICBC</v>
      </c>
      <c r="B85" s="18">
        <f t="shared" ref="B85:B100" si="7">SUM(C85:X85)</f>
        <v>186.45000000000002</v>
      </c>
      <c r="C85" s="19">
        <v>140.68</v>
      </c>
      <c r="D85" s="19">
        <f>28.77</f>
        <v>28.77</v>
      </c>
      <c r="E85" s="19">
        <f>17</f>
        <v>17</v>
      </c>
      <c r="F85" s="19"/>
      <c r="G85" s="19"/>
      <c r="H85" s="19"/>
      <c r="I85" s="19"/>
      <c r="J85" s="19"/>
      <c r="K85" s="19"/>
    </row>
    <row r="86" spans="1:11" ht="12.75">
      <c r="A86" s="68" t="str">
        <f>'Portfolio Ned'!A:A</f>
        <v>Parkway Life REIT</v>
      </c>
      <c r="B86" s="18">
        <f t="shared" si="7"/>
        <v>239.37</v>
      </c>
      <c r="C86" s="19">
        <v>189.6</v>
      </c>
      <c r="D86" s="19">
        <f>14.2+1.82+6.72+10.09+1.27+4.75+(6.87+2.08+1.97)</f>
        <v>49.77</v>
      </c>
      <c r="E86" s="19"/>
      <c r="F86" s="19"/>
      <c r="G86" s="19"/>
      <c r="H86" s="19"/>
      <c r="I86" s="19"/>
      <c r="J86" s="19"/>
      <c r="K86" s="19"/>
    </row>
    <row r="87" spans="1:11" ht="12.75">
      <c r="A87" s="68" t="str">
        <f>'Portfolio Ned'!A:A</f>
        <v>China Mobile LTD.</v>
      </c>
      <c r="B87" s="18">
        <f t="shared" si="7"/>
        <v>147.82000000000002</v>
      </c>
      <c r="C87" s="19">
        <v>114.68000000000002</v>
      </c>
      <c r="D87" s="19">
        <f>18.02+15.12</f>
        <v>33.14</v>
      </c>
      <c r="E87" s="19"/>
      <c r="F87" s="19"/>
      <c r="G87" s="19"/>
      <c r="H87" s="19"/>
      <c r="I87" s="19"/>
      <c r="J87" s="19"/>
      <c r="K87" s="19"/>
    </row>
    <row r="88" spans="1:11" ht="12.75">
      <c r="A88" s="68" t="str">
        <f>'Portfolio Ned'!A:A</f>
        <v>Wharf Holdings Ltd</v>
      </c>
      <c r="B88" s="18">
        <f t="shared" si="7"/>
        <v>23.189999999999998</v>
      </c>
      <c r="C88" s="19">
        <v>17.079999999999998</v>
      </c>
      <c r="D88" s="19">
        <f>3.56+2.55</f>
        <v>6.1099999999999994</v>
      </c>
      <c r="E88" s="19"/>
      <c r="F88" s="19"/>
      <c r="G88" s="19"/>
      <c r="H88" s="19"/>
      <c r="I88" s="19"/>
      <c r="J88" s="19"/>
      <c r="K88" s="19"/>
    </row>
    <row r="89" spans="1:11" ht="12.75">
      <c r="A89" s="68" t="str">
        <f>'Portfolio Ned'!A:A</f>
        <v xml:space="preserve">Wipro ADR </v>
      </c>
      <c r="B89" s="18">
        <f t="shared" si="7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68" t="str">
        <f>'Portfolio Ned'!A:A</f>
        <v>Meituan Cl B</v>
      </c>
      <c r="B90" s="18">
        <f t="shared" si="7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68" t="str">
        <f>'Portfolio Ned'!A:A</f>
        <v>Sea Ltd</v>
      </c>
      <c r="B91" s="18">
        <f t="shared" si="7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68" t="str">
        <f>'Portfolio Ned'!A:A</f>
        <v>DBS Grp Hld</v>
      </c>
      <c r="B92" s="18">
        <f t="shared" si="7"/>
        <v>75.02</v>
      </c>
      <c r="C92" s="19">
        <v>49.49</v>
      </c>
      <c r="D92" s="19">
        <f>7.42+5.96+5.99+6.16</f>
        <v>25.529999999999998</v>
      </c>
      <c r="E92" s="19"/>
      <c r="F92" s="19"/>
      <c r="G92" s="19"/>
      <c r="H92" s="19"/>
      <c r="I92" s="19"/>
      <c r="J92" s="19"/>
      <c r="K92" s="19"/>
    </row>
    <row r="93" spans="1:11" ht="12.75">
      <c r="A93" s="68" t="str">
        <f>'Portfolio Ned'!A:A</f>
        <v>Shenzou Itl</v>
      </c>
      <c r="B93" s="18">
        <f t="shared" si="7"/>
        <v>11.569999999999999</v>
      </c>
      <c r="C93" s="19">
        <v>9.4599999999999991</v>
      </c>
      <c r="D93" s="19">
        <f>2.11</f>
        <v>2.11</v>
      </c>
      <c r="E93" s="19"/>
      <c r="F93" s="19"/>
      <c r="G93" s="19"/>
      <c r="H93" s="19"/>
      <c r="I93" s="19"/>
      <c r="J93" s="19"/>
      <c r="K93" s="19"/>
    </row>
    <row r="94" spans="1:11" ht="12.75">
      <c r="A94" s="68" t="str">
        <f>'Portfolio Ned'!A:A</f>
        <v>Xiaomi</v>
      </c>
      <c r="B94" s="18">
        <f t="shared" si="7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68" t="str">
        <f>'Portfolio Ned'!A:A</f>
        <v>Infosys ADR</v>
      </c>
      <c r="B95" s="18">
        <f t="shared" si="7"/>
        <v>33.909999999999997</v>
      </c>
      <c r="C95" s="19">
        <v>22.58</v>
      </c>
      <c r="D95" s="19">
        <f>4.52+1.95+4.86</f>
        <v>11.33</v>
      </c>
      <c r="E95" s="19"/>
      <c r="F95" s="19"/>
      <c r="G95" s="19"/>
      <c r="H95" s="19"/>
      <c r="I95" s="19"/>
      <c r="J95" s="19"/>
      <c r="K95" s="19"/>
    </row>
    <row r="96" spans="1:11" ht="12.75">
      <c r="A96" s="68" t="str">
        <f>'Portfolio Ned'!A:A</f>
        <v>Pinduoduo</v>
      </c>
      <c r="B96" s="18">
        <f t="shared" si="7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68" t="str">
        <f>'Portfolio Ned'!A:A</f>
        <v>Weichai Power</v>
      </c>
      <c r="B97" s="18">
        <f t="shared" si="7"/>
        <v>42.78</v>
      </c>
      <c r="C97" s="19">
        <v>25.28</v>
      </c>
      <c r="D97" s="19">
        <f>8.6+8.9</f>
        <v>17.5</v>
      </c>
      <c r="E97" s="19"/>
      <c r="F97" s="19"/>
      <c r="G97" s="19"/>
      <c r="H97" s="19"/>
      <c r="I97" s="19"/>
      <c r="J97" s="19"/>
      <c r="K97" s="19"/>
    </row>
    <row r="98" spans="1:11" ht="12.75">
      <c r="A98" s="68" t="str">
        <f>'Portfolio Ned'!A:A</f>
        <v>Lenovo Group</v>
      </c>
      <c r="B98" s="18">
        <f t="shared" si="7"/>
        <v>99.06</v>
      </c>
      <c r="C98" s="19">
        <v>65.75</v>
      </c>
      <c r="D98" s="19">
        <f>25.67+7.64</f>
        <v>33.31</v>
      </c>
      <c r="E98" s="19"/>
      <c r="F98" s="19"/>
      <c r="G98" s="19"/>
      <c r="H98" s="19"/>
      <c r="I98" s="19"/>
      <c r="J98" s="19"/>
      <c r="K98" s="19"/>
    </row>
    <row r="99" spans="1:11" ht="12.75">
      <c r="A99" s="68" t="str">
        <f>'Portfolio Ned'!A:A</f>
        <v>AIA Group LTD</v>
      </c>
      <c r="B99" s="18">
        <f t="shared" si="7"/>
        <v>23.86</v>
      </c>
      <c r="C99" s="19">
        <f>9.66</f>
        <v>9.66</v>
      </c>
      <c r="D99" s="19">
        <f>10.44+3.76</f>
        <v>14.2</v>
      </c>
      <c r="E99" s="19"/>
      <c r="F99" s="19"/>
      <c r="G99" s="19"/>
      <c r="H99" s="19"/>
      <c r="I99" s="19"/>
      <c r="J99" s="19"/>
      <c r="K99" s="19"/>
    </row>
    <row r="100" spans="1:11" ht="12.75">
      <c r="A100" s="68" t="str">
        <f>'Portfolio Ned'!A:A</f>
        <v>Baidu</v>
      </c>
      <c r="B100" s="18">
        <f t="shared" si="7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8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Schaeffler</v>
      </c>
      <c r="B106" s="18">
        <f t="shared" si="8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8"/>
        <v>1.9600000000000002</v>
      </c>
      <c r="C107" s="19">
        <v>1.2000000000000002</v>
      </c>
      <c r="D107" s="19">
        <f>0.16+0.16+0.14+0.14</f>
        <v>0.60000000000000009</v>
      </c>
      <c r="E107" s="19">
        <f>0.16</f>
        <v>0.16</v>
      </c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8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8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8"/>
        <v>45.660000000000004</v>
      </c>
      <c r="C110" s="19">
        <v>45.33</v>
      </c>
      <c r="D110" s="19">
        <f>0.07+0.06+0.06+0.05</f>
        <v>0.24</v>
      </c>
      <c r="E110">
        <f>0.09</f>
        <v>0.09</v>
      </c>
    </row>
    <row r="111" spans="1:11" ht="12.75">
      <c r="A111" s="17" t="str">
        <f>'Portfolio Ned'!A:A</f>
        <v xml:space="preserve">Solventum </v>
      </c>
      <c r="B111" s="18">
        <f t="shared" si="8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8"/>
        <v>2.37</v>
      </c>
      <c r="C112" s="19">
        <v>0</v>
      </c>
      <c r="D112" s="19">
        <v>2.37</v>
      </c>
    </row>
    <row r="113" spans="1:40" ht="12.75">
      <c r="A113" s="17">
        <f>'Portfolio Ned'!A:A</f>
        <v>0</v>
      </c>
      <c r="B113" s="18">
        <f t="shared" si="8"/>
        <v>0</v>
      </c>
      <c r="C113" s="19">
        <v>0</v>
      </c>
      <c r="D113" s="19"/>
    </row>
    <row r="114" spans="1:40" ht="12.75">
      <c r="A114" s="17">
        <f>'Portfolio Ned'!A:A</f>
        <v>0</v>
      </c>
      <c r="B114" s="18">
        <f t="shared" si="8"/>
        <v>0</v>
      </c>
      <c r="C114" s="19">
        <v>0</v>
      </c>
    </row>
    <row r="115" spans="1:40" ht="12.75">
      <c r="A115" s="17"/>
      <c r="B115" s="18">
        <f t="shared" si="8"/>
        <v>0</v>
      </c>
      <c r="C115" s="19">
        <v>0</v>
      </c>
    </row>
    <row r="116" spans="1:40" ht="12.75">
      <c r="A116" s="17"/>
      <c r="B116" s="18"/>
    </row>
    <row r="117" spans="1:40" ht="12.75">
      <c r="A117" s="17"/>
      <c r="B117" s="18"/>
    </row>
    <row r="118" spans="1:40" ht="12.75">
      <c r="A118" s="17"/>
      <c r="B118" s="18"/>
    </row>
    <row r="119" spans="1:40" ht="12.75">
      <c r="A119" s="17"/>
      <c r="B119" s="18"/>
    </row>
    <row r="120" spans="1:40" ht="12.75">
      <c r="A120" s="17"/>
      <c r="B120" s="18"/>
    </row>
    <row r="121" spans="1:40" ht="12.75">
      <c r="A121" s="17"/>
      <c r="B121" s="18"/>
    </row>
    <row r="122" spans="1:40" ht="12.75">
      <c r="A122" s="17"/>
      <c r="B122" s="18"/>
    </row>
    <row r="123" spans="1:40" ht="12.75">
      <c r="A123" s="17"/>
      <c r="B123" s="18"/>
    </row>
    <row r="124" spans="1:40" ht="12.75">
      <c r="A124" s="17"/>
      <c r="B124" s="18"/>
    </row>
    <row r="125" spans="1:40" ht="12.75">
      <c r="A125" s="17"/>
      <c r="B125" s="18"/>
    </row>
    <row r="126" spans="1:40" ht="12.75">
      <c r="A126" s="17"/>
      <c r="B126" s="18"/>
      <c r="AD126" s="55" t="s">
        <v>521</v>
      </c>
      <c r="AI126" s="55" t="s">
        <v>555</v>
      </c>
    </row>
    <row r="127" spans="1:40" ht="12.75">
      <c r="A127" s="17"/>
      <c r="B127" s="49" t="s">
        <v>213</v>
      </c>
      <c r="C127" s="49" t="s">
        <v>212</v>
      </c>
      <c r="D127" s="49">
        <v>2024</v>
      </c>
      <c r="E127" s="49">
        <v>2025</v>
      </c>
      <c r="F127" s="49">
        <v>2026</v>
      </c>
      <c r="G127" s="49">
        <v>2027</v>
      </c>
      <c r="H127" s="49">
        <v>2028</v>
      </c>
      <c r="I127" s="49">
        <v>2029</v>
      </c>
      <c r="J127" s="49">
        <v>2030</v>
      </c>
      <c r="K127" s="49">
        <v>2031</v>
      </c>
      <c r="L127" s="49">
        <v>2032</v>
      </c>
      <c r="M127" s="49">
        <v>2033</v>
      </c>
      <c r="N127" s="49">
        <v>2034</v>
      </c>
      <c r="O127" s="49">
        <v>2035</v>
      </c>
      <c r="P127" s="49">
        <v>2036</v>
      </c>
      <c r="Q127" s="49">
        <v>2037</v>
      </c>
      <c r="R127" s="49">
        <v>2038</v>
      </c>
      <c r="S127" s="49">
        <v>2039</v>
      </c>
      <c r="T127" s="49">
        <v>2040</v>
      </c>
      <c r="U127" s="49">
        <v>2041</v>
      </c>
      <c r="V127" s="49">
        <v>2042</v>
      </c>
      <c r="W127" s="49">
        <v>2043</v>
      </c>
      <c r="X127" s="49">
        <v>2044</v>
      </c>
      <c r="Y127" s="49">
        <v>2045</v>
      </c>
      <c r="Z127" s="49">
        <v>2046</v>
      </c>
      <c r="AA127" s="49">
        <v>2047</v>
      </c>
      <c r="AB127" s="49">
        <v>2048</v>
      </c>
      <c r="AC127" s="49">
        <v>2049</v>
      </c>
      <c r="AD127" s="49">
        <v>2050</v>
      </c>
      <c r="AE127" s="49">
        <v>2051</v>
      </c>
      <c r="AF127" s="49">
        <v>2052</v>
      </c>
      <c r="AG127" s="49">
        <v>2053</v>
      </c>
      <c r="AH127" s="49">
        <v>2054</v>
      </c>
      <c r="AI127" s="49">
        <v>2055</v>
      </c>
      <c r="AJ127" s="49">
        <v>2056</v>
      </c>
      <c r="AK127" s="49">
        <v>2057</v>
      </c>
      <c r="AL127" s="49">
        <v>2058</v>
      </c>
      <c r="AM127" s="49">
        <v>2059</v>
      </c>
      <c r="AN127" s="49">
        <v>2060</v>
      </c>
    </row>
    <row r="128" spans="1:40" ht="12.75">
      <c r="A128" s="4"/>
      <c r="B128" s="51" t="s">
        <v>232</v>
      </c>
      <c r="C128" s="74">
        <f>SUM(C2:C111)/6</f>
        <v>1602.2433333333336</v>
      </c>
      <c r="D128" s="51">
        <f>SUM(D2:D115)</f>
        <v>3293.8100000000004</v>
      </c>
      <c r="E128" s="51">
        <f>SUM(E2:E115)</f>
        <v>360.19</v>
      </c>
      <c r="F128" s="51">
        <f t="shared" ref="F128:O128" si="9">SUM(F2:F115)</f>
        <v>0</v>
      </c>
      <c r="G128" s="51">
        <f t="shared" si="9"/>
        <v>0</v>
      </c>
      <c r="H128" s="51">
        <f t="shared" si="9"/>
        <v>0</v>
      </c>
      <c r="I128" s="51">
        <f t="shared" si="9"/>
        <v>0</v>
      </c>
      <c r="J128" s="51">
        <f t="shared" si="9"/>
        <v>0</v>
      </c>
      <c r="K128" s="51">
        <f t="shared" si="9"/>
        <v>0</v>
      </c>
      <c r="L128" s="51">
        <f t="shared" si="9"/>
        <v>0</v>
      </c>
      <c r="M128" s="51">
        <f t="shared" si="9"/>
        <v>0</v>
      </c>
      <c r="N128" s="51">
        <f t="shared" si="9"/>
        <v>0</v>
      </c>
      <c r="O128" s="51">
        <f t="shared" si="9"/>
        <v>0</v>
      </c>
      <c r="P128" s="51">
        <f>SUM(P2:P108)</f>
        <v>0</v>
      </c>
      <c r="Q128" s="51">
        <f t="shared" ref="Q128:AN128" si="10">SUM(Q2:Q108)</f>
        <v>0</v>
      </c>
      <c r="R128" s="51">
        <f t="shared" si="10"/>
        <v>0</v>
      </c>
      <c r="S128" s="51">
        <f t="shared" si="10"/>
        <v>0</v>
      </c>
      <c r="T128" s="51">
        <f t="shared" si="10"/>
        <v>0</v>
      </c>
      <c r="U128" s="51">
        <f t="shared" si="10"/>
        <v>0</v>
      </c>
      <c r="V128" s="51">
        <f t="shared" si="10"/>
        <v>0</v>
      </c>
      <c r="W128" s="51">
        <f t="shared" si="10"/>
        <v>0</v>
      </c>
      <c r="X128" s="51">
        <f t="shared" si="10"/>
        <v>0</v>
      </c>
      <c r="Y128" s="51">
        <f t="shared" si="10"/>
        <v>0</v>
      </c>
      <c r="Z128" s="51">
        <f t="shared" si="10"/>
        <v>0</v>
      </c>
      <c r="AA128" s="51">
        <f t="shared" si="10"/>
        <v>0</v>
      </c>
      <c r="AB128" s="51">
        <f t="shared" si="10"/>
        <v>0</v>
      </c>
      <c r="AC128" s="51">
        <f t="shared" si="10"/>
        <v>0</v>
      </c>
      <c r="AD128" s="51">
        <f t="shared" si="10"/>
        <v>0</v>
      </c>
      <c r="AE128" s="51">
        <f t="shared" si="10"/>
        <v>0</v>
      </c>
      <c r="AF128" s="51">
        <f t="shared" si="10"/>
        <v>0</v>
      </c>
      <c r="AG128" s="51">
        <f t="shared" si="10"/>
        <v>0</v>
      </c>
      <c r="AH128" s="51">
        <f t="shared" si="10"/>
        <v>0</v>
      </c>
      <c r="AI128" s="51">
        <f t="shared" si="10"/>
        <v>0</v>
      </c>
      <c r="AJ128" s="51">
        <f t="shared" si="10"/>
        <v>0</v>
      </c>
      <c r="AK128" s="51">
        <f t="shared" si="10"/>
        <v>0</v>
      </c>
      <c r="AL128" s="51">
        <f t="shared" si="10"/>
        <v>0</v>
      </c>
      <c r="AM128" s="51">
        <f t="shared" si="10"/>
        <v>0</v>
      </c>
      <c r="AN128" s="51">
        <f t="shared" si="10"/>
        <v>0</v>
      </c>
    </row>
    <row r="129" spans="1:40" ht="12.75">
      <c r="A129" s="4"/>
      <c r="B129" s="51" t="s">
        <v>333</v>
      </c>
      <c r="C129" s="75">
        <v>1500</v>
      </c>
      <c r="D129" s="75">
        <v>2800</v>
      </c>
      <c r="E129" s="75">
        <v>3380</v>
      </c>
      <c r="F129" s="75">
        <f>E129*1.05</f>
        <v>3549</v>
      </c>
      <c r="G129" s="75">
        <f t="shared" ref="G129:N129" si="11">F129*1.08</f>
        <v>3832.92</v>
      </c>
      <c r="H129" s="75">
        <f t="shared" si="11"/>
        <v>4139.5536000000002</v>
      </c>
      <c r="I129" s="75">
        <f t="shared" si="11"/>
        <v>4470.7178880000001</v>
      </c>
      <c r="J129" s="75">
        <f t="shared" si="11"/>
        <v>4828.3753190400002</v>
      </c>
      <c r="K129" s="75">
        <f t="shared" si="11"/>
        <v>5214.6453445632005</v>
      </c>
      <c r="L129" s="75">
        <f t="shared" si="11"/>
        <v>5631.8169721282566</v>
      </c>
      <c r="M129" s="75">
        <f t="shared" si="11"/>
        <v>6082.3623298985176</v>
      </c>
      <c r="N129" s="75">
        <f t="shared" si="11"/>
        <v>6568.9513162903995</v>
      </c>
      <c r="O129" s="75">
        <f t="shared" ref="O129:AN129" si="12">N129*1.08</f>
        <v>7094.467421593632</v>
      </c>
      <c r="P129" s="75">
        <f t="shared" si="12"/>
        <v>7662.0248153211232</v>
      </c>
      <c r="Q129" s="75">
        <f t="shared" si="12"/>
        <v>8274.9868005468143</v>
      </c>
      <c r="R129" s="75">
        <f t="shared" si="12"/>
        <v>8936.98574459056</v>
      </c>
      <c r="S129" s="75">
        <f t="shared" si="12"/>
        <v>9651.9446041578049</v>
      </c>
      <c r="T129" s="75">
        <f t="shared" si="12"/>
        <v>10424.100172490429</v>
      </c>
      <c r="U129" s="75">
        <f t="shared" si="12"/>
        <v>11258.028186289665</v>
      </c>
      <c r="V129" s="75">
        <f t="shared" si="12"/>
        <v>12158.670441192839</v>
      </c>
      <c r="W129" s="75">
        <f t="shared" si="12"/>
        <v>13131.364076488266</v>
      </c>
      <c r="X129" s="75">
        <f t="shared" si="12"/>
        <v>14181.873202607328</v>
      </c>
      <c r="Y129" s="75">
        <f t="shared" si="12"/>
        <v>15316.423058815915</v>
      </c>
      <c r="Z129" s="75">
        <f t="shared" si="12"/>
        <v>16541.736903521189</v>
      </c>
      <c r="AA129" s="75">
        <f t="shared" si="12"/>
        <v>17865.075855802887</v>
      </c>
      <c r="AB129" s="75">
        <f t="shared" si="12"/>
        <v>19294.281924267118</v>
      </c>
      <c r="AC129" s="75">
        <f t="shared" si="12"/>
        <v>20837.824478208488</v>
      </c>
      <c r="AD129" s="75">
        <f t="shared" si="12"/>
        <v>22504.850436465167</v>
      </c>
      <c r="AE129" s="75">
        <f t="shared" si="12"/>
        <v>24305.238471382381</v>
      </c>
      <c r="AF129" s="75">
        <f t="shared" si="12"/>
        <v>26249.657549092972</v>
      </c>
      <c r="AG129" s="75">
        <f t="shared" si="12"/>
        <v>28349.630153020411</v>
      </c>
      <c r="AH129" s="75">
        <f t="shared" si="12"/>
        <v>30617.600565262044</v>
      </c>
      <c r="AI129" s="75">
        <f t="shared" si="12"/>
        <v>33067.008610483012</v>
      </c>
      <c r="AJ129" s="75">
        <f t="shared" si="12"/>
        <v>35712.369299321654</v>
      </c>
      <c r="AK129" s="75">
        <f t="shared" si="12"/>
        <v>38569.358843267386</v>
      </c>
      <c r="AL129" s="75">
        <f t="shared" si="12"/>
        <v>41654.907550728778</v>
      </c>
      <c r="AM129" s="75">
        <f t="shared" si="12"/>
        <v>44987.300154787081</v>
      </c>
      <c r="AN129" s="75">
        <f t="shared" si="12"/>
        <v>48586.284167170052</v>
      </c>
    </row>
    <row r="130" spans="1:40" ht="12.75">
      <c r="A130" s="4"/>
      <c r="B130" s="51" t="s">
        <v>334</v>
      </c>
      <c r="C130" s="51">
        <v>1500</v>
      </c>
      <c r="D130" s="51">
        <v>3000</v>
      </c>
      <c r="E130" s="75">
        <v>3500</v>
      </c>
      <c r="F130" s="75">
        <f>E130*1.1</f>
        <v>3850.0000000000005</v>
      </c>
      <c r="G130" s="75">
        <f t="shared" ref="G130:AN130" si="13">F130*1.1</f>
        <v>4235.0000000000009</v>
      </c>
      <c r="H130" s="75">
        <f t="shared" si="13"/>
        <v>4658.5000000000018</v>
      </c>
      <c r="I130" s="75">
        <f t="shared" si="13"/>
        <v>5124.3500000000022</v>
      </c>
      <c r="J130" s="75">
        <f t="shared" si="13"/>
        <v>5636.7850000000026</v>
      </c>
      <c r="K130" s="75">
        <f t="shared" si="13"/>
        <v>6200.4635000000035</v>
      </c>
      <c r="L130" s="75">
        <f t="shared" si="13"/>
        <v>6820.509850000004</v>
      </c>
      <c r="M130" s="75">
        <f t="shared" si="13"/>
        <v>7502.5608350000048</v>
      </c>
      <c r="N130" s="75">
        <f t="shared" si="13"/>
        <v>8252.8169185000061</v>
      </c>
      <c r="O130" s="75">
        <f t="shared" si="13"/>
        <v>9078.0986103500072</v>
      </c>
      <c r="P130" s="75">
        <f t="shared" si="13"/>
        <v>9985.9084713850079</v>
      </c>
      <c r="Q130" s="75">
        <f t="shared" si="13"/>
        <v>10984.499318523509</v>
      </c>
      <c r="R130" s="75">
        <f t="shared" si="13"/>
        <v>12082.949250375861</v>
      </c>
      <c r="S130" s="75">
        <f t="shared" si="13"/>
        <v>13291.244175413449</v>
      </c>
      <c r="T130" s="75">
        <f t="shared" si="13"/>
        <v>14620.368592954796</v>
      </c>
      <c r="U130" s="75">
        <f t="shared" si="13"/>
        <v>16082.405452250276</v>
      </c>
      <c r="V130" s="75">
        <f t="shared" si="13"/>
        <v>17690.645997475305</v>
      </c>
      <c r="W130" s="75">
        <f t="shared" si="13"/>
        <v>19459.710597222838</v>
      </c>
      <c r="X130" s="75">
        <f t="shared" si="13"/>
        <v>21405.681656945122</v>
      </c>
      <c r="Y130" s="75">
        <f t="shared" si="13"/>
        <v>23546.249822639635</v>
      </c>
      <c r="Z130" s="75">
        <f t="shared" si="13"/>
        <v>25900.8748049036</v>
      </c>
      <c r="AA130" s="75">
        <f t="shared" si="13"/>
        <v>28490.962285393962</v>
      </c>
      <c r="AB130" s="75">
        <f t="shared" si="13"/>
        <v>31340.05851393336</v>
      </c>
      <c r="AC130" s="75">
        <f t="shared" si="13"/>
        <v>34474.064365326696</v>
      </c>
      <c r="AD130" s="75">
        <f t="shared" si="13"/>
        <v>37921.470801859366</v>
      </c>
      <c r="AE130" s="75">
        <f t="shared" si="13"/>
        <v>41713.617882045306</v>
      </c>
      <c r="AF130" s="75">
        <f t="shared" si="13"/>
        <v>45884.979670249842</v>
      </c>
      <c r="AG130" s="75">
        <f t="shared" si="13"/>
        <v>50473.477637274831</v>
      </c>
      <c r="AH130" s="75">
        <f t="shared" si="13"/>
        <v>55520.825401002316</v>
      </c>
      <c r="AI130" s="75">
        <f t="shared" si="13"/>
        <v>61072.907941102552</v>
      </c>
      <c r="AJ130" s="75">
        <f t="shared" si="13"/>
        <v>67180.19873521282</v>
      </c>
      <c r="AK130" s="75">
        <f t="shared" si="13"/>
        <v>73898.218608734111</v>
      </c>
      <c r="AL130" s="75">
        <f t="shared" si="13"/>
        <v>81288.040469607527</v>
      </c>
      <c r="AM130" s="75">
        <f t="shared" si="13"/>
        <v>89416.844516568293</v>
      </c>
      <c r="AN130" s="75">
        <f t="shared" si="13"/>
        <v>98358.528968225131</v>
      </c>
    </row>
    <row r="131" spans="1:40" ht="12.75">
      <c r="A131" s="4"/>
      <c r="B131" s="51" t="s">
        <v>332</v>
      </c>
      <c r="C131" s="51">
        <v>1802.83</v>
      </c>
      <c r="D131" s="51">
        <v>3380.51</v>
      </c>
      <c r="E131" s="51">
        <v>55.69</v>
      </c>
      <c r="F131" s="51"/>
      <c r="G131" s="51"/>
      <c r="H131" s="51"/>
      <c r="I131" s="51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</row>
    <row r="132" spans="1:40" ht="12.75">
      <c r="A132" s="4"/>
      <c r="B132" s="51" t="s">
        <v>440</v>
      </c>
      <c r="C132" s="51" t="s">
        <v>441</v>
      </c>
      <c r="D132" s="100">
        <f>D131/C131-1</f>
        <v>0.87511301675698783</v>
      </c>
      <c r="E132" s="100">
        <f>E131/D131-1</f>
        <v>-0.98352615433765911</v>
      </c>
      <c r="F132" s="51"/>
      <c r="G132" s="51"/>
      <c r="H132" s="51"/>
      <c r="I132" s="51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</row>
    <row r="133" spans="1:40" ht="12.75">
      <c r="A133" s="17"/>
      <c r="B133" s="52" t="s">
        <v>417</v>
      </c>
      <c r="C133" s="50">
        <v>190</v>
      </c>
      <c r="D133" s="50">
        <v>285</v>
      </c>
      <c r="E133" s="50">
        <v>300</v>
      </c>
      <c r="F133" s="50">
        <f t="shared" ref="F133:U133" si="14">E133*1.06+10</f>
        <v>328</v>
      </c>
      <c r="G133" s="50">
        <f t="shared" ref="G133" si="15">F133*1.06+10</f>
        <v>357.68</v>
      </c>
      <c r="H133" s="50">
        <f t="shared" ref="H133" si="16">G133*1.06+10</f>
        <v>389.14080000000001</v>
      </c>
      <c r="I133" s="50">
        <f t="shared" si="14"/>
        <v>422.48924800000003</v>
      </c>
      <c r="J133" s="50">
        <f t="shared" si="14"/>
        <v>457.83860288000005</v>
      </c>
      <c r="K133" s="50">
        <f t="shared" si="14"/>
        <v>495.30891905280009</v>
      </c>
      <c r="L133" s="50">
        <f t="shared" si="14"/>
        <v>535.02745419596818</v>
      </c>
      <c r="M133" s="50">
        <f t="shared" si="14"/>
        <v>577.12910144772627</v>
      </c>
      <c r="N133" s="50">
        <f t="shared" si="14"/>
        <v>621.75684753458984</v>
      </c>
      <c r="O133" s="50">
        <f t="shared" si="14"/>
        <v>669.06225838666523</v>
      </c>
      <c r="P133" s="50">
        <f t="shared" si="14"/>
        <v>719.20599388986523</v>
      </c>
      <c r="Q133" s="50">
        <f t="shared" si="14"/>
        <v>772.35835352325716</v>
      </c>
      <c r="R133" s="50">
        <f t="shared" si="14"/>
        <v>828.6998547346526</v>
      </c>
      <c r="S133" s="50">
        <f t="shared" si="14"/>
        <v>888.4218460187318</v>
      </c>
      <c r="T133" s="50">
        <f>S133*1.06+10+400</f>
        <v>1351.7271567798557</v>
      </c>
      <c r="U133" s="50">
        <f t="shared" si="14"/>
        <v>1442.8307861866472</v>
      </c>
      <c r="V133" s="50">
        <f t="shared" ref="V133:AN133" si="17">U133*1.06+10</f>
        <v>1539.4006333578461</v>
      </c>
      <c r="W133" s="50">
        <f t="shared" si="17"/>
        <v>1641.7646713593169</v>
      </c>
      <c r="X133" s="50">
        <f t="shared" si="17"/>
        <v>1750.270551640876</v>
      </c>
      <c r="Y133" s="50">
        <f t="shared" si="17"/>
        <v>1865.2867847393286</v>
      </c>
      <c r="Z133" s="50">
        <f t="shared" si="17"/>
        <v>1987.2039918236885</v>
      </c>
      <c r="AA133" s="50">
        <f t="shared" si="17"/>
        <v>2116.4362313331098</v>
      </c>
      <c r="AB133" s="50">
        <f t="shared" si="17"/>
        <v>2253.4224052130967</v>
      </c>
      <c r="AC133" s="50">
        <f t="shared" si="17"/>
        <v>2398.6277495258828</v>
      </c>
      <c r="AD133" s="50">
        <f t="shared" si="17"/>
        <v>2552.545414497436</v>
      </c>
      <c r="AE133" s="50">
        <f t="shared" si="17"/>
        <v>2715.6981393672822</v>
      </c>
      <c r="AF133" s="50">
        <f t="shared" si="17"/>
        <v>2888.6400277293192</v>
      </c>
      <c r="AG133" s="50">
        <f t="shared" si="17"/>
        <v>3071.9584293930784</v>
      </c>
      <c r="AH133" s="50">
        <f t="shared" si="17"/>
        <v>3266.2759351566633</v>
      </c>
      <c r="AI133" s="50">
        <f t="shared" si="17"/>
        <v>3472.2524912660633</v>
      </c>
      <c r="AJ133" s="50">
        <f t="shared" si="17"/>
        <v>3690.5876407420274</v>
      </c>
      <c r="AK133" s="50">
        <f t="shared" si="17"/>
        <v>3922.0228991865492</v>
      </c>
      <c r="AL133" s="50">
        <f t="shared" si="17"/>
        <v>4167.3442731377427</v>
      </c>
      <c r="AM133" s="50">
        <f t="shared" si="17"/>
        <v>4427.3849295260079</v>
      </c>
      <c r="AN133" s="50">
        <f t="shared" si="17"/>
        <v>4703.028025297569</v>
      </c>
    </row>
    <row r="134" spans="1:40" ht="12.75">
      <c r="A134" s="17"/>
      <c r="B134" s="52" t="s">
        <v>416</v>
      </c>
      <c r="C134" s="50">
        <v>190</v>
      </c>
      <c r="D134" s="50">
        <v>285</v>
      </c>
      <c r="E134" s="50">
        <v>300</v>
      </c>
      <c r="F134" s="50">
        <f t="shared" ref="F134:U134" si="18">E134*1.08+20</f>
        <v>344</v>
      </c>
      <c r="G134" s="50">
        <f t="shared" si="18"/>
        <v>391.52000000000004</v>
      </c>
      <c r="H134" s="50">
        <f t="shared" si="18"/>
        <v>442.84160000000008</v>
      </c>
      <c r="I134" s="50">
        <f t="shared" si="18"/>
        <v>498.26892800000013</v>
      </c>
      <c r="J134" s="50">
        <f t="shared" si="18"/>
        <v>558.13044224000021</v>
      </c>
      <c r="K134" s="50">
        <f t="shared" si="18"/>
        <v>622.78087761920028</v>
      </c>
      <c r="L134" s="50">
        <f t="shared" si="18"/>
        <v>692.60334782873633</v>
      </c>
      <c r="M134" s="50">
        <f t="shared" si="18"/>
        <v>768.01161565503526</v>
      </c>
      <c r="N134" s="50">
        <f t="shared" si="18"/>
        <v>849.4525449074381</v>
      </c>
      <c r="O134" s="50">
        <f t="shared" si="18"/>
        <v>937.4087485000332</v>
      </c>
      <c r="P134" s="50">
        <f t="shared" si="18"/>
        <v>1032.4014483800361</v>
      </c>
      <c r="Q134" s="50">
        <f t="shared" si="18"/>
        <v>1134.993564250439</v>
      </c>
      <c r="R134" s="50">
        <f t="shared" si="18"/>
        <v>1245.7930493904742</v>
      </c>
      <c r="S134" s="50">
        <f t="shared" si="18"/>
        <v>1365.4564933417121</v>
      </c>
      <c r="T134" s="50">
        <f t="shared" si="18"/>
        <v>1494.6930128090492</v>
      </c>
      <c r="U134" s="50">
        <f t="shared" si="18"/>
        <v>1634.2684538337733</v>
      </c>
      <c r="V134" s="50">
        <f t="shared" ref="V134:AN134" si="19">U134*1.08+20</f>
        <v>1785.0099301404753</v>
      </c>
      <c r="W134" s="50">
        <f t="shared" si="19"/>
        <v>1947.8107245517135</v>
      </c>
      <c r="X134" s="50">
        <f t="shared" si="19"/>
        <v>2123.6355825158507</v>
      </c>
      <c r="Y134" s="50">
        <f t="shared" si="19"/>
        <v>2313.5264291171188</v>
      </c>
      <c r="Z134" s="50">
        <f t="shared" si="19"/>
        <v>2518.6085434464885</v>
      </c>
      <c r="AA134" s="50">
        <f t="shared" si="19"/>
        <v>2740.0972269222079</v>
      </c>
      <c r="AB134" s="50">
        <f t="shared" si="19"/>
        <v>2979.3050050759848</v>
      </c>
      <c r="AC134" s="50">
        <f t="shared" si="19"/>
        <v>3237.6494054820637</v>
      </c>
      <c r="AD134" s="50">
        <f t="shared" si="19"/>
        <v>3516.6613579206291</v>
      </c>
      <c r="AE134" s="50">
        <f t="shared" si="19"/>
        <v>3817.9942665542799</v>
      </c>
      <c r="AF134" s="50">
        <f t="shared" si="19"/>
        <v>4143.4338078786222</v>
      </c>
      <c r="AG134" s="50">
        <f t="shared" si="19"/>
        <v>4494.9085125089123</v>
      </c>
      <c r="AH134" s="50">
        <f t="shared" si="19"/>
        <v>4874.5011935096254</v>
      </c>
      <c r="AI134" s="50">
        <f t="shared" si="19"/>
        <v>5284.4612889903956</v>
      </c>
      <c r="AJ134" s="50">
        <f t="shared" si="19"/>
        <v>5727.218192109628</v>
      </c>
      <c r="AK134" s="50">
        <f t="shared" si="19"/>
        <v>6205.395647478399</v>
      </c>
      <c r="AL134" s="50">
        <f t="shared" si="19"/>
        <v>6721.8272992766715</v>
      </c>
      <c r="AM134" s="50">
        <f t="shared" si="19"/>
        <v>7279.5734832188054</v>
      </c>
      <c r="AN134" s="50">
        <f t="shared" si="19"/>
        <v>7881.9393618763106</v>
      </c>
    </row>
    <row r="135" spans="1:40" ht="12.75">
      <c r="A135" s="17"/>
      <c r="B135" s="62" t="s">
        <v>243</v>
      </c>
      <c r="C135" s="50">
        <v>190</v>
      </c>
      <c r="D135" s="50">
        <v>320</v>
      </c>
      <c r="E135" s="50">
        <v>300</v>
      </c>
      <c r="F135" s="50">
        <f>E135*1.08+10</f>
        <v>334</v>
      </c>
      <c r="G135" s="50">
        <f t="shared" ref="G135:U135" si="20">F135*1.08+10</f>
        <v>370.72</v>
      </c>
      <c r="H135" s="50">
        <f t="shared" si="20"/>
        <v>410.37760000000003</v>
      </c>
      <c r="I135" s="50">
        <f t="shared" si="20"/>
        <v>453.20780800000006</v>
      </c>
      <c r="J135" s="50">
        <f t="shared" si="20"/>
        <v>499.4644326400001</v>
      </c>
      <c r="K135" s="50">
        <f t="shared" si="20"/>
        <v>549.42158725120009</v>
      </c>
      <c r="L135" s="50">
        <f t="shared" si="20"/>
        <v>603.3753142312961</v>
      </c>
      <c r="M135" s="50">
        <f t="shared" si="20"/>
        <v>661.64533936979979</v>
      </c>
      <c r="N135" s="50">
        <f t="shared" si="20"/>
        <v>724.57696651938386</v>
      </c>
      <c r="O135" s="50">
        <f t="shared" si="20"/>
        <v>792.54312384093464</v>
      </c>
      <c r="P135" s="50">
        <f t="shared" si="20"/>
        <v>865.94657374820952</v>
      </c>
      <c r="Q135" s="50">
        <f t="shared" si="20"/>
        <v>945.22229964806638</v>
      </c>
      <c r="R135" s="50">
        <f t="shared" si="20"/>
        <v>1030.8400836199116</v>
      </c>
      <c r="S135" s="50">
        <f t="shared" si="20"/>
        <v>1123.3072903095047</v>
      </c>
      <c r="T135" s="50">
        <f>S135*1.08+10+400</f>
        <v>1623.1718735342652</v>
      </c>
      <c r="U135" s="50">
        <f t="shared" si="20"/>
        <v>1763.0256234170065</v>
      </c>
      <c r="V135" s="50">
        <f t="shared" ref="V135:AN135" si="21">U135*1.08+10</f>
        <v>1914.0676732903671</v>
      </c>
      <c r="W135" s="50">
        <f t="shared" si="21"/>
        <v>2077.1930871535965</v>
      </c>
      <c r="X135" s="50">
        <f t="shared" si="21"/>
        <v>2253.3685341258843</v>
      </c>
      <c r="Y135" s="50">
        <f t="shared" si="21"/>
        <v>2443.6380168559554</v>
      </c>
      <c r="Z135" s="50">
        <f t="shared" si="21"/>
        <v>2649.1290582044321</v>
      </c>
      <c r="AA135" s="50">
        <f t="shared" si="21"/>
        <v>2871.0593828607871</v>
      </c>
      <c r="AB135" s="50">
        <f t="shared" si="21"/>
        <v>3110.7441334896503</v>
      </c>
      <c r="AC135" s="50">
        <f t="shared" si="21"/>
        <v>3369.6036641688224</v>
      </c>
      <c r="AD135" s="50">
        <f t="shared" si="21"/>
        <v>3649.1719573023283</v>
      </c>
      <c r="AE135" s="50">
        <f t="shared" si="21"/>
        <v>3951.1057138865149</v>
      </c>
      <c r="AF135" s="50">
        <f t="shared" si="21"/>
        <v>4277.1941709974362</v>
      </c>
      <c r="AG135" s="50">
        <f t="shared" si="21"/>
        <v>4629.3697046772313</v>
      </c>
      <c r="AH135" s="50">
        <f t="shared" si="21"/>
        <v>5009.7192810514098</v>
      </c>
      <c r="AI135" s="50">
        <f t="shared" si="21"/>
        <v>5420.4968235355227</v>
      </c>
      <c r="AJ135" s="50">
        <f t="shared" si="21"/>
        <v>5864.1365694183651</v>
      </c>
      <c r="AK135" s="50">
        <f t="shared" si="21"/>
        <v>6343.2674949718348</v>
      </c>
      <c r="AL135" s="50">
        <f t="shared" si="21"/>
        <v>6860.7288945695818</v>
      </c>
      <c r="AM135" s="50">
        <f t="shared" si="21"/>
        <v>7419.5872061351492</v>
      </c>
      <c r="AN135" s="50">
        <f t="shared" si="21"/>
        <v>8023.1541826259618</v>
      </c>
    </row>
    <row r="136" spans="1:40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  <c r="T136">
        <v>400</v>
      </c>
    </row>
    <row r="137" spans="1:40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40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40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40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40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40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40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40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80" zoomScaleNormal="80" workbookViewId="0">
      <pane ySplit="1" topLeftCell="A2" activePane="bottomLeft" state="frozen"/>
      <selection pane="bottomLeft" activeCell="B9" sqref="B9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46" customWidth="1"/>
    <col min="5" max="6" width="30.42578125" style="46" customWidth="1"/>
    <col min="7" max="7" width="13.85546875" style="106" customWidth="1"/>
    <col min="8" max="8" width="13.140625" style="46" customWidth="1"/>
    <col min="9" max="9" width="33" customWidth="1"/>
  </cols>
  <sheetData>
    <row r="1" spans="1:9" ht="21.75" customHeight="1">
      <c r="A1" s="107" t="s">
        <v>244</v>
      </c>
      <c r="B1" s="48" t="s">
        <v>221</v>
      </c>
      <c r="C1" s="48" t="s">
        <v>222</v>
      </c>
      <c r="D1" s="48" t="s">
        <v>223</v>
      </c>
      <c r="E1" s="84" t="s">
        <v>224</v>
      </c>
      <c r="F1" s="84" t="s">
        <v>445</v>
      </c>
      <c r="G1" s="101" t="s">
        <v>426</v>
      </c>
      <c r="H1" s="48" t="s">
        <v>225</v>
      </c>
      <c r="I1" s="38"/>
    </row>
    <row r="2" spans="1:9" ht="15.75" customHeight="1">
      <c r="A2" s="39">
        <v>2018</v>
      </c>
      <c r="B2" s="36" t="s">
        <v>226</v>
      </c>
      <c r="C2" s="36"/>
      <c r="D2" s="37">
        <v>387.64</v>
      </c>
      <c r="E2" s="41">
        <v>220</v>
      </c>
      <c r="F2" s="41"/>
      <c r="G2" s="102">
        <f t="shared" ref="G2:G8" si="0">D2+E2+F2</f>
        <v>607.64</v>
      </c>
      <c r="H2" s="37">
        <v>2018</v>
      </c>
      <c r="I2" s="27"/>
    </row>
    <row r="3" spans="1:9" ht="15.75" customHeight="1">
      <c r="A3" s="39">
        <v>2019</v>
      </c>
      <c r="B3" s="36" t="s">
        <v>227</v>
      </c>
      <c r="C3" s="36"/>
      <c r="D3" s="37">
        <f>42+201.18+53.37</f>
        <v>296.55</v>
      </c>
      <c r="E3" s="41">
        <v>42</v>
      </c>
      <c r="F3" s="41"/>
      <c r="G3" s="102">
        <f t="shared" si="0"/>
        <v>338.55</v>
      </c>
      <c r="H3" s="37">
        <v>2019</v>
      </c>
      <c r="I3" s="28"/>
    </row>
    <row r="4" spans="1:9" ht="15.75" customHeight="1">
      <c r="A4" s="39">
        <v>2020</v>
      </c>
      <c r="B4" s="36" t="s">
        <v>228</v>
      </c>
      <c r="C4" s="36"/>
      <c r="D4" s="37">
        <f>1042.24+6.04+12.91+54.22</f>
        <v>1115.4100000000001</v>
      </c>
      <c r="E4" s="41">
        <v>12.91</v>
      </c>
      <c r="F4" s="41"/>
      <c r="G4" s="102">
        <f t="shared" si="0"/>
        <v>1128.3200000000002</v>
      </c>
      <c r="H4" s="37">
        <v>2020</v>
      </c>
      <c r="I4" s="28"/>
    </row>
    <row r="5" spans="1:9" ht="15.75" customHeight="1">
      <c r="A5" s="39">
        <v>2021</v>
      </c>
      <c r="B5" s="36" t="s">
        <v>229</v>
      </c>
      <c r="C5" s="36"/>
      <c r="D5" s="37">
        <f>115.57+530.98</f>
        <v>646.54999999999995</v>
      </c>
      <c r="E5" s="41">
        <v>0</v>
      </c>
      <c r="F5" s="41"/>
      <c r="G5" s="102">
        <f t="shared" si="0"/>
        <v>646.54999999999995</v>
      </c>
      <c r="H5" s="37">
        <v>2021</v>
      </c>
      <c r="I5" s="28"/>
    </row>
    <row r="6" spans="1:9" ht="15.75" customHeight="1">
      <c r="A6" s="39">
        <v>2022</v>
      </c>
      <c r="B6" s="36" t="s">
        <v>346</v>
      </c>
      <c r="C6" s="36"/>
      <c r="D6" s="37">
        <f>(55.78+52.9)</f>
        <v>108.68</v>
      </c>
      <c r="E6" s="41">
        <v>52.9</v>
      </c>
      <c r="F6" s="41">
        <f>'Dividends per year'!C131</f>
        <v>1802.83</v>
      </c>
      <c r="G6" s="102">
        <f t="shared" si="0"/>
        <v>1964.4099999999999</v>
      </c>
      <c r="H6" s="37">
        <v>2022</v>
      </c>
      <c r="I6" s="28"/>
    </row>
    <row r="7" spans="1:9" ht="15.75" customHeight="1">
      <c r="A7" s="39">
        <v>2023</v>
      </c>
      <c r="B7" s="36" t="s">
        <v>230</v>
      </c>
      <c r="C7" s="36" t="s">
        <v>321</v>
      </c>
      <c r="D7" s="37">
        <v>156.77000000000001</v>
      </c>
      <c r="E7" s="41">
        <v>0</v>
      </c>
      <c r="F7" s="41">
        <f>'Dividends per year'!C131</f>
        <v>1802.83</v>
      </c>
      <c r="G7" s="102">
        <f t="shared" si="0"/>
        <v>1959.6</v>
      </c>
      <c r="H7" s="37">
        <v>2023</v>
      </c>
      <c r="I7" s="28"/>
    </row>
    <row r="8" spans="1:9" ht="15.75" customHeight="1">
      <c r="A8" s="39">
        <v>2024</v>
      </c>
      <c r="B8" s="36" t="s">
        <v>506</v>
      </c>
      <c r="C8" s="36"/>
      <c r="D8" s="37">
        <f>(-1187.53)+1213.67+29.91+312.32+29.85-(95.32)+1.07+894.5+168.9+231.04+310.11+269.62-638.56+(2838.79-605.59)</f>
        <v>3772.78</v>
      </c>
      <c r="E8" s="41">
        <f>152.4+11.07+621.5+180</f>
        <v>964.97</v>
      </c>
      <c r="F8" s="41">
        <f>'Dividends per year'!D131</f>
        <v>3380.51</v>
      </c>
      <c r="G8" s="102">
        <f t="shared" si="0"/>
        <v>8118.26</v>
      </c>
      <c r="H8" s="37">
        <v>2024</v>
      </c>
      <c r="I8" s="28"/>
    </row>
    <row r="9" spans="1:9" ht="15.75" customHeight="1">
      <c r="A9" s="39">
        <v>2025</v>
      </c>
      <c r="B9" s="36" t="s">
        <v>570</v>
      </c>
      <c r="C9" s="36" t="s">
        <v>551</v>
      </c>
      <c r="D9" s="37">
        <f>-120.79+276.83</f>
        <v>156.03999999999996</v>
      </c>
      <c r="E9" s="37">
        <f>177.84+207.42</f>
        <v>385.26</v>
      </c>
      <c r="F9" s="41">
        <f>'Dividends per year'!E131</f>
        <v>55.69</v>
      </c>
      <c r="G9" s="102">
        <f>D9+E9</f>
        <v>541.29999999999995</v>
      </c>
      <c r="H9" s="37">
        <v>2025</v>
      </c>
      <c r="I9" s="28"/>
    </row>
    <row r="10" spans="1:9" ht="15.75" customHeight="1">
      <c r="A10" s="39">
        <v>2026</v>
      </c>
      <c r="B10" s="36"/>
      <c r="C10" s="36"/>
      <c r="D10" s="37">
        <f>0</f>
        <v>0</v>
      </c>
      <c r="E10" s="85">
        <f>0</f>
        <v>0</v>
      </c>
      <c r="F10" s="41">
        <f>'Dividends per year'!F131</f>
        <v>0</v>
      </c>
      <c r="G10" s="103">
        <f>D10+E10</f>
        <v>0</v>
      </c>
      <c r="H10" s="37">
        <v>2026</v>
      </c>
      <c r="I10" s="28"/>
    </row>
    <row r="11" spans="1:9" ht="15.75" customHeight="1">
      <c r="A11" s="39">
        <v>2027</v>
      </c>
      <c r="B11" s="26"/>
      <c r="C11" s="36"/>
      <c r="D11" s="37"/>
      <c r="E11" s="85"/>
      <c r="F11" s="41">
        <f>'Dividends per year'!G131</f>
        <v>0</v>
      </c>
      <c r="G11" s="103">
        <f>D11+E11</f>
        <v>0</v>
      </c>
      <c r="H11" s="37">
        <v>2027</v>
      </c>
      <c r="I11" s="28"/>
    </row>
    <row r="12" spans="1:9" ht="15.75" customHeight="1">
      <c r="A12" s="39">
        <v>2028</v>
      </c>
      <c r="B12" s="26"/>
      <c r="C12" s="26"/>
      <c r="D12" s="37"/>
      <c r="E12" s="85"/>
      <c r="F12" s="85"/>
      <c r="G12" s="103"/>
      <c r="H12" s="37">
        <v>2028</v>
      </c>
      <c r="I12" s="23"/>
    </row>
    <row r="13" spans="1:9" ht="15.75" customHeight="1">
      <c r="A13" s="39">
        <v>2029</v>
      </c>
      <c r="B13" s="26"/>
      <c r="C13" s="26"/>
      <c r="D13" s="37"/>
      <c r="E13" s="85"/>
      <c r="F13" s="85"/>
      <c r="G13" s="103"/>
      <c r="H13" s="37">
        <v>2029</v>
      </c>
      <c r="I13" s="26"/>
    </row>
    <row r="14" spans="1:9" ht="15.75" customHeight="1">
      <c r="A14" s="39">
        <v>2030</v>
      </c>
      <c r="B14" s="26"/>
      <c r="C14" s="26"/>
      <c r="D14" s="37"/>
      <c r="E14" s="85"/>
      <c r="F14" s="85"/>
      <c r="G14" s="103"/>
      <c r="H14" s="37">
        <v>2030</v>
      </c>
      <c r="I14" s="26"/>
    </row>
    <row r="15" spans="1:9" ht="15.75" customHeight="1">
      <c r="A15" s="39">
        <v>2031</v>
      </c>
      <c r="B15" s="29"/>
      <c r="C15" s="29"/>
      <c r="D15" s="30"/>
      <c r="E15" s="85"/>
      <c r="F15" s="85"/>
      <c r="G15" s="103"/>
      <c r="H15" s="37"/>
      <c r="I15" s="12"/>
    </row>
    <row r="16" spans="1:9" ht="15.75" customHeight="1">
      <c r="A16" s="39">
        <v>2032</v>
      </c>
      <c r="B16" s="6"/>
      <c r="C16" s="6"/>
      <c r="D16" s="30"/>
      <c r="E16" s="27"/>
      <c r="F16" s="27"/>
      <c r="G16" s="104"/>
      <c r="H16" s="85"/>
      <c r="I16" s="12"/>
    </row>
    <row r="17" spans="1:9" ht="15.75" customHeight="1">
      <c r="A17" s="39">
        <v>2033</v>
      </c>
      <c r="B17" s="6"/>
      <c r="C17" s="6"/>
      <c r="D17" s="30"/>
      <c r="E17" s="27"/>
      <c r="F17" s="27"/>
      <c r="G17" s="104"/>
      <c r="H17" s="85"/>
      <c r="I17" s="12"/>
    </row>
    <row r="18" spans="1:9" ht="15.75" customHeight="1">
      <c r="A18" s="39">
        <v>2034</v>
      </c>
      <c r="B18" s="6"/>
      <c r="C18" s="6"/>
      <c r="D18" s="30"/>
      <c r="E18" s="85"/>
      <c r="F18" s="85"/>
      <c r="G18" s="103"/>
      <c r="H18" s="85"/>
      <c r="I18" s="12"/>
    </row>
    <row r="19" spans="1:9" ht="15.75" customHeight="1">
      <c r="A19" s="39">
        <v>2035</v>
      </c>
      <c r="B19" s="6"/>
      <c r="C19" s="6"/>
      <c r="D19" s="30"/>
      <c r="E19" s="85"/>
      <c r="F19" s="85"/>
      <c r="G19" s="103"/>
      <c r="H19" s="85"/>
      <c r="I19" s="12"/>
    </row>
    <row r="20" spans="1:9" ht="15.75" customHeight="1">
      <c r="A20" s="25"/>
      <c r="B20" s="6"/>
      <c r="C20" s="6"/>
      <c r="D20" s="6"/>
      <c r="E20" s="85"/>
      <c r="F20" s="85"/>
      <c r="G20" s="103"/>
      <c r="H20" s="85"/>
      <c r="I20" s="12"/>
    </row>
    <row r="21" spans="1:9" ht="15.75" customHeight="1">
      <c r="A21" s="25"/>
      <c r="B21" s="6"/>
      <c r="C21" s="6"/>
      <c r="D21" s="6"/>
      <c r="E21" s="85"/>
      <c r="F21" s="85"/>
      <c r="G21" s="103"/>
      <c r="H21" s="85"/>
      <c r="I21" s="12"/>
    </row>
    <row r="22" spans="1:9" ht="15.75" customHeight="1">
      <c r="A22" s="25"/>
      <c r="B22" s="6"/>
      <c r="C22" s="6"/>
      <c r="D22" s="6"/>
      <c r="E22" s="85"/>
      <c r="F22" s="85"/>
      <c r="G22" s="103"/>
      <c r="H22" s="85"/>
      <c r="I22" s="12"/>
    </row>
    <row r="23" spans="1:9" ht="15.75" customHeight="1">
      <c r="A23" s="25"/>
      <c r="B23" s="6"/>
      <c r="C23" s="6"/>
      <c r="D23" s="6"/>
      <c r="E23" s="85"/>
      <c r="F23" s="85"/>
      <c r="G23" s="103"/>
      <c r="H23" s="85"/>
      <c r="I23" s="12"/>
    </row>
    <row r="24" spans="1:9" ht="15.75" customHeight="1">
      <c r="A24" s="25"/>
      <c r="B24" s="6"/>
      <c r="C24" s="6"/>
      <c r="D24" s="6"/>
      <c r="E24" s="85"/>
      <c r="F24" s="85"/>
      <c r="G24" s="103"/>
      <c r="H24" s="85"/>
      <c r="I24" s="12"/>
    </row>
    <row r="25" spans="1:9" ht="15.75" customHeight="1">
      <c r="A25" s="25"/>
      <c r="B25" s="31"/>
      <c r="C25" s="31"/>
      <c r="D25" s="31"/>
      <c r="E25" s="85"/>
      <c r="F25" s="85"/>
      <c r="G25" s="103"/>
      <c r="H25" s="85"/>
      <c r="I25" s="12"/>
    </row>
    <row r="26" spans="1:9" ht="15.75" customHeight="1">
      <c r="A26" s="25"/>
      <c r="B26" s="31"/>
      <c r="C26" s="31"/>
      <c r="D26" s="31"/>
      <c r="E26" s="85"/>
      <c r="F26" s="85"/>
      <c r="G26" s="103"/>
      <c r="H26" s="85"/>
      <c r="I26" s="12"/>
    </row>
    <row r="27" spans="1:9" ht="15.75" customHeight="1">
      <c r="A27" s="25"/>
      <c r="B27" s="31"/>
      <c r="C27" s="31"/>
      <c r="D27" s="31"/>
      <c r="E27" s="85"/>
      <c r="F27" s="85"/>
      <c r="G27" s="103"/>
      <c r="H27" s="85"/>
      <c r="I27" s="12"/>
    </row>
    <row r="28" spans="1:9" ht="15.75" customHeight="1">
      <c r="A28" s="25"/>
      <c r="B28" s="31"/>
      <c r="C28" s="31"/>
      <c r="D28" s="31"/>
      <c r="E28" s="85"/>
      <c r="F28" s="85"/>
      <c r="G28" s="103"/>
      <c r="H28" s="85"/>
      <c r="I28" s="12"/>
    </row>
    <row r="29" spans="1:9" ht="15.75" customHeight="1">
      <c r="A29" s="25"/>
      <c r="B29" s="29"/>
      <c r="C29" s="29"/>
      <c r="D29" s="29"/>
      <c r="E29" s="85"/>
      <c r="F29" s="85"/>
      <c r="G29" s="103"/>
      <c r="H29" s="85"/>
      <c r="I29" s="12"/>
    </row>
    <row r="30" spans="1:9" ht="15.75" customHeight="1">
      <c r="A30" s="25"/>
      <c r="B30" s="29"/>
      <c r="C30" s="29"/>
      <c r="D30" s="29"/>
      <c r="E30" s="85"/>
      <c r="F30" s="85"/>
      <c r="G30" s="103"/>
      <c r="H30" s="85"/>
      <c r="I30" s="12"/>
    </row>
    <row r="31" spans="1:9" ht="15.75" customHeight="1">
      <c r="A31" s="25"/>
      <c r="B31" s="32"/>
      <c r="C31" s="32"/>
      <c r="D31" s="30"/>
      <c r="E31" s="85"/>
      <c r="F31" s="85"/>
      <c r="G31" s="103"/>
      <c r="H31" s="18"/>
    </row>
    <row r="32" spans="1:9" ht="15.75" customHeight="1">
      <c r="A32" s="25"/>
      <c r="B32" s="32"/>
      <c r="C32" s="32"/>
      <c r="D32" s="30"/>
      <c r="E32" s="85"/>
      <c r="F32" s="85"/>
      <c r="G32" s="103"/>
      <c r="H32" s="18"/>
    </row>
    <row r="33" spans="1:8" ht="15.75" customHeight="1">
      <c r="A33" s="25"/>
      <c r="B33" s="32"/>
      <c r="C33" s="32"/>
      <c r="D33" s="30"/>
      <c r="E33" s="85"/>
      <c r="F33" s="85"/>
      <c r="G33" s="103"/>
      <c r="H33" s="18"/>
    </row>
    <row r="34" spans="1:8" ht="15.75" customHeight="1">
      <c r="A34" s="25"/>
      <c r="B34" s="32"/>
      <c r="C34" s="32"/>
      <c r="D34" s="30"/>
      <c r="E34" s="85"/>
      <c r="F34" s="85"/>
      <c r="G34" s="103"/>
      <c r="H34" s="18"/>
    </row>
    <row r="35" spans="1:8" ht="15.75" customHeight="1">
      <c r="A35" s="25"/>
      <c r="B35" s="32"/>
      <c r="C35" s="32"/>
      <c r="D35" s="30"/>
      <c r="E35" s="27"/>
      <c r="F35" s="27"/>
      <c r="G35" s="104"/>
      <c r="H35" s="18"/>
    </row>
    <row r="36" spans="1:8" ht="15.75" customHeight="1">
      <c r="A36" s="25"/>
      <c r="B36" s="32"/>
      <c r="C36" s="32"/>
      <c r="D36" s="30"/>
      <c r="E36" s="27"/>
      <c r="F36" s="27"/>
      <c r="G36" s="104"/>
      <c r="H36" s="18"/>
    </row>
    <row r="37" spans="1:8" ht="15.75" customHeight="1">
      <c r="A37" s="25"/>
      <c r="B37" s="32"/>
      <c r="C37" s="32"/>
      <c r="D37" s="30"/>
      <c r="E37" s="27"/>
      <c r="F37" s="27"/>
      <c r="G37" s="104"/>
      <c r="H37" s="18"/>
    </row>
    <row r="38" spans="1:8" ht="20.25">
      <c r="A38" s="25"/>
      <c r="B38" s="32"/>
      <c r="C38" s="32"/>
      <c r="D38" s="30"/>
      <c r="E38" s="27"/>
      <c r="F38" s="27"/>
      <c r="G38" s="104"/>
      <c r="H38" s="18"/>
    </row>
    <row r="39" spans="1:8" ht="12.75">
      <c r="A39" s="17"/>
      <c r="E39" s="18"/>
      <c r="F39" s="18"/>
      <c r="G39" s="105"/>
      <c r="H39" s="18"/>
    </row>
    <row r="40" spans="1:8" ht="12.75">
      <c r="A40" s="17"/>
      <c r="E40" s="18"/>
      <c r="F40" s="18"/>
      <c r="G40" s="105"/>
      <c r="H40" s="18"/>
    </row>
    <row r="41" spans="1:8" ht="12.75">
      <c r="A41" s="17"/>
      <c r="E41" s="18"/>
      <c r="F41" s="18"/>
      <c r="G41" s="105"/>
      <c r="H41" s="18"/>
    </row>
    <row r="42" spans="1:8" ht="12.75">
      <c r="A42" s="17"/>
      <c r="E42" s="18"/>
      <c r="F42" s="18"/>
      <c r="G42" s="105"/>
      <c r="H42" s="18"/>
    </row>
    <row r="43" spans="1:8" ht="12.75">
      <c r="A43" s="17"/>
      <c r="E43" s="18"/>
      <c r="F43" s="18"/>
      <c r="G43" s="105"/>
      <c r="H43" s="18"/>
    </row>
    <row r="44" spans="1:8" ht="12.75">
      <c r="A44" s="17"/>
      <c r="E44" s="18"/>
      <c r="F44" s="18"/>
      <c r="G44" s="105"/>
      <c r="H44" s="18"/>
    </row>
    <row r="45" spans="1:8" ht="12.75">
      <c r="A45" s="17"/>
      <c r="E45" s="18"/>
      <c r="F45" s="18"/>
      <c r="G45" s="105"/>
      <c r="H45" s="18"/>
    </row>
    <row r="46" spans="1:8" ht="12.75">
      <c r="A46" s="17"/>
      <c r="E46" s="18"/>
      <c r="F46" s="18"/>
      <c r="G46" s="105"/>
      <c r="H46" s="18"/>
    </row>
    <row r="47" spans="1:8" ht="12.75">
      <c r="A47" s="17"/>
      <c r="E47" s="18"/>
      <c r="F47" s="18"/>
      <c r="G47" s="105"/>
      <c r="H47" s="18"/>
    </row>
    <row r="48" spans="1:8" ht="12.75">
      <c r="A48" s="17"/>
      <c r="E48" s="18"/>
      <c r="F48" s="18"/>
      <c r="G48" s="105"/>
      <c r="H48" s="18"/>
    </row>
    <row r="49" spans="1:8" ht="12.75">
      <c r="A49" s="17"/>
      <c r="E49" s="18"/>
      <c r="F49" s="18"/>
      <c r="G49" s="105"/>
      <c r="H49" s="18"/>
    </row>
    <row r="50" spans="1:8" ht="12.75">
      <c r="A50" s="17"/>
      <c r="E50" s="18"/>
      <c r="F50" s="18"/>
      <c r="G50" s="105"/>
      <c r="H50" s="18"/>
    </row>
    <row r="51" spans="1:8" ht="12.75">
      <c r="A51" s="17"/>
      <c r="E51" s="18"/>
      <c r="F51" s="18"/>
      <c r="G51" s="105"/>
      <c r="H51" s="18"/>
    </row>
    <row r="52" spans="1:8" ht="12.75">
      <c r="A52" s="17"/>
      <c r="E52" s="18"/>
      <c r="F52" s="18"/>
      <c r="G52" s="105"/>
      <c r="H52" s="18"/>
    </row>
    <row r="53" spans="1:8" ht="12.75">
      <c r="A53" s="17"/>
      <c r="E53" s="18"/>
      <c r="F53" s="18"/>
      <c r="G53" s="105"/>
      <c r="H53" s="18"/>
    </row>
    <row r="54" spans="1:8" ht="12.75">
      <c r="A54" s="17"/>
      <c r="E54" s="18"/>
      <c r="F54" s="18"/>
      <c r="G54" s="105"/>
      <c r="H54" s="18"/>
    </row>
    <row r="55" spans="1:8" ht="12.75">
      <c r="A55" s="17"/>
      <c r="E55" s="18"/>
      <c r="F55" s="18"/>
      <c r="G55" s="105"/>
      <c r="H55" s="18"/>
    </row>
    <row r="56" spans="1:8" ht="12.75">
      <c r="A56" s="17"/>
      <c r="E56" s="18"/>
      <c r="F56" s="18"/>
      <c r="G56" s="105"/>
      <c r="H56" s="18"/>
    </row>
    <row r="57" spans="1:8" ht="12.75">
      <c r="A57" s="17"/>
      <c r="E57" s="18"/>
      <c r="F57" s="18"/>
      <c r="G57" s="105"/>
      <c r="H57" s="18"/>
    </row>
    <row r="58" spans="1:8" ht="12.75">
      <c r="A58" s="17"/>
      <c r="E58" s="18"/>
      <c r="F58" s="18"/>
      <c r="G58" s="105"/>
      <c r="H58" s="18"/>
    </row>
    <row r="59" spans="1:8" ht="12.75">
      <c r="A59" s="17"/>
      <c r="E59" s="18"/>
      <c r="F59" s="18"/>
      <c r="G59" s="105"/>
      <c r="H59" s="18"/>
    </row>
    <row r="60" spans="1:8" ht="12.75">
      <c r="A60" s="17"/>
      <c r="E60" s="18"/>
      <c r="F60" s="18"/>
      <c r="G60" s="105"/>
      <c r="H60" s="18"/>
    </row>
    <row r="61" spans="1:8" ht="12.75">
      <c r="A61" s="17"/>
      <c r="E61" s="18"/>
      <c r="F61" s="18"/>
      <c r="G61" s="105"/>
      <c r="H61" s="18"/>
    </row>
    <row r="62" spans="1:8" ht="12.75">
      <c r="A62" s="17"/>
      <c r="E62" s="18"/>
      <c r="F62" s="18"/>
      <c r="G62" s="105"/>
      <c r="H62" s="18"/>
    </row>
    <row r="63" spans="1:8" ht="12.75">
      <c r="A63" s="17"/>
      <c r="E63" s="18"/>
      <c r="F63" s="18"/>
      <c r="G63" s="105"/>
      <c r="H63" s="18"/>
    </row>
    <row r="64" spans="1:8" ht="12.75">
      <c r="A64" s="17"/>
      <c r="E64" s="18"/>
      <c r="F64" s="18"/>
      <c r="G64" s="105"/>
      <c r="H64" s="18"/>
    </row>
    <row r="65" spans="1:8" ht="12.75">
      <c r="A65" s="17"/>
      <c r="E65" s="18"/>
      <c r="F65" s="18"/>
      <c r="G65" s="105"/>
      <c r="H65" s="18"/>
    </row>
    <row r="66" spans="1:8" ht="12.75">
      <c r="A66" s="17"/>
      <c r="E66" s="18"/>
      <c r="F66" s="18"/>
      <c r="G66" s="105"/>
      <c r="H66" s="18"/>
    </row>
    <row r="67" spans="1:8" ht="12.75">
      <c r="A67" s="17"/>
      <c r="E67" s="18"/>
      <c r="F67" s="18"/>
      <c r="G67" s="105"/>
      <c r="H67" s="18"/>
    </row>
    <row r="68" spans="1:8" ht="12.75">
      <c r="A68" s="17"/>
      <c r="E68" s="18"/>
      <c r="F68" s="18"/>
      <c r="G68" s="105"/>
      <c r="H68" s="18"/>
    </row>
    <row r="69" spans="1:8" ht="12.75">
      <c r="A69" s="17"/>
      <c r="E69" s="18"/>
      <c r="F69" s="18"/>
      <c r="G69" s="105"/>
      <c r="H69" s="18"/>
    </row>
    <row r="70" spans="1:8" ht="12.75">
      <c r="A70" s="17"/>
      <c r="E70" s="18"/>
      <c r="F70" s="18"/>
      <c r="G70" s="105"/>
      <c r="H70" s="18"/>
    </row>
    <row r="71" spans="1:8" ht="12.75">
      <c r="A71" s="17"/>
      <c r="E71" s="18"/>
      <c r="F71" s="18"/>
      <c r="G71" s="105"/>
      <c r="H71" s="18"/>
    </row>
    <row r="72" spans="1:8" ht="12.75">
      <c r="A72" s="17"/>
      <c r="E72" s="18"/>
      <c r="F72" s="18"/>
      <c r="G72" s="105"/>
      <c r="H72" s="18"/>
    </row>
    <row r="73" spans="1:8" ht="12.75">
      <c r="A73" s="17"/>
      <c r="E73" s="18"/>
      <c r="F73" s="18"/>
      <c r="G73" s="105"/>
      <c r="H73" s="18"/>
    </row>
    <row r="74" spans="1:8" ht="12.75">
      <c r="A74" s="17"/>
      <c r="E74" s="18"/>
      <c r="F74" s="18"/>
      <c r="G74" s="105"/>
      <c r="H74" s="18"/>
    </row>
    <row r="75" spans="1:8" ht="12.75">
      <c r="A75" s="17"/>
      <c r="E75" s="18"/>
      <c r="F75" s="18"/>
      <c r="G75" s="105"/>
      <c r="H75" s="18"/>
    </row>
    <row r="76" spans="1:8" ht="12.75">
      <c r="A76" s="17"/>
      <c r="E76" s="18"/>
      <c r="F76" s="18"/>
      <c r="G76" s="105"/>
      <c r="H76" s="18"/>
    </row>
    <row r="77" spans="1:8" ht="12.75">
      <c r="A77" s="17"/>
      <c r="E77" s="18"/>
      <c r="F77" s="18"/>
      <c r="G77" s="105"/>
      <c r="H77" s="18"/>
    </row>
    <row r="78" spans="1:8" ht="12.75">
      <c r="A78" s="17"/>
      <c r="E78" s="18"/>
      <c r="F78" s="18"/>
      <c r="G78" s="105"/>
      <c r="H78" s="18"/>
    </row>
    <row r="79" spans="1:8" ht="12.75">
      <c r="A79" s="17"/>
      <c r="E79" s="18"/>
      <c r="F79" s="18"/>
      <c r="G79" s="105"/>
      <c r="H79" s="18"/>
    </row>
    <row r="80" spans="1:8" ht="12.75">
      <c r="A80" s="17"/>
      <c r="E80" s="18"/>
      <c r="F80" s="18"/>
      <c r="G80" s="105"/>
      <c r="H80" s="18"/>
    </row>
    <row r="81" spans="1:8" ht="12.75">
      <c r="A81" s="17"/>
      <c r="E81" s="18"/>
      <c r="F81" s="18"/>
      <c r="G81" s="105"/>
      <c r="H81" s="18"/>
    </row>
    <row r="82" spans="1:8" ht="12.75">
      <c r="A82" s="17"/>
      <c r="E82" s="18"/>
      <c r="F82" s="18"/>
      <c r="G82" s="105"/>
      <c r="H82" s="18"/>
    </row>
    <row r="83" spans="1:8" ht="12.75">
      <c r="A83" s="17"/>
      <c r="E83" s="18"/>
      <c r="F83" s="18"/>
      <c r="G83" s="105"/>
      <c r="H83" s="18"/>
    </row>
    <row r="84" spans="1:8" ht="12.75">
      <c r="A84" s="17"/>
      <c r="E84" s="18"/>
      <c r="F84" s="18"/>
      <c r="G84" s="105"/>
      <c r="H84" s="18"/>
    </row>
    <row r="85" spans="1:8" ht="12.75">
      <c r="A85" s="17"/>
      <c r="E85" s="18"/>
      <c r="F85" s="18"/>
      <c r="G85" s="105"/>
      <c r="H85" s="18"/>
    </row>
    <row r="86" spans="1:8" ht="12.75">
      <c r="A86" s="17"/>
      <c r="E86" s="18"/>
      <c r="F86" s="18"/>
      <c r="G86" s="105"/>
      <c r="H86" s="18"/>
    </row>
    <row r="87" spans="1:8" ht="12.75">
      <c r="A87" s="17"/>
      <c r="E87" s="18"/>
      <c r="F87" s="18"/>
      <c r="G87" s="105"/>
      <c r="H87" s="18"/>
    </row>
    <row r="88" spans="1:8" ht="12.75">
      <c r="A88" s="17"/>
      <c r="E88" s="18"/>
      <c r="F88" s="18"/>
      <c r="G88" s="105"/>
      <c r="H88" s="18"/>
    </row>
    <row r="89" spans="1:8" ht="12.75">
      <c r="A89" s="17"/>
      <c r="E89" s="18"/>
      <c r="F89" s="18"/>
      <c r="G89" s="105"/>
      <c r="H89" s="18"/>
    </row>
    <row r="90" spans="1:8" ht="12.75">
      <c r="A90" s="17"/>
      <c r="E90" s="18"/>
      <c r="F90" s="18"/>
      <c r="G90" s="105"/>
      <c r="H90" s="18"/>
    </row>
    <row r="91" spans="1:8" ht="12.75">
      <c r="A91" s="17"/>
      <c r="E91" s="18"/>
      <c r="F91" s="18"/>
      <c r="G91" s="105"/>
      <c r="H91" s="18"/>
    </row>
    <row r="92" spans="1:8" ht="12.75">
      <c r="A92" s="17"/>
      <c r="E92" s="18"/>
      <c r="F92" s="18"/>
      <c r="G92" s="105"/>
      <c r="H92" s="18"/>
    </row>
    <row r="93" spans="1:8" ht="12.75">
      <c r="A93" s="17"/>
      <c r="E93" s="18"/>
      <c r="F93" s="18"/>
      <c r="G93" s="105"/>
      <c r="H93" s="18"/>
    </row>
    <row r="94" spans="1:8" ht="12.75">
      <c r="A94" s="17"/>
      <c r="E94" s="18"/>
      <c r="F94" s="18"/>
      <c r="G94" s="105"/>
      <c r="H94" s="18"/>
    </row>
    <row r="95" spans="1:8" ht="12.75">
      <c r="A95" s="17"/>
      <c r="E95" s="18"/>
      <c r="F95" s="18"/>
      <c r="G95" s="105"/>
      <c r="H95" s="18"/>
    </row>
    <row r="96" spans="1:8" ht="12.75">
      <c r="A96" s="17"/>
      <c r="E96" s="18"/>
      <c r="F96" s="18"/>
      <c r="G96" s="105"/>
      <c r="H96" s="18"/>
    </row>
    <row r="97" spans="1:8" ht="12.75">
      <c r="A97" s="17"/>
      <c r="E97" s="18"/>
      <c r="F97" s="18"/>
      <c r="G97" s="105"/>
      <c r="H97" s="18"/>
    </row>
    <row r="98" spans="1:8" ht="12.75">
      <c r="A98" s="17"/>
      <c r="E98" s="18"/>
      <c r="F98" s="18"/>
      <c r="G98" s="105"/>
      <c r="H98" s="18"/>
    </row>
    <row r="99" spans="1:8" ht="12.75">
      <c r="A99" s="17"/>
      <c r="E99" s="18"/>
      <c r="F99" s="18"/>
      <c r="G99" s="105"/>
      <c r="H99" s="18"/>
    </row>
    <row r="100" spans="1:8" ht="12.75">
      <c r="A100" s="17"/>
      <c r="E100" s="18"/>
      <c r="F100" s="18"/>
      <c r="G100" s="105"/>
      <c r="H100" s="18"/>
    </row>
    <row r="101" spans="1:8" ht="12.75">
      <c r="A101" s="17"/>
      <c r="E101" s="18"/>
      <c r="F101" s="18"/>
      <c r="G101" s="105"/>
      <c r="H101" s="18"/>
    </row>
    <row r="102" spans="1:8" ht="12.75">
      <c r="A102" s="17"/>
      <c r="E102" s="18"/>
      <c r="F102" s="18"/>
      <c r="G102" s="105"/>
      <c r="H102" s="18"/>
    </row>
    <row r="103" spans="1:8" ht="12.75">
      <c r="A103" s="17"/>
      <c r="E103" s="18"/>
      <c r="F103" s="18"/>
      <c r="G103" s="105"/>
      <c r="H103" s="18"/>
    </row>
    <row r="104" spans="1:8" ht="12.75">
      <c r="A104" s="17"/>
      <c r="E104" s="18"/>
      <c r="F104" s="18"/>
      <c r="G104" s="105"/>
      <c r="H104" s="18"/>
    </row>
    <row r="105" spans="1:8" ht="12.75">
      <c r="A105" s="17"/>
      <c r="E105" s="18"/>
      <c r="F105" s="18"/>
      <c r="G105" s="105"/>
      <c r="H105" s="18"/>
    </row>
    <row r="106" spans="1:8" ht="12.75">
      <c r="A106" s="17"/>
      <c r="E106" s="18"/>
      <c r="F106" s="18"/>
      <c r="G106" s="105"/>
      <c r="H106" s="18"/>
    </row>
    <row r="107" spans="1:8" ht="12.75">
      <c r="A107" s="17"/>
      <c r="E107" s="18"/>
      <c r="F107" s="18"/>
      <c r="G107" s="105"/>
      <c r="H107" s="18"/>
    </row>
    <row r="108" spans="1:8" ht="12.75">
      <c r="A108" s="17"/>
      <c r="E108" s="18"/>
      <c r="F108" s="18"/>
      <c r="G108" s="105"/>
      <c r="H108" s="18"/>
    </row>
    <row r="109" spans="1:8" ht="12.75">
      <c r="A109" s="17"/>
      <c r="E109" s="18"/>
      <c r="F109" s="18"/>
      <c r="G109" s="105"/>
      <c r="H109" s="18"/>
    </row>
    <row r="110" spans="1:8" ht="12.75">
      <c r="A110" s="17"/>
      <c r="E110" s="18"/>
      <c r="F110" s="18"/>
      <c r="G110" s="105"/>
      <c r="H110" s="18"/>
    </row>
    <row r="111" spans="1:8" ht="12.75">
      <c r="A111" s="17"/>
      <c r="E111" s="18"/>
      <c r="F111" s="18"/>
      <c r="G111" s="105"/>
      <c r="H111" s="18"/>
    </row>
    <row r="112" spans="1:8" ht="12.75">
      <c r="A112" s="17"/>
      <c r="E112" s="18"/>
      <c r="F112" s="18"/>
      <c r="G112" s="105"/>
      <c r="H112" s="18"/>
    </row>
    <row r="113" spans="1:8" ht="12.75">
      <c r="A113" s="17"/>
      <c r="E113" s="18"/>
      <c r="F113" s="18"/>
      <c r="G113" s="105"/>
      <c r="H113" s="18"/>
    </row>
    <row r="114" spans="1:8" ht="12.75">
      <c r="A114" s="17"/>
      <c r="E114" s="18"/>
      <c r="F114" s="18"/>
      <c r="G114" s="105"/>
      <c r="H114" s="18"/>
    </row>
    <row r="115" spans="1:8" ht="12.75">
      <c r="A115" s="17"/>
      <c r="E115" s="18"/>
      <c r="F115" s="18"/>
      <c r="G115" s="105"/>
      <c r="H115" s="18"/>
    </row>
    <row r="116" spans="1:8" ht="12.75">
      <c r="A116" s="17"/>
      <c r="E116" s="18"/>
      <c r="F116" s="18"/>
      <c r="G116" s="105"/>
      <c r="H116" s="18"/>
    </row>
    <row r="117" spans="1:8" ht="12.75">
      <c r="A117" s="17"/>
      <c r="E117" s="18"/>
      <c r="F117" s="18"/>
      <c r="G117" s="105"/>
      <c r="H117" s="18"/>
    </row>
    <row r="118" spans="1:8" ht="12.75">
      <c r="A118" s="17"/>
      <c r="E118" s="18"/>
      <c r="F118" s="18"/>
      <c r="G118" s="105"/>
      <c r="H118" s="18"/>
    </row>
    <row r="119" spans="1:8" ht="12.75">
      <c r="A119" s="17"/>
      <c r="E119" s="18"/>
      <c r="F119" s="18"/>
      <c r="G119" s="105"/>
      <c r="H119" s="18"/>
    </row>
    <row r="120" spans="1:8" ht="12.75">
      <c r="A120" s="17"/>
      <c r="E120" s="18"/>
      <c r="F120" s="18"/>
      <c r="G120" s="105"/>
      <c r="H120" s="18"/>
    </row>
    <row r="121" spans="1:8" ht="12.75">
      <c r="A121" s="17"/>
      <c r="E121" s="18"/>
      <c r="F121" s="18"/>
      <c r="G121" s="105"/>
      <c r="H121" s="18"/>
    </row>
    <row r="122" spans="1:8" ht="12.75">
      <c r="A122" s="17"/>
      <c r="E122" s="18"/>
      <c r="F122" s="18"/>
      <c r="G122" s="105"/>
      <c r="H122" s="18"/>
    </row>
    <row r="123" spans="1:8" ht="12.75">
      <c r="A123" s="17"/>
      <c r="E123" s="18"/>
      <c r="F123" s="18"/>
      <c r="G123" s="105"/>
      <c r="H123" s="18"/>
    </row>
    <row r="124" spans="1:8" ht="12.75">
      <c r="A124" s="17"/>
      <c r="E124" s="18"/>
      <c r="F124" s="18"/>
      <c r="G124" s="105"/>
      <c r="H124" s="18"/>
    </row>
    <row r="125" spans="1:8" ht="12.75">
      <c r="A125" s="17"/>
      <c r="E125" s="18"/>
      <c r="F125" s="18"/>
      <c r="G125" s="105"/>
      <c r="H125" s="18"/>
    </row>
    <row r="126" spans="1:8" ht="12.75">
      <c r="A126" s="17"/>
      <c r="E126" s="18"/>
      <c r="F126" s="18"/>
      <c r="G126" s="105"/>
      <c r="H126" s="18"/>
    </row>
    <row r="127" spans="1:8" ht="12.75">
      <c r="A127" s="17"/>
      <c r="E127" s="18"/>
      <c r="F127" s="18"/>
      <c r="G127" s="105"/>
      <c r="H127" s="18"/>
    </row>
    <row r="128" spans="1:8" ht="12.75">
      <c r="A128" s="17"/>
      <c r="E128" s="18"/>
      <c r="F128" s="18"/>
      <c r="G128" s="105"/>
      <c r="H128" s="18"/>
    </row>
    <row r="129" spans="1:8" ht="12.75">
      <c r="A129" s="17"/>
      <c r="E129" s="18"/>
      <c r="F129" s="18"/>
      <c r="G129" s="105"/>
      <c r="H129" s="18"/>
    </row>
    <row r="130" spans="1:8" ht="12.75">
      <c r="A130" s="17"/>
      <c r="E130" s="18"/>
      <c r="F130" s="18"/>
      <c r="G130" s="105"/>
      <c r="H130" s="18"/>
    </row>
    <row r="131" spans="1:8" ht="12.75">
      <c r="A131" s="17"/>
      <c r="E131" s="18"/>
      <c r="F131" s="18"/>
      <c r="G131" s="105"/>
      <c r="H131" s="18"/>
    </row>
    <row r="132" spans="1:8" ht="12.75">
      <c r="A132" s="17"/>
      <c r="E132" s="18"/>
      <c r="F132" s="18"/>
      <c r="G132" s="105"/>
      <c r="H132" s="18"/>
    </row>
    <row r="133" spans="1:8" ht="12.75">
      <c r="A133" s="17"/>
      <c r="E133" s="18"/>
      <c r="F133" s="18"/>
      <c r="G133" s="105"/>
      <c r="H133" s="18"/>
    </row>
    <row r="134" spans="1:8" ht="12.75">
      <c r="A134" s="17"/>
      <c r="E134" s="18"/>
      <c r="F134" s="18"/>
      <c r="G134" s="105"/>
      <c r="H134" s="18"/>
    </row>
    <row r="135" spans="1:8" ht="12.75">
      <c r="A135" s="17"/>
      <c r="E135" s="18"/>
      <c r="F135" s="18"/>
      <c r="G135" s="105"/>
      <c r="H135" s="18"/>
    </row>
    <row r="136" spans="1:8" ht="12.75">
      <c r="A136" s="17"/>
      <c r="E136" s="18"/>
      <c r="F136" s="18"/>
      <c r="G136" s="105"/>
      <c r="H136" s="18"/>
    </row>
    <row r="137" spans="1:8" ht="12.75">
      <c r="A137" s="17"/>
      <c r="E137" s="18"/>
      <c r="F137" s="18"/>
      <c r="G137" s="105"/>
      <c r="H137" s="18"/>
    </row>
    <row r="138" spans="1:8" ht="12.75">
      <c r="A138" s="17"/>
      <c r="E138" s="18"/>
      <c r="F138" s="18"/>
      <c r="G138" s="105"/>
      <c r="H138" s="18"/>
    </row>
    <row r="139" spans="1:8" ht="12.75">
      <c r="A139" s="17"/>
      <c r="E139" s="18"/>
      <c r="F139" s="18"/>
      <c r="G139" s="105"/>
      <c r="H139" s="18"/>
    </row>
    <row r="140" spans="1:8" ht="12.75">
      <c r="A140" s="17"/>
      <c r="E140" s="18"/>
      <c r="F140" s="18"/>
      <c r="G140" s="105"/>
      <c r="H140" s="18"/>
    </row>
    <row r="141" spans="1:8" ht="12.75">
      <c r="A141" s="17"/>
      <c r="E141" s="18"/>
      <c r="F141" s="18"/>
      <c r="G141" s="105"/>
      <c r="H141" s="18"/>
    </row>
    <row r="142" spans="1:8" ht="12.75">
      <c r="A142" s="17"/>
      <c r="E142" s="18"/>
      <c r="F142" s="18"/>
      <c r="G142" s="105"/>
      <c r="H142" s="18"/>
    </row>
    <row r="143" spans="1:8" ht="12.75">
      <c r="A143" s="17"/>
      <c r="E143" s="18"/>
      <c r="F143" s="18"/>
      <c r="G143" s="105"/>
      <c r="H143" s="18"/>
    </row>
    <row r="144" spans="1:8" ht="12.75">
      <c r="A144" s="17"/>
      <c r="E144" s="18"/>
      <c r="F144" s="18"/>
      <c r="G144" s="105"/>
      <c r="H144" s="18"/>
    </row>
    <row r="145" spans="1:8" ht="12.75">
      <c r="A145" s="17"/>
      <c r="E145" s="18"/>
      <c r="F145" s="18"/>
      <c r="G145" s="105"/>
      <c r="H145" s="18"/>
    </row>
    <row r="146" spans="1:8" ht="12.75">
      <c r="A146" s="17"/>
      <c r="E146" s="18"/>
      <c r="F146" s="18"/>
      <c r="G146" s="105"/>
      <c r="H146" s="18"/>
    </row>
    <row r="147" spans="1:8" ht="12.75">
      <c r="A147" s="17"/>
      <c r="E147" s="18"/>
      <c r="F147" s="18"/>
      <c r="G147" s="105"/>
      <c r="H147" s="18"/>
    </row>
    <row r="148" spans="1:8" ht="12.75">
      <c r="A148" s="17"/>
      <c r="E148" s="18"/>
      <c r="F148" s="18"/>
      <c r="G148" s="105"/>
      <c r="H148" s="18"/>
    </row>
    <row r="149" spans="1:8" ht="12.75">
      <c r="A149" s="17"/>
      <c r="E149" s="18"/>
      <c r="F149" s="18"/>
      <c r="G149" s="105"/>
      <c r="H149" s="18"/>
    </row>
    <row r="150" spans="1:8" ht="12.75">
      <c r="A150" s="17"/>
      <c r="E150" s="18"/>
      <c r="F150" s="18"/>
      <c r="G150" s="105"/>
      <c r="H150" s="18"/>
    </row>
    <row r="151" spans="1:8" ht="12.75">
      <c r="A151" s="17"/>
      <c r="E151" s="18"/>
      <c r="F151" s="18"/>
      <c r="G151" s="105"/>
      <c r="H151" s="18"/>
    </row>
    <row r="152" spans="1:8" ht="12.75">
      <c r="A152" s="17"/>
      <c r="E152" s="18"/>
      <c r="F152" s="18"/>
      <c r="G152" s="105"/>
      <c r="H152" s="18"/>
    </row>
    <row r="153" spans="1:8" ht="12.75">
      <c r="A153" s="17"/>
      <c r="E153" s="18"/>
      <c r="F153" s="18"/>
      <c r="G153" s="105"/>
      <c r="H153" s="18"/>
    </row>
    <row r="154" spans="1:8" ht="12.75">
      <c r="A154" s="17"/>
      <c r="E154" s="18"/>
      <c r="F154" s="18"/>
      <c r="G154" s="105"/>
      <c r="H154" s="18"/>
    </row>
    <row r="155" spans="1:8" ht="12.75">
      <c r="A155" s="17"/>
      <c r="E155" s="18"/>
      <c r="F155" s="18"/>
      <c r="G155" s="105"/>
      <c r="H155" s="18"/>
    </row>
    <row r="156" spans="1:8" ht="12.75">
      <c r="A156" s="17"/>
      <c r="E156" s="18"/>
      <c r="F156" s="18"/>
      <c r="G156" s="105"/>
      <c r="H156" s="18"/>
    </row>
    <row r="157" spans="1:8" ht="12.75">
      <c r="A157" s="17"/>
      <c r="E157" s="18"/>
      <c r="F157" s="18"/>
      <c r="G157" s="105"/>
      <c r="H157" s="18"/>
    </row>
    <row r="158" spans="1:8" ht="12.75">
      <c r="A158" s="17"/>
      <c r="E158" s="18"/>
      <c r="F158" s="18"/>
      <c r="G158" s="105"/>
      <c r="H158" s="18"/>
    </row>
    <row r="159" spans="1:8" ht="12.75">
      <c r="A159" s="17"/>
      <c r="E159" s="18"/>
      <c r="F159" s="18"/>
      <c r="G159" s="105"/>
      <c r="H159" s="18"/>
    </row>
    <row r="160" spans="1:8" ht="12.75">
      <c r="A160" s="17"/>
      <c r="E160" s="18"/>
      <c r="F160" s="18"/>
      <c r="G160" s="105"/>
      <c r="H160" s="18"/>
    </row>
    <row r="161" spans="1:8" ht="12.75">
      <c r="A161" s="17"/>
      <c r="E161" s="18"/>
      <c r="F161" s="18"/>
      <c r="G161" s="105"/>
      <c r="H161" s="18"/>
    </row>
    <row r="162" spans="1:8" ht="12.75">
      <c r="A162" s="17"/>
      <c r="E162" s="18"/>
      <c r="F162" s="18"/>
      <c r="G162" s="105"/>
      <c r="H162" s="18"/>
    </row>
    <row r="163" spans="1:8" ht="12.75">
      <c r="A163" s="17"/>
      <c r="E163" s="18"/>
      <c r="F163" s="18"/>
      <c r="G163" s="105"/>
      <c r="H163" s="18"/>
    </row>
    <row r="164" spans="1:8" ht="12.75">
      <c r="A164" s="17"/>
      <c r="E164" s="18"/>
      <c r="F164" s="18"/>
      <c r="G164" s="105"/>
      <c r="H164" s="18"/>
    </row>
    <row r="165" spans="1:8" ht="12.75">
      <c r="A165" s="17"/>
      <c r="E165" s="18"/>
      <c r="F165" s="18"/>
      <c r="G165" s="105"/>
      <c r="H165" s="18"/>
    </row>
    <row r="166" spans="1:8" ht="12.75">
      <c r="A166" s="17"/>
      <c r="E166" s="18"/>
      <c r="F166" s="18"/>
      <c r="G166" s="105"/>
      <c r="H166" s="18"/>
    </row>
    <row r="167" spans="1:8" ht="12.75">
      <c r="A167" s="17"/>
      <c r="E167" s="18"/>
      <c r="F167" s="18"/>
      <c r="G167" s="105"/>
      <c r="H167" s="18"/>
    </row>
    <row r="168" spans="1:8" ht="12.75">
      <c r="A168" s="17"/>
      <c r="E168" s="18"/>
      <c r="F168" s="18"/>
      <c r="G168" s="105"/>
      <c r="H168" s="18"/>
    </row>
    <row r="169" spans="1:8" ht="12.75">
      <c r="A169" s="17"/>
      <c r="E169" s="18"/>
      <c r="F169" s="18"/>
      <c r="G169" s="105"/>
      <c r="H169" s="18"/>
    </row>
    <row r="170" spans="1:8" ht="12.75">
      <c r="A170" s="17"/>
      <c r="E170" s="18"/>
      <c r="F170" s="18"/>
      <c r="G170" s="105"/>
      <c r="H170" s="18"/>
    </row>
    <row r="171" spans="1:8" ht="12.75">
      <c r="A171" s="17"/>
      <c r="E171" s="18"/>
      <c r="F171" s="18"/>
      <c r="G171" s="105"/>
      <c r="H171" s="18"/>
    </row>
    <row r="172" spans="1:8" ht="12.75">
      <c r="A172" s="17"/>
      <c r="E172" s="18"/>
      <c r="F172" s="18"/>
      <c r="G172" s="105"/>
      <c r="H172" s="18"/>
    </row>
    <row r="173" spans="1:8" ht="12.75">
      <c r="A173" s="17"/>
      <c r="E173" s="18"/>
      <c r="F173" s="18"/>
      <c r="G173" s="105"/>
      <c r="H173" s="18"/>
    </row>
    <row r="174" spans="1:8" ht="12.75">
      <c r="A174" s="17"/>
      <c r="E174" s="18"/>
      <c r="F174" s="18"/>
      <c r="G174" s="105"/>
      <c r="H174" s="18"/>
    </row>
    <row r="175" spans="1:8" ht="12.75">
      <c r="A175" s="17"/>
      <c r="E175" s="18"/>
      <c r="F175" s="18"/>
      <c r="G175" s="105"/>
      <c r="H175" s="18"/>
    </row>
    <row r="176" spans="1:8" ht="12.75">
      <c r="A176" s="17"/>
      <c r="E176" s="18"/>
      <c r="F176" s="18"/>
      <c r="G176" s="105"/>
      <c r="H176" s="18"/>
    </row>
    <row r="177" spans="1:8" ht="12.75">
      <c r="A177" s="17"/>
      <c r="E177" s="18"/>
      <c r="F177" s="18"/>
      <c r="G177" s="105"/>
      <c r="H177" s="18"/>
    </row>
    <row r="178" spans="1:8" ht="12.75">
      <c r="A178" s="17"/>
      <c r="E178" s="18"/>
      <c r="F178" s="18"/>
      <c r="G178" s="105"/>
      <c r="H178" s="18"/>
    </row>
    <row r="179" spans="1:8" ht="12.75">
      <c r="A179" s="17"/>
      <c r="E179" s="18"/>
      <c r="F179" s="18"/>
      <c r="G179" s="105"/>
      <c r="H179" s="18"/>
    </row>
    <row r="180" spans="1:8" ht="12.75">
      <c r="A180" s="17"/>
      <c r="E180" s="18"/>
      <c r="F180" s="18"/>
      <c r="G180" s="105"/>
      <c r="H180" s="18"/>
    </row>
    <row r="181" spans="1:8" ht="12.75">
      <c r="A181" s="17"/>
      <c r="E181" s="18"/>
      <c r="F181" s="18"/>
      <c r="G181" s="105"/>
      <c r="H181" s="18"/>
    </row>
    <row r="182" spans="1:8" ht="12.75">
      <c r="A182" s="17"/>
      <c r="E182" s="18"/>
      <c r="F182" s="18"/>
      <c r="G182" s="105"/>
      <c r="H182" s="18"/>
    </row>
    <row r="183" spans="1:8" ht="12.75">
      <c r="A183" s="17"/>
      <c r="E183" s="18"/>
      <c r="F183" s="18"/>
      <c r="G183" s="105"/>
      <c r="H183" s="18"/>
    </row>
    <row r="184" spans="1:8" ht="12.75">
      <c r="A184" s="17"/>
      <c r="E184" s="18"/>
      <c r="F184" s="18"/>
      <c r="G184" s="105"/>
      <c r="H184" s="18"/>
    </row>
    <row r="185" spans="1:8" ht="12.75">
      <c r="A185" s="17"/>
      <c r="E185" s="18"/>
      <c r="F185" s="18"/>
      <c r="G185" s="105"/>
      <c r="H185" s="18"/>
    </row>
    <row r="186" spans="1:8" ht="12.75">
      <c r="A186" s="17"/>
      <c r="E186" s="18"/>
      <c r="F186" s="18"/>
      <c r="G186" s="105"/>
      <c r="H186" s="18"/>
    </row>
    <row r="187" spans="1:8" ht="12.75">
      <c r="A187" s="17"/>
      <c r="E187" s="18"/>
      <c r="F187" s="18"/>
      <c r="G187" s="105"/>
      <c r="H187" s="18"/>
    </row>
    <row r="188" spans="1:8" ht="12.75">
      <c r="A188" s="17"/>
      <c r="E188" s="18"/>
      <c r="F188" s="18"/>
      <c r="G188" s="105"/>
      <c r="H188" s="18"/>
    </row>
    <row r="189" spans="1:8" ht="12.75">
      <c r="A189" s="17"/>
      <c r="E189" s="18"/>
      <c r="F189" s="18"/>
      <c r="G189" s="105"/>
      <c r="H189" s="18"/>
    </row>
    <row r="190" spans="1:8" ht="12.75">
      <c r="A190" s="17"/>
      <c r="E190" s="18"/>
      <c r="F190" s="18"/>
      <c r="G190" s="105"/>
      <c r="H190" s="18"/>
    </row>
    <row r="191" spans="1:8" ht="12.75">
      <c r="A191" s="17"/>
      <c r="E191" s="18"/>
      <c r="F191" s="18"/>
      <c r="G191" s="105"/>
      <c r="H191" s="18"/>
    </row>
    <row r="192" spans="1:8" ht="12.75">
      <c r="A192" s="17"/>
      <c r="E192" s="18"/>
      <c r="F192" s="18"/>
      <c r="G192" s="105"/>
      <c r="H192" s="18"/>
    </row>
    <row r="193" spans="1:8" ht="12.75">
      <c r="A193" s="17"/>
      <c r="E193" s="18"/>
      <c r="F193" s="18"/>
      <c r="G193" s="105"/>
      <c r="H193" s="18"/>
    </row>
    <row r="194" spans="1:8" ht="12.75">
      <c r="A194" s="17"/>
      <c r="E194" s="18"/>
      <c r="F194" s="18"/>
      <c r="G194" s="105"/>
      <c r="H194" s="18"/>
    </row>
    <row r="195" spans="1:8" ht="12.75">
      <c r="A195" s="17"/>
      <c r="E195" s="18"/>
      <c r="F195" s="18"/>
      <c r="G195" s="105"/>
      <c r="H195" s="18"/>
    </row>
    <row r="196" spans="1:8" ht="12.75">
      <c r="A196" s="17"/>
      <c r="E196" s="18"/>
      <c r="F196" s="18"/>
      <c r="G196" s="105"/>
      <c r="H196" s="18"/>
    </row>
    <row r="197" spans="1:8" ht="12.75">
      <c r="A197" s="17"/>
      <c r="E197" s="18"/>
      <c r="F197" s="18"/>
      <c r="G197" s="105"/>
      <c r="H197" s="18"/>
    </row>
    <row r="198" spans="1:8" ht="12.75">
      <c r="A198" s="17"/>
      <c r="E198" s="18"/>
      <c r="F198" s="18"/>
      <c r="G198" s="105"/>
      <c r="H198" s="18"/>
    </row>
    <row r="199" spans="1:8" ht="12.75">
      <c r="A199" s="17"/>
      <c r="E199" s="18"/>
      <c r="F199" s="18"/>
      <c r="G199" s="105"/>
      <c r="H199" s="18"/>
    </row>
    <row r="200" spans="1:8" ht="12.75">
      <c r="A200" s="17"/>
      <c r="E200" s="18"/>
      <c r="F200" s="18"/>
      <c r="G200" s="105"/>
      <c r="H200" s="18"/>
    </row>
    <row r="201" spans="1:8" ht="12.75">
      <c r="A201" s="17"/>
      <c r="E201" s="18"/>
      <c r="F201" s="18"/>
      <c r="G201" s="105"/>
      <c r="H201" s="18"/>
    </row>
    <row r="202" spans="1:8" ht="12.75">
      <c r="A202" s="17"/>
      <c r="E202" s="18"/>
      <c r="F202" s="18"/>
      <c r="G202" s="105"/>
      <c r="H202" s="18"/>
    </row>
    <row r="203" spans="1:8" ht="12.75">
      <c r="A203" s="17"/>
      <c r="E203" s="18"/>
      <c r="F203" s="18"/>
      <c r="G203" s="105"/>
      <c r="H203" s="18"/>
    </row>
    <row r="204" spans="1:8" ht="12.75">
      <c r="A204" s="17"/>
      <c r="E204" s="18"/>
      <c r="F204" s="18"/>
      <c r="G204" s="105"/>
      <c r="H204" s="18"/>
    </row>
    <row r="205" spans="1:8" ht="12.75">
      <c r="A205" s="17"/>
      <c r="E205" s="18"/>
      <c r="F205" s="18"/>
      <c r="G205" s="105"/>
      <c r="H205" s="18"/>
    </row>
    <row r="206" spans="1:8" ht="12.75">
      <c r="A206" s="17"/>
      <c r="E206" s="18"/>
      <c r="F206" s="18"/>
      <c r="G206" s="105"/>
      <c r="H206" s="18"/>
    </row>
    <row r="207" spans="1:8" ht="12.75">
      <c r="A207" s="17"/>
      <c r="E207" s="18"/>
      <c r="F207" s="18"/>
      <c r="G207" s="105"/>
      <c r="H207" s="18"/>
    </row>
    <row r="208" spans="1:8" ht="12.75">
      <c r="A208" s="17"/>
      <c r="E208" s="18"/>
      <c r="F208" s="18"/>
      <c r="G208" s="105"/>
      <c r="H208" s="18"/>
    </row>
    <row r="209" spans="1:8" ht="12.75">
      <c r="A209" s="17"/>
      <c r="E209" s="18"/>
      <c r="F209" s="18"/>
      <c r="G209" s="105"/>
      <c r="H209" s="18"/>
    </row>
    <row r="210" spans="1:8" ht="12.75">
      <c r="A210" s="17"/>
      <c r="E210" s="18"/>
      <c r="F210" s="18"/>
      <c r="G210" s="105"/>
      <c r="H210" s="18"/>
    </row>
    <row r="211" spans="1:8" ht="12.75">
      <c r="A211" s="17"/>
      <c r="E211" s="18"/>
      <c r="F211" s="18"/>
      <c r="G211" s="105"/>
      <c r="H211" s="18"/>
    </row>
    <row r="212" spans="1:8" ht="12.75">
      <c r="A212" s="17"/>
      <c r="E212" s="18"/>
      <c r="F212" s="18"/>
      <c r="G212" s="105"/>
      <c r="H212" s="18"/>
    </row>
    <row r="213" spans="1:8" ht="12.75">
      <c r="A213" s="17"/>
      <c r="E213" s="18"/>
      <c r="F213" s="18"/>
      <c r="G213" s="105"/>
      <c r="H213" s="18"/>
    </row>
    <row r="214" spans="1:8" ht="12.75">
      <c r="A214" s="17"/>
      <c r="E214" s="18"/>
      <c r="F214" s="18"/>
      <c r="G214" s="105"/>
      <c r="H214" s="18"/>
    </row>
    <row r="215" spans="1:8" ht="12.75">
      <c r="A215" s="17"/>
      <c r="E215" s="18"/>
      <c r="F215" s="18"/>
      <c r="G215" s="105"/>
      <c r="H215" s="18"/>
    </row>
    <row r="216" spans="1:8" ht="12.75">
      <c r="A216" s="17"/>
      <c r="E216" s="18"/>
      <c r="F216" s="18"/>
      <c r="G216" s="105"/>
      <c r="H216" s="18"/>
    </row>
    <row r="217" spans="1:8" ht="12.75">
      <c r="A217" s="17"/>
      <c r="E217" s="18"/>
      <c r="F217" s="18"/>
      <c r="G217" s="105"/>
      <c r="H217" s="18"/>
    </row>
    <row r="218" spans="1:8" ht="12.75">
      <c r="A218" s="17"/>
      <c r="E218" s="18"/>
      <c r="F218" s="18"/>
      <c r="G218" s="105"/>
      <c r="H218" s="18"/>
    </row>
    <row r="219" spans="1:8" ht="12.75">
      <c r="A219" s="17"/>
      <c r="E219" s="18"/>
      <c r="F219" s="18"/>
      <c r="G219" s="105"/>
      <c r="H219" s="18"/>
    </row>
    <row r="220" spans="1:8" ht="12.75">
      <c r="A220" s="17"/>
      <c r="E220" s="18"/>
      <c r="F220" s="18"/>
      <c r="G220" s="105"/>
      <c r="H220" s="18"/>
    </row>
    <row r="221" spans="1:8" ht="12.75">
      <c r="A221" s="17"/>
      <c r="E221" s="18"/>
      <c r="F221" s="18"/>
      <c r="G221" s="105"/>
      <c r="H221" s="18"/>
    </row>
    <row r="222" spans="1:8" ht="12.75">
      <c r="A222" s="17"/>
      <c r="E222" s="18"/>
      <c r="F222" s="18"/>
      <c r="G222" s="105"/>
      <c r="H222" s="18"/>
    </row>
    <row r="223" spans="1:8" ht="12.75">
      <c r="A223" s="17"/>
      <c r="E223" s="18"/>
      <c r="F223" s="18"/>
      <c r="G223" s="105"/>
      <c r="H223" s="18"/>
    </row>
    <row r="224" spans="1:8" ht="12.75">
      <c r="A224" s="17"/>
      <c r="E224" s="18"/>
      <c r="F224" s="18"/>
      <c r="G224" s="105"/>
      <c r="H224" s="18"/>
    </row>
    <row r="225" spans="1:8" ht="12.75">
      <c r="A225" s="17"/>
      <c r="E225" s="18"/>
      <c r="F225" s="18"/>
      <c r="G225" s="105"/>
      <c r="H225" s="18"/>
    </row>
    <row r="226" spans="1:8" ht="12.75">
      <c r="A226" s="17"/>
      <c r="E226" s="18"/>
      <c r="F226" s="18"/>
      <c r="G226" s="105"/>
      <c r="H226" s="18"/>
    </row>
    <row r="227" spans="1:8" ht="12.75">
      <c r="A227" s="17"/>
      <c r="E227" s="18"/>
      <c r="F227" s="18"/>
      <c r="G227" s="105"/>
      <c r="H227" s="18"/>
    </row>
    <row r="228" spans="1:8" ht="12.75">
      <c r="A228" s="17"/>
      <c r="E228" s="18"/>
      <c r="F228" s="18"/>
      <c r="G228" s="105"/>
      <c r="H228" s="18"/>
    </row>
    <row r="229" spans="1:8" ht="12.75">
      <c r="A229" s="17"/>
      <c r="E229" s="18"/>
      <c r="F229" s="18"/>
      <c r="G229" s="105"/>
      <c r="H229" s="18"/>
    </row>
    <row r="230" spans="1:8" ht="12.75">
      <c r="A230" s="17"/>
      <c r="E230" s="18"/>
      <c r="F230" s="18"/>
      <c r="G230" s="105"/>
      <c r="H230" s="18"/>
    </row>
    <row r="231" spans="1:8" ht="12.75">
      <c r="A231" s="17"/>
      <c r="E231" s="18"/>
      <c r="F231" s="18"/>
      <c r="G231" s="105"/>
      <c r="H231" s="18"/>
    </row>
    <row r="232" spans="1:8" ht="12.75">
      <c r="A232" s="17"/>
      <c r="E232" s="18"/>
      <c r="F232" s="18"/>
      <c r="G232" s="105"/>
      <c r="H232" s="18"/>
    </row>
    <row r="233" spans="1:8" ht="12.75">
      <c r="A233" s="17"/>
      <c r="E233" s="18"/>
      <c r="F233" s="18"/>
      <c r="G233" s="105"/>
      <c r="H233" s="18"/>
    </row>
    <row r="234" spans="1:8" ht="12.75">
      <c r="A234" s="17"/>
      <c r="E234" s="18"/>
      <c r="F234" s="18"/>
      <c r="G234" s="105"/>
      <c r="H234" s="18"/>
    </row>
    <row r="235" spans="1:8" ht="12.75">
      <c r="A235" s="17"/>
      <c r="E235" s="18"/>
      <c r="F235" s="18"/>
      <c r="G235" s="105"/>
      <c r="H235" s="18"/>
    </row>
    <row r="236" spans="1:8" ht="12.75">
      <c r="A236" s="17"/>
      <c r="E236" s="18"/>
      <c r="F236" s="18"/>
      <c r="G236" s="105"/>
      <c r="H236" s="18"/>
    </row>
    <row r="237" spans="1:8" ht="12.75">
      <c r="A237" s="17"/>
      <c r="E237" s="18"/>
      <c r="F237" s="18"/>
      <c r="G237" s="105"/>
      <c r="H237" s="18"/>
    </row>
    <row r="238" spans="1:8" ht="12.75">
      <c r="A238" s="17"/>
      <c r="E238" s="18"/>
      <c r="F238" s="18"/>
      <c r="G238" s="105"/>
      <c r="H238" s="18"/>
    </row>
    <row r="239" spans="1:8" ht="12.75">
      <c r="A239" s="17"/>
      <c r="E239" s="18"/>
      <c r="F239" s="18"/>
      <c r="G239" s="105"/>
      <c r="H239" s="18"/>
    </row>
    <row r="240" spans="1:8" ht="12.75">
      <c r="A240" s="17"/>
      <c r="E240" s="18"/>
      <c r="F240" s="18"/>
      <c r="G240" s="105"/>
      <c r="H240" s="18"/>
    </row>
    <row r="241" spans="1:8" ht="12.75">
      <c r="A241" s="17"/>
      <c r="E241" s="18"/>
      <c r="F241" s="18"/>
      <c r="G241" s="105"/>
      <c r="H241" s="18"/>
    </row>
    <row r="242" spans="1:8" ht="12.75">
      <c r="A242" s="17"/>
      <c r="E242" s="18"/>
      <c r="F242" s="18"/>
      <c r="G242" s="105"/>
      <c r="H242" s="18"/>
    </row>
    <row r="243" spans="1:8" ht="12.75">
      <c r="A243" s="17"/>
      <c r="E243" s="18"/>
      <c r="F243" s="18"/>
      <c r="G243" s="105"/>
      <c r="H243" s="18"/>
    </row>
    <row r="244" spans="1:8" ht="12.75">
      <c r="A244" s="17"/>
      <c r="E244" s="18"/>
      <c r="F244" s="18"/>
      <c r="G244" s="105"/>
      <c r="H244" s="18"/>
    </row>
    <row r="245" spans="1:8" ht="12.75">
      <c r="A245" s="17"/>
      <c r="E245" s="18"/>
      <c r="F245" s="18"/>
      <c r="G245" s="105"/>
      <c r="H245" s="18"/>
    </row>
    <row r="246" spans="1:8" ht="12.75">
      <c r="A246" s="17"/>
      <c r="E246" s="18"/>
      <c r="F246" s="18"/>
      <c r="G246" s="105"/>
      <c r="H246" s="18"/>
    </row>
    <row r="247" spans="1:8" ht="12.75">
      <c r="A247" s="17"/>
      <c r="E247" s="18"/>
      <c r="F247" s="18"/>
      <c r="G247" s="105"/>
      <c r="H247" s="18"/>
    </row>
    <row r="248" spans="1:8" ht="12.75">
      <c r="A248" s="17"/>
      <c r="E248" s="18"/>
      <c r="F248" s="18"/>
      <c r="G248" s="105"/>
      <c r="H248" s="18"/>
    </row>
    <row r="249" spans="1:8" ht="12.75">
      <c r="A249" s="17"/>
      <c r="E249" s="18"/>
      <c r="F249" s="18"/>
      <c r="G249" s="105"/>
      <c r="H249" s="18"/>
    </row>
    <row r="250" spans="1:8" ht="12.75">
      <c r="A250" s="17"/>
      <c r="E250" s="18"/>
      <c r="F250" s="18"/>
      <c r="G250" s="105"/>
      <c r="H250" s="18"/>
    </row>
    <row r="251" spans="1:8" ht="12.75">
      <c r="A251" s="17"/>
      <c r="E251" s="18"/>
      <c r="F251" s="18"/>
      <c r="G251" s="105"/>
      <c r="H251" s="18"/>
    </row>
    <row r="252" spans="1:8" ht="12.75">
      <c r="A252" s="17"/>
      <c r="E252" s="18"/>
      <c r="F252" s="18"/>
      <c r="G252" s="105"/>
      <c r="H252" s="18"/>
    </row>
    <row r="253" spans="1:8" ht="12.75">
      <c r="A253" s="17"/>
      <c r="E253" s="18"/>
      <c r="F253" s="18"/>
      <c r="G253" s="105"/>
      <c r="H253" s="18"/>
    </row>
    <row r="254" spans="1:8" ht="12.75">
      <c r="A254" s="17"/>
      <c r="E254" s="18"/>
      <c r="F254" s="18"/>
      <c r="G254" s="105"/>
      <c r="H254" s="18"/>
    </row>
    <row r="255" spans="1:8" ht="12.75">
      <c r="A255" s="17"/>
      <c r="E255" s="18"/>
      <c r="F255" s="18"/>
      <c r="G255" s="105"/>
      <c r="H255" s="18"/>
    </row>
    <row r="256" spans="1:8" ht="12.75">
      <c r="A256" s="17"/>
      <c r="E256" s="18"/>
      <c r="F256" s="18"/>
      <c r="G256" s="105"/>
      <c r="H256" s="18"/>
    </row>
    <row r="257" spans="1:8" ht="12.75">
      <c r="A257" s="17"/>
      <c r="E257" s="18"/>
      <c r="F257" s="18"/>
      <c r="G257" s="105"/>
      <c r="H257" s="18"/>
    </row>
    <row r="258" spans="1:8" ht="12.75">
      <c r="A258" s="17"/>
      <c r="E258" s="18"/>
      <c r="F258" s="18"/>
      <c r="G258" s="105"/>
      <c r="H258" s="18"/>
    </row>
    <row r="259" spans="1:8" ht="12.75">
      <c r="A259" s="17"/>
      <c r="E259" s="18"/>
      <c r="F259" s="18"/>
      <c r="G259" s="105"/>
      <c r="H259" s="18"/>
    </row>
    <row r="260" spans="1:8" ht="12.75">
      <c r="A260" s="17"/>
      <c r="E260" s="18"/>
      <c r="F260" s="18"/>
      <c r="G260" s="105"/>
      <c r="H260" s="18"/>
    </row>
    <row r="261" spans="1:8" ht="12.75">
      <c r="A261" s="17"/>
      <c r="E261" s="18"/>
      <c r="F261" s="18"/>
      <c r="G261" s="105"/>
      <c r="H261" s="18"/>
    </row>
    <row r="262" spans="1:8" ht="12.75">
      <c r="A262" s="17"/>
      <c r="E262" s="18"/>
      <c r="F262" s="18"/>
      <c r="G262" s="105"/>
      <c r="H262" s="18"/>
    </row>
    <row r="263" spans="1:8" ht="12.75">
      <c r="A263" s="17"/>
      <c r="E263" s="18"/>
      <c r="F263" s="18"/>
      <c r="G263" s="105"/>
      <c r="H263" s="18"/>
    </row>
    <row r="264" spans="1:8" ht="12.75">
      <c r="A264" s="17"/>
      <c r="E264" s="18"/>
      <c r="F264" s="18"/>
      <c r="G264" s="105"/>
      <c r="H264" s="18"/>
    </row>
    <row r="265" spans="1:8" ht="12.75">
      <c r="A265" s="17"/>
      <c r="E265" s="18"/>
      <c r="F265" s="18"/>
      <c r="G265" s="105"/>
      <c r="H265" s="18"/>
    </row>
    <row r="266" spans="1:8" ht="12.75">
      <c r="A266" s="17"/>
      <c r="E266" s="18"/>
      <c r="F266" s="18"/>
      <c r="G266" s="105"/>
      <c r="H266" s="18"/>
    </row>
    <row r="267" spans="1:8" ht="12.75">
      <c r="A267" s="17"/>
      <c r="E267" s="18"/>
      <c r="F267" s="18"/>
      <c r="G267" s="105"/>
      <c r="H267" s="18"/>
    </row>
    <row r="268" spans="1:8" ht="12.75">
      <c r="A268" s="17"/>
      <c r="E268" s="18"/>
      <c r="F268" s="18"/>
      <c r="G268" s="105"/>
      <c r="H268" s="18"/>
    </row>
    <row r="269" spans="1:8" ht="12.75">
      <c r="A269" s="17"/>
      <c r="E269" s="18"/>
      <c r="F269" s="18"/>
      <c r="G269" s="105"/>
      <c r="H269" s="18"/>
    </row>
    <row r="270" spans="1:8" ht="12.75">
      <c r="A270" s="17"/>
      <c r="E270" s="18"/>
      <c r="F270" s="18"/>
      <c r="G270" s="105"/>
      <c r="H270" s="18"/>
    </row>
    <row r="271" spans="1:8" ht="12.75">
      <c r="A271" s="17"/>
      <c r="E271" s="18"/>
      <c r="F271" s="18"/>
      <c r="G271" s="105"/>
      <c r="H271" s="18"/>
    </row>
    <row r="272" spans="1:8" ht="12.75">
      <c r="A272" s="17"/>
      <c r="E272" s="18"/>
      <c r="F272" s="18"/>
      <c r="G272" s="105"/>
      <c r="H272" s="18"/>
    </row>
    <row r="273" spans="1:8" ht="12.75">
      <c r="A273" s="17"/>
      <c r="E273" s="18"/>
      <c r="F273" s="18"/>
      <c r="G273" s="105"/>
      <c r="H273" s="18"/>
    </row>
    <row r="274" spans="1:8" ht="12.75">
      <c r="A274" s="17"/>
      <c r="E274" s="18"/>
      <c r="F274" s="18"/>
      <c r="G274" s="105"/>
      <c r="H274" s="18"/>
    </row>
    <row r="275" spans="1:8" ht="12.75">
      <c r="A275" s="17"/>
      <c r="E275" s="18"/>
      <c r="F275" s="18"/>
      <c r="G275" s="105"/>
      <c r="H275" s="18"/>
    </row>
    <row r="276" spans="1:8" ht="12.75">
      <c r="A276" s="17"/>
      <c r="E276" s="18"/>
      <c r="F276" s="18"/>
      <c r="G276" s="105"/>
      <c r="H276" s="18"/>
    </row>
    <row r="277" spans="1:8" ht="12.75">
      <c r="A277" s="17"/>
      <c r="E277" s="18"/>
      <c r="F277" s="18"/>
      <c r="G277" s="105"/>
      <c r="H277" s="18"/>
    </row>
    <row r="278" spans="1:8" ht="12.75">
      <c r="A278" s="17"/>
      <c r="E278" s="18"/>
      <c r="F278" s="18"/>
      <c r="G278" s="105"/>
      <c r="H278" s="18"/>
    </row>
    <row r="279" spans="1:8" ht="12.75">
      <c r="A279" s="17"/>
      <c r="E279" s="18"/>
      <c r="F279" s="18"/>
      <c r="G279" s="105"/>
      <c r="H279" s="18"/>
    </row>
    <row r="280" spans="1:8" ht="12.75">
      <c r="A280" s="17"/>
      <c r="E280" s="18"/>
      <c r="F280" s="18"/>
      <c r="G280" s="105"/>
      <c r="H280" s="18"/>
    </row>
    <row r="281" spans="1:8" ht="12.75">
      <c r="A281" s="17"/>
      <c r="E281" s="18"/>
      <c r="F281" s="18"/>
      <c r="G281" s="105"/>
      <c r="H281" s="18"/>
    </row>
    <row r="282" spans="1:8" ht="12.75">
      <c r="A282" s="17"/>
      <c r="E282" s="18"/>
      <c r="F282" s="18"/>
      <c r="G282" s="105"/>
      <c r="H282" s="18"/>
    </row>
    <row r="283" spans="1:8" ht="12.75">
      <c r="A283" s="17"/>
      <c r="E283" s="18"/>
      <c r="F283" s="18"/>
      <c r="G283" s="105"/>
      <c r="H283" s="18"/>
    </row>
    <row r="284" spans="1:8" ht="12.75">
      <c r="A284" s="17"/>
      <c r="E284" s="18"/>
      <c r="F284" s="18"/>
      <c r="G284" s="105"/>
      <c r="H284" s="18"/>
    </row>
    <row r="285" spans="1:8" ht="12.75">
      <c r="A285" s="17"/>
      <c r="E285" s="18"/>
      <c r="F285" s="18"/>
      <c r="G285" s="105"/>
      <c r="H285" s="18"/>
    </row>
    <row r="286" spans="1:8" ht="12.75">
      <c r="A286" s="17"/>
      <c r="E286" s="18"/>
      <c r="F286" s="18"/>
      <c r="G286" s="105"/>
      <c r="H286" s="18"/>
    </row>
    <row r="287" spans="1:8" ht="12.75">
      <c r="A287" s="17"/>
      <c r="E287" s="18"/>
      <c r="F287" s="18"/>
      <c r="G287" s="105"/>
      <c r="H287" s="18"/>
    </row>
    <row r="288" spans="1:8" ht="12.75">
      <c r="A288" s="17"/>
      <c r="E288" s="18"/>
      <c r="F288" s="18"/>
      <c r="G288" s="105"/>
      <c r="H288" s="18"/>
    </row>
    <row r="289" spans="1:8" ht="12.75">
      <c r="A289" s="17"/>
      <c r="E289" s="18"/>
      <c r="F289" s="18"/>
      <c r="G289" s="105"/>
      <c r="H289" s="18"/>
    </row>
    <row r="290" spans="1:8" ht="12.75">
      <c r="A290" s="17"/>
      <c r="E290" s="18"/>
      <c r="F290" s="18"/>
      <c r="G290" s="105"/>
      <c r="H290" s="18"/>
    </row>
    <row r="291" spans="1:8" ht="12.75">
      <c r="A291" s="17"/>
      <c r="E291" s="18"/>
      <c r="F291" s="18"/>
      <c r="G291" s="105"/>
      <c r="H291" s="18"/>
    </row>
    <row r="292" spans="1:8" ht="12.75">
      <c r="A292" s="17"/>
      <c r="E292" s="18"/>
      <c r="F292" s="18"/>
      <c r="G292" s="105"/>
      <c r="H292" s="18"/>
    </row>
    <row r="293" spans="1:8" ht="12.75">
      <c r="A293" s="17"/>
      <c r="E293" s="18"/>
      <c r="F293" s="18"/>
      <c r="G293" s="105"/>
      <c r="H293" s="18"/>
    </row>
    <row r="294" spans="1:8" ht="12.75">
      <c r="A294" s="17"/>
      <c r="E294" s="18"/>
      <c r="F294" s="18"/>
      <c r="G294" s="105"/>
      <c r="H294" s="18"/>
    </row>
    <row r="295" spans="1:8" ht="12.75">
      <c r="A295" s="17"/>
      <c r="E295" s="18"/>
      <c r="F295" s="18"/>
      <c r="G295" s="105"/>
      <c r="H295" s="18"/>
    </row>
    <row r="296" spans="1:8" ht="12.75">
      <c r="A296" s="17"/>
      <c r="E296" s="18"/>
      <c r="F296" s="18"/>
      <c r="G296" s="105"/>
      <c r="H296" s="18"/>
    </row>
    <row r="297" spans="1:8" ht="12.75">
      <c r="A297" s="17"/>
      <c r="E297" s="18"/>
      <c r="F297" s="18"/>
      <c r="G297" s="105"/>
      <c r="H297" s="18"/>
    </row>
    <row r="298" spans="1:8" ht="12.75">
      <c r="A298" s="17"/>
      <c r="E298" s="18"/>
      <c r="F298" s="18"/>
      <c r="G298" s="105"/>
      <c r="H298" s="18"/>
    </row>
    <row r="299" spans="1:8" ht="12.75">
      <c r="A299" s="17"/>
      <c r="E299" s="18"/>
      <c r="F299" s="18"/>
      <c r="G299" s="105"/>
      <c r="H299" s="18"/>
    </row>
    <row r="300" spans="1:8" ht="12.75">
      <c r="A300" s="17"/>
      <c r="E300" s="18"/>
      <c r="F300" s="18"/>
      <c r="G300" s="105"/>
      <c r="H300" s="18"/>
    </row>
    <row r="301" spans="1:8" ht="12.75">
      <c r="A301" s="17"/>
      <c r="E301" s="18"/>
      <c r="F301" s="18"/>
      <c r="G301" s="105"/>
      <c r="H301" s="18"/>
    </row>
    <row r="302" spans="1:8" ht="12.75">
      <c r="A302" s="17"/>
      <c r="E302" s="18"/>
      <c r="F302" s="18"/>
      <c r="G302" s="105"/>
      <c r="H302" s="18"/>
    </row>
    <row r="303" spans="1:8" ht="12.75">
      <c r="A303" s="17"/>
      <c r="E303" s="18"/>
      <c r="F303" s="18"/>
      <c r="G303" s="105"/>
      <c r="H303" s="18"/>
    </row>
    <row r="304" spans="1:8" ht="12.75">
      <c r="A304" s="17"/>
      <c r="E304" s="18"/>
      <c r="F304" s="18"/>
      <c r="G304" s="105"/>
      <c r="H304" s="18"/>
    </row>
    <row r="305" spans="1:8" ht="12.75">
      <c r="A305" s="17"/>
      <c r="E305" s="18"/>
      <c r="F305" s="18"/>
      <c r="G305" s="105"/>
      <c r="H305" s="18"/>
    </row>
    <row r="306" spans="1:8" ht="12.75">
      <c r="A306" s="17"/>
      <c r="E306" s="18"/>
      <c r="F306" s="18"/>
      <c r="G306" s="105"/>
      <c r="H306" s="18"/>
    </row>
    <row r="307" spans="1:8" ht="12.75">
      <c r="A307" s="17"/>
      <c r="E307" s="18"/>
      <c r="F307" s="18"/>
      <c r="G307" s="105"/>
      <c r="H307" s="18"/>
    </row>
    <row r="308" spans="1:8" ht="12.75">
      <c r="A308" s="17"/>
      <c r="E308" s="18"/>
      <c r="F308" s="18"/>
      <c r="G308" s="105"/>
      <c r="H308" s="18"/>
    </row>
    <row r="309" spans="1:8" ht="12.75">
      <c r="A309" s="17"/>
      <c r="E309" s="18"/>
      <c r="F309" s="18"/>
      <c r="G309" s="105"/>
      <c r="H309" s="18"/>
    </row>
    <row r="310" spans="1:8" ht="12.75">
      <c r="A310" s="17"/>
      <c r="E310" s="18"/>
      <c r="F310" s="18"/>
      <c r="G310" s="105"/>
      <c r="H310" s="18"/>
    </row>
    <row r="311" spans="1:8" ht="12.75">
      <c r="A311" s="17"/>
      <c r="E311" s="18"/>
      <c r="F311" s="18"/>
      <c r="G311" s="105"/>
      <c r="H311" s="18"/>
    </row>
    <row r="312" spans="1:8" ht="12.75">
      <c r="A312" s="17"/>
      <c r="E312" s="18"/>
      <c r="F312" s="18"/>
      <c r="G312" s="105"/>
      <c r="H312" s="18"/>
    </row>
    <row r="313" spans="1:8" ht="12.75">
      <c r="A313" s="17"/>
      <c r="E313" s="18"/>
      <c r="F313" s="18"/>
      <c r="G313" s="105"/>
      <c r="H313" s="18"/>
    </row>
    <row r="314" spans="1:8" ht="12.75">
      <c r="A314" s="17"/>
      <c r="E314" s="18"/>
      <c r="F314" s="18"/>
      <c r="G314" s="105"/>
      <c r="H314" s="18"/>
    </row>
    <row r="315" spans="1:8" ht="12.75">
      <c r="A315" s="17"/>
      <c r="E315" s="18"/>
      <c r="F315" s="18"/>
      <c r="G315" s="105"/>
      <c r="H315" s="18"/>
    </row>
    <row r="316" spans="1:8" ht="12.75">
      <c r="A316" s="17"/>
      <c r="E316" s="18"/>
      <c r="F316" s="18"/>
      <c r="G316" s="105"/>
      <c r="H316" s="18"/>
    </row>
    <row r="317" spans="1:8" ht="12.75">
      <c r="A317" s="17"/>
      <c r="E317" s="18"/>
      <c r="F317" s="18"/>
      <c r="G317" s="105"/>
      <c r="H317" s="18"/>
    </row>
    <row r="318" spans="1:8" ht="12.75">
      <c r="A318" s="17"/>
      <c r="E318" s="18"/>
      <c r="F318" s="18"/>
      <c r="G318" s="105"/>
      <c r="H318" s="18"/>
    </row>
    <row r="319" spans="1:8" ht="12.75">
      <c r="A319" s="17"/>
      <c r="E319" s="18"/>
      <c r="F319" s="18"/>
      <c r="G319" s="105"/>
      <c r="H319" s="18"/>
    </row>
    <row r="320" spans="1:8" ht="12.75">
      <c r="A320" s="17"/>
      <c r="E320" s="18"/>
      <c r="F320" s="18"/>
      <c r="G320" s="105"/>
      <c r="H320" s="18"/>
    </row>
    <row r="321" spans="1:8" ht="12.75">
      <c r="A321" s="17"/>
      <c r="E321" s="18"/>
      <c r="F321" s="18"/>
      <c r="G321" s="105"/>
      <c r="H321" s="18"/>
    </row>
    <row r="322" spans="1:8" ht="12.75">
      <c r="A322" s="17"/>
      <c r="E322" s="18"/>
      <c r="F322" s="18"/>
      <c r="G322" s="105"/>
      <c r="H322" s="18"/>
    </row>
    <row r="323" spans="1:8" ht="12.75">
      <c r="A323" s="17"/>
      <c r="E323" s="18"/>
      <c r="F323" s="18"/>
      <c r="G323" s="105"/>
      <c r="H323" s="18"/>
    </row>
    <row r="324" spans="1:8" ht="12.75">
      <c r="A324" s="17"/>
      <c r="E324" s="18"/>
      <c r="F324" s="18"/>
      <c r="G324" s="105"/>
      <c r="H324" s="18"/>
    </row>
    <row r="325" spans="1:8" ht="12.75">
      <c r="A325" s="17"/>
      <c r="E325" s="18"/>
      <c r="F325" s="18"/>
      <c r="G325" s="105"/>
      <c r="H325" s="18"/>
    </row>
    <row r="326" spans="1:8" ht="12.75">
      <c r="A326" s="17"/>
      <c r="E326" s="18"/>
      <c r="F326" s="18"/>
      <c r="G326" s="105"/>
      <c r="H326" s="18"/>
    </row>
    <row r="327" spans="1:8" ht="12.75">
      <c r="A327" s="17"/>
      <c r="E327" s="18"/>
      <c r="F327" s="18"/>
      <c r="G327" s="105"/>
      <c r="H327" s="18"/>
    </row>
    <row r="328" spans="1:8" ht="12.75">
      <c r="A328" s="17"/>
      <c r="E328" s="18"/>
      <c r="F328" s="18"/>
      <c r="G328" s="105"/>
      <c r="H328" s="18"/>
    </row>
    <row r="329" spans="1:8" ht="12.75">
      <c r="A329" s="17"/>
      <c r="E329" s="18"/>
      <c r="F329" s="18"/>
      <c r="G329" s="105"/>
      <c r="H329" s="18"/>
    </row>
    <row r="330" spans="1:8" ht="12.75">
      <c r="A330" s="17"/>
      <c r="E330" s="18"/>
      <c r="F330" s="18"/>
      <c r="G330" s="105"/>
      <c r="H330" s="18"/>
    </row>
    <row r="331" spans="1:8" ht="12.75">
      <c r="A331" s="17"/>
      <c r="E331" s="18"/>
      <c r="F331" s="18"/>
      <c r="G331" s="105"/>
      <c r="H331" s="18"/>
    </row>
    <row r="332" spans="1:8" ht="12.75">
      <c r="A332" s="17"/>
      <c r="E332" s="18"/>
      <c r="F332" s="18"/>
      <c r="G332" s="105"/>
      <c r="H332" s="18"/>
    </row>
    <row r="333" spans="1:8" ht="12.75">
      <c r="A333" s="17"/>
      <c r="E333" s="18"/>
      <c r="F333" s="18"/>
      <c r="G333" s="105"/>
      <c r="H333" s="18"/>
    </row>
    <row r="334" spans="1:8" ht="12.75">
      <c r="A334" s="17"/>
      <c r="E334" s="18"/>
      <c r="F334" s="18"/>
      <c r="G334" s="105"/>
      <c r="H334" s="18"/>
    </row>
    <row r="335" spans="1:8" ht="12.75">
      <c r="A335" s="17"/>
      <c r="E335" s="18"/>
      <c r="F335" s="18"/>
      <c r="G335" s="105"/>
      <c r="H335" s="18"/>
    </row>
    <row r="336" spans="1:8" ht="12.75">
      <c r="A336" s="17"/>
      <c r="E336" s="18"/>
      <c r="F336" s="18"/>
      <c r="G336" s="105"/>
      <c r="H336" s="18"/>
    </row>
    <row r="337" spans="1:8" ht="12.75">
      <c r="A337" s="17"/>
      <c r="E337" s="18"/>
      <c r="F337" s="18"/>
      <c r="G337" s="105"/>
      <c r="H337" s="18"/>
    </row>
    <row r="338" spans="1:8" ht="12.75">
      <c r="A338" s="17"/>
      <c r="E338" s="18"/>
      <c r="F338" s="18"/>
      <c r="G338" s="105"/>
      <c r="H338" s="18"/>
    </row>
    <row r="339" spans="1:8" ht="12.75">
      <c r="A339" s="17"/>
      <c r="E339" s="18"/>
      <c r="F339" s="18"/>
      <c r="G339" s="105"/>
      <c r="H339" s="18"/>
    </row>
    <row r="340" spans="1:8" ht="12.75">
      <c r="A340" s="17"/>
      <c r="E340" s="18"/>
      <c r="F340" s="18"/>
      <c r="G340" s="105"/>
      <c r="H340" s="18"/>
    </row>
    <row r="341" spans="1:8" ht="12.75">
      <c r="A341" s="17"/>
      <c r="E341" s="18"/>
      <c r="F341" s="18"/>
      <c r="G341" s="105"/>
      <c r="H341" s="18"/>
    </row>
    <row r="342" spans="1:8" ht="12.75">
      <c r="A342" s="17"/>
      <c r="E342" s="18"/>
      <c r="F342" s="18"/>
      <c r="G342" s="105"/>
      <c r="H342" s="18"/>
    </row>
    <row r="343" spans="1:8" ht="12.75">
      <c r="A343" s="17"/>
      <c r="E343" s="18"/>
      <c r="F343" s="18"/>
      <c r="G343" s="105"/>
      <c r="H343" s="18"/>
    </row>
    <row r="344" spans="1:8" ht="12.75">
      <c r="A344" s="17"/>
      <c r="E344" s="18"/>
      <c r="F344" s="18"/>
      <c r="G344" s="105"/>
      <c r="H344" s="18"/>
    </row>
    <row r="345" spans="1:8" ht="12.75">
      <c r="A345" s="17"/>
      <c r="E345" s="18"/>
      <c r="F345" s="18"/>
      <c r="G345" s="105"/>
      <c r="H345" s="18"/>
    </row>
    <row r="346" spans="1:8" ht="12.75">
      <c r="A346" s="17"/>
      <c r="E346" s="18"/>
      <c r="F346" s="18"/>
      <c r="G346" s="105"/>
      <c r="H346" s="18"/>
    </row>
    <row r="347" spans="1:8" ht="12.75">
      <c r="A347" s="17"/>
      <c r="E347" s="18"/>
      <c r="F347" s="18"/>
      <c r="G347" s="105"/>
      <c r="H347" s="18"/>
    </row>
    <row r="348" spans="1:8" ht="12.75">
      <c r="A348" s="17"/>
      <c r="E348" s="18"/>
      <c r="F348" s="18"/>
      <c r="G348" s="105"/>
      <c r="H348" s="18"/>
    </row>
    <row r="349" spans="1:8" ht="12.75">
      <c r="A349" s="17"/>
      <c r="E349" s="18"/>
      <c r="F349" s="18"/>
      <c r="G349" s="105"/>
      <c r="H349" s="18"/>
    </row>
    <row r="350" spans="1:8" ht="12.75">
      <c r="A350" s="17"/>
      <c r="E350" s="18"/>
      <c r="F350" s="18"/>
      <c r="G350" s="105"/>
      <c r="H350" s="18"/>
    </row>
    <row r="351" spans="1:8" ht="12.75">
      <c r="A351" s="17"/>
      <c r="E351" s="18"/>
      <c r="F351" s="18"/>
      <c r="G351" s="105"/>
      <c r="H351" s="18"/>
    </row>
    <row r="352" spans="1:8" ht="12.75">
      <c r="A352" s="17"/>
      <c r="E352" s="18"/>
      <c r="F352" s="18"/>
      <c r="G352" s="105"/>
      <c r="H352" s="18"/>
    </row>
    <row r="353" spans="1:8" ht="12.75">
      <c r="A353" s="17"/>
      <c r="E353" s="18"/>
      <c r="F353" s="18"/>
      <c r="G353" s="105"/>
      <c r="H353" s="18"/>
    </row>
    <row r="354" spans="1:8" ht="12.75">
      <c r="A354" s="17"/>
      <c r="E354" s="18"/>
      <c r="F354" s="18"/>
      <c r="G354" s="105"/>
      <c r="H354" s="18"/>
    </row>
    <row r="355" spans="1:8" ht="12.75">
      <c r="A355" s="17"/>
      <c r="E355" s="18"/>
      <c r="F355" s="18"/>
      <c r="G355" s="105"/>
      <c r="H355" s="18"/>
    </row>
    <row r="356" spans="1:8" ht="12.75">
      <c r="A356" s="17"/>
      <c r="E356" s="18"/>
      <c r="F356" s="18"/>
      <c r="G356" s="105"/>
      <c r="H356" s="18"/>
    </row>
    <row r="357" spans="1:8" ht="12.75">
      <c r="A357" s="17"/>
      <c r="E357" s="18"/>
      <c r="F357" s="18"/>
      <c r="G357" s="105"/>
      <c r="H357" s="18"/>
    </row>
    <row r="358" spans="1:8" ht="12.75">
      <c r="A358" s="17"/>
      <c r="E358" s="18"/>
      <c r="F358" s="18"/>
      <c r="G358" s="105"/>
      <c r="H358" s="18"/>
    </row>
    <row r="359" spans="1:8" ht="12.75">
      <c r="A359" s="17"/>
      <c r="E359" s="18"/>
      <c r="F359" s="18"/>
      <c r="G359" s="105"/>
      <c r="H359" s="18"/>
    </row>
    <row r="360" spans="1:8" ht="12.75">
      <c r="A360" s="17"/>
      <c r="E360" s="18"/>
      <c r="F360" s="18"/>
      <c r="G360" s="105"/>
      <c r="H360" s="18"/>
    </row>
    <row r="361" spans="1:8" ht="12.75">
      <c r="A361" s="17"/>
      <c r="E361" s="18"/>
      <c r="F361" s="18"/>
      <c r="G361" s="105"/>
      <c r="H361" s="18"/>
    </row>
    <row r="362" spans="1:8" ht="12.75">
      <c r="A362" s="17"/>
      <c r="E362" s="18"/>
      <c r="F362" s="18"/>
      <c r="G362" s="105"/>
      <c r="H362" s="18"/>
    </row>
    <row r="363" spans="1:8" ht="12.75">
      <c r="A363" s="17"/>
      <c r="E363" s="18"/>
      <c r="F363" s="18"/>
      <c r="G363" s="105"/>
      <c r="H363" s="18"/>
    </row>
    <row r="364" spans="1:8" ht="12.75">
      <c r="A364" s="17"/>
      <c r="E364" s="18"/>
      <c r="F364" s="18"/>
      <c r="G364" s="105"/>
      <c r="H364" s="18"/>
    </row>
    <row r="365" spans="1:8" ht="12.75">
      <c r="A365" s="17"/>
      <c r="E365" s="18"/>
      <c r="F365" s="18"/>
      <c r="G365" s="105"/>
      <c r="H365" s="18"/>
    </row>
    <row r="366" spans="1:8" ht="12.75">
      <c r="A366" s="17"/>
      <c r="E366" s="18"/>
      <c r="F366" s="18"/>
      <c r="G366" s="105"/>
      <c r="H366" s="18"/>
    </row>
    <row r="367" spans="1:8" ht="12.75">
      <c r="A367" s="17"/>
      <c r="E367" s="18"/>
      <c r="F367" s="18"/>
      <c r="G367" s="105"/>
      <c r="H367" s="18"/>
    </row>
    <row r="368" spans="1:8" ht="12.75">
      <c r="A368" s="17"/>
      <c r="E368" s="18"/>
      <c r="F368" s="18"/>
      <c r="G368" s="105"/>
      <c r="H368" s="18"/>
    </row>
    <row r="369" spans="1:8" ht="12.75">
      <c r="A369" s="17"/>
      <c r="E369" s="18"/>
      <c r="F369" s="18"/>
      <c r="G369" s="105"/>
      <c r="H369" s="18"/>
    </row>
    <row r="370" spans="1:8" ht="12.75">
      <c r="A370" s="17"/>
      <c r="E370" s="18"/>
      <c r="F370" s="18"/>
      <c r="G370" s="105"/>
      <c r="H370" s="18"/>
    </row>
    <row r="371" spans="1:8" ht="12.75">
      <c r="A371" s="17"/>
      <c r="E371" s="18"/>
      <c r="F371" s="18"/>
      <c r="G371" s="105"/>
      <c r="H371" s="18"/>
    </row>
    <row r="372" spans="1:8" ht="12.75">
      <c r="A372" s="17"/>
      <c r="E372" s="18"/>
      <c r="F372" s="18"/>
      <c r="G372" s="105"/>
      <c r="H372" s="18"/>
    </row>
    <row r="373" spans="1:8" ht="12.75">
      <c r="A373" s="17"/>
      <c r="E373" s="18"/>
      <c r="F373" s="18"/>
      <c r="G373" s="105"/>
      <c r="H373" s="18"/>
    </row>
    <row r="374" spans="1:8" ht="12.75">
      <c r="A374" s="17"/>
      <c r="E374" s="18"/>
      <c r="F374" s="18"/>
      <c r="G374" s="105"/>
      <c r="H374" s="18"/>
    </row>
    <row r="375" spans="1:8" ht="12.75">
      <c r="A375" s="17"/>
      <c r="E375" s="18"/>
      <c r="F375" s="18"/>
      <c r="G375" s="105"/>
      <c r="H375" s="18"/>
    </row>
    <row r="376" spans="1:8" ht="12.75">
      <c r="A376" s="17"/>
      <c r="E376" s="18"/>
      <c r="F376" s="18"/>
      <c r="G376" s="105"/>
      <c r="H376" s="18"/>
    </row>
    <row r="377" spans="1:8" ht="12.75">
      <c r="A377" s="17"/>
      <c r="E377" s="18"/>
      <c r="F377" s="18"/>
      <c r="G377" s="105"/>
      <c r="H377" s="18"/>
    </row>
    <row r="378" spans="1:8" ht="12.75">
      <c r="A378" s="17"/>
      <c r="E378" s="18"/>
      <c r="F378" s="18"/>
      <c r="G378" s="105"/>
      <c r="H378" s="18"/>
    </row>
    <row r="379" spans="1:8" ht="12.75">
      <c r="A379" s="17"/>
      <c r="E379" s="18"/>
      <c r="F379" s="18"/>
      <c r="G379" s="105"/>
      <c r="H379" s="18"/>
    </row>
    <row r="380" spans="1:8" ht="12.75">
      <c r="A380" s="17"/>
      <c r="E380" s="18"/>
      <c r="F380" s="18"/>
      <c r="G380" s="105"/>
      <c r="H380" s="18"/>
    </row>
    <row r="381" spans="1:8" ht="12.75">
      <c r="A381" s="17"/>
      <c r="E381" s="18"/>
      <c r="F381" s="18"/>
      <c r="G381" s="105"/>
      <c r="H381" s="18"/>
    </row>
    <row r="382" spans="1:8" ht="12.75">
      <c r="A382" s="17"/>
      <c r="E382" s="18"/>
      <c r="F382" s="18"/>
      <c r="G382" s="105"/>
      <c r="H382" s="18"/>
    </row>
    <row r="383" spans="1:8" ht="12.75">
      <c r="A383" s="17"/>
      <c r="E383" s="18"/>
      <c r="F383" s="18"/>
      <c r="G383" s="105"/>
      <c r="H383" s="18"/>
    </row>
    <row r="384" spans="1:8" ht="12.75">
      <c r="A384" s="17"/>
      <c r="E384" s="18"/>
      <c r="F384" s="18"/>
      <c r="G384" s="105"/>
      <c r="H384" s="18"/>
    </row>
    <row r="385" spans="1:8" ht="12.75">
      <c r="A385" s="17"/>
      <c r="E385" s="18"/>
      <c r="F385" s="18"/>
      <c r="G385" s="105"/>
      <c r="H385" s="18"/>
    </row>
    <row r="386" spans="1:8" ht="12.75">
      <c r="A386" s="17"/>
      <c r="E386" s="18"/>
      <c r="F386" s="18"/>
      <c r="G386" s="105"/>
      <c r="H386" s="18"/>
    </row>
    <row r="387" spans="1:8" ht="12.75">
      <c r="A387" s="17"/>
      <c r="E387" s="18"/>
      <c r="F387" s="18"/>
      <c r="G387" s="105"/>
      <c r="H387" s="18"/>
    </row>
    <row r="388" spans="1:8" ht="12.75">
      <c r="A388" s="17"/>
      <c r="E388" s="18"/>
      <c r="F388" s="18"/>
      <c r="G388" s="105"/>
      <c r="H388" s="18"/>
    </row>
    <row r="389" spans="1:8" ht="12.75">
      <c r="A389" s="17"/>
      <c r="E389" s="18"/>
      <c r="F389" s="18"/>
      <c r="G389" s="105"/>
      <c r="H389" s="18"/>
    </row>
    <row r="390" spans="1:8" ht="12.75">
      <c r="A390" s="17"/>
      <c r="E390" s="18"/>
      <c r="F390" s="18"/>
      <c r="G390" s="105"/>
      <c r="H390" s="18"/>
    </row>
    <row r="391" spans="1:8" ht="12.75">
      <c r="A391" s="17"/>
      <c r="E391" s="18"/>
      <c r="F391" s="18"/>
      <c r="G391" s="105"/>
      <c r="H391" s="18"/>
    </row>
    <row r="392" spans="1:8" ht="12.75">
      <c r="A392" s="17"/>
      <c r="E392" s="18"/>
      <c r="F392" s="18"/>
      <c r="G392" s="105"/>
      <c r="H392" s="18"/>
    </row>
    <row r="393" spans="1:8" ht="12.75">
      <c r="A393" s="17"/>
      <c r="E393" s="18"/>
      <c r="F393" s="18"/>
      <c r="G393" s="105"/>
      <c r="H393" s="18"/>
    </row>
    <row r="394" spans="1:8" ht="12.75">
      <c r="A394" s="17"/>
      <c r="E394" s="18"/>
      <c r="F394" s="18"/>
      <c r="G394" s="105"/>
      <c r="H394" s="18"/>
    </row>
    <row r="395" spans="1:8" ht="12.75">
      <c r="A395" s="17"/>
      <c r="E395" s="18"/>
      <c r="F395" s="18"/>
      <c r="G395" s="105"/>
      <c r="H395" s="18"/>
    </row>
    <row r="396" spans="1:8" ht="12.75">
      <c r="A396" s="17"/>
      <c r="E396" s="18"/>
      <c r="F396" s="18"/>
      <c r="G396" s="105"/>
      <c r="H396" s="18"/>
    </row>
    <row r="397" spans="1:8" ht="12.75">
      <c r="A397" s="17"/>
      <c r="E397" s="18"/>
      <c r="F397" s="18"/>
      <c r="G397" s="105"/>
      <c r="H397" s="18"/>
    </row>
    <row r="398" spans="1:8" ht="12.75">
      <c r="A398" s="17"/>
      <c r="E398" s="18"/>
      <c r="F398" s="18"/>
      <c r="G398" s="105"/>
      <c r="H398" s="18"/>
    </row>
    <row r="399" spans="1:8" ht="12.75">
      <c r="A399" s="17"/>
      <c r="E399" s="18"/>
      <c r="F399" s="18"/>
      <c r="G399" s="105"/>
      <c r="H399" s="18"/>
    </row>
    <row r="400" spans="1:8" ht="12.75">
      <c r="A400" s="17"/>
      <c r="E400" s="18"/>
      <c r="F400" s="18"/>
      <c r="G400" s="105"/>
      <c r="H400" s="18"/>
    </row>
    <row r="401" spans="1:8" ht="12.75">
      <c r="A401" s="17"/>
      <c r="E401" s="18"/>
      <c r="F401" s="18"/>
      <c r="G401" s="105"/>
      <c r="H401" s="18"/>
    </row>
    <row r="402" spans="1:8" ht="12.75">
      <c r="A402" s="17"/>
      <c r="E402" s="18"/>
      <c r="F402" s="18"/>
      <c r="G402" s="105"/>
      <c r="H402" s="18"/>
    </row>
    <row r="403" spans="1:8" ht="12.75">
      <c r="A403" s="17"/>
      <c r="E403" s="18"/>
      <c r="F403" s="18"/>
      <c r="G403" s="105"/>
      <c r="H403" s="18"/>
    </row>
    <row r="404" spans="1:8" ht="12.75">
      <c r="A404" s="17"/>
      <c r="E404" s="18"/>
      <c r="F404" s="18"/>
      <c r="G404" s="105"/>
      <c r="H404" s="18"/>
    </row>
    <row r="405" spans="1:8" ht="12.75">
      <c r="A405" s="17"/>
      <c r="E405" s="18"/>
      <c r="F405" s="18"/>
      <c r="G405" s="105"/>
      <c r="H405" s="18"/>
    </row>
    <row r="406" spans="1:8" ht="12.75">
      <c r="A406" s="17"/>
      <c r="E406" s="18"/>
      <c r="F406" s="18"/>
      <c r="G406" s="105"/>
      <c r="H406" s="18"/>
    </row>
    <row r="407" spans="1:8" ht="12.75">
      <c r="A407" s="17"/>
      <c r="E407" s="18"/>
      <c r="F407" s="18"/>
      <c r="G407" s="105"/>
      <c r="H407" s="18"/>
    </row>
    <row r="408" spans="1:8" ht="12.75">
      <c r="A408" s="17"/>
      <c r="E408" s="18"/>
      <c r="F408" s="18"/>
      <c r="G408" s="105"/>
      <c r="H408" s="18"/>
    </row>
    <row r="409" spans="1:8" ht="12.75">
      <c r="A409" s="17"/>
      <c r="E409" s="18"/>
      <c r="F409" s="18"/>
      <c r="G409" s="105"/>
      <c r="H409" s="18"/>
    </row>
    <row r="410" spans="1:8" ht="12.75">
      <c r="A410" s="17"/>
      <c r="E410" s="18"/>
      <c r="F410" s="18"/>
      <c r="G410" s="105"/>
      <c r="H410" s="18"/>
    </row>
    <row r="411" spans="1:8" ht="12.75">
      <c r="A411" s="17"/>
      <c r="E411" s="18"/>
      <c r="F411" s="18"/>
      <c r="G411" s="105"/>
      <c r="H411" s="18"/>
    </row>
    <row r="412" spans="1:8" ht="12.75">
      <c r="A412" s="17"/>
      <c r="E412" s="18"/>
      <c r="F412" s="18"/>
      <c r="G412" s="105"/>
      <c r="H412" s="18"/>
    </row>
    <row r="413" spans="1:8" ht="12.75">
      <c r="A413" s="17"/>
      <c r="E413" s="18"/>
      <c r="F413" s="18"/>
      <c r="G413" s="105"/>
      <c r="H413" s="18"/>
    </row>
    <row r="414" spans="1:8" ht="12.75">
      <c r="A414" s="17"/>
      <c r="E414" s="18"/>
      <c r="F414" s="18"/>
      <c r="G414" s="105"/>
      <c r="H414" s="18"/>
    </row>
    <row r="415" spans="1:8" ht="12.75">
      <c r="A415" s="17"/>
      <c r="E415" s="18"/>
      <c r="F415" s="18"/>
      <c r="G415" s="105"/>
      <c r="H415" s="18"/>
    </row>
    <row r="416" spans="1:8" ht="12.75">
      <c r="A416" s="17"/>
      <c r="E416" s="18"/>
      <c r="F416" s="18"/>
      <c r="G416" s="105"/>
      <c r="H416" s="18"/>
    </row>
    <row r="417" spans="1:8" ht="12.75">
      <c r="A417" s="17"/>
      <c r="E417" s="18"/>
      <c r="F417" s="18"/>
      <c r="G417" s="105"/>
      <c r="H417" s="18"/>
    </row>
    <row r="418" spans="1:8" ht="12.75">
      <c r="A418" s="17"/>
      <c r="E418" s="18"/>
      <c r="F418" s="18"/>
      <c r="G418" s="105"/>
      <c r="H418" s="18"/>
    </row>
    <row r="419" spans="1:8" ht="12.75">
      <c r="A419" s="17"/>
      <c r="E419" s="18"/>
      <c r="F419" s="18"/>
      <c r="G419" s="105"/>
      <c r="H419" s="18"/>
    </row>
    <row r="420" spans="1:8" ht="12.75">
      <c r="A420" s="17"/>
      <c r="E420" s="18"/>
      <c r="F420" s="18"/>
      <c r="G420" s="105"/>
      <c r="H420" s="18"/>
    </row>
    <row r="421" spans="1:8" ht="12.75">
      <c r="A421" s="17"/>
      <c r="E421" s="18"/>
      <c r="F421" s="18"/>
      <c r="G421" s="105"/>
      <c r="H421" s="18"/>
    </row>
    <row r="422" spans="1:8" ht="12.75">
      <c r="A422" s="17"/>
      <c r="E422" s="18"/>
      <c r="F422" s="18"/>
      <c r="G422" s="105"/>
      <c r="H422" s="18"/>
    </row>
    <row r="423" spans="1:8" ht="12.75">
      <c r="A423" s="17"/>
      <c r="E423" s="18"/>
      <c r="F423" s="18"/>
      <c r="G423" s="105"/>
      <c r="H423" s="18"/>
    </row>
    <row r="424" spans="1:8" ht="12.75">
      <c r="A424" s="17"/>
      <c r="E424" s="18"/>
      <c r="F424" s="18"/>
      <c r="G424" s="105"/>
      <c r="H424" s="18"/>
    </row>
    <row r="425" spans="1:8" ht="12.75">
      <c r="A425" s="17"/>
      <c r="E425" s="18"/>
      <c r="F425" s="18"/>
      <c r="G425" s="105"/>
      <c r="H425" s="18"/>
    </row>
    <row r="426" spans="1:8" ht="12.75">
      <c r="A426" s="17"/>
      <c r="E426" s="18"/>
      <c r="F426" s="18"/>
      <c r="G426" s="105"/>
      <c r="H426" s="18"/>
    </row>
    <row r="427" spans="1:8" ht="12.75">
      <c r="A427" s="17"/>
      <c r="E427" s="18"/>
      <c r="F427" s="18"/>
      <c r="G427" s="105"/>
      <c r="H427" s="18"/>
    </row>
    <row r="428" spans="1:8" ht="12.75">
      <c r="A428" s="17"/>
      <c r="E428" s="18"/>
      <c r="F428" s="18"/>
      <c r="G428" s="105"/>
      <c r="H428" s="18"/>
    </row>
    <row r="429" spans="1:8" ht="12.75">
      <c r="A429" s="17"/>
      <c r="E429" s="18"/>
      <c r="F429" s="18"/>
      <c r="G429" s="105"/>
      <c r="H429" s="18"/>
    </row>
    <row r="430" spans="1:8" ht="12.75">
      <c r="A430" s="17"/>
      <c r="E430" s="18"/>
      <c r="F430" s="18"/>
      <c r="G430" s="105"/>
      <c r="H430" s="18"/>
    </row>
    <row r="431" spans="1:8" ht="12.75">
      <c r="A431" s="17"/>
      <c r="E431" s="18"/>
      <c r="F431" s="18"/>
      <c r="G431" s="105"/>
      <c r="H431" s="18"/>
    </row>
    <row r="432" spans="1:8" ht="12.75">
      <c r="A432" s="17"/>
      <c r="E432" s="18"/>
      <c r="F432" s="18"/>
      <c r="G432" s="105"/>
      <c r="H432" s="18"/>
    </row>
    <row r="433" spans="1:8" ht="12.75">
      <c r="A433" s="17"/>
      <c r="E433" s="18"/>
      <c r="F433" s="18"/>
      <c r="G433" s="105"/>
      <c r="H433" s="18"/>
    </row>
    <row r="434" spans="1:8" ht="12.75">
      <c r="A434" s="17"/>
      <c r="E434" s="18"/>
      <c r="F434" s="18"/>
      <c r="G434" s="105"/>
      <c r="H434" s="18"/>
    </row>
    <row r="435" spans="1:8" ht="12.75">
      <c r="A435" s="17"/>
      <c r="E435" s="18"/>
      <c r="F435" s="18"/>
      <c r="G435" s="105"/>
      <c r="H435" s="18"/>
    </row>
    <row r="436" spans="1:8" ht="12.75">
      <c r="A436" s="17"/>
      <c r="E436" s="18"/>
      <c r="F436" s="18"/>
      <c r="G436" s="105"/>
      <c r="H436" s="18"/>
    </row>
    <row r="437" spans="1:8" ht="12.75">
      <c r="A437" s="17"/>
      <c r="E437" s="18"/>
      <c r="F437" s="18"/>
      <c r="G437" s="105"/>
      <c r="H437" s="18"/>
    </row>
    <row r="438" spans="1:8" ht="12.75">
      <c r="A438" s="17"/>
      <c r="E438" s="18"/>
      <c r="F438" s="18"/>
      <c r="G438" s="105"/>
      <c r="H438" s="18"/>
    </row>
    <row r="439" spans="1:8" ht="12.75">
      <c r="A439" s="17"/>
      <c r="E439" s="18"/>
      <c r="F439" s="18"/>
      <c r="G439" s="105"/>
      <c r="H439" s="18"/>
    </row>
    <row r="440" spans="1:8" ht="12.75">
      <c r="A440" s="17"/>
      <c r="E440" s="18"/>
      <c r="F440" s="18"/>
      <c r="G440" s="105"/>
      <c r="H440" s="18"/>
    </row>
    <row r="441" spans="1:8" ht="12.75">
      <c r="A441" s="17"/>
      <c r="E441" s="18"/>
      <c r="F441" s="18"/>
      <c r="G441" s="105"/>
      <c r="H441" s="18"/>
    </row>
    <row r="442" spans="1:8" ht="12.75">
      <c r="A442" s="17"/>
      <c r="E442" s="18"/>
      <c r="F442" s="18"/>
      <c r="G442" s="105"/>
      <c r="H442" s="18"/>
    </row>
    <row r="443" spans="1:8" ht="12.75">
      <c r="A443" s="17"/>
      <c r="E443" s="18"/>
      <c r="F443" s="18"/>
      <c r="G443" s="105"/>
      <c r="H443" s="18"/>
    </row>
    <row r="444" spans="1:8" ht="12.75">
      <c r="A444" s="17"/>
      <c r="E444" s="18"/>
      <c r="F444" s="18"/>
      <c r="G444" s="105"/>
      <c r="H444" s="18"/>
    </row>
    <row r="445" spans="1:8" ht="12.75">
      <c r="A445" s="17"/>
      <c r="E445" s="18"/>
      <c r="F445" s="18"/>
      <c r="G445" s="105"/>
      <c r="H445" s="18"/>
    </row>
    <row r="446" spans="1:8" ht="12.75">
      <c r="A446" s="17"/>
      <c r="E446" s="18"/>
      <c r="F446" s="18"/>
      <c r="G446" s="105"/>
      <c r="H446" s="18"/>
    </row>
    <row r="447" spans="1:8" ht="12.75">
      <c r="A447" s="17"/>
      <c r="E447" s="18"/>
      <c r="F447" s="18"/>
      <c r="G447" s="105"/>
      <c r="H447" s="18"/>
    </row>
    <row r="448" spans="1:8" ht="12.75">
      <c r="A448" s="17"/>
      <c r="E448" s="18"/>
      <c r="F448" s="18"/>
      <c r="G448" s="105"/>
      <c r="H448" s="18"/>
    </row>
    <row r="449" spans="1:8" ht="12.75">
      <c r="A449" s="17"/>
      <c r="E449" s="18"/>
      <c r="F449" s="18"/>
      <c r="G449" s="105"/>
      <c r="H449" s="18"/>
    </row>
    <row r="450" spans="1:8" ht="12.75">
      <c r="A450" s="17"/>
      <c r="E450" s="18"/>
      <c r="F450" s="18"/>
      <c r="G450" s="105"/>
      <c r="H450" s="18"/>
    </row>
    <row r="451" spans="1:8" ht="12.75">
      <c r="A451" s="17"/>
      <c r="E451" s="18"/>
      <c r="F451" s="18"/>
      <c r="G451" s="105"/>
      <c r="H451" s="18"/>
    </row>
    <row r="452" spans="1:8" ht="12.75">
      <c r="A452" s="17"/>
      <c r="E452" s="18"/>
      <c r="F452" s="18"/>
      <c r="G452" s="105"/>
      <c r="H452" s="18"/>
    </row>
    <row r="453" spans="1:8" ht="12.75">
      <c r="A453" s="17"/>
      <c r="E453" s="18"/>
      <c r="F453" s="18"/>
      <c r="G453" s="105"/>
      <c r="H453" s="18"/>
    </row>
    <row r="454" spans="1:8" ht="12.75">
      <c r="A454" s="17"/>
      <c r="E454" s="18"/>
      <c r="F454" s="18"/>
      <c r="G454" s="105"/>
      <c r="H454" s="18"/>
    </row>
    <row r="455" spans="1:8" ht="12.75">
      <c r="A455" s="17"/>
      <c r="E455" s="18"/>
      <c r="F455" s="18"/>
      <c r="G455" s="105"/>
      <c r="H455" s="18"/>
    </row>
    <row r="456" spans="1:8" ht="12.75">
      <c r="A456" s="17"/>
      <c r="E456" s="18"/>
      <c r="F456" s="18"/>
      <c r="G456" s="105"/>
      <c r="H456" s="18"/>
    </row>
    <row r="457" spans="1:8" ht="12.75">
      <c r="A457" s="17"/>
      <c r="E457" s="18"/>
      <c r="F457" s="18"/>
      <c r="G457" s="105"/>
      <c r="H457" s="18"/>
    </row>
    <row r="458" spans="1:8" ht="12.75">
      <c r="A458" s="17"/>
      <c r="E458" s="18"/>
      <c r="F458" s="18"/>
      <c r="G458" s="105"/>
      <c r="H458" s="18"/>
    </row>
    <row r="459" spans="1:8" ht="12.75">
      <c r="A459" s="17"/>
      <c r="E459" s="18"/>
      <c r="F459" s="18"/>
      <c r="G459" s="105"/>
      <c r="H459" s="18"/>
    </row>
    <row r="460" spans="1:8" ht="12.75">
      <c r="A460" s="17"/>
      <c r="E460" s="18"/>
      <c r="F460" s="18"/>
      <c r="G460" s="105"/>
      <c r="H460" s="18"/>
    </row>
    <row r="461" spans="1:8" ht="12.75">
      <c r="A461" s="17"/>
      <c r="E461" s="18"/>
      <c r="F461" s="18"/>
      <c r="G461" s="105"/>
      <c r="H461" s="18"/>
    </row>
    <row r="462" spans="1:8" ht="12.75">
      <c r="A462" s="17"/>
      <c r="E462" s="18"/>
      <c r="F462" s="18"/>
      <c r="G462" s="105"/>
      <c r="H462" s="18"/>
    </row>
    <row r="463" spans="1:8" ht="12.75">
      <c r="A463" s="17"/>
      <c r="E463" s="18"/>
      <c r="F463" s="18"/>
      <c r="G463" s="105"/>
      <c r="H463" s="18"/>
    </row>
    <row r="464" spans="1:8" ht="12.75">
      <c r="A464" s="17"/>
      <c r="E464" s="18"/>
      <c r="F464" s="18"/>
      <c r="G464" s="105"/>
      <c r="H464" s="18"/>
    </row>
    <row r="465" spans="1:8" ht="12.75">
      <c r="A465" s="17"/>
      <c r="E465" s="18"/>
      <c r="F465" s="18"/>
      <c r="G465" s="105"/>
      <c r="H465" s="18"/>
    </row>
    <row r="466" spans="1:8" ht="12.75">
      <c r="A466" s="17"/>
      <c r="E466" s="18"/>
      <c r="F466" s="18"/>
      <c r="G466" s="105"/>
      <c r="H466" s="18"/>
    </row>
    <row r="467" spans="1:8" ht="12.75">
      <c r="A467" s="17"/>
      <c r="E467" s="18"/>
      <c r="F467" s="18"/>
      <c r="G467" s="105"/>
      <c r="H467" s="18"/>
    </row>
    <row r="468" spans="1:8" ht="12.75">
      <c r="A468" s="17"/>
      <c r="E468" s="18"/>
      <c r="F468" s="18"/>
      <c r="G468" s="105"/>
      <c r="H468" s="18"/>
    </row>
    <row r="469" spans="1:8" ht="12.75">
      <c r="A469" s="17"/>
      <c r="E469" s="18"/>
      <c r="F469" s="18"/>
      <c r="G469" s="105"/>
      <c r="H469" s="18"/>
    </row>
    <row r="470" spans="1:8" ht="12.75">
      <c r="A470" s="17"/>
      <c r="E470" s="18"/>
      <c r="F470" s="18"/>
      <c r="G470" s="105"/>
      <c r="H470" s="18"/>
    </row>
    <row r="471" spans="1:8" ht="12.75">
      <c r="A471" s="17"/>
      <c r="E471" s="18"/>
      <c r="F471" s="18"/>
      <c r="G471" s="105"/>
      <c r="H471" s="18"/>
    </row>
    <row r="472" spans="1:8" ht="12.75">
      <c r="A472" s="17"/>
      <c r="E472" s="18"/>
      <c r="F472" s="18"/>
      <c r="G472" s="105"/>
      <c r="H472" s="18"/>
    </row>
    <row r="473" spans="1:8" ht="12.75">
      <c r="A473" s="17"/>
      <c r="E473" s="18"/>
      <c r="F473" s="18"/>
      <c r="G473" s="105"/>
      <c r="H473" s="18"/>
    </row>
    <row r="474" spans="1:8" ht="12.75">
      <c r="A474" s="17"/>
      <c r="E474" s="18"/>
      <c r="F474" s="18"/>
      <c r="G474" s="105"/>
      <c r="H474" s="18"/>
    </row>
    <row r="475" spans="1:8" ht="12.75">
      <c r="A475" s="17"/>
      <c r="E475" s="18"/>
      <c r="F475" s="18"/>
      <c r="G475" s="105"/>
      <c r="H475" s="18"/>
    </row>
    <row r="476" spans="1:8" ht="12.75">
      <c r="A476" s="17"/>
      <c r="E476" s="18"/>
      <c r="F476" s="18"/>
      <c r="G476" s="105"/>
      <c r="H476" s="18"/>
    </row>
    <row r="477" spans="1:8" ht="12.75">
      <c r="A477" s="17"/>
      <c r="E477" s="18"/>
      <c r="F477" s="18"/>
      <c r="G477" s="105"/>
      <c r="H477" s="18"/>
    </row>
    <row r="478" spans="1:8" ht="12.75">
      <c r="A478" s="17"/>
      <c r="E478" s="18"/>
      <c r="F478" s="18"/>
      <c r="G478" s="105"/>
      <c r="H478" s="18"/>
    </row>
    <row r="479" spans="1:8" ht="12.75">
      <c r="A479" s="17"/>
      <c r="E479" s="18"/>
      <c r="F479" s="18"/>
      <c r="G479" s="105"/>
      <c r="H479" s="18"/>
    </row>
    <row r="480" spans="1:8" ht="12.75">
      <c r="A480" s="17"/>
      <c r="E480" s="18"/>
      <c r="F480" s="18"/>
      <c r="G480" s="105"/>
      <c r="H480" s="18"/>
    </row>
    <row r="481" spans="1:8" ht="12.75">
      <c r="A481" s="17"/>
      <c r="E481" s="18"/>
      <c r="F481" s="18"/>
      <c r="G481" s="105"/>
      <c r="H481" s="18"/>
    </row>
    <row r="482" spans="1:8" ht="12.75">
      <c r="A482" s="17"/>
      <c r="E482" s="18"/>
      <c r="F482" s="18"/>
      <c r="G482" s="105"/>
      <c r="H482" s="18"/>
    </row>
    <row r="483" spans="1:8" ht="12.75">
      <c r="A483" s="17"/>
      <c r="E483" s="18"/>
      <c r="F483" s="18"/>
      <c r="G483" s="105"/>
      <c r="H483" s="18"/>
    </row>
    <row r="484" spans="1:8" ht="12.75">
      <c r="A484" s="17"/>
      <c r="E484" s="18"/>
      <c r="F484" s="18"/>
      <c r="G484" s="105"/>
      <c r="H484" s="18"/>
    </row>
    <row r="485" spans="1:8" ht="12.75">
      <c r="A485" s="17"/>
      <c r="E485" s="18"/>
      <c r="F485" s="18"/>
      <c r="G485" s="105"/>
      <c r="H485" s="18"/>
    </row>
    <row r="486" spans="1:8" ht="12.75">
      <c r="A486" s="17"/>
      <c r="E486" s="18"/>
      <c r="F486" s="18"/>
      <c r="G486" s="105"/>
      <c r="H486" s="18"/>
    </row>
    <row r="487" spans="1:8" ht="12.75">
      <c r="A487" s="17"/>
      <c r="E487" s="18"/>
      <c r="F487" s="18"/>
      <c r="G487" s="105"/>
      <c r="H487" s="18"/>
    </row>
    <row r="488" spans="1:8" ht="12.75">
      <c r="A488" s="17"/>
      <c r="E488" s="18"/>
      <c r="F488" s="18"/>
      <c r="G488" s="105"/>
      <c r="H488" s="18"/>
    </row>
    <row r="489" spans="1:8" ht="12.75">
      <c r="A489" s="17"/>
      <c r="E489" s="18"/>
      <c r="F489" s="18"/>
      <c r="G489" s="105"/>
      <c r="H489" s="18"/>
    </row>
    <row r="490" spans="1:8" ht="12.75">
      <c r="A490" s="17"/>
      <c r="E490" s="18"/>
      <c r="F490" s="18"/>
      <c r="G490" s="105"/>
      <c r="H490" s="18"/>
    </row>
    <row r="491" spans="1:8" ht="12.75">
      <c r="A491" s="17"/>
      <c r="E491" s="18"/>
      <c r="F491" s="18"/>
      <c r="G491" s="105"/>
      <c r="H491" s="18"/>
    </row>
    <row r="492" spans="1:8" ht="12.75">
      <c r="A492" s="17"/>
      <c r="E492" s="18"/>
      <c r="F492" s="18"/>
      <c r="G492" s="105"/>
      <c r="H492" s="18"/>
    </row>
    <row r="493" spans="1:8" ht="12.75">
      <c r="A493" s="17"/>
      <c r="E493" s="18"/>
      <c r="F493" s="18"/>
      <c r="G493" s="105"/>
      <c r="H493" s="18"/>
    </row>
    <row r="494" spans="1:8" ht="12.75">
      <c r="A494" s="17"/>
      <c r="E494" s="18"/>
      <c r="F494" s="18"/>
      <c r="G494" s="105"/>
      <c r="H494" s="18"/>
    </row>
    <row r="495" spans="1:8" ht="12.75">
      <c r="A495" s="17"/>
      <c r="E495" s="18"/>
      <c r="F495" s="18"/>
      <c r="G495" s="105"/>
      <c r="H495" s="18"/>
    </row>
    <row r="496" spans="1:8" ht="12.75">
      <c r="A496" s="17"/>
      <c r="E496" s="18"/>
      <c r="F496" s="18"/>
      <c r="G496" s="105"/>
      <c r="H496" s="18"/>
    </row>
    <row r="497" spans="1:8" ht="12.75">
      <c r="A497" s="17"/>
      <c r="E497" s="18"/>
      <c r="F497" s="18"/>
      <c r="G497" s="105"/>
      <c r="H497" s="18"/>
    </row>
    <row r="498" spans="1:8" ht="12.75">
      <c r="A498" s="17"/>
      <c r="E498" s="18"/>
      <c r="F498" s="18"/>
      <c r="G498" s="105"/>
      <c r="H498" s="18"/>
    </row>
    <row r="499" spans="1:8" ht="12.75">
      <c r="A499" s="17"/>
      <c r="E499" s="18"/>
      <c r="F499" s="18"/>
      <c r="G499" s="105"/>
      <c r="H499" s="18"/>
    </row>
    <row r="500" spans="1:8" ht="12.75">
      <c r="A500" s="17"/>
      <c r="E500" s="18"/>
      <c r="F500" s="18"/>
      <c r="G500" s="105"/>
      <c r="H500" s="18"/>
    </row>
    <row r="501" spans="1:8" ht="12.75">
      <c r="A501" s="17"/>
      <c r="E501" s="18"/>
      <c r="F501" s="18"/>
      <c r="G501" s="105"/>
      <c r="H501" s="18"/>
    </row>
    <row r="502" spans="1:8" ht="12.75">
      <c r="A502" s="17"/>
      <c r="E502" s="18"/>
      <c r="F502" s="18"/>
      <c r="G502" s="105"/>
      <c r="H502" s="18"/>
    </row>
    <row r="503" spans="1:8" ht="12.75">
      <c r="A503" s="17"/>
      <c r="E503" s="18"/>
      <c r="F503" s="18"/>
      <c r="G503" s="105"/>
      <c r="H503" s="18"/>
    </row>
    <row r="504" spans="1:8" ht="12.75">
      <c r="A504" s="17"/>
      <c r="E504" s="18"/>
      <c r="F504" s="18"/>
      <c r="G504" s="105"/>
      <c r="H504" s="18"/>
    </row>
    <row r="505" spans="1:8" ht="12.75">
      <c r="A505" s="17"/>
      <c r="E505" s="18"/>
      <c r="F505" s="18"/>
      <c r="G505" s="105"/>
      <c r="H505" s="18"/>
    </row>
    <row r="506" spans="1:8" ht="12.75">
      <c r="A506" s="17"/>
      <c r="E506" s="18"/>
      <c r="F506" s="18"/>
      <c r="G506" s="105"/>
      <c r="H506" s="18"/>
    </row>
    <row r="507" spans="1:8" ht="12.75">
      <c r="A507" s="17"/>
      <c r="E507" s="18"/>
      <c r="F507" s="18"/>
      <c r="G507" s="105"/>
      <c r="H507" s="18"/>
    </row>
    <row r="508" spans="1:8" ht="12.75">
      <c r="A508" s="17"/>
      <c r="E508" s="18"/>
      <c r="F508" s="18"/>
      <c r="G508" s="105"/>
      <c r="H508" s="18"/>
    </row>
    <row r="509" spans="1:8" ht="12.75">
      <c r="A509" s="17"/>
      <c r="E509" s="18"/>
      <c r="F509" s="18"/>
      <c r="G509" s="105"/>
      <c r="H509" s="18"/>
    </row>
    <row r="510" spans="1:8" ht="12.75">
      <c r="A510" s="17"/>
      <c r="E510" s="18"/>
      <c r="F510" s="18"/>
      <c r="G510" s="105"/>
      <c r="H510" s="18"/>
    </row>
    <row r="511" spans="1:8" ht="12.75">
      <c r="A511" s="17"/>
      <c r="E511" s="18"/>
      <c r="F511" s="18"/>
      <c r="G511" s="105"/>
      <c r="H511" s="18"/>
    </row>
    <row r="512" spans="1:8" ht="12.75">
      <c r="A512" s="17"/>
      <c r="E512" s="18"/>
      <c r="F512" s="18"/>
      <c r="G512" s="105"/>
      <c r="H512" s="18"/>
    </row>
    <row r="513" spans="1:8" ht="12.75">
      <c r="A513" s="17"/>
      <c r="E513" s="18"/>
      <c r="F513" s="18"/>
      <c r="G513" s="105"/>
      <c r="H513" s="18"/>
    </row>
    <row r="514" spans="1:8" ht="12.75">
      <c r="A514" s="17"/>
      <c r="E514" s="18"/>
      <c r="F514" s="18"/>
      <c r="G514" s="105"/>
      <c r="H514" s="18"/>
    </row>
    <row r="515" spans="1:8" ht="12.75">
      <c r="A515" s="17"/>
      <c r="E515" s="18"/>
      <c r="F515" s="18"/>
      <c r="G515" s="105"/>
      <c r="H515" s="18"/>
    </row>
    <row r="516" spans="1:8" ht="12.75">
      <c r="A516" s="17"/>
      <c r="E516" s="18"/>
      <c r="F516" s="18"/>
      <c r="G516" s="105"/>
      <c r="H516" s="18"/>
    </row>
    <row r="517" spans="1:8" ht="12.75">
      <c r="A517" s="17"/>
      <c r="E517" s="18"/>
      <c r="F517" s="18"/>
      <c r="G517" s="105"/>
      <c r="H517" s="18"/>
    </row>
    <row r="518" spans="1:8" ht="12.75">
      <c r="A518" s="17"/>
      <c r="E518" s="18"/>
      <c r="F518" s="18"/>
      <c r="G518" s="105"/>
      <c r="H518" s="18"/>
    </row>
    <row r="519" spans="1:8" ht="12.75">
      <c r="A519" s="17"/>
      <c r="E519" s="18"/>
      <c r="F519" s="18"/>
      <c r="G519" s="105"/>
      <c r="H519" s="18"/>
    </row>
    <row r="520" spans="1:8" ht="12.75">
      <c r="A520" s="17"/>
      <c r="E520" s="18"/>
      <c r="F520" s="18"/>
      <c r="G520" s="105"/>
      <c r="H520" s="18"/>
    </row>
    <row r="521" spans="1:8" ht="12.75">
      <c r="A521" s="17"/>
      <c r="E521" s="18"/>
      <c r="F521" s="18"/>
      <c r="G521" s="105"/>
      <c r="H521" s="18"/>
    </row>
    <row r="522" spans="1:8" ht="12.75">
      <c r="A522" s="17"/>
      <c r="E522" s="18"/>
      <c r="F522" s="18"/>
      <c r="G522" s="105"/>
      <c r="H522" s="18"/>
    </row>
    <row r="523" spans="1:8" ht="12.75">
      <c r="A523" s="17"/>
      <c r="E523" s="18"/>
      <c r="F523" s="18"/>
      <c r="G523" s="105"/>
      <c r="H523" s="18"/>
    </row>
    <row r="524" spans="1:8" ht="12.75">
      <c r="A524" s="17"/>
      <c r="E524" s="18"/>
      <c r="F524" s="18"/>
      <c r="G524" s="105"/>
      <c r="H524" s="18"/>
    </row>
    <row r="525" spans="1:8" ht="12.75">
      <c r="A525" s="17"/>
      <c r="E525" s="18"/>
      <c r="F525" s="18"/>
      <c r="G525" s="105"/>
      <c r="H525" s="18"/>
    </row>
    <row r="526" spans="1:8" ht="12.75">
      <c r="A526" s="17"/>
      <c r="E526" s="18"/>
      <c r="F526" s="18"/>
      <c r="G526" s="105"/>
      <c r="H526" s="18"/>
    </row>
    <row r="527" spans="1:8" ht="12.75">
      <c r="A527" s="17"/>
      <c r="E527" s="18"/>
      <c r="F527" s="18"/>
      <c r="G527" s="105"/>
      <c r="H527" s="18"/>
    </row>
    <row r="528" spans="1:8" ht="12.75">
      <c r="A528" s="17"/>
      <c r="E528" s="18"/>
      <c r="F528" s="18"/>
      <c r="G528" s="105"/>
      <c r="H528" s="18"/>
    </row>
    <row r="529" spans="1:8" ht="12.75">
      <c r="A529" s="17"/>
      <c r="E529" s="18"/>
      <c r="F529" s="18"/>
      <c r="G529" s="105"/>
      <c r="H529" s="18"/>
    </row>
    <row r="530" spans="1:8" ht="12.75">
      <c r="A530" s="17"/>
      <c r="E530" s="18"/>
      <c r="F530" s="18"/>
      <c r="G530" s="105"/>
      <c r="H530" s="18"/>
    </row>
    <row r="531" spans="1:8" ht="12.75">
      <c r="A531" s="17"/>
      <c r="E531" s="18"/>
      <c r="F531" s="18"/>
      <c r="G531" s="105"/>
      <c r="H531" s="18"/>
    </row>
    <row r="532" spans="1:8" ht="12.75">
      <c r="A532" s="17"/>
      <c r="E532" s="18"/>
      <c r="F532" s="18"/>
      <c r="G532" s="105"/>
      <c r="H532" s="18"/>
    </row>
    <row r="533" spans="1:8" ht="12.75">
      <c r="A533" s="17"/>
      <c r="E533" s="18"/>
      <c r="F533" s="18"/>
      <c r="G533" s="105"/>
      <c r="H533" s="18"/>
    </row>
    <row r="534" spans="1:8" ht="12.75">
      <c r="A534" s="17"/>
      <c r="E534" s="18"/>
      <c r="F534" s="18"/>
      <c r="G534" s="105"/>
      <c r="H534" s="18"/>
    </row>
    <row r="535" spans="1:8" ht="12.75">
      <c r="A535" s="17"/>
      <c r="E535" s="18"/>
      <c r="F535" s="18"/>
      <c r="G535" s="105"/>
      <c r="H535" s="18"/>
    </row>
    <row r="536" spans="1:8" ht="12.75">
      <c r="A536" s="17"/>
      <c r="E536" s="18"/>
      <c r="F536" s="18"/>
      <c r="G536" s="105"/>
      <c r="H536" s="18"/>
    </row>
    <row r="537" spans="1:8" ht="12.75">
      <c r="A537" s="17"/>
      <c r="E537" s="18"/>
      <c r="F537" s="18"/>
      <c r="G537" s="105"/>
      <c r="H537" s="18"/>
    </row>
    <row r="538" spans="1:8" ht="12.75">
      <c r="A538" s="17"/>
      <c r="E538" s="18"/>
      <c r="F538" s="18"/>
      <c r="G538" s="105"/>
      <c r="H538" s="18"/>
    </row>
    <row r="539" spans="1:8" ht="12.75">
      <c r="A539" s="17"/>
      <c r="E539" s="18"/>
      <c r="F539" s="18"/>
      <c r="G539" s="105"/>
      <c r="H539" s="18"/>
    </row>
    <row r="540" spans="1:8" ht="12.75">
      <c r="A540" s="17"/>
      <c r="E540" s="18"/>
      <c r="F540" s="18"/>
      <c r="G540" s="105"/>
      <c r="H540" s="18"/>
    </row>
    <row r="541" spans="1:8" ht="12.75">
      <c r="A541" s="17"/>
      <c r="E541" s="18"/>
      <c r="F541" s="18"/>
      <c r="G541" s="105"/>
      <c r="H541" s="18"/>
    </row>
    <row r="542" spans="1:8" ht="12.75">
      <c r="A542" s="17"/>
      <c r="E542" s="18"/>
      <c r="F542" s="18"/>
      <c r="G542" s="105"/>
      <c r="H542" s="18"/>
    </row>
    <row r="543" spans="1:8" ht="12.75">
      <c r="A543" s="17"/>
      <c r="E543" s="18"/>
      <c r="F543" s="18"/>
      <c r="G543" s="105"/>
      <c r="H543" s="18"/>
    </row>
    <row r="544" spans="1:8" ht="12.75">
      <c r="A544" s="17"/>
      <c r="E544" s="18"/>
      <c r="F544" s="18"/>
      <c r="G544" s="105"/>
      <c r="H544" s="18"/>
    </row>
    <row r="545" spans="1:8" ht="12.75">
      <c r="A545" s="17"/>
      <c r="E545" s="18"/>
      <c r="F545" s="18"/>
      <c r="G545" s="105"/>
      <c r="H545" s="18"/>
    </row>
    <row r="546" spans="1:8" ht="12.75">
      <c r="A546" s="17"/>
      <c r="E546" s="18"/>
      <c r="F546" s="18"/>
      <c r="G546" s="105"/>
      <c r="H546" s="18"/>
    </row>
    <row r="547" spans="1:8" ht="12.75">
      <c r="A547" s="17"/>
      <c r="E547" s="18"/>
      <c r="F547" s="18"/>
      <c r="G547" s="105"/>
      <c r="H547" s="18"/>
    </row>
    <row r="548" spans="1:8" ht="12.75">
      <c r="A548" s="17"/>
      <c r="E548" s="18"/>
      <c r="F548" s="18"/>
      <c r="G548" s="105"/>
      <c r="H548" s="18"/>
    </row>
    <row r="549" spans="1:8" ht="12.75">
      <c r="A549" s="17"/>
      <c r="E549" s="18"/>
      <c r="F549" s="18"/>
      <c r="G549" s="105"/>
      <c r="H549" s="18"/>
    </row>
    <row r="550" spans="1:8" ht="12.75">
      <c r="A550" s="17"/>
      <c r="E550" s="18"/>
      <c r="F550" s="18"/>
      <c r="G550" s="105"/>
      <c r="H550" s="18"/>
    </row>
    <row r="551" spans="1:8" ht="12.75">
      <c r="A551" s="17"/>
      <c r="E551" s="18"/>
      <c r="F551" s="18"/>
      <c r="G551" s="105"/>
      <c r="H551" s="18"/>
    </row>
    <row r="552" spans="1:8" ht="12.75">
      <c r="A552" s="17"/>
      <c r="E552" s="18"/>
      <c r="F552" s="18"/>
      <c r="G552" s="105"/>
      <c r="H552" s="18"/>
    </row>
    <row r="553" spans="1:8" ht="12.75">
      <c r="A553" s="17"/>
      <c r="E553" s="18"/>
      <c r="F553" s="18"/>
      <c r="G553" s="105"/>
      <c r="H553" s="18"/>
    </row>
    <row r="554" spans="1:8" ht="12.75">
      <c r="A554" s="17"/>
      <c r="E554" s="18"/>
      <c r="F554" s="18"/>
      <c r="G554" s="105"/>
      <c r="H554" s="18"/>
    </row>
    <row r="555" spans="1:8" ht="12.75">
      <c r="A555" s="17"/>
      <c r="E555" s="18"/>
      <c r="F555" s="18"/>
      <c r="G555" s="105"/>
      <c r="H555" s="18"/>
    </row>
    <row r="556" spans="1:8" ht="12.75">
      <c r="A556" s="17"/>
      <c r="E556" s="18"/>
      <c r="F556" s="18"/>
      <c r="G556" s="105"/>
      <c r="H556" s="18"/>
    </row>
    <row r="557" spans="1:8" ht="12.75">
      <c r="A557" s="17"/>
      <c r="E557" s="18"/>
      <c r="F557" s="18"/>
      <c r="G557" s="105"/>
      <c r="H557" s="18"/>
    </row>
    <row r="558" spans="1:8" ht="12.75">
      <c r="A558" s="17"/>
      <c r="E558" s="18"/>
      <c r="F558" s="18"/>
      <c r="G558" s="105"/>
      <c r="H558" s="18"/>
    </row>
    <row r="559" spans="1:8" ht="12.75">
      <c r="A559" s="17"/>
      <c r="E559" s="18"/>
      <c r="F559" s="18"/>
      <c r="G559" s="105"/>
      <c r="H559" s="18"/>
    </row>
    <row r="560" spans="1:8" ht="12.75">
      <c r="A560" s="17"/>
      <c r="E560" s="18"/>
      <c r="F560" s="18"/>
      <c r="G560" s="105"/>
      <c r="H560" s="18"/>
    </row>
    <row r="561" spans="1:8" ht="12.75">
      <c r="A561" s="17"/>
      <c r="E561" s="18"/>
      <c r="F561" s="18"/>
      <c r="G561" s="105"/>
      <c r="H561" s="18"/>
    </row>
    <row r="562" spans="1:8" ht="12.75">
      <c r="A562" s="17"/>
      <c r="E562" s="18"/>
      <c r="F562" s="18"/>
      <c r="G562" s="105"/>
      <c r="H562" s="18"/>
    </row>
    <row r="563" spans="1:8" ht="12.75">
      <c r="A563" s="17"/>
      <c r="E563" s="18"/>
      <c r="F563" s="18"/>
      <c r="G563" s="105"/>
      <c r="H563" s="18"/>
    </row>
    <row r="564" spans="1:8" ht="12.75">
      <c r="A564" s="17"/>
      <c r="E564" s="18"/>
      <c r="F564" s="18"/>
      <c r="G564" s="105"/>
      <c r="H564" s="18"/>
    </row>
    <row r="565" spans="1:8" ht="12.75">
      <c r="A565" s="17"/>
      <c r="E565" s="18"/>
      <c r="F565" s="18"/>
      <c r="G565" s="105"/>
      <c r="H565" s="18"/>
    </row>
    <row r="566" spans="1:8" ht="12.75">
      <c r="A566" s="17"/>
      <c r="E566" s="18"/>
      <c r="F566" s="18"/>
      <c r="G566" s="105"/>
      <c r="H566" s="18"/>
    </row>
    <row r="567" spans="1:8" ht="12.75">
      <c r="A567" s="17"/>
      <c r="E567" s="18"/>
      <c r="F567" s="18"/>
      <c r="G567" s="105"/>
      <c r="H567" s="18"/>
    </row>
    <row r="568" spans="1:8" ht="12.75">
      <c r="A568" s="17"/>
      <c r="E568" s="18"/>
      <c r="F568" s="18"/>
      <c r="G568" s="105"/>
      <c r="H568" s="18"/>
    </row>
    <row r="569" spans="1:8" ht="12.75">
      <c r="A569" s="17"/>
      <c r="E569" s="18"/>
      <c r="F569" s="18"/>
      <c r="G569" s="105"/>
      <c r="H569" s="18"/>
    </row>
    <row r="570" spans="1:8" ht="12.75">
      <c r="A570" s="17"/>
      <c r="E570" s="18"/>
      <c r="F570" s="18"/>
      <c r="G570" s="105"/>
      <c r="H570" s="18"/>
    </row>
    <row r="571" spans="1:8" ht="12.75">
      <c r="A571" s="17"/>
      <c r="E571" s="18"/>
      <c r="F571" s="18"/>
      <c r="G571" s="105"/>
      <c r="H571" s="18"/>
    </row>
    <row r="572" spans="1:8" ht="12.75">
      <c r="A572" s="17"/>
      <c r="E572" s="18"/>
      <c r="F572" s="18"/>
      <c r="G572" s="105"/>
      <c r="H572" s="18"/>
    </row>
    <row r="573" spans="1:8" ht="12.75">
      <c r="A573" s="17"/>
      <c r="E573" s="18"/>
      <c r="F573" s="18"/>
      <c r="G573" s="105"/>
      <c r="H573" s="18"/>
    </row>
    <row r="574" spans="1:8" ht="12.75">
      <c r="A574" s="17"/>
      <c r="E574" s="18"/>
      <c r="F574" s="18"/>
      <c r="G574" s="105"/>
      <c r="H574" s="18"/>
    </row>
    <row r="575" spans="1:8" ht="12.75">
      <c r="A575" s="17"/>
      <c r="E575" s="18"/>
      <c r="F575" s="18"/>
      <c r="G575" s="105"/>
      <c r="H575" s="18"/>
    </row>
    <row r="576" spans="1:8" ht="12.75">
      <c r="A576" s="17"/>
      <c r="E576" s="18"/>
      <c r="F576" s="18"/>
      <c r="G576" s="105"/>
      <c r="H576" s="18"/>
    </row>
    <row r="577" spans="1:8" ht="12.75">
      <c r="A577" s="17"/>
      <c r="E577" s="18"/>
      <c r="F577" s="18"/>
      <c r="G577" s="105"/>
      <c r="H577" s="18"/>
    </row>
    <row r="578" spans="1:8" ht="12.75">
      <c r="A578" s="17"/>
      <c r="E578" s="18"/>
      <c r="F578" s="18"/>
      <c r="G578" s="105"/>
      <c r="H578" s="18"/>
    </row>
    <row r="579" spans="1:8" ht="12.75">
      <c r="A579" s="17"/>
      <c r="E579" s="18"/>
      <c r="F579" s="18"/>
      <c r="G579" s="105"/>
      <c r="H579" s="18"/>
    </row>
    <row r="580" spans="1:8" ht="12.75">
      <c r="A580" s="17"/>
      <c r="E580" s="18"/>
      <c r="F580" s="18"/>
      <c r="G580" s="105"/>
      <c r="H580" s="18"/>
    </row>
    <row r="581" spans="1:8" ht="12.75">
      <c r="A581" s="17"/>
      <c r="E581" s="18"/>
      <c r="F581" s="18"/>
      <c r="G581" s="105"/>
      <c r="H581" s="18"/>
    </row>
    <row r="582" spans="1:8" ht="12.75">
      <c r="A582" s="17"/>
      <c r="E582" s="18"/>
      <c r="F582" s="18"/>
      <c r="G582" s="105"/>
      <c r="H582" s="18"/>
    </row>
    <row r="583" spans="1:8" ht="12.75">
      <c r="A583" s="17"/>
      <c r="E583" s="18"/>
      <c r="F583" s="18"/>
      <c r="G583" s="105"/>
      <c r="H583" s="18"/>
    </row>
    <row r="584" spans="1:8" ht="12.75">
      <c r="A584" s="17"/>
      <c r="E584" s="18"/>
      <c r="F584" s="18"/>
      <c r="G584" s="105"/>
      <c r="H584" s="18"/>
    </row>
    <row r="585" spans="1:8" ht="12.75">
      <c r="A585" s="17"/>
      <c r="E585" s="18"/>
      <c r="F585" s="18"/>
      <c r="G585" s="105"/>
      <c r="H585" s="18"/>
    </row>
    <row r="586" spans="1:8" ht="12.75">
      <c r="A586" s="17"/>
      <c r="E586" s="18"/>
      <c r="F586" s="18"/>
      <c r="G586" s="105"/>
      <c r="H586" s="18"/>
    </row>
    <row r="587" spans="1:8" ht="12.75">
      <c r="A587" s="17"/>
      <c r="E587" s="18"/>
      <c r="F587" s="18"/>
      <c r="G587" s="105"/>
      <c r="H587" s="18"/>
    </row>
    <row r="588" spans="1:8" ht="12.75">
      <c r="A588" s="17"/>
      <c r="E588" s="18"/>
      <c r="F588" s="18"/>
      <c r="G588" s="105"/>
      <c r="H588" s="18"/>
    </row>
    <row r="589" spans="1:8" ht="12.75">
      <c r="A589" s="17"/>
      <c r="E589" s="18"/>
      <c r="F589" s="18"/>
      <c r="G589" s="105"/>
      <c r="H589" s="18"/>
    </row>
    <row r="590" spans="1:8" ht="12.75">
      <c r="A590" s="17"/>
      <c r="E590" s="18"/>
      <c r="F590" s="18"/>
      <c r="G590" s="105"/>
      <c r="H590" s="18"/>
    </row>
    <row r="591" spans="1:8" ht="12.75">
      <c r="A591" s="17"/>
      <c r="E591" s="18"/>
      <c r="F591" s="18"/>
      <c r="G591" s="105"/>
      <c r="H591" s="18"/>
    </row>
    <row r="592" spans="1:8" ht="12.75">
      <c r="A592" s="17"/>
      <c r="E592" s="18"/>
      <c r="F592" s="18"/>
      <c r="G592" s="105"/>
      <c r="H592" s="18"/>
    </row>
    <row r="593" spans="1:8" ht="12.75">
      <c r="A593" s="17"/>
      <c r="E593" s="18"/>
      <c r="F593" s="18"/>
      <c r="G593" s="105"/>
      <c r="H593" s="18"/>
    </row>
    <row r="594" spans="1:8" ht="12.75">
      <c r="A594" s="17"/>
      <c r="E594" s="18"/>
      <c r="F594" s="18"/>
      <c r="G594" s="105"/>
      <c r="H594" s="18"/>
    </row>
    <row r="595" spans="1:8" ht="12.75">
      <c r="A595" s="17"/>
      <c r="E595" s="18"/>
      <c r="F595" s="18"/>
      <c r="G595" s="105"/>
      <c r="H595" s="18"/>
    </row>
    <row r="596" spans="1:8" ht="12.75">
      <c r="A596" s="17"/>
      <c r="E596" s="18"/>
      <c r="F596" s="18"/>
      <c r="G596" s="105"/>
      <c r="H596" s="18"/>
    </row>
    <row r="597" spans="1:8" ht="12.75">
      <c r="A597" s="17"/>
      <c r="E597" s="18"/>
      <c r="F597" s="18"/>
      <c r="G597" s="105"/>
      <c r="H597" s="18"/>
    </row>
    <row r="598" spans="1:8" ht="12.75">
      <c r="A598" s="17"/>
      <c r="E598" s="18"/>
      <c r="F598" s="18"/>
      <c r="G598" s="105"/>
      <c r="H598" s="18"/>
    </row>
    <row r="599" spans="1:8" ht="12.75">
      <c r="A599" s="17"/>
      <c r="E599" s="18"/>
      <c r="F599" s="18"/>
      <c r="G599" s="105"/>
      <c r="H599" s="18"/>
    </row>
    <row r="600" spans="1:8" ht="12.75">
      <c r="A600" s="17"/>
      <c r="E600" s="18"/>
      <c r="F600" s="18"/>
      <c r="G600" s="105"/>
      <c r="H600" s="18"/>
    </row>
    <row r="601" spans="1:8" ht="12.75">
      <c r="A601" s="17"/>
      <c r="E601" s="18"/>
      <c r="F601" s="18"/>
      <c r="G601" s="105"/>
      <c r="H601" s="18"/>
    </row>
    <row r="602" spans="1:8" ht="12.75">
      <c r="A602" s="17"/>
      <c r="E602" s="18"/>
      <c r="F602" s="18"/>
      <c r="G602" s="105"/>
      <c r="H602" s="18"/>
    </row>
    <row r="603" spans="1:8" ht="12.75">
      <c r="A603" s="17"/>
      <c r="E603" s="18"/>
      <c r="F603" s="18"/>
      <c r="G603" s="105"/>
      <c r="H603" s="18"/>
    </row>
    <row r="604" spans="1:8" ht="12.75">
      <c r="A604" s="17"/>
      <c r="E604" s="18"/>
      <c r="F604" s="18"/>
      <c r="G604" s="105"/>
      <c r="H604" s="18"/>
    </row>
    <row r="605" spans="1:8" ht="12.75">
      <c r="A605" s="17"/>
      <c r="E605" s="18"/>
      <c r="F605" s="18"/>
      <c r="G605" s="105"/>
      <c r="H605" s="18"/>
    </row>
    <row r="606" spans="1:8" ht="12.75">
      <c r="A606" s="17"/>
      <c r="E606" s="18"/>
      <c r="F606" s="18"/>
      <c r="G606" s="105"/>
      <c r="H606" s="18"/>
    </row>
    <row r="607" spans="1:8" ht="12.75">
      <c r="A607" s="17"/>
      <c r="E607" s="18"/>
      <c r="F607" s="18"/>
      <c r="G607" s="105"/>
      <c r="H607" s="18"/>
    </row>
    <row r="608" spans="1:8" ht="12.75">
      <c r="A608" s="17"/>
      <c r="E608" s="18"/>
      <c r="F608" s="18"/>
      <c r="G608" s="105"/>
      <c r="H608" s="18"/>
    </row>
    <row r="609" spans="1:8" ht="12.75">
      <c r="A609" s="17"/>
      <c r="E609" s="18"/>
      <c r="F609" s="18"/>
      <c r="G609" s="105"/>
      <c r="H609" s="18"/>
    </row>
    <row r="610" spans="1:8" ht="12.75">
      <c r="A610" s="17"/>
      <c r="E610" s="18"/>
      <c r="F610" s="18"/>
      <c r="G610" s="105"/>
      <c r="H610" s="18"/>
    </row>
    <row r="611" spans="1:8" ht="12.75">
      <c r="A611" s="17"/>
      <c r="E611" s="18"/>
      <c r="F611" s="18"/>
      <c r="G611" s="105"/>
      <c r="H611" s="18"/>
    </row>
    <row r="612" spans="1:8" ht="12.75">
      <c r="A612" s="17"/>
      <c r="E612" s="18"/>
      <c r="F612" s="18"/>
      <c r="G612" s="105"/>
      <c r="H612" s="18"/>
    </row>
    <row r="613" spans="1:8" ht="12.75">
      <c r="A613" s="17"/>
      <c r="E613" s="18"/>
      <c r="F613" s="18"/>
      <c r="G613" s="105"/>
      <c r="H613" s="18"/>
    </row>
    <row r="614" spans="1:8" ht="12.75">
      <c r="A614" s="17"/>
      <c r="E614" s="18"/>
      <c r="F614" s="18"/>
      <c r="G614" s="105"/>
      <c r="H614" s="18"/>
    </row>
    <row r="615" spans="1:8" ht="12.75">
      <c r="A615" s="17"/>
      <c r="E615" s="18"/>
      <c r="F615" s="18"/>
      <c r="G615" s="105"/>
      <c r="H615" s="18"/>
    </row>
    <row r="616" spans="1:8" ht="12.75">
      <c r="A616" s="17"/>
      <c r="E616" s="18"/>
      <c r="F616" s="18"/>
      <c r="G616" s="105"/>
      <c r="H616" s="18"/>
    </row>
    <row r="617" spans="1:8" ht="12.75">
      <c r="A617" s="17"/>
      <c r="E617" s="18"/>
      <c r="F617" s="18"/>
      <c r="G617" s="105"/>
      <c r="H617" s="18"/>
    </row>
    <row r="618" spans="1:8" ht="12.75">
      <c r="A618" s="17"/>
      <c r="E618" s="18"/>
      <c r="F618" s="18"/>
      <c r="G618" s="105"/>
      <c r="H618" s="18"/>
    </row>
    <row r="619" spans="1:8" ht="12.75">
      <c r="A619" s="17"/>
      <c r="E619" s="18"/>
      <c r="F619" s="18"/>
      <c r="G619" s="105"/>
      <c r="H619" s="18"/>
    </row>
    <row r="620" spans="1:8" ht="12.75">
      <c r="A620" s="17"/>
      <c r="E620" s="18"/>
      <c r="F620" s="18"/>
      <c r="G620" s="105"/>
      <c r="H620" s="18"/>
    </row>
    <row r="621" spans="1:8" ht="12.75">
      <c r="A621" s="17"/>
      <c r="E621" s="18"/>
      <c r="F621" s="18"/>
      <c r="G621" s="105"/>
      <c r="H621" s="18"/>
    </row>
    <row r="622" spans="1:8" ht="12.75">
      <c r="A622" s="17"/>
      <c r="E622" s="18"/>
      <c r="F622" s="18"/>
      <c r="G622" s="105"/>
      <c r="H622" s="18"/>
    </row>
    <row r="623" spans="1:8" ht="12.75">
      <c r="A623" s="17"/>
      <c r="E623" s="18"/>
      <c r="F623" s="18"/>
      <c r="G623" s="105"/>
      <c r="H623" s="18"/>
    </row>
    <row r="624" spans="1:8" ht="12.75">
      <c r="A624" s="17"/>
      <c r="E624" s="18"/>
      <c r="F624" s="18"/>
      <c r="G624" s="105"/>
      <c r="H624" s="18"/>
    </row>
    <row r="625" spans="1:8" ht="12.75">
      <c r="A625" s="17"/>
      <c r="E625" s="18"/>
      <c r="F625" s="18"/>
      <c r="G625" s="105"/>
      <c r="H625" s="18"/>
    </row>
    <row r="626" spans="1:8" ht="12.75">
      <c r="A626" s="17"/>
      <c r="E626" s="18"/>
      <c r="F626" s="18"/>
      <c r="G626" s="105"/>
      <c r="H626" s="18"/>
    </row>
    <row r="627" spans="1:8" ht="12.75">
      <c r="A627" s="17"/>
      <c r="E627" s="18"/>
      <c r="F627" s="18"/>
      <c r="G627" s="105"/>
      <c r="H627" s="18"/>
    </row>
    <row r="628" spans="1:8" ht="12.75">
      <c r="A628" s="17"/>
      <c r="E628" s="18"/>
      <c r="F628" s="18"/>
      <c r="G628" s="105"/>
      <c r="H628" s="18"/>
    </row>
    <row r="629" spans="1:8" ht="12.75">
      <c r="A629" s="17"/>
      <c r="E629" s="18"/>
      <c r="F629" s="18"/>
      <c r="G629" s="105"/>
      <c r="H629" s="18"/>
    </row>
    <row r="630" spans="1:8" ht="12.75">
      <c r="A630" s="17"/>
      <c r="E630" s="18"/>
      <c r="F630" s="18"/>
      <c r="G630" s="105"/>
      <c r="H630" s="18"/>
    </row>
    <row r="631" spans="1:8" ht="12.75">
      <c r="A631" s="17"/>
      <c r="E631" s="18"/>
      <c r="F631" s="18"/>
      <c r="G631" s="105"/>
      <c r="H631" s="18"/>
    </row>
    <row r="632" spans="1:8" ht="12.75">
      <c r="A632" s="17"/>
      <c r="E632" s="18"/>
      <c r="F632" s="18"/>
      <c r="G632" s="105"/>
      <c r="H632" s="18"/>
    </row>
    <row r="633" spans="1:8" ht="12.75">
      <c r="A633" s="17"/>
      <c r="E633" s="18"/>
      <c r="F633" s="18"/>
      <c r="G633" s="105"/>
      <c r="H633" s="18"/>
    </row>
    <row r="634" spans="1:8" ht="12.75">
      <c r="A634" s="17"/>
      <c r="E634" s="18"/>
      <c r="F634" s="18"/>
      <c r="G634" s="105"/>
      <c r="H634" s="18"/>
    </row>
    <row r="635" spans="1:8" ht="12.75">
      <c r="A635" s="17"/>
      <c r="E635" s="18"/>
      <c r="F635" s="18"/>
      <c r="G635" s="105"/>
      <c r="H635" s="18"/>
    </row>
    <row r="636" spans="1:8" ht="12.75">
      <c r="A636" s="17"/>
      <c r="E636" s="18"/>
      <c r="F636" s="18"/>
      <c r="G636" s="105"/>
      <c r="H636" s="18"/>
    </row>
    <row r="637" spans="1:8" ht="12.75">
      <c r="A637" s="17"/>
      <c r="E637" s="18"/>
      <c r="F637" s="18"/>
      <c r="G637" s="105"/>
      <c r="H637" s="18"/>
    </row>
    <row r="638" spans="1:8" ht="12.75">
      <c r="A638" s="17"/>
      <c r="E638" s="18"/>
      <c r="F638" s="18"/>
      <c r="G638" s="105"/>
      <c r="H638" s="18"/>
    </row>
    <row r="639" spans="1:8" ht="12.75">
      <c r="A639" s="17"/>
      <c r="E639" s="18"/>
      <c r="F639" s="18"/>
      <c r="G639" s="105"/>
      <c r="H639" s="18"/>
    </row>
    <row r="640" spans="1:8" ht="12.75">
      <c r="A640" s="17"/>
      <c r="E640" s="18"/>
      <c r="F640" s="18"/>
      <c r="G640" s="105"/>
      <c r="H640" s="18"/>
    </row>
    <row r="641" spans="1:8" ht="12.75">
      <c r="A641" s="17"/>
      <c r="E641" s="18"/>
      <c r="F641" s="18"/>
      <c r="G641" s="105"/>
      <c r="H641" s="18"/>
    </row>
    <row r="642" spans="1:8" ht="12.75">
      <c r="A642" s="17"/>
      <c r="E642" s="18"/>
      <c r="F642" s="18"/>
      <c r="G642" s="105"/>
      <c r="H642" s="18"/>
    </row>
    <row r="643" spans="1:8" ht="12.75">
      <c r="A643" s="17"/>
      <c r="E643" s="18"/>
      <c r="F643" s="18"/>
      <c r="G643" s="105"/>
      <c r="H643" s="18"/>
    </row>
    <row r="644" spans="1:8" ht="12.75">
      <c r="A644" s="17"/>
      <c r="E644" s="18"/>
      <c r="F644" s="18"/>
      <c r="G644" s="105"/>
      <c r="H644" s="18"/>
    </row>
    <row r="645" spans="1:8" ht="12.75">
      <c r="A645" s="17"/>
      <c r="E645" s="18"/>
      <c r="F645" s="18"/>
      <c r="G645" s="105"/>
      <c r="H645" s="18"/>
    </row>
    <row r="646" spans="1:8" ht="12.75">
      <c r="A646" s="17"/>
      <c r="E646" s="18"/>
      <c r="F646" s="18"/>
      <c r="G646" s="105"/>
      <c r="H646" s="18"/>
    </row>
    <row r="647" spans="1:8" ht="12.75">
      <c r="A647" s="17"/>
      <c r="E647" s="18"/>
      <c r="F647" s="18"/>
      <c r="G647" s="105"/>
      <c r="H647" s="18"/>
    </row>
    <row r="648" spans="1:8" ht="12.75">
      <c r="A648" s="17"/>
      <c r="E648" s="18"/>
      <c r="F648" s="18"/>
      <c r="G648" s="105"/>
      <c r="H648" s="18"/>
    </row>
    <row r="649" spans="1:8" ht="12.75">
      <c r="A649" s="17"/>
      <c r="E649" s="18"/>
      <c r="F649" s="18"/>
      <c r="G649" s="105"/>
      <c r="H649" s="18"/>
    </row>
    <row r="650" spans="1:8" ht="12.75">
      <c r="A650" s="17"/>
      <c r="E650" s="18"/>
      <c r="F650" s="18"/>
      <c r="G650" s="105"/>
      <c r="H650" s="18"/>
    </row>
    <row r="651" spans="1:8" ht="12.75">
      <c r="A651" s="17"/>
      <c r="E651" s="18"/>
      <c r="F651" s="18"/>
      <c r="G651" s="105"/>
      <c r="H651" s="18"/>
    </row>
    <row r="652" spans="1:8" ht="12.75">
      <c r="A652" s="17"/>
      <c r="E652" s="18"/>
      <c r="F652" s="18"/>
      <c r="G652" s="105"/>
      <c r="H652" s="18"/>
    </row>
    <row r="653" spans="1:8" ht="12.75">
      <c r="A653" s="17"/>
      <c r="E653" s="18"/>
      <c r="F653" s="18"/>
      <c r="G653" s="105"/>
      <c r="H653" s="18"/>
    </row>
    <row r="654" spans="1:8" ht="12.75">
      <c r="A654" s="17"/>
      <c r="E654" s="18"/>
      <c r="F654" s="18"/>
      <c r="G654" s="105"/>
      <c r="H654" s="18"/>
    </row>
    <row r="655" spans="1:8" ht="12.75">
      <c r="A655" s="17"/>
      <c r="E655" s="18"/>
      <c r="F655" s="18"/>
      <c r="G655" s="105"/>
      <c r="H655" s="18"/>
    </row>
    <row r="656" spans="1:8" ht="12.75">
      <c r="A656" s="17"/>
      <c r="E656" s="18"/>
      <c r="F656" s="18"/>
      <c r="G656" s="105"/>
      <c r="H656" s="18"/>
    </row>
    <row r="657" spans="1:8" ht="12.75">
      <c r="A657" s="17"/>
      <c r="E657" s="18"/>
      <c r="F657" s="18"/>
      <c r="G657" s="105"/>
      <c r="H657" s="18"/>
    </row>
    <row r="658" spans="1:8" ht="12.75">
      <c r="A658" s="17"/>
      <c r="E658" s="18"/>
      <c r="F658" s="18"/>
      <c r="G658" s="105"/>
      <c r="H658" s="18"/>
    </row>
    <row r="659" spans="1:8" ht="12.75">
      <c r="A659" s="17"/>
      <c r="E659" s="18"/>
      <c r="F659" s="18"/>
      <c r="G659" s="105"/>
      <c r="H659" s="18"/>
    </row>
    <row r="660" spans="1:8" ht="12.75">
      <c r="A660" s="17"/>
      <c r="E660" s="18"/>
      <c r="F660" s="18"/>
      <c r="G660" s="105"/>
      <c r="H660" s="18"/>
    </row>
    <row r="661" spans="1:8" ht="12.75">
      <c r="A661" s="17"/>
      <c r="E661" s="18"/>
      <c r="F661" s="18"/>
      <c r="G661" s="105"/>
      <c r="H661" s="18"/>
    </row>
    <row r="662" spans="1:8" ht="12.75">
      <c r="A662" s="17"/>
      <c r="E662" s="18"/>
      <c r="F662" s="18"/>
      <c r="G662" s="105"/>
      <c r="H662" s="18"/>
    </row>
    <row r="663" spans="1:8" ht="12.75">
      <c r="A663" s="17"/>
      <c r="E663" s="18"/>
      <c r="F663" s="18"/>
      <c r="G663" s="105"/>
      <c r="H663" s="18"/>
    </row>
    <row r="664" spans="1:8" ht="12.75">
      <c r="A664" s="17"/>
      <c r="E664" s="18"/>
      <c r="F664" s="18"/>
      <c r="G664" s="105"/>
      <c r="H664" s="18"/>
    </row>
    <row r="665" spans="1:8" ht="12.75">
      <c r="A665" s="17"/>
      <c r="E665" s="18"/>
      <c r="F665" s="18"/>
      <c r="G665" s="105"/>
      <c r="H665" s="18"/>
    </row>
    <row r="666" spans="1:8" ht="12.75">
      <c r="A666" s="17"/>
      <c r="E666" s="18"/>
      <c r="F666" s="18"/>
      <c r="G666" s="105"/>
      <c r="H666" s="18"/>
    </row>
    <row r="667" spans="1:8" ht="12.75">
      <c r="A667" s="17"/>
      <c r="E667" s="18"/>
      <c r="F667" s="18"/>
      <c r="G667" s="105"/>
      <c r="H667" s="18"/>
    </row>
    <row r="668" spans="1:8" ht="12.75">
      <c r="A668" s="17"/>
      <c r="E668" s="18"/>
      <c r="F668" s="18"/>
      <c r="G668" s="105"/>
      <c r="H668" s="18"/>
    </row>
    <row r="669" spans="1:8" ht="12.75">
      <c r="A669" s="17"/>
      <c r="E669" s="18"/>
      <c r="F669" s="18"/>
      <c r="G669" s="105"/>
      <c r="H669" s="18"/>
    </row>
    <row r="670" spans="1:8" ht="12.75">
      <c r="A670" s="17"/>
      <c r="E670" s="18"/>
      <c r="F670" s="18"/>
      <c r="G670" s="105"/>
      <c r="H670" s="18"/>
    </row>
    <row r="671" spans="1:8" ht="12.75">
      <c r="A671" s="17"/>
      <c r="E671" s="18"/>
      <c r="F671" s="18"/>
      <c r="G671" s="105"/>
      <c r="H671" s="18"/>
    </row>
    <row r="672" spans="1:8" ht="12.75">
      <c r="A672" s="17"/>
      <c r="E672" s="18"/>
      <c r="F672" s="18"/>
      <c r="G672" s="105"/>
      <c r="H672" s="18"/>
    </row>
    <row r="673" spans="1:8" ht="12.75">
      <c r="A673" s="17"/>
      <c r="E673" s="18"/>
      <c r="F673" s="18"/>
      <c r="G673" s="105"/>
      <c r="H673" s="18"/>
    </row>
    <row r="674" spans="1:8" ht="12.75">
      <c r="A674" s="17"/>
      <c r="E674" s="18"/>
      <c r="F674" s="18"/>
      <c r="G674" s="105"/>
      <c r="H674" s="18"/>
    </row>
    <row r="675" spans="1:8" ht="12.75">
      <c r="A675" s="17"/>
      <c r="E675" s="18"/>
      <c r="F675" s="18"/>
      <c r="G675" s="105"/>
      <c r="H675" s="18"/>
    </row>
    <row r="676" spans="1:8" ht="12.75">
      <c r="A676" s="17"/>
      <c r="E676" s="18"/>
      <c r="F676" s="18"/>
      <c r="G676" s="105"/>
      <c r="H676" s="18"/>
    </row>
    <row r="677" spans="1:8" ht="12.75">
      <c r="A677" s="17"/>
      <c r="E677" s="18"/>
      <c r="F677" s="18"/>
      <c r="G677" s="105"/>
      <c r="H677" s="18"/>
    </row>
    <row r="678" spans="1:8" ht="12.75">
      <c r="A678" s="17"/>
      <c r="E678" s="18"/>
      <c r="F678" s="18"/>
      <c r="G678" s="105"/>
      <c r="H678" s="18"/>
    </row>
    <row r="679" spans="1:8" ht="12.75">
      <c r="A679" s="17"/>
      <c r="E679" s="18"/>
      <c r="F679" s="18"/>
      <c r="G679" s="105"/>
      <c r="H679" s="18"/>
    </row>
    <row r="680" spans="1:8" ht="12.75">
      <c r="A680" s="17"/>
      <c r="E680" s="18"/>
      <c r="F680" s="18"/>
      <c r="G680" s="105"/>
      <c r="H680" s="18"/>
    </row>
    <row r="681" spans="1:8" ht="12.75">
      <c r="A681" s="17"/>
      <c r="E681" s="18"/>
      <c r="F681" s="18"/>
      <c r="G681" s="105"/>
      <c r="H681" s="18"/>
    </row>
    <row r="682" spans="1:8" ht="12.75">
      <c r="A682" s="17"/>
      <c r="E682" s="18"/>
      <c r="F682" s="18"/>
      <c r="G682" s="105"/>
      <c r="H682" s="18"/>
    </row>
    <row r="683" spans="1:8" ht="12.75">
      <c r="A683" s="17"/>
      <c r="E683" s="18"/>
      <c r="F683" s="18"/>
      <c r="G683" s="105"/>
      <c r="H683" s="18"/>
    </row>
    <row r="684" spans="1:8" ht="12.75">
      <c r="A684" s="17"/>
      <c r="E684" s="18"/>
      <c r="F684" s="18"/>
      <c r="G684" s="105"/>
      <c r="H684" s="18"/>
    </row>
    <row r="685" spans="1:8" ht="12.75">
      <c r="A685" s="17"/>
      <c r="E685" s="18"/>
      <c r="F685" s="18"/>
      <c r="G685" s="105"/>
      <c r="H685" s="18"/>
    </row>
    <row r="686" spans="1:8" ht="12.75">
      <c r="A686" s="17"/>
      <c r="E686" s="18"/>
      <c r="F686" s="18"/>
      <c r="G686" s="105"/>
      <c r="H686" s="18"/>
    </row>
    <row r="687" spans="1:8" ht="12.75">
      <c r="A687" s="17"/>
      <c r="E687" s="18"/>
      <c r="F687" s="18"/>
      <c r="G687" s="105"/>
      <c r="H687" s="18"/>
    </row>
    <row r="688" spans="1:8" ht="12.75">
      <c r="A688" s="17"/>
      <c r="E688" s="18"/>
      <c r="F688" s="18"/>
      <c r="G688" s="105"/>
      <c r="H688" s="18"/>
    </row>
    <row r="689" spans="1:8" ht="12.75">
      <c r="A689" s="17"/>
      <c r="E689" s="18"/>
      <c r="F689" s="18"/>
      <c r="G689" s="105"/>
      <c r="H689" s="18"/>
    </row>
    <row r="690" spans="1:8" ht="12.75">
      <c r="A690" s="17"/>
      <c r="E690" s="18"/>
      <c r="F690" s="18"/>
      <c r="G690" s="105"/>
      <c r="H690" s="18"/>
    </row>
    <row r="691" spans="1:8" ht="12.75">
      <c r="A691" s="17"/>
      <c r="E691" s="18"/>
      <c r="F691" s="18"/>
      <c r="G691" s="105"/>
      <c r="H691" s="18"/>
    </row>
    <row r="692" spans="1:8" ht="12.75">
      <c r="A692" s="17"/>
      <c r="E692" s="18"/>
      <c r="F692" s="18"/>
      <c r="G692" s="105"/>
      <c r="H692" s="18"/>
    </row>
    <row r="693" spans="1:8" ht="12.75">
      <c r="A693" s="17"/>
      <c r="E693" s="18"/>
      <c r="F693" s="18"/>
      <c r="G693" s="105"/>
      <c r="H693" s="18"/>
    </row>
    <row r="694" spans="1:8" ht="12.75">
      <c r="A694" s="17"/>
      <c r="E694" s="18"/>
      <c r="F694" s="18"/>
      <c r="G694" s="105"/>
      <c r="H694" s="18"/>
    </row>
    <row r="695" spans="1:8" ht="12.75">
      <c r="A695" s="17"/>
      <c r="E695" s="18"/>
      <c r="F695" s="18"/>
      <c r="G695" s="105"/>
      <c r="H695" s="18"/>
    </row>
    <row r="696" spans="1:8" ht="12.75">
      <c r="A696" s="17"/>
      <c r="E696" s="18"/>
      <c r="F696" s="18"/>
      <c r="G696" s="105"/>
      <c r="H696" s="18"/>
    </row>
    <row r="697" spans="1:8" ht="12.75">
      <c r="A697" s="17"/>
      <c r="E697" s="18"/>
      <c r="F697" s="18"/>
      <c r="G697" s="105"/>
      <c r="H697" s="18"/>
    </row>
    <row r="698" spans="1:8" ht="12.75">
      <c r="A698" s="17"/>
      <c r="E698" s="18"/>
      <c r="F698" s="18"/>
      <c r="G698" s="105"/>
      <c r="H698" s="18"/>
    </row>
    <row r="699" spans="1:8" ht="12.75">
      <c r="A699" s="17"/>
      <c r="E699" s="18"/>
      <c r="F699" s="18"/>
      <c r="G699" s="105"/>
      <c r="H699" s="18"/>
    </row>
    <row r="700" spans="1:8" ht="12.75">
      <c r="A700" s="17"/>
      <c r="E700" s="18"/>
      <c r="F700" s="18"/>
      <c r="G700" s="105"/>
      <c r="H700" s="18"/>
    </row>
    <row r="701" spans="1:8" ht="12.75">
      <c r="A701" s="17"/>
      <c r="E701" s="18"/>
      <c r="F701" s="18"/>
      <c r="G701" s="105"/>
      <c r="H701" s="18"/>
    </row>
    <row r="702" spans="1:8" ht="12.75">
      <c r="A702" s="17"/>
      <c r="E702" s="18"/>
      <c r="F702" s="18"/>
      <c r="G702" s="105"/>
      <c r="H702" s="18"/>
    </row>
    <row r="703" spans="1:8" ht="12.75">
      <c r="A703" s="17"/>
      <c r="E703" s="18"/>
      <c r="F703" s="18"/>
      <c r="G703" s="105"/>
      <c r="H703" s="18"/>
    </row>
    <row r="704" spans="1:8" ht="12.75">
      <c r="A704" s="17"/>
      <c r="E704" s="18"/>
      <c r="F704" s="18"/>
      <c r="G704" s="105"/>
      <c r="H704" s="18"/>
    </row>
    <row r="705" spans="1:8" ht="12.75">
      <c r="A705" s="17"/>
      <c r="E705" s="18"/>
      <c r="F705" s="18"/>
      <c r="G705" s="105"/>
      <c r="H705" s="18"/>
    </row>
    <row r="706" spans="1:8" ht="12.75">
      <c r="A706" s="17"/>
      <c r="E706" s="18"/>
      <c r="F706" s="18"/>
      <c r="G706" s="105"/>
      <c r="H706" s="18"/>
    </row>
    <row r="707" spans="1:8" ht="12.75">
      <c r="A707" s="17"/>
      <c r="E707" s="18"/>
      <c r="F707" s="18"/>
      <c r="G707" s="105"/>
      <c r="H707" s="18"/>
    </row>
    <row r="708" spans="1:8" ht="12.75">
      <c r="A708" s="17"/>
      <c r="E708" s="18"/>
      <c r="F708" s="18"/>
      <c r="G708" s="105"/>
      <c r="H708" s="18"/>
    </row>
    <row r="709" spans="1:8" ht="12.75">
      <c r="A709" s="17"/>
      <c r="E709" s="18"/>
      <c r="F709" s="18"/>
      <c r="G709" s="105"/>
      <c r="H709" s="18"/>
    </row>
    <row r="710" spans="1:8" ht="12.75">
      <c r="A710" s="17"/>
      <c r="E710" s="18"/>
      <c r="F710" s="18"/>
      <c r="G710" s="105"/>
      <c r="H710" s="18"/>
    </row>
    <row r="711" spans="1:8" ht="12.75">
      <c r="A711" s="17"/>
      <c r="E711" s="18"/>
      <c r="F711" s="18"/>
      <c r="G711" s="105"/>
      <c r="H711" s="18"/>
    </row>
    <row r="712" spans="1:8" ht="12.75">
      <c r="A712" s="17"/>
      <c r="E712" s="18"/>
      <c r="F712" s="18"/>
      <c r="G712" s="105"/>
      <c r="H712" s="18"/>
    </row>
    <row r="713" spans="1:8" ht="12.75">
      <c r="A713" s="17"/>
      <c r="E713" s="18"/>
      <c r="F713" s="18"/>
      <c r="G713" s="105"/>
      <c r="H713" s="18"/>
    </row>
    <row r="714" spans="1:8" ht="12.75">
      <c r="A714" s="17"/>
      <c r="E714" s="18"/>
      <c r="F714" s="18"/>
      <c r="G714" s="105"/>
      <c r="H714" s="18"/>
    </row>
    <row r="715" spans="1:8" ht="12.75">
      <c r="A715" s="17"/>
      <c r="E715" s="18"/>
      <c r="F715" s="18"/>
      <c r="G715" s="105"/>
      <c r="H715" s="18"/>
    </row>
    <row r="716" spans="1:8" ht="12.75">
      <c r="A716" s="17"/>
      <c r="E716" s="18"/>
      <c r="F716" s="18"/>
      <c r="G716" s="105"/>
      <c r="H716" s="18"/>
    </row>
    <row r="717" spans="1:8" ht="12.75">
      <c r="A717" s="17"/>
      <c r="E717" s="18"/>
      <c r="F717" s="18"/>
      <c r="G717" s="105"/>
      <c r="H717" s="18"/>
    </row>
    <row r="718" spans="1:8" ht="12.75">
      <c r="A718" s="17"/>
      <c r="E718" s="18"/>
      <c r="F718" s="18"/>
      <c r="G718" s="105"/>
      <c r="H718" s="18"/>
    </row>
    <row r="719" spans="1:8" ht="12.75">
      <c r="A719" s="17"/>
      <c r="E719" s="18"/>
      <c r="F719" s="18"/>
      <c r="G719" s="105"/>
      <c r="H719" s="18"/>
    </row>
    <row r="720" spans="1:8" ht="12.75">
      <c r="A720" s="17"/>
      <c r="E720" s="18"/>
      <c r="F720" s="18"/>
      <c r="G720" s="105"/>
      <c r="H720" s="18"/>
    </row>
    <row r="721" spans="1:8" ht="12.75">
      <c r="A721" s="17"/>
      <c r="E721" s="18"/>
      <c r="F721" s="18"/>
      <c r="G721" s="105"/>
      <c r="H721" s="18"/>
    </row>
    <row r="722" spans="1:8" ht="12.75">
      <c r="A722" s="17"/>
      <c r="E722" s="18"/>
      <c r="F722" s="18"/>
      <c r="G722" s="105"/>
      <c r="H722" s="18"/>
    </row>
    <row r="723" spans="1:8" ht="12.75">
      <c r="A723" s="17"/>
      <c r="E723" s="18"/>
      <c r="F723" s="18"/>
      <c r="G723" s="105"/>
      <c r="H723" s="18"/>
    </row>
    <row r="724" spans="1:8" ht="12.75">
      <c r="A724" s="17"/>
      <c r="E724" s="18"/>
      <c r="F724" s="18"/>
      <c r="G724" s="105"/>
      <c r="H724" s="18"/>
    </row>
    <row r="725" spans="1:8" ht="12.75">
      <c r="A725" s="17"/>
      <c r="E725" s="18"/>
      <c r="F725" s="18"/>
      <c r="G725" s="105"/>
      <c r="H725" s="18"/>
    </row>
    <row r="726" spans="1:8" ht="12.75">
      <c r="A726" s="17"/>
      <c r="E726" s="18"/>
      <c r="F726" s="18"/>
      <c r="G726" s="105"/>
      <c r="H726" s="18"/>
    </row>
    <row r="727" spans="1:8" ht="12.75">
      <c r="A727" s="17"/>
      <c r="E727" s="18"/>
      <c r="F727" s="18"/>
      <c r="G727" s="105"/>
      <c r="H727" s="18"/>
    </row>
    <row r="728" spans="1:8" ht="12.75">
      <c r="A728" s="17"/>
      <c r="E728" s="18"/>
      <c r="F728" s="18"/>
      <c r="G728" s="105"/>
      <c r="H728" s="18"/>
    </row>
    <row r="729" spans="1:8" ht="12.75">
      <c r="A729" s="17"/>
      <c r="E729" s="18"/>
      <c r="F729" s="18"/>
      <c r="G729" s="105"/>
      <c r="H729" s="18"/>
    </row>
    <row r="730" spans="1:8" ht="12.75">
      <c r="A730" s="17"/>
      <c r="E730" s="18"/>
      <c r="F730" s="18"/>
      <c r="G730" s="105"/>
      <c r="H730" s="18"/>
    </row>
    <row r="731" spans="1:8" ht="12.75">
      <c r="A731" s="17"/>
      <c r="E731" s="18"/>
      <c r="F731" s="18"/>
      <c r="G731" s="105"/>
      <c r="H731" s="18"/>
    </row>
    <row r="732" spans="1:8" ht="12.75">
      <c r="A732" s="17"/>
      <c r="E732" s="18"/>
      <c r="F732" s="18"/>
      <c r="G732" s="105"/>
      <c r="H732" s="18"/>
    </row>
    <row r="733" spans="1:8" ht="12.75">
      <c r="A733" s="17"/>
      <c r="E733" s="18"/>
      <c r="F733" s="18"/>
      <c r="G733" s="105"/>
      <c r="H733" s="18"/>
    </row>
    <row r="734" spans="1:8" ht="12.75">
      <c r="A734" s="17"/>
      <c r="E734" s="18"/>
      <c r="F734" s="18"/>
      <c r="G734" s="105"/>
      <c r="H734" s="18"/>
    </row>
    <row r="735" spans="1:8" ht="12.75">
      <c r="A735" s="17"/>
      <c r="E735" s="18"/>
      <c r="F735" s="18"/>
      <c r="G735" s="105"/>
      <c r="H735" s="18"/>
    </row>
    <row r="736" spans="1:8" ht="12.75">
      <c r="A736" s="17"/>
      <c r="E736" s="18"/>
      <c r="F736" s="18"/>
      <c r="G736" s="105"/>
      <c r="H736" s="18"/>
    </row>
    <row r="737" spans="1:8" ht="12.75">
      <c r="A737" s="17"/>
      <c r="E737" s="18"/>
      <c r="F737" s="18"/>
      <c r="G737" s="105"/>
      <c r="H737" s="18"/>
    </row>
    <row r="738" spans="1:8" ht="12.75">
      <c r="A738" s="17"/>
      <c r="E738" s="18"/>
      <c r="F738" s="18"/>
      <c r="G738" s="105"/>
      <c r="H738" s="18"/>
    </row>
    <row r="739" spans="1:8" ht="12.75">
      <c r="A739" s="17"/>
      <c r="E739" s="18"/>
      <c r="F739" s="18"/>
      <c r="G739" s="105"/>
      <c r="H739" s="18"/>
    </row>
    <row r="740" spans="1:8" ht="12.75">
      <c r="A740" s="17"/>
      <c r="E740" s="18"/>
      <c r="F740" s="18"/>
      <c r="G740" s="105"/>
      <c r="H740" s="18"/>
    </row>
    <row r="741" spans="1:8" ht="12.75">
      <c r="A741" s="17"/>
      <c r="E741" s="18"/>
      <c r="F741" s="18"/>
      <c r="G741" s="105"/>
      <c r="H741" s="18"/>
    </row>
    <row r="742" spans="1:8" ht="12.75">
      <c r="A742" s="17"/>
      <c r="E742" s="18"/>
      <c r="F742" s="18"/>
      <c r="G742" s="105"/>
      <c r="H742" s="18"/>
    </row>
    <row r="743" spans="1:8" ht="12.75">
      <c r="A743" s="17"/>
      <c r="E743" s="18"/>
      <c r="F743" s="18"/>
      <c r="G743" s="105"/>
      <c r="H743" s="18"/>
    </row>
    <row r="744" spans="1:8" ht="12.75">
      <c r="A744" s="17"/>
      <c r="E744" s="18"/>
      <c r="F744" s="18"/>
      <c r="G744" s="105"/>
      <c r="H744" s="18"/>
    </row>
    <row r="745" spans="1:8" ht="12.75">
      <c r="A745" s="17"/>
      <c r="E745" s="18"/>
      <c r="F745" s="18"/>
      <c r="G745" s="105"/>
      <c r="H745" s="18"/>
    </row>
    <row r="746" spans="1:8" ht="12.75">
      <c r="A746" s="17"/>
      <c r="E746" s="18"/>
      <c r="F746" s="18"/>
      <c r="G746" s="105"/>
      <c r="H746" s="18"/>
    </row>
    <row r="747" spans="1:8" ht="12.75">
      <c r="A747" s="17"/>
      <c r="E747" s="18"/>
      <c r="F747" s="18"/>
      <c r="G747" s="105"/>
      <c r="H747" s="18"/>
    </row>
    <row r="748" spans="1:8" ht="12.75">
      <c r="A748" s="17"/>
      <c r="E748" s="18"/>
      <c r="F748" s="18"/>
      <c r="G748" s="105"/>
      <c r="H748" s="18"/>
    </row>
    <row r="749" spans="1:8" ht="12.75">
      <c r="A749" s="17"/>
      <c r="E749" s="18"/>
      <c r="F749" s="18"/>
      <c r="G749" s="105"/>
      <c r="H749" s="18"/>
    </row>
    <row r="750" spans="1:8" ht="12.75">
      <c r="A750" s="17"/>
      <c r="E750" s="18"/>
      <c r="F750" s="18"/>
      <c r="G750" s="105"/>
      <c r="H750" s="18"/>
    </row>
    <row r="751" spans="1:8" ht="12.75">
      <c r="A751" s="17"/>
      <c r="E751" s="18"/>
      <c r="F751" s="18"/>
      <c r="G751" s="105"/>
      <c r="H751" s="18"/>
    </row>
    <row r="752" spans="1:8" ht="12.75">
      <c r="A752" s="17"/>
      <c r="E752" s="18"/>
      <c r="F752" s="18"/>
      <c r="G752" s="105"/>
      <c r="H752" s="18"/>
    </row>
    <row r="753" spans="1:8" ht="12.75">
      <c r="A753" s="17"/>
      <c r="E753" s="18"/>
      <c r="F753" s="18"/>
      <c r="G753" s="105"/>
      <c r="H753" s="18"/>
    </row>
    <row r="754" spans="1:8" ht="12.75">
      <c r="A754" s="17"/>
      <c r="E754" s="18"/>
      <c r="F754" s="18"/>
      <c r="G754" s="105"/>
      <c r="H754" s="18"/>
    </row>
    <row r="755" spans="1:8" ht="12.75">
      <c r="A755" s="17"/>
      <c r="E755" s="18"/>
      <c r="F755" s="18"/>
      <c r="G755" s="105"/>
      <c r="H755" s="18"/>
    </row>
    <row r="756" spans="1:8" ht="12.75">
      <c r="A756" s="17"/>
      <c r="E756" s="18"/>
      <c r="F756" s="18"/>
      <c r="G756" s="105"/>
      <c r="H756" s="18"/>
    </row>
    <row r="757" spans="1:8" ht="12.75">
      <c r="A757" s="17"/>
      <c r="E757" s="18"/>
      <c r="F757" s="18"/>
      <c r="G757" s="105"/>
      <c r="H757" s="18"/>
    </row>
    <row r="758" spans="1:8" ht="12.75">
      <c r="A758" s="17"/>
      <c r="E758" s="18"/>
      <c r="F758" s="18"/>
      <c r="G758" s="105"/>
      <c r="H758" s="18"/>
    </row>
    <row r="759" spans="1:8" ht="12.75">
      <c r="A759" s="17"/>
      <c r="E759" s="18"/>
      <c r="F759" s="18"/>
      <c r="G759" s="105"/>
      <c r="H759" s="18"/>
    </row>
    <row r="760" spans="1:8" ht="12.75">
      <c r="A760" s="17"/>
      <c r="E760" s="18"/>
      <c r="F760" s="18"/>
      <c r="G760" s="105"/>
      <c r="H760" s="18"/>
    </row>
    <row r="761" spans="1:8" ht="12.75">
      <c r="A761" s="17"/>
      <c r="E761" s="18"/>
      <c r="F761" s="18"/>
      <c r="G761" s="105"/>
      <c r="H761" s="18"/>
    </row>
    <row r="762" spans="1:8" ht="12.75">
      <c r="A762" s="17"/>
      <c r="E762" s="18"/>
      <c r="F762" s="18"/>
      <c r="G762" s="105"/>
      <c r="H762" s="18"/>
    </row>
    <row r="763" spans="1:8" ht="12.75">
      <c r="A763" s="17"/>
      <c r="E763" s="18"/>
      <c r="F763" s="18"/>
      <c r="G763" s="105"/>
      <c r="H763" s="18"/>
    </row>
    <row r="764" spans="1:8" ht="12.75">
      <c r="A764" s="17"/>
      <c r="E764" s="18"/>
      <c r="F764" s="18"/>
      <c r="G764" s="105"/>
      <c r="H764" s="18"/>
    </row>
    <row r="765" spans="1:8" ht="12.75">
      <c r="A765" s="17"/>
      <c r="E765" s="18"/>
      <c r="F765" s="18"/>
      <c r="G765" s="105"/>
      <c r="H765" s="18"/>
    </row>
    <row r="766" spans="1:8" ht="12.75">
      <c r="A766" s="17"/>
      <c r="E766" s="18"/>
      <c r="F766" s="18"/>
      <c r="G766" s="105"/>
      <c r="H766" s="18"/>
    </row>
    <row r="767" spans="1:8" ht="12.75">
      <c r="A767" s="17"/>
      <c r="E767" s="18"/>
      <c r="F767" s="18"/>
      <c r="G767" s="105"/>
      <c r="H767" s="18"/>
    </row>
    <row r="768" spans="1:8" ht="12.75">
      <c r="A768" s="17"/>
      <c r="E768" s="18"/>
      <c r="F768" s="18"/>
      <c r="G768" s="105"/>
      <c r="H768" s="18"/>
    </row>
    <row r="769" spans="1:8" ht="12.75">
      <c r="A769" s="17"/>
      <c r="E769" s="18"/>
      <c r="F769" s="18"/>
      <c r="G769" s="105"/>
      <c r="H769" s="18"/>
    </row>
    <row r="770" spans="1:8" ht="12.75">
      <c r="A770" s="17"/>
      <c r="E770" s="18"/>
      <c r="F770" s="18"/>
      <c r="G770" s="105"/>
      <c r="H770" s="18"/>
    </row>
    <row r="771" spans="1:8" ht="12.75">
      <c r="A771" s="17"/>
      <c r="E771" s="18"/>
      <c r="F771" s="18"/>
      <c r="G771" s="105"/>
      <c r="H771" s="18"/>
    </row>
    <row r="772" spans="1:8" ht="12.75">
      <c r="A772" s="17"/>
      <c r="E772" s="18"/>
      <c r="F772" s="18"/>
      <c r="G772" s="105"/>
      <c r="H772" s="18"/>
    </row>
    <row r="773" spans="1:8" ht="12.75">
      <c r="A773" s="17"/>
      <c r="E773" s="18"/>
      <c r="F773" s="18"/>
      <c r="G773" s="105"/>
      <c r="H773" s="18"/>
    </row>
    <row r="774" spans="1:8" ht="12.75">
      <c r="A774" s="17"/>
      <c r="E774" s="18"/>
      <c r="F774" s="18"/>
      <c r="G774" s="105"/>
      <c r="H774" s="18"/>
    </row>
    <row r="775" spans="1:8" ht="12.75">
      <c r="A775" s="17"/>
      <c r="E775" s="18"/>
      <c r="F775" s="18"/>
      <c r="G775" s="105"/>
      <c r="H775" s="18"/>
    </row>
    <row r="776" spans="1:8" ht="12.75">
      <c r="A776" s="17"/>
      <c r="E776" s="18"/>
      <c r="F776" s="18"/>
      <c r="G776" s="105"/>
      <c r="H776" s="18"/>
    </row>
    <row r="777" spans="1:8" ht="12.75">
      <c r="A777" s="17"/>
      <c r="E777" s="18"/>
      <c r="F777" s="18"/>
      <c r="G777" s="105"/>
      <c r="H777" s="18"/>
    </row>
    <row r="778" spans="1:8" ht="12.75">
      <c r="A778" s="17"/>
      <c r="E778" s="18"/>
      <c r="F778" s="18"/>
      <c r="G778" s="105"/>
      <c r="H778" s="18"/>
    </row>
    <row r="779" spans="1:8" ht="12.75">
      <c r="A779" s="17"/>
      <c r="E779" s="18"/>
      <c r="F779" s="18"/>
      <c r="G779" s="105"/>
      <c r="H779" s="18"/>
    </row>
    <row r="780" spans="1:8" ht="12.75">
      <c r="A780" s="17"/>
      <c r="E780" s="18"/>
      <c r="F780" s="18"/>
      <c r="G780" s="105"/>
      <c r="H780" s="18"/>
    </row>
    <row r="781" spans="1:8" ht="12.75">
      <c r="A781" s="17"/>
      <c r="E781" s="18"/>
      <c r="F781" s="18"/>
      <c r="G781" s="105"/>
      <c r="H781" s="18"/>
    </row>
    <row r="782" spans="1:8" ht="12.75">
      <c r="A782" s="17"/>
      <c r="E782" s="18"/>
      <c r="F782" s="18"/>
      <c r="G782" s="105"/>
      <c r="H782" s="18"/>
    </row>
    <row r="783" spans="1:8" ht="12.75">
      <c r="A783" s="17"/>
      <c r="E783" s="18"/>
      <c r="F783" s="18"/>
      <c r="G783" s="105"/>
      <c r="H783" s="18"/>
    </row>
    <row r="784" spans="1:8" ht="12.75">
      <c r="A784" s="17"/>
      <c r="E784" s="18"/>
      <c r="F784" s="18"/>
      <c r="G784" s="105"/>
      <c r="H784" s="18"/>
    </row>
    <row r="785" spans="1:8" ht="12.75">
      <c r="A785" s="17"/>
      <c r="E785" s="18"/>
      <c r="F785" s="18"/>
      <c r="G785" s="105"/>
      <c r="H785" s="18"/>
    </row>
    <row r="786" spans="1:8" ht="12.75">
      <c r="A786" s="17"/>
      <c r="E786" s="18"/>
      <c r="F786" s="18"/>
      <c r="G786" s="105"/>
      <c r="H786" s="18"/>
    </row>
    <row r="787" spans="1:8" ht="12.75">
      <c r="A787" s="17"/>
      <c r="E787" s="18"/>
      <c r="F787" s="18"/>
      <c r="G787" s="105"/>
      <c r="H787" s="18"/>
    </row>
    <row r="788" spans="1:8" ht="12.75">
      <c r="A788" s="17"/>
      <c r="E788" s="18"/>
      <c r="F788" s="18"/>
      <c r="G788" s="105"/>
      <c r="H788" s="18"/>
    </row>
    <row r="789" spans="1:8" ht="12.75">
      <c r="A789" s="17"/>
      <c r="E789" s="18"/>
      <c r="F789" s="18"/>
      <c r="G789" s="105"/>
      <c r="H789" s="18"/>
    </row>
    <row r="790" spans="1:8" ht="12.75">
      <c r="A790" s="17"/>
      <c r="E790" s="18"/>
      <c r="F790" s="18"/>
      <c r="G790" s="105"/>
      <c r="H790" s="18"/>
    </row>
    <row r="791" spans="1:8" ht="12.75">
      <c r="A791" s="17"/>
      <c r="E791" s="18"/>
      <c r="F791" s="18"/>
      <c r="G791" s="105"/>
      <c r="H791" s="18"/>
    </row>
    <row r="792" spans="1:8" ht="12.75">
      <c r="A792" s="17"/>
      <c r="E792" s="18"/>
      <c r="F792" s="18"/>
      <c r="G792" s="105"/>
      <c r="H792" s="18"/>
    </row>
    <row r="793" spans="1:8" ht="12.75">
      <c r="A793" s="17"/>
      <c r="E793" s="18"/>
      <c r="F793" s="18"/>
      <c r="G793" s="105"/>
      <c r="H793" s="18"/>
    </row>
    <row r="794" spans="1:8" ht="12.75">
      <c r="A794" s="17"/>
      <c r="E794" s="18"/>
      <c r="F794" s="18"/>
      <c r="G794" s="105"/>
      <c r="H794" s="18"/>
    </row>
    <row r="795" spans="1:8" ht="12.75">
      <c r="A795" s="17"/>
      <c r="E795" s="18"/>
      <c r="F795" s="18"/>
      <c r="G795" s="105"/>
      <c r="H795" s="18"/>
    </row>
    <row r="796" spans="1:8" ht="12.75">
      <c r="A796" s="17"/>
      <c r="E796" s="18"/>
      <c r="F796" s="18"/>
      <c r="G796" s="105"/>
      <c r="H796" s="18"/>
    </row>
    <row r="797" spans="1:8" ht="12.75">
      <c r="A797" s="17"/>
      <c r="E797" s="18"/>
      <c r="F797" s="18"/>
      <c r="G797" s="105"/>
      <c r="H797" s="18"/>
    </row>
    <row r="798" spans="1:8" ht="12.75">
      <c r="A798" s="17"/>
      <c r="E798" s="18"/>
      <c r="F798" s="18"/>
      <c r="G798" s="105"/>
      <c r="H798" s="18"/>
    </row>
    <row r="799" spans="1:8" ht="12.75">
      <c r="A799" s="17"/>
      <c r="E799" s="18"/>
      <c r="F799" s="18"/>
      <c r="G799" s="105"/>
      <c r="H799" s="18"/>
    </row>
    <row r="800" spans="1:8" ht="12.75">
      <c r="A800" s="17"/>
      <c r="E800" s="18"/>
      <c r="F800" s="18"/>
      <c r="G800" s="105"/>
      <c r="H800" s="18"/>
    </row>
    <row r="801" spans="1:8" ht="12.75">
      <c r="A801" s="17"/>
      <c r="E801" s="18"/>
      <c r="F801" s="18"/>
      <c r="G801" s="105"/>
      <c r="H801" s="18"/>
    </row>
    <row r="802" spans="1:8" ht="12.75">
      <c r="A802" s="17"/>
      <c r="E802" s="18"/>
      <c r="F802" s="18"/>
      <c r="G802" s="105"/>
      <c r="H802" s="18"/>
    </row>
    <row r="803" spans="1:8" ht="12.75">
      <c r="A803" s="17"/>
      <c r="E803" s="18"/>
      <c r="F803" s="18"/>
      <c r="G803" s="105"/>
      <c r="H803" s="18"/>
    </row>
    <row r="804" spans="1:8" ht="12.75">
      <c r="A804" s="17"/>
      <c r="E804" s="18"/>
      <c r="F804" s="18"/>
      <c r="G804" s="105"/>
      <c r="H804" s="18"/>
    </row>
    <row r="805" spans="1:8" ht="12.75">
      <c r="A805" s="17"/>
      <c r="E805" s="18"/>
      <c r="F805" s="18"/>
      <c r="G805" s="105"/>
      <c r="H805" s="18"/>
    </row>
    <row r="806" spans="1:8" ht="12.75">
      <c r="A806" s="17"/>
      <c r="E806" s="18"/>
      <c r="F806" s="18"/>
      <c r="G806" s="105"/>
      <c r="H806" s="18"/>
    </row>
    <row r="807" spans="1:8" ht="12.75">
      <c r="A807" s="17"/>
      <c r="E807" s="18"/>
      <c r="F807" s="18"/>
      <c r="G807" s="105"/>
      <c r="H807" s="18"/>
    </row>
    <row r="808" spans="1:8" ht="12.75">
      <c r="A808" s="17"/>
      <c r="E808" s="18"/>
      <c r="F808" s="18"/>
      <c r="G808" s="105"/>
      <c r="H808" s="18"/>
    </row>
    <row r="809" spans="1:8" ht="12.75">
      <c r="A809" s="17"/>
      <c r="E809" s="18"/>
      <c r="F809" s="18"/>
      <c r="G809" s="105"/>
      <c r="H809" s="18"/>
    </row>
    <row r="810" spans="1:8" ht="12.75">
      <c r="A810" s="17"/>
      <c r="E810" s="18"/>
      <c r="F810" s="18"/>
      <c r="G810" s="105"/>
      <c r="H810" s="18"/>
    </row>
    <row r="811" spans="1:8" ht="12.75">
      <c r="A811" s="17"/>
      <c r="E811" s="18"/>
      <c r="F811" s="18"/>
      <c r="G811" s="105"/>
      <c r="H811" s="18"/>
    </row>
    <row r="812" spans="1:8" ht="12.75">
      <c r="A812" s="17"/>
      <c r="E812" s="18"/>
      <c r="F812" s="18"/>
      <c r="G812" s="105"/>
      <c r="H812" s="18"/>
    </row>
    <row r="813" spans="1:8" ht="12.75">
      <c r="A813" s="17"/>
      <c r="E813" s="18"/>
      <c r="F813" s="18"/>
      <c r="G813" s="105"/>
      <c r="H813" s="18"/>
    </row>
    <row r="814" spans="1:8" ht="12.75">
      <c r="A814" s="17"/>
      <c r="E814" s="18"/>
      <c r="F814" s="18"/>
      <c r="G814" s="105"/>
      <c r="H814" s="18"/>
    </row>
    <row r="815" spans="1:8" ht="12.75">
      <c r="A815" s="17"/>
      <c r="E815" s="18"/>
      <c r="F815" s="18"/>
      <c r="G815" s="105"/>
      <c r="H815" s="18"/>
    </row>
    <row r="816" spans="1:8" ht="12.75">
      <c r="A816" s="17"/>
      <c r="E816" s="18"/>
      <c r="F816" s="18"/>
      <c r="G816" s="105"/>
      <c r="H816" s="18"/>
    </row>
    <row r="817" spans="1:8" ht="12.75">
      <c r="A817" s="17"/>
      <c r="E817" s="18"/>
      <c r="F817" s="18"/>
      <c r="G817" s="105"/>
      <c r="H817" s="18"/>
    </row>
    <row r="818" spans="1:8" ht="12.75">
      <c r="A818" s="17"/>
      <c r="E818" s="18"/>
      <c r="F818" s="18"/>
      <c r="G818" s="105"/>
      <c r="H818" s="18"/>
    </row>
    <row r="819" spans="1:8" ht="12.75">
      <c r="A819" s="17"/>
      <c r="E819" s="18"/>
      <c r="F819" s="18"/>
      <c r="G819" s="105"/>
      <c r="H819" s="18"/>
    </row>
    <row r="820" spans="1:8" ht="12.75">
      <c r="A820" s="17"/>
      <c r="E820" s="18"/>
      <c r="F820" s="18"/>
      <c r="G820" s="105"/>
      <c r="H820" s="18"/>
    </row>
    <row r="821" spans="1:8" ht="12.75">
      <c r="A821" s="17"/>
      <c r="E821" s="18"/>
      <c r="F821" s="18"/>
      <c r="G821" s="105"/>
      <c r="H821" s="18"/>
    </row>
    <row r="822" spans="1:8" ht="12.75">
      <c r="A822" s="17"/>
      <c r="E822" s="18"/>
      <c r="F822" s="18"/>
      <c r="G822" s="105"/>
      <c r="H822" s="18"/>
    </row>
    <row r="823" spans="1:8" ht="12.75">
      <c r="A823" s="17"/>
      <c r="E823" s="18"/>
      <c r="F823" s="18"/>
      <c r="G823" s="105"/>
      <c r="H823" s="18"/>
    </row>
    <row r="824" spans="1:8" ht="12.75">
      <c r="A824" s="17"/>
      <c r="E824" s="18"/>
      <c r="F824" s="18"/>
      <c r="G824" s="105"/>
      <c r="H824" s="18"/>
    </row>
    <row r="825" spans="1:8" ht="12.75">
      <c r="A825" s="17"/>
      <c r="E825" s="18"/>
      <c r="F825" s="18"/>
      <c r="G825" s="105"/>
      <c r="H825" s="18"/>
    </row>
    <row r="826" spans="1:8" ht="12.75">
      <c r="A826" s="17"/>
      <c r="E826" s="18"/>
      <c r="F826" s="18"/>
      <c r="G826" s="105"/>
      <c r="H826" s="18"/>
    </row>
    <row r="827" spans="1:8" ht="12.75">
      <c r="A827" s="17"/>
      <c r="E827" s="18"/>
      <c r="F827" s="18"/>
      <c r="G827" s="105"/>
      <c r="H827" s="18"/>
    </row>
    <row r="828" spans="1:8" ht="12.75">
      <c r="A828" s="17"/>
      <c r="E828" s="18"/>
      <c r="F828" s="18"/>
      <c r="G828" s="105"/>
      <c r="H828" s="18"/>
    </row>
    <row r="829" spans="1:8" ht="12.75">
      <c r="A829" s="17"/>
      <c r="E829" s="18"/>
      <c r="F829" s="18"/>
      <c r="G829" s="105"/>
      <c r="H829" s="18"/>
    </row>
    <row r="830" spans="1:8" ht="12.75">
      <c r="A830" s="17"/>
      <c r="E830" s="18"/>
      <c r="F830" s="18"/>
      <c r="G830" s="105"/>
      <c r="H830" s="18"/>
    </row>
    <row r="831" spans="1:8" ht="12.75">
      <c r="A831" s="17"/>
      <c r="E831" s="18"/>
      <c r="F831" s="18"/>
      <c r="G831" s="105"/>
      <c r="H831" s="18"/>
    </row>
    <row r="832" spans="1:8" ht="12.75">
      <c r="A832" s="17"/>
      <c r="E832" s="18"/>
      <c r="F832" s="18"/>
      <c r="G832" s="105"/>
      <c r="H832" s="18"/>
    </row>
    <row r="833" spans="1:8" ht="12.75">
      <c r="A833" s="17"/>
      <c r="E833" s="18"/>
      <c r="F833" s="18"/>
      <c r="G833" s="105"/>
      <c r="H833" s="18"/>
    </row>
    <row r="834" spans="1:8" ht="12.75">
      <c r="A834" s="17"/>
      <c r="E834" s="18"/>
      <c r="F834" s="18"/>
      <c r="G834" s="105"/>
      <c r="H834" s="18"/>
    </row>
    <row r="835" spans="1:8" ht="12.75">
      <c r="A835" s="17"/>
      <c r="E835" s="18"/>
      <c r="F835" s="18"/>
      <c r="G835" s="105"/>
      <c r="H835" s="18"/>
    </row>
    <row r="836" spans="1:8" ht="12.75">
      <c r="A836" s="17"/>
      <c r="E836" s="18"/>
      <c r="F836" s="18"/>
      <c r="G836" s="105"/>
      <c r="H836" s="18"/>
    </row>
    <row r="837" spans="1:8" ht="12.75">
      <c r="A837" s="17"/>
      <c r="E837" s="18"/>
      <c r="F837" s="18"/>
      <c r="G837" s="105"/>
      <c r="H837" s="18"/>
    </row>
    <row r="838" spans="1:8" ht="12.75">
      <c r="A838" s="17"/>
      <c r="E838" s="18"/>
      <c r="F838" s="18"/>
      <c r="G838" s="105"/>
      <c r="H838" s="18"/>
    </row>
    <row r="839" spans="1:8" ht="12.75">
      <c r="A839" s="17"/>
      <c r="E839" s="18"/>
      <c r="F839" s="18"/>
      <c r="G839" s="105"/>
      <c r="H839" s="18"/>
    </row>
    <row r="840" spans="1:8" ht="12.75">
      <c r="A840" s="17"/>
      <c r="E840" s="18"/>
      <c r="F840" s="18"/>
      <c r="G840" s="105"/>
      <c r="H840" s="18"/>
    </row>
    <row r="841" spans="1:8" ht="12.75">
      <c r="A841" s="17"/>
      <c r="E841" s="18"/>
      <c r="F841" s="18"/>
      <c r="G841" s="105"/>
      <c r="H841" s="18"/>
    </row>
    <row r="842" spans="1:8" ht="12.75">
      <c r="A842" s="17"/>
      <c r="E842" s="18"/>
      <c r="F842" s="18"/>
      <c r="G842" s="105"/>
      <c r="H842" s="18"/>
    </row>
    <row r="843" spans="1:8" ht="12.75">
      <c r="A843" s="17"/>
      <c r="E843" s="18"/>
      <c r="F843" s="18"/>
      <c r="G843" s="105"/>
      <c r="H843" s="18"/>
    </row>
    <row r="844" spans="1:8" ht="12.75">
      <c r="A844" s="17"/>
      <c r="E844" s="18"/>
      <c r="F844" s="18"/>
      <c r="G844" s="105"/>
      <c r="H844" s="18"/>
    </row>
    <row r="845" spans="1:8" ht="12.75">
      <c r="A845" s="17"/>
      <c r="E845" s="18"/>
      <c r="F845" s="18"/>
      <c r="G845" s="105"/>
      <c r="H845" s="18"/>
    </row>
    <row r="846" spans="1:8" ht="12.75">
      <c r="A846" s="17"/>
      <c r="E846" s="18"/>
      <c r="F846" s="18"/>
      <c r="G846" s="105"/>
      <c r="H846" s="18"/>
    </row>
    <row r="847" spans="1:8" ht="12.75">
      <c r="A847" s="17"/>
      <c r="E847" s="18"/>
      <c r="F847" s="18"/>
      <c r="G847" s="105"/>
      <c r="H847" s="18"/>
    </row>
    <row r="848" spans="1:8" ht="12.75">
      <c r="A848" s="17"/>
      <c r="E848" s="18"/>
      <c r="F848" s="18"/>
      <c r="G848" s="105"/>
      <c r="H848" s="18"/>
    </row>
    <row r="849" spans="1:8" ht="12.75">
      <c r="A849" s="17"/>
      <c r="E849" s="18"/>
      <c r="F849" s="18"/>
      <c r="G849" s="105"/>
      <c r="H849" s="18"/>
    </row>
    <row r="850" spans="1:8" ht="12.75">
      <c r="A850" s="17"/>
      <c r="E850" s="18"/>
      <c r="F850" s="18"/>
      <c r="G850" s="105"/>
      <c r="H850" s="18"/>
    </row>
    <row r="851" spans="1:8" ht="12.75">
      <c r="A851" s="17"/>
      <c r="E851" s="18"/>
      <c r="F851" s="18"/>
      <c r="G851" s="105"/>
      <c r="H851" s="18"/>
    </row>
    <row r="852" spans="1:8" ht="12.75">
      <c r="A852" s="17"/>
      <c r="E852" s="18"/>
      <c r="F852" s="18"/>
      <c r="G852" s="105"/>
      <c r="H852" s="18"/>
    </row>
    <row r="853" spans="1:8" ht="12.75">
      <c r="A853" s="17"/>
      <c r="E853" s="18"/>
      <c r="F853" s="18"/>
      <c r="G853" s="105"/>
      <c r="H853" s="18"/>
    </row>
    <row r="854" spans="1:8" ht="12.75">
      <c r="A854" s="17"/>
      <c r="E854" s="18"/>
      <c r="F854" s="18"/>
      <c r="G854" s="105"/>
      <c r="H854" s="18"/>
    </row>
    <row r="855" spans="1:8" ht="12.75">
      <c r="A855" s="17"/>
      <c r="E855" s="18"/>
      <c r="F855" s="18"/>
      <c r="G855" s="105"/>
      <c r="H855" s="18"/>
    </row>
    <row r="856" spans="1:8" ht="12.75">
      <c r="A856" s="17"/>
      <c r="E856" s="18"/>
      <c r="F856" s="18"/>
      <c r="G856" s="105"/>
      <c r="H856" s="18"/>
    </row>
    <row r="857" spans="1:8" ht="12.75">
      <c r="A857" s="17"/>
      <c r="E857" s="18"/>
      <c r="F857" s="18"/>
      <c r="G857" s="105"/>
      <c r="H857" s="18"/>
    </row>
    <row r="858" spans="1:8" ht="12.75">
      <c r="A858" s="17"/>
      <c r="E858" s="18"/>
      <c r="F858" s="18"/>
      <c r="G858" s="105"/>
      <c r="H858" s="18"/>
    </row>
    <row r="859" spans="1:8" ht="12.75">
      <c r="A859" s="17"/>
      <c r="E859" s="18"/>
      <c r="F859" s="18"/>
      <c r="G859" s="105"/>
      <c r="H859" s="18"/>
    </row>
    <row r="860" spans="1:8" ht="12.75">
      <c r="A860" s="17"/>
      <c r="E860" s="18"/>
      <c r="F860" s="18"/>
      <c r="G860" s="105"/>
      <c r="H860" s="18"/>
    </row>
    <row r="861" spans="1:8" ht="12.75">
      <c r="A861" s="17"/>
      <c r="E861" s="18"/>
      <c r="F861" s="18"/>
      <c r="G861" s="105"/>
      <c r="H861" s="18"/>
    </row>
    <row r="862" spans="1:8" ht="12.75">
      <c r="A862" s="17"/>
      <c r="E862" s="18"/>
      <c r="F862" s="18"/>
      <c r="G862" s="105"/>
      <c r="H862" s="18"/>
    </row>
    <row r="863" spans="1:8" ht="12.75">
      <c r="A863" s="17"/>
      <c r="E863" s="18"/>
      <c r="F863" s="18"/>
      <c r="G863" s="105"/>
      <c r="H863" s="18"/>
    </row>
    <row r="864" spans="1:8" ht="12.75">
      <c r="A864" s="17"/>
      <c r="E864" s="18"/>
      <c r="F864" s="18"/>
      <c r="G864" s="105"/>
      <c r="H864" s="18"/>
    </row>
    <row r="865" spans="1:8" ht="12.75">
      <c r="A865" s="17"/>
      <c r="E865" s="18"/>
      <c r="F865" s="18"/>
      <c r="G865" s="105"/>
      <c r="H865" s="18"/>
    </row>
    <row r="866" spans="1:8" ht="12.75">
      <c r="A866" s="17"/>
      <c r="E866" s="18"/>
      <c r="F866" s="18"/>
      <c r="G866" s="105"/>
      <c r="H866" s="18"/>
    </row>
    <row r="867" spans="1:8" ht="12.75">
      <c r="A867" s="17"/>
      <c r="E867" s="18"/>
      <c r="F867" s="18"/>
      <c r="G867" s="105"/>
      <c r="H867" s="18"/>
    </row>
    <row r="868" spans="1:8" ht="12.75">
      <c r="A868" s="17"/>
      <c r="E868" s="18"/>
      <c r="F868" s="18"/>
      <c r="G868" s="105"/>
      <c r="H868" s="18"/>
    </row>
    <row r="869" spans="1:8" ht="12.75">
      <c r="A869" s="17"/>
      <c r="E869" s="18"/>
      <c r="F869" s="18"/>
      <c r="G869" s="105"/>
      <c r="H869" s="18"/>
    </row>
    <row r="870" spans="1:8" ht="12.75">
      <c r="A870" s="17"/>
      <c r="E870" s="18"/>
      <c r="F870" s="18"/>
      <c r="G870" s="105"/>
      <c r="H870" s="18"/>
    </row>
    <row r="871" spans="1:8" ht="12.75">
      <c r="A871" s="17"/>
      <c r="E871" s="18"/>
      <c r="F871" s="18"/>
      <c r="G871" s="105"/>
      <c r="H871" s="18"/>
    </row>
    <row r="872" spans="1:8" ht="12.75">
      <c r="A872" s="17"/>
      <c r="E872" s="18"/>
      <c r="F872" s="18"/>
      <c r="G872" s="105"/>
      <c r="H872" s="18"/>
    </row>
    <row r="873" spans="1:8" ht="12.75">
      <c r="A873" s="17"/>
      <c r="E873" s="18"/>
      <c r="F873" s="18"/>
      <c r="G873" s="105"/>
      <c r="H873" s="18"/>
    </row>
    <row r="874" spans="1:8" ht="12.75">
      <c r="A874" s="17"/>
      <c r="E874" s="18"/>
      <c r="F874" s="18"/>
      <c r="G874" s="105"/>
      <c r="H874" s="18"/>
    </row>
    <row r="875" spans="1:8" ht="12.75">
      <c r="A875" s="17"/>
      <c r="E875" s="18"/>
      <c r="F875" s="18"/>
      <c r="G875" s="105"/>
      <c r="H875" s="18"/>
    </row>
    <row r="876" spans="1:8" ht="12.75">
      <c r="A876" s="17"/>
      <c r="E876" s="18"/>
      <c r="F876" s="18"/>
      <c r="G876" s="105"/>
      <c r="H876" s="18"/>
    </row>
    <row r="877" spans="1:8" ht="12.75">
      <c r="A877" s="17"/>
      <c r="E877" s="18"/>
      <c r="F877" s="18"/>
      <c r="G877" s="105"/>
      <c r="H877" s="18"/>
    </row>
    <row r="878" spans="1:8" ht="12.75">
      <c r="A878" s="17"/>
      <c r="E878" s="18"/>
      <c r="F878" s="18"/>
      <c r="G878" s="105"/>
      <c r="H878" s="18"/>
    </row>
    <row r="879" spans="1:8" ht="12.75">
      <c r="A879" s="17"/>
      <c r="E879" s="18"/>
      <c r="F879" s="18"/>
      <c r="G879" s="105"/>
      <c r="H879" s="18"/>
    </row>
    <row r="880" spans="1:8" ht="12.75">
      <c r="A880" s="17"/>
      <c r="E880" s="18"/>
      <c r="F880" s="18"/>
      <c r="G880" s="105"/>
      <c r="H880" s="18"/>
    </row>
    <row r="881" spans="1:8" ht="12.75">
      <c r="A881" s="17"/>
      <c r="E881" s="18"/>
      <c r="F881" s="18"/>
      <c r="G881" s="105"/>
      <c r="H881" s="18"/>
    </row>
    <row r="882" spans="1:8" ht="12.75">
      <c r="A882" s="17"/>
      <c r="E882" s="18"/>
      <c r="F882" s="18"/>
      <c r="G882" s="105"/>
      <c r="H882" s="18"/>
    </row>
    <row r="883" spans="1:8" ht="12.75">
      <c r="A883" s="17"/>
      <c r="E883" s="18"/>
      <c r="F883" s="18"/>
      <c r="G883" s="105"/>
      <c r="H883" s="18"/>
    </row>
    <row r="884" spans="1:8" ht="12.75">
      <c r="A884" s="17"/>
      <c r="E884" s="18"/>
      <c r="F884" s="18"/>
      <c r="G884" s="105"/>
      <c r="H884" s="18"/>
    </row>
    <row r="885" spans="1:8" ht="12.75">
      <c r="A885" s="17"/>
      <c r="E885" s="18"/>
      <c r="F885" s="18"/>
      <c r="G885" s="105"/>
      <c r="H885" s="18"/>
    </row>
    <row r="886" spans="1:8" ht="12.75">
      <c r="A886" s="17"/>
      <c r="E886" s="18"/>
      <c r="F886" s="18"/>
      <c r="G886" s="105"/>
      <c r="H886" s="18"/>
    </row>
    <row r="887" spans="1:8" ht="12.75">
      <c r="A887" s="17"/>
      <c r="E887" s="18"/>
      <c r="F887" s="18"/>
      <c r="G887" s="105"/>
      <c r="H887" s="18"/>
    </row>
    <row r="888" spans="1:8" ht="12.75">
      <c r="A888" s="17"/>
      <c r="E888" s="18"/>
      <c r="F888" s="18"/>
      <c r="G888" s="105"/>
      <c r="H888" s="18"/>
    </row>
    <row r="889" spans="1:8" ht="12.75">
      <c r="A889" s="17"/>
      <c r="E889" s="18"/>
      <c r="F889" s="18"/>
      <c r="G889" s="105"/>
      <c r="H889" s="18"/>
    </row>
    <row r="890" spans="1:8" ht="12.75">
      <c r="A890" s="17"/>
      <c r="E890" s="18"/>
      <c r="F890" s="18"/>
      <c r="G890" s="105"/>
      <c r="H890" s="18"/>
    </row>
    <row r="891" spans="1:8" ht="12.75">
      <c r="A891" s="17"/>
      <c r="E891" s="18"/>
      <c r="F891" s="18"/>
      <c r="G891" s="105"/>
      <c r="H891" s="18"/>
    </row>
    <row r="892" spans="1:8" ht="12.75">
      <c r="A892" s="17"/>
      <c r="E892" s="18"/>
      <c r="F892" s="18"/>
      <c r="G892" s="105"/>
      <c r="H892" s="18"/>
    </row>
    <row r="893" spans="1:8" ht="12.75">
      <c r="A893" s="17"/>
      <c r="E893" s="18"/>
      <c r="F893" s="18"/>
      <c r="G893" s="105"/>
      <c r="H893" s="18"/>
    </row>
    <row r="894" spans="1:8" ht="12.75">
      <c r="A894" s="17"/>
      <c r="E894" s="18"/>
      <c r="F894" s="18"/>
      <c r="G894" s="105"/>
      <c r="H894" s="18"/>
    </row>
    <row r="895" spans="1:8" ht="12.75">
      <c r="A895" s="17"/>
      <c r="E895" s="18"/>
      <c r="F895" s="18"/>
      <c r="G895" s="105"/>
      <c r="H895" s="18"/>
    </row>
    <row r="896" spans="1:8" ht="12.75">
      <c r="A896" s="17"/>
      <c r="E896" s="18"/>
      <c r="F896" s="18"/>
      <c r="G896" s="105"/>
      <c r="H896" s="18"/>
    </row>
    <row r="897" spans="1:8" ht="12.75">
      <c r="A897" s="17"/>
      <c r="E897" s="18"/>
      <c r="F897" s="18"/>
      <c r="G897" s="105"/>
      <c r="H897" s="18"/>
    </row>
    <row r="898" spans="1:8" ht="12.75">
      <c r="A898" s="17"/>
      <c r="E898" s="18"/>
      <c r="F898" s="18"/>
      <c r="G898" s="105"/>
      <c r="H898" s="18"/>
    </row>
    <row r="899" spans="1:8" ht="12.75">
      <c r="A899" s="17"/>
      <c r="E899" s="18"/>
      <c r="F899" s="18"/>
      <c r="G899" s="105"/>
      <c r="H899" s="18"/>
    </row>
    <row r="900" spans="1:8" ht="12.75">
      <c r="A900" s="17"/>
      <c r="E900" s="18"/>
      <c r="F900" s="18"/>
      <c r="G900" s="105"/>
      <c r="H900" s="18"/>
    </row>
    <row r="901" spans="1:8" ht="12.75">
      <c r="A901" s="17"/>
      <c r="E901" s="18"/>
      <c r="F901" s="18"/>
      <c r="G901" s="105"/>
      <c r="H901" s="18"/>
    </row>
    <row r="902" spans="1:8" ht="12.75">
      <c r="A902" s="17"/>
      <c r="E902" s="18"/>
      <c r="F902" s="18"/>
      <c r="G902" s="105"/>
      <c r="H902" s="18"/>
    </row>
    <row r="903" spans="1:8" ht="12.75">
      <c r="A903" s="17"/>
      <c r="E903" s="18"/>
      <c r="F903" s="18"/>
      <c r="G903" s="105"/>
      <c r="H903" s="18"/>
    </row>
    <row r="904" spans="1:8" ht="12.75">
      <c r="A904" s="17"/>
      <c r="E904" s="18"/>
      <c r="F904" s="18"/>
      <c r="G904" s="105"/>
      <c r="H904" s="18"/>
    </row>
    <row r="905" spans="1:8" ht="12.75">
      <c r="A905" s="17"/>
      <c r="E905" s="18"/>
      <c r="F905" s="18"/>
      <c r="G905" s="105"/>
      <c r="H905" s="18"/>
    </row>
    <row r="906" spans="1:8" ht="12.75">
      <c r="A906" s="17"/>
      <c r="E906" s="18"/>
      <c r="F906" s="18"/>
      <c r="G906" s="105"/>
      <c r="H906" s="18"/>
    </row>
    <row r="907" spans="1:8" ht="12.75">
      <c r="A907" s="17"/>
      <c r="E907" s="18"/>
      <c r="F907" s="18"/>
      <c r="G907" s="105"/>
      <c r="H907" s="18"/>
    </row>
    <row r="908" spans="1:8" ht="12.75">
      <c r="A908" s="17"/>
      <c r="E908" s="18"/>
      <c r="F908" s="18"/>
      <c r="G908" s="105"/>
      <c r="H908" s="18"/>
    </row>
    <row r="909" spans="1:8" ht="12.75">
      <c r="A909" s="17"/>
      <c r="E909" s="18"/>
      <c r="F909" s="18"/>
      <c r="G909" s="105"/>
      <c r="H909" s="18"/>
    </row>
    <row r="910" spans="1:8" ht="12.75">
      <c r="A910" s="17"/>
      <c r="E910" s="18"/>
      <c r="F910" s="18"/>
      <c r="G910" s="105"/>
      <c r="H910" s="18"/>
    </row>
    <row r="911" spans="1:8" ht="12.75">
      <c r="A911" s="17"/>
      <c r="E911" s="18"/>
      <c r="F911" s="18"/>
      <c r="G911" s="105"/>
      <c r="H911" s="18"/>
    </row>
    <row r="912" spans="1:8" ht="12.75">
      <c r="A912" s="17"/>
      <c r="E912" s="18"/>
      <c r="F912" s="18"/>
      <c r="G912" s="105"/>
      <c r="H912" s="18"/>
    </row>
    <row r="913" spans="1:8" ht="12.75">
      <c r="A913" s="17"/>
      <c r="E913" s="18"/>
      <c r="F913" s="18"/>
      <c r="G913" s="105"/>
      <c r="H913" s="18"/>
    </row>
    <row r="914" spans="1:8" ht="12.75">
      <c r="A914" s="17"/>
      <c r="E914" s="18"/>
      <c r="F914" s="18"/>
      <c r="G914" s="105"/>
      <c r="H914" s="18"/>
    </row>
    <row r="915" spans="1:8" ht="12.75">
      <c r="A915" s="17"/>
      <c r="E915" s="18"/>
      <c r="F915" s="18"/>
      <c r="G915" s="105"/>
      <c r="H915" s="18"/>
    </row>
    <row r="916" spans="1:8" ht="12.75">
      <c r="A916" s="17"/>
      <c r="E916" s="18"/>
      <c r="F916" s="18"/>
      <c r="G916" s="105"/>
      <c r="H916" s="18"/>
    </row>
    <row r="917" spans="1:8" ht="12.75">
      <c r="A917" s="17"/>
      <c r="E917" s="18"/>
      <c r="F917" s="18"/>
      <c r="G917" s="105"/>
      <c r="H917" s="18"/>
    </row>
    <row r="918" spans="1:8" ht="12.75">
      <c r="A918" s="17"/>
      <c r="E918" s="18"/>
      <c r="F918" s="18"/>
      <c r="G918" s="105"/>
      <c r="H918" s="18"/>
    </row>
    <row r="919" spans="1:8" ht="12.75">
      <c r="A919" s="17"/>
      <c r="E919" s="18"/>
      <c r="F919" s="18"/>
      <c r="G919" s="105"/>
      <c r="H919" s="18"/>
    </row>
    <row r="920" spans="1:8" ht="12.75">
      <c r="A920" s="17"/>
      <c r="E920" s="18"/>
      <c r="F920" s="18"/>
      <c r="G920" s="105"/>
      <c r="H920" s="18"/>
    </row>
    <row r="921" spans="1:8" ht="12.75">
      <c r="A921" s="17"/>
      <c r="E921" s="18"/>
      <c r="F921" s="18"/>
      <c r="G921" s="105"/>
      <c r="H921" s="18"/>
    </row>
    <row r="922" spans="1:8" ht="12.75">
      <c r="A922" s="17"/>
      <c r="E922" s="18"/>
      <c r="F922" s="18"/>
      <c r="G922" s="105"/>
      <c r="H922" s="18"/>
    </row>
    <row r="923" spans="1:8" ht="12.75">
      <c r="A923" s="17"/>
      <c r="E923" s="18"/>
      <c r="F923" s="18"/>
      <c r="G923" s="105"/>
      <c r="H923" s="18"/>
    </row>
    <row r="924" spans="1:8" ht="12.75">
      <c r="A924" s="17"/>
      <c r="E924" s="18"/>
      <c r="F924" s="18"/>
      <c r="G924" s="105"/>
      <c r="H924" s="18"/>
    </row>
    <row r="925" spans="1:8" ht="12.75">
      <c r="A925" s="17"/>
      <c r="E925" s="18"/>
      <c r="F925" s="18"/>
      <c r="G925" s="105"/>
      <c r="H925" s="18"/>
    </row>
    <row r="926" spans="1:8" ht="12.75">
      <c r="A926" s="17"/>
      <c r="E926" s="18"/>
      <c r="F926" s="18"/>
      <c r="G926" s="105"/>
      <c r="H926" s="18"/>
    </row>
    <row r="927" spans="1:8" ht="12.75">
      <c r="A927" s="17"/>
      <c r="E927" s="18"/>
      <c r="F927" s="18"/>
      <c r="G927" s="105"/>
      <c r="H927" s="18"/>
    </row>
    <row r="928" spans="1:8" ht="12.75">
      <c r="A928" s="17"/>
      <c r="E928" s="18"/>
      <c r="F928" s="18"/>
      <c r="G928" s="105"/>
      <c r="H928" s="18"/>
    </row>
    <row r="929" spans="1:8" ht="12.75">
      <c r="A929" s="17"/>
      <c r="E929" s="18"/>
      <c r="F929" s="18"/>
      <c r="G929" s="105"/>
      <c r="H929" s="18"/>
    </row>
    <row r="930" spans="1:8" ht="12.75">
      <c r="A930" s="17"/>
      <c r="E930" s="18"/>
      <c r="F930" s="18"/>
      <c r="G930" s="105"/>
      <c r="H930" s="18"/>
    </row>
    <row r="931" spans="1:8" ht="12.75">
      <c r="A931" s="17"/>
      <c r="E931" s="18"/>
      <c r="F931" s="18"/>
      <c r="G931" s="105"/>
      <c r="H931" s="18"/>
    </row>
    <row r="932" spans="1:8" ht="12.75">
      <c r="A932" s="17"/>
      <c r="E932" s="18"/>
      <c r="F932" s="18"/>
      <c r="G932" s="105"/>
      <c r="H932" s="18"/>
    </row>
    <row r="933" spans="1:8" ht="12.75">
      <c r="A933" s="17"/>
      <c r="E933" s="18"/>
      <c r="F933" s="18"/>
      <c r="G933" s="105"/>
      <c r="H933" s="18"/>
    </row>
    <row r="934" spans="1:8" ht="12.75">
      <c r="A934" s="17"/>
      <c r="E934" s="18"/>
      <c r="F934" s="18"/>
      <c r="G934" s="105"/>
      <c r="H934" s="18"/>
    </row>
    <row r="935" spans="1:8" ht="12.75">
      <c r="A935" s="17"/>
      <c r="E935" s="18"/>
      <c r="F935" s="18"/>
      <c r="G935" s="105"/>
      <c r="H935" s="18"/>
    </row>
    <row r="936" spans="1:8" ht="12.75">
      <c r="A936" s="17"/>
      <c r="E936" s="18"/>
      <c r="F936" s="18"/>
      <c r="G936" s="105"/>
      <c r="H936" s="18"/>
    </row>
    <row r="937" spans="1:8" ht="12.75">
      <c r="A937" s="17"/>
      <c r="E937" s="18"/>
      <c r="F937" s="18"/>
      <c r="G937" s="105"/>
      <c r="H937" s="18"/>
    </row>
    <row r="938" spans="1:8" ht="12.75">
      <c r="A938" s="17"/>
      <c r="E938" s="18"/>
      <c r="F938" s="18"/>
      <c r="G938" s="105"/>
      <c r="H938" s="18"/>
    </row>
    <row r="939" spans="1:8" ht="12.75">
      <c r="A939" s="17"/>
      <c r="E939" s="18"/>
      <c r="F939" s="18"/>
      <c r="G939" s="105"/>
      <c r="H939" s="18"/>
    </row>
    <row r="940" spans="1:8" ht="12.75">
      <c r="A940" s="17"/>
      <c r="E940" s="18"/>
      <c r="F940" s="18"/>
      <c r="G940" s="105"/>
      <c r="H940" s="18"/>
    </row>
    <row r="941" spans="1:8" ht="12.75">
      <c r="A941" s="17"/>
      <c r="E941" s="18"/>
      <c r="F941" s="18"/>
      <c r="G941" s="105"/>
      <c r="H941" s="18"/>
    </row>
    <row r="942" spans="1:8" ht="12.75">
      <c r="A942" s="17"/>
      <c r="E942" s="18"/>
      <c r="F942" s="18"/>
      <c r="G942" s="105"/>
      <c r="H942" s="18"/>
    </row>
    <row r="943" spans="1:8" ht="12.75">
      <c r="A943" s="17"/>
      <c r="E943" s="18"/>
      <c r="F943" s="18"/>
      <c r="G943" s="105"/>
      <c r="H943" s="18"/>
    </row>
    <row r="944" spans="1:8" ht="12.75">
      <c r="A944" s="17"/>
      <c r="E944" s="18"/>
      <c r="F944" s="18"/>
      <c r="G944" s="105"/>
      <c r="H944" s="18"/>
    </row>
    <row r="945" spans="1:8" ht="12.75">
      <c r="A945" s="17"/>
      <c r="E945" s="18"/>
      <c r="F945" s="18"/>
      <c r="G945" s="105"/>
      <c r="H945" s="18"/>
    </row>
    <row r="946" spans="1:8" ht="12.75">
      <c r="A946" s="17"/>
      <c r="E946" s="18"/>
      <c r="F946" s="18"/>
      <c r="G946" s="105"/>
      <c r="H946" s="18"/>
    </row>
    <row r="947" spans="1:8" ht="12.75">
      <c r="A947" s="17"/>
      <c r="E947" s="18"/>
      <c r="F947" s="18"/>
      <c r="G947" s="105"/>
      <c r="H947" s="18"/>
    </row>
    <row r="948" spans="1:8" ht="12.75">
      <c r="A948" s="17"/>
      <c r="E948" s="18"/>
      <c r="F948" s="18"/>
      <c r="G948" s="105"/>
      <c r="H948" s="18"/>
    </row>
    <row r="949" spans="1:8" ht="12.75">
      <c r="A949" s="17"/>
      <c r="E949" s="18"/>
      <c r="F949" s="18"/>
      <c r="G949" s="105"/>
      <c r="H949" s="18"/>
    </row>
    <row r="950" spans="1:8" ht="12.75">
      <c r="A950" s="17"/>
      <c r="E950" s="18"/>
      <c r="F950" s="18"/>
      <c r="G950" s="105"/>
      <c r="H950" s="18"/>
    </row>
    <row r="951" spans="1:8" ht="12.75">
      <c r="A951" s="17"/>
      <c r="E951" s="18"/>
      <c r="F951" s="18"/>
      <c r="G951" s="105"/>
      <c r="H951" s="18"/>
    </row>
    <row r="952" spans="1:8" ht="12.75">
      <c r="A952" s="17"/>
      <c r="E952" s="18"/>
      <c r="F952" s="18"/>
      <c r="G952" s="105"/>
      <c r="H952" s="18"/>
    </row>
    <row r="953" spans="1:8" ht="12.75">
      <c r="A953" s="17"/>
      <c r="E953" s="18"/>
      <c r="F953" s="18"/>
      <c r="G953" s="105"/>
      <c r="H953" s="18"/>
    </row>
    <row r="954" spans="1:8" ht="12.75">
      <c r="A954" s="17"/>
      <c r="E954" s="18"/>
      <c r="F954" s="18"/>
      <c r="G954" s="105"/>
      <c r="H954" s="18"/>
    </row>
    <row r="955" spans="1:8" ht="12.75">
      <c r="A955" s="17"/>
      <c r="E955" s="18"/>
      <c r="F955" s="18"/>
      <c r="G955" s="105"/>
      <c r="H955" s="18"/>
    </row>
    <row r="956" spans="1:8" ht="12.75">
      <c r="A956" s="17"/>
      <c r="E956" s="18"/>
      <c r="F956" s="18"/>
      <c r="G956" s="105"/>
      <c r="H956" s="18"/>
    </row>
    <row r="957" spans="1:8" ht="12.75">
      <c r="A957" s="17"/>
      <c r="E957" s="18"/>
      <c r="F957" s="18"/>
      <c r="G957" s="105"/>
      <c r="H957" s="18"/>
    </row>
    <row r="958" spans="1:8" ht="12.75">
      <c r="A958" s="17"/>
      <c r="E958" s="18"/>
      <c r="F958" s="18"/>
      <c r="G958" s="105"/>
      <c r="H958" s="18"/>
    </row>
    <row r="959" spans="1:8" ht="12.75">
      <c r="A959" s="17"/>
      <c r="E959" s="18"/>
      <c r="F959" s="18"/>
      <c r="G959" s="105"/>
      <c r="H959" s="18"/>
    </row>
    <row r="960" spans="1:8" ht="12.75">
      <c r="A960" s="17"/>
      <c r="E960" s="18"/>
      <c r="F960" s="18"/>
      <c r="G960" s="105"/>
      <c r="H960" s="18"/>
    </row>
    <row r="961" spans="1:8" ht="12.75">
      <c r="A961" s="17"/>
      <c r="E961" s="18"/>
      <c r="F961" s="18"/>
      <c r="G961" s="105"/>
      <c r="H961" s="18"/>
    </row>
    <row r="962" spans="1:8" ht="12.75">
      <c r="A962" s="17"/>
      <c r="E962" s="18"/>
      <c r="F962" s="18"/>
      <c r="G962" s="105"/>
      <c r="H962" s="18"/>
    </row>
    <row r="963" spans="1:8" ht="12.75">
      <c r="A963" s="17"/>
      <c r="E963" s="18"/>
      <c r="F963" s="18"/>
      <c r="G963" s="105"/>
      <c r="H963" s="18"/>
    </row>
    <row r="964" spans="1:8" ht="12.75">
      <c r="A964" s="17"/>
      <c r="E964" s="18"/>
      <c r="F964" s="18"/>
      <c r="G964" s="105"/>
      <c r="H964" s="18"/>
    </row>
    <row r="965" spans="1:8" ht="12.75">
      <c r="A965" s="17"/>
      <c r="E965" s="18"/>
      <c r="F965" s="18"/>
      <c r="G965" s="105"/>
      <c r="H965" s="18"/>
    </row>
    <row r="966" spans="1:8" ht="12.75">
      <c r="A966" s="17"/>
      <c r="E966" s="18"/>
      <c r="F966" s="18"/>
      <c r="G966" s="105"/>
      <c r="H966" s="18"/>
    </row>
    <row r="967" spans="1:8" ht="12.75">
      <c r="A967" s="17"/>
      <c r="E967" s="18"/>
      <c r="F967" s="18"/>
      <c r="G967" s="105"/>
      <c r="H967" s="18"/>
    </row>
    <row r="968" spans="1:8" ht="12.75">
      <c r="A968" s="17"/>
      <c r="E968" s="18"/>
      <c r="F968" s="18"/>
      <c r="G968" s="105"/>
      <c r="H968" s="18"/>
    </row>
    <row r="969" spans="1:8" ht="12.75">
      <c r="A969" s="17"/>
      <c r="E969" s="18"/>
      <c r="F969" s="18"/>
      <c r="G969" s="105"/>
      <c r="H969" s="18"/>
    </row>
    <row r="970" spans="1:8" ht="12.75">
      <c r="A970" s="17"/>
      <c r="E970" s="18"/>
      <c r="F970" s="18"/>
      <c r="G970" s="105"/>
      <c r="H970" s="18"/>
    </row>
    <row r="971" spans="1:8" ht="12.75">
      <c r="A971" s="17"/>
      <c r="E971" s="18"/>
      <c r="F971" s="18"/>
      <c r="G971" s="105"/>
      <c r="H971" s="18"/>
    </row>
    <row r="972" spans="1:8" ht="12.75">
      <c r="A972" s="17"/>
      <c r="E972" s="18"/>
      <c r="F972" s="18"/>
      <c r="G972" s="105"/>
      <c r="H972" s="18"/>
    </row>
    <row r="973" spans="1:8" ht="12.75">
      <c r="A973" s="17"/>
      <c r="E973" s="18"/>
      <c r="F973" s="18"/>
      <c r="G973" s="105"/>
      <c r="H973" s="18"/>
    </row>
    <row r="974" spans="1:8" ht="12.75">
      <c r="A974" s="17"/>
      <c r="E974" s="18"/>
      <c r="F974" s="18"/>
      <c r="G974" s="105"/>
      <c r="H974" s="18"/>
    </row>
    <row r="975" spans="1:8" ht="12.75">
      <c r="A975" s="17"/>
      <c r="E975" s="18"/>
      <c r="F975" s="18"/>
      <c r="G975" s="105"/>
      <c r="H975" s="18"/>
    </row>
    <row r="976" spans="1:8" ht="12.75">
      <c r="A976" s="17"/>
      <c r="E976" s="18"/>
      <c r="F976" s="18"/>
      <c r="G976" s="105"/>
      <c r="H976" s="18"/>
    </row>
    <row r="977" spans="1:8" ht="12.75">
      <c r="A977" s="17"/>
      <c r="E977" s="18"/>
      <c r="F977" s="18"/>
      <c r="G977" s="105"/>
      <c r="H977" s="18"/>
    </row>
    <row r="978" spans="1:8" ht="12.75">
      <c r="A978" s="17"/>
      <c r="E978" s="18"/>
      <c r="F978" s="18"/>
      <c r="G978" s="105"/>
      <c r="H978" s="18"/>
    </row>
    <row r="979" spans="1:8" ht="12.75">
      <c r="A979" s="17"/>
      <c r="E979" s="18"/>
      <c r="F979" s="18"/>
      <c r="G979" s="105"/>
      <c r="H979" s="18"/>
    </row>
    <row r="980" spans="1:8" ht="12.75">
      <c r="A980" s="17"/>
      <c r="E980" s="18"/>
      <c r="F980" s="18"/>
      <c r="G980" s="105"/>
      <c r="H980" s="18"/>
    </row>
    <row r="981" spans="1:8" ht="12.75">
      <c r="A981" s="17"/>
      <c r="E981" s="18"/>
      <c r="F981" s="18"/>
      <c r="G981" s="105"/>
      <c r="H981" s="18"/>
    </row>
    <row r="982" spans="1:8" ht="12.75">
      <c r="A982" s="17"/>
      <c r="E982" s="18"/>
      <c r="F982" s="18"/>
      <c r="G982" s="105"/>
      <c r="H982" s="18"/>
    </row>
    <row r="983" spans="1:8" ht="12.75">
      <c r="A983" s="17"/>
      <c r="E983" s="18"/>
      <c r="F983" s="18"/>
      <c r="G983" s="105"/>
      <c r="H983" s="18"/>
    </row>
    <row r="984" spans="1:8" ht="12.75">
      <c r="A984" s="17"/>
      <c r="E984" s="18"/>
      <c r="F984" s="18"/>
      <c r="G984" s="105"/>
      <c r="H984" s="18"/>
    </row>
    <row r="985" spans="1:8" ht="12.75">
      <c r="A985" s="17"/>
      <c r="E985" s="18"/>
      <c r="F985" s="18"/>
      <c r="G985" s="105"/>
      <c r="H985" s="18"/>
    </row>
    <row r="986" spans="1:8" ht="12.75">
      <c r="A986" s="17"/>
      <c r="E986" s="18"/>
      <c r="F986" s="18"/>
      <c r="G986" s="105"/>
      <c r="H986" s="18"/>
    </row>
    <row r="987" spans="1:8" ht="12.75">
      <c r="A987" s="17"/>
      <c r="E987" s="18"/>
      <c r="F987" s="18"/>
      <c r="G987" s="105"/>
      <c r="H987" s="18"/>
    </row>
    <row r="988" spans="1:8" ht="12.75">
      <c r="A988" s="17"/>
      <c r="E988" s="18"/>
      <c r="F988" s="18"/>
      <c r="G988" s="105"/>
      <c r="H988" s="18"/>
    </row>
    <row r="989" spans="1:8" ht="12.75">
      <c r="A989" s="17"/>
      <c r="E989" s="18"/>
      <c r="F989" s="18"/>
      <c r="G989" s="105"/>
      <c r="H989" s="18"/>
    </row>
    <row r="990" spans="1:8" ht="12.75">
      <c r="A990" s="17"/>
      <c r="E990" s="18"/>
      <c r="F990" s="18"/>
      <c r="G990" s="105"/>
      <c r="H990" s="18"/>
    </row>
    <row r="991" spans="1:8" ht="12.75">
      <c r="A991" s="17"/>
      <c r="E991" s="18"/>
      <c r="F991" s="18"/>
      <c r="G991" s="105"/>
      <c r="H991" s="18"/>
    </row>
    <row r="992" spans="1:8" ht="12.75">
      <c r="A992" s="17"/>
      <c r="E992" s="18"/>
      <c r="F992" s="18"/>
      <c r="G992" s="105"/>
      <c r="H992" s="18"/>
    </row>
    <row r="993" spans="1:8" ht="12.75">
      <c r="A993" s="17"/>
      <c r="E993" s="18"/>
      <c r="F993" s="18"/>
      <c r="G993" s="105"/>
      <c r="H993" s="18"/>
    </row>
    <row r="994" spans="1:8" ht="12.75">
      <c r="A994" s="17"/>
      <c r="E994" s="18"/>
      <c r="F994" s="18"/>
      <c r="G994" s="105"/>
      <c r="H994" s="18"/>
    </row>
    <row r="995" spans="1:8" ht="12.75">
      <c r="A995" s="17"/>
      <c r="E995" s="18"/>
      <c r="F995" s="18"/>
      <c r="G995" s="105"/>
      <c r="H995" s="18"/>
    </row>
    <row r="996" spans="1:8" ht="12.75">
      <c r="A996" s="17"/>
      <c r="E996" s="18"/>
      <c r="F996" s="18"/>
      <c r="G996" s="105"/>
      <c r="H996" s="18"/>
    </row>
    <row r="997" spans="1:8" ht="12.75">
      <c r="A997" s="17"/>
      <c r="E997" s="18"/>
      <c r="F997" s="18"/>
      <c r="G997" s="105"/>
      <c r="H997" s="18"/>
    </row>
    <row r="998" spans="1:8" ht="12.75">
      <c r="A998" s="17"/>
      <c r="E998" s="18"/>
      <c r="F998" s="18"/>
      <c r="G998" s="105"/>
      <c r="H998" s="18"/>
    </row>
    <row r="999" spans="1:8" ht="12.75">
      <c r="A999" s="17"/>
      <c r="E999" s="18"/>
      <c r="F999" s="18"/>
      <c r="G999" s="105"/>
      <c r="H999" s="18"/>
    </row>
    <row r="1000" spans="1:8" ht="12.75">
      <c r="A1000" s="17"/>
      <c r="E1000" s="18"/>
      <c r="F1000" s="18"/>
      <c r="G1000" s="105"/>
      <c r="H1000" s="1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ColWidth="12.5703125" defaultRowHeight="15.75" customHeight="1"/>
  <cols>
    <col min="1" max="1" width="32.28515625" customWidth="1"/>
    <col min="2" max="2" width="10" customWidth="1"/>
    <col min="3" max="5" width="14.140625" style="141" customWidth="1"/>
    <col min="6" max="6" width="14.140625" style="144" customWidth="1"/>
    <col min="7" max="7" width="11.5703125" style="46" customWidth="1"/>
    <col min="8" max="8" width="14.28515625" style="148" customWidth="1"/>
    <col min="14" max="14" width="18.28515625" customWidth="1"/>
    <col min="15" max="15" width="25.42578125" customWidth="1"/>
    <col min="16" max="16" width="22.42578125" customWidth="1"/>
    <col min="17" max="17" width="26.42578125" customWidth="1"/>
    <col min="18" max="18" width="19.42578125" customWidth="1"/>
  </cols>
  <sheetData>
    <row r="1" spans="1:19" ht="15.75" customHeight="1">
      <c r="A1" s="138" t="s">
        <v>512</v>
      </c>
      <c r="B1" s="187" t="s">
        <v>578</v>
      </c>
      <c r="C1" s="139" t="s">
        <v>513</v>
      </c>
      <c r="D1" s="139" t="s">
        <v>513</v>
      </c>
      <c r="E1" s="139" t="s">
        <v>513</v>
      </c>
      <c r="F1" s="143" t="s">
        <v>513</v>
      </c>
      <c r="G1" s="149" t="s">
        <v>515</v>
      </c>
      <c r="H1" s="146" t="s">
        <v>514</v>
      </c>
      <c r="I1" s="186" t="s">
        <v>575</v>
      </c>
      <c r="L1" s="48" t="s">
        <v>214</v>
      </c>
      <c r="N1" s="48"/>
      <c r="O1" s="48" t="s">
        <v>215</v>
      </c>
      <c r="P1" s="48" t="s">
        <v>216</v>
      </c>
      <c r="Q1" s="48" t="s">
        <v>217</v>
      </c>
      <c r="R1" s="48" t="s">
        <v>218</v>
      </c>
    </row>
    <row r="2" spans="1:19" ht="20.25">
      <c r="A2" s="135" t="str">
        <f>'Portfolio Ned'!A:A</f>
        <v>Johnson&amp;Johnson</v>
      </c>
      <c r="B2" s="135" t="str">
        <f>'Portfolio Ned'!C:C</f>
        <v>USD</v>
      </c>
      <c r="C2" s="140">
        <v>1.24</v>
      </c>
      <c r="D2" s="140">
        <v>1.24</v>
      </c>
      <c r="E2" s="140">
        <v>1.24</v>
      </c>
      <c r="F2" s="140">
        <v>1.24</v>
      </c>
      <c r="G2" s="137"/>
      <c r="H2" s="147">
        <f>SUM(C2:F2)*'Portfolio Ned'!G2</f>
        <v>327.36</v>
      </c>
      <c r="L2" s="11" t="s">
        <v>15</v>
      </c>
      <c r="M2" s="11">
        <f>1/1.05</f>
        <v>0.95238095238095233</v>
      </c>
      <c r="O2" s="7" t="e">
        <f>3.8*1/$K$49</f>
        <v>#DIV/0!</v>
      </c>
      <c r="P2" s="20">
        <v>7.0000000000000007E-2</v>
      </c>
      <c r="Q2" s="21" t="e">
        <f>'Portfolio Ned'!G2*O2*((1+P2)^10)*0.75</f>
        <v>#DIV/0!</v>
      </c>
      <c r="R2" s="20" t="e">
        <f>Q2/('Portfolio Ned'!F2*'Portfolio Ned'!G2)</f>
        <v>#DIV/0!</v>
      </c>
      <c r="S2" s="22"/>
    </row>
    <row r="3" spans="1:19" ht="20.25">
      <c r="A3" s="135" t="str">
        <f>'Portfolio Ned'!A:A</f>
        <v>ThermoFisher Scientific</v>
      </c>
      <c r="B3" s="135" t="str">
        <f>'Portfolio Ned'!C:C</f>
        <v>USD</v>
      </c>
      <c r="C3" s="140">
        <v>0.19</v>
      </c>
      <c r="D3" s="140">
        <v>0.19</v>
      </c>
      <c r="E3" s="140">
        <v>0.19</v>
      </c>
      <c r="F3" s="140">
        <v>0.19</v>
      </c>
      <c r="G3" s="137"/>
      <c r="H3" s="147">
        <f>SUM(C3:F3)*'Portfolio Ned'!G3</f>
        <v>7.6</v>
      </c>
      <c r="L3" s="11" t="s">
        <v>22</v>
      </c>
      <c r="M3" s="11">
        <v>1</v>
      </c>
      <c r="O3" s="7" t="e">
        <f>0.76/K49</f>
        <v>#DIV/0!</v>
      </c>
      <c r="P3" s="20">
        <v>0.1</v>
      </c>
      <c r="Q3" s="21" t="e">
        <f>'Portfolio Ned'!G3*O3*((1+P3)^10)*0.75</f>
        <v>#DIV/0!</v>
      </c>
      <c r="R3" s="20" t="e">
        <f>Q3/('Portfolio Ned'!F3*'Portfolio Ned'!G3)</f>
        <v>#DIV/0!</v>
      </c>
    </row>
    <row r="4" spans="1:19" ht="20.25">
      <c r="A4" s="135" t="str">
        <f>'Portfolio Ned'!A:A</f>
        <v>Alphabet</v>
      </c>
      <c r="B4" s="135" t="str">
        <f>'Portfolio Ned'!C:C</f>
        <v>USD</v>
      </c>
      <c r="C4" s="140">
        <v>0.2</v>
      </c>
      <c r="D4" s="140">
        <v>0.2</v>
      </c>
      <c r="E4" s="140">
        <v>0.2</v>
      </c>
      <c r="F4" s="140">
        <v>0.2</v>
      </c>
      <c r="G4" s="137"/>
      <c r="H4" s="147">
        <f>SUM(C4:F4)*'Portfolio Ned'!G4</f>
        <v>64</v>
      </c>
      <c r="L4" s="11" t="s">
        <v>219</v>
      </c>
      <c r="M4" s="11">
        <f>1/131</f>
        <v>7.6335877862595417E-3</v>
      </c>
      <c r="O4" s="7">
        <v>3.2</v>
      </c>
      <c r="P4" s="20">
        <v>0.02</v>
      </c>
      <c r="Q4" s="21">
        <f>'Portfolio Ned'!G7*O4*((1+P4)^10)*0.75</f>
        <v>336.44245991855297</v>
      </c>
      <c r="R4" s="20">
        <f>Q4/('Portfolio Ned'!F7*'Portfolio Ned'!G7)</f>
        <v>4.9071075524404519E-2</v>
      </c>
    </row>
    <row r="5" spans="1:19" ht="20.25">
      <c r="A5" s="135" t="str">
        <f>'Portfolio Ned'!A:A</f>
        <v>Samsung</v>
      </c>
      <c r="B5" s="135" t="str">
        <f>'Portfolio Ned'!C:C</f>
        <v>EUR</v>
      </c>
      <c r="C5" s="140">
        <v>7.798</v>
      </c>
      <c r="D5" s="140"/>
      <c r="E5" s="140"/>
      <c r="F5" s="140"/>
      <c r="G5" s="137"/>
      <c r="H5" s="147">
        <f>SUM(C5:F5)*'Portfolio Ned'!G5</f>
        <v>452.28399999999999</v>
      </c>
      <c r="L5" s="11" t="s">
        <v>89</v>
      </c>
      <c r="M5" s="11">
        <v>0.86</v>
      </c>
      <c r="O5" s="7">
        <f>(1/1.14)*7.78905</f>
        <v>6.8325000000000005</v>
      </c>
      <c r="P5" s="20">
        <v>0.02</v>
      </c>
      <c r="Q5" s="21">
        <f>'Portfolio Ned'!G5*O5*((1+P5)^10)*0.75</f>
        <v>362.30190279571673</v>
      </c>
      <c r="R5" s="20">
        <f>Q5/('Portfolio Ned'!F5*'Portfolio Ned'!G5)</f>
        <v>7.5482500609756389E-3</v>
      </c>
    </row>
    <row r="6" spans="1:19" ht="20.25">
      <c r="A6" s="135" t="str">
        <f>'Portfolio Ned'!A:A</f>
        <v>Brookfield Corp</v>
      </c>
      <c r="B6" s="135" t="str">
        <f>'Portfolio Ned'!C:C</f>
        <v>USD</v>
      </c>
      <c r="C6" s="140">
        <v>0.158</v>
      </c>
      <c r="D6" s="140">
        <v>0.158</v>
      </c>
      <c r="E6" s="140">
        <v>0.158</v>
      </c>
      <c r="F6" s="140">
        <v>0.158</v>
      </c>
      <c r="G6" s="137"/>
      <c r="H6" s="147">
        <f>SUM(C6:F6)*'Portfolio Ned'!G6</f>
        <v>145.36000000000001</v>
      </c>
      <c r="L6" s="11" t="s">
        <v>38</v>
      </c>
      <c r="M6" s="11">
        <v>1.1000000000000001</v>
      </c>
      <c r="O6" s="7">
        <f>0.64*1/1.12</f>
        <v>0.5714285714285714</v>
      </c>
      <c r="P6" s="20">
        <v>0.09</v>
      </c>
      <c r="Q6" s="21">
        <f>'Portfolio Ned'!G6*O6*((1+P6)^10)*0.75</f>
        <v>233.35441935265169</v>
      </c>
      <c r="R6" s="20">
        <f>Q6/('Portfolio Ned'!F6*'Portfolio Ned'!G6)</f>
        <v>4.5374974596066674E-2</v>
      </c>
    </row>
    <row r="7" spans="1:19" ht="20.25">
      <c r="A7" s="135" t="str">
        <f>'Portfolio Ned'!A:A</f>
        <v>BASF</v>
      </c>
      <c r="B7" s="135" t="str">
        <f>'Portfolio Ned'!C:C</f>
        <v>EUR</v>
      </c>
      <c r="C7" s="140"/>
      <c r="D7" s="140">
        <v>3.4</v>
      </c>
      <c r="E7" s="140"/>
      <c r="F7" s="140"/>
      <c r="G7" s="137"/>
      <c r="H7" s="147">
        <f>SUM(C7:F7)*'Portfolio Ned'!G7</f>
        <v>391</v>
      </c>
      <c r="I7" t="s">
        <v>576</v>
      </c>
      <c r="L7" s="11" t="s">
        <v>220</v>
      </c>
      <c r="M7" s="11">
        <f>1/1.49</f>
        <v>0.67114093959731547</v>
      </c>
      <c r="O7" s="7" t="e">
        <f>1.26/K49</f>
        <v>#DIV/0!</v>
      </c>
      <c r="P7" s="20">
        <v>0.03</v>
      </c>
      <c r="Q7" s="21" t="e">
        <f>#REF!*O7*((1+P7)^10)*0.75</f>
        <v>#REF!</v>
      </c>
      <c r="R7" s="20" t="e">
        <f>Q7/(#REF!*#REF!)</f>
        <v>#REF!</v>
      </c>
    </row>
    <row r="8" spans="1:19" ht="20.25">
      <c r="A8" s="135" t="str">
        <f>'Portfolio Ned'!A:A</f>
        <v>NVIDIA</v>
      </c>
      <c r="B8" s="135" t="str">
        <f>'Portfolio Ned'!C:C</f>
        <v>USD</v>
      </c>
      <c r="C8" s="140">
        <v>1.6E-2</v>
      </c>
      <c r="D8" s="140">
        <v>1.6E-2</v>
      </c>
      <c r="E8" s="140">
        <v>1.6E-2</v>
      </c>
      <c r="F8" s="140">
        <v>1.6E-2</v>
      </c>
      <c r="G8" s="137"/>
      <c r="H8" s="147">
        <f>SUM(C8:F8)*'Portfolio Ned'!G8</f>
        <v>25.6</v>
      </c>
      <c r="L8" s="11" t="s">
        <v>58</v>
      </c>
      <c r="M8" s="11">
        <f>1/1.56</f>
        <v>0.64102564102564097</v>
      </c>
      <c r="P8" s="20"/>
      <c r="Q8" s="21" t="e">
        <f>'Portfolio Ned'!G11*O9*((1+P8)^10)*0.75</f>
        <v>#DIV/0!</v>
      </c>
      <c r="R8" s="20" t="e">
        <f>Q8/('Portfolio Ned'!F11*'Portfolio Ned'!G11)</f>
        <v>#DIV/0!</v>
      </c>
    </row>
    <row r="9" spans="1:19" ht="20.25">
      <c r="A9" s="135" t="str">
        <f>'Portfolio Ned'!A:A</f>
        <v>Rexford Realty</v>
      </c>
      <c r="B9" s="135" t="str">
        <f>'Portfolio Ned'!C:C</f>
        <v>USD</v>
      </c>
      <c r="C9" s="140">
        <v>0.41699999999999998</v>
      </c>
      <c r="D9" s="140">
        <v>0.41699999999999998</v>
      </c>
      <c r="E9" s="140">
        <v>0.41699999999999998</v>
      </c>
      <c r="F9" s="140">
        <v>0.41699999999999998</v>
      </c>
      <c r="G9" s="7"/>
      <c r="H9" s="147">
        <f>SUM(C9:F9)*'Portfolio Ned'!G9</f>
        <v>717.24</v>
      </c>
      <c r="L9" s="11" t="s">
        <v>72</v>
      </c>
      <c r="M9" s="11">
        <f>1/9.4</f>
        <v>0.10638297872340426</v>
      </c>
      <c r="O9" s="7" t="e">
        <f>0.64/K49</f>
        <v>#DIV/0!</v>
      </c>
      <c r="P9" s="20">
        <v>0.1</v>
      </c>
      <c r="Q9" s="21">
        <f>'Portfolio Ned'!G8*O10*((1+P9)^10)*0.75</f>
        <v>1598.6885344980008</v>
      </c>
      <c r="R9" s="20">
        <f>Q9/('Portfolio Ned'!F8*'Portfolio Ned'!G8)</f>
        <v>1.0739544098468365</v>
      </c>
    </row>
    <row r="10" spans="1:19" ht="20.25">
      <c r="A10" s="135" t="str">
        <f>'Portfolio Ned'!A:A</f>
        <v>Synopsis</v>
      </c>
      <c r="B10" s="135">
        <f>'Portfolio Ned'!C:C</f>
        <v>0</v>
      </c>
      <c r="C10" s="140"/>
      <c r="D10" s="140"/>
      <c r="E10" s="140"/>
      <c r="F10" s="140"/>
      <c r="G10" s="7"/>
      <c r="H10" s="147">
        <f>SUM(C10:F10)*'Portfolio Ned'!G10</f>
        <v>0</v>
      </c>
      <c r="L10" s="11"/>
      <c r="M10" s="11"/>
      <c r="O10" s="7">
        <f>2.26/1.1</f>
        <v>2.0545454545454542</v>
      </c>
      <c r="P10" s="20">
        <v>0.03</v>
      </c>
      <c r="Q10" s="21">
        <f>'Portfolio Ned'!G74*O10*((1+P10)^10)*0.75</f>
        <v>12.425117798117924</v>
      </c>
      <c r="R10" s="20">
        <f>Q10/('Portfolio Ned'!F74*'Portfolio Ned'!G74)</f>
        <v>3.1645063666763257E-2</v>
      </c>
    </row>
    <row r="11" spans="1:19" ht="20.25">
      <c r="A11" s="135" t="str">
        <f>'Portfolio Ned'!A:A</f>
        <v>Alibaba</v>
      </c>
      <c r="B11" s="135" t="str">
        <f>'Portfolio Ned'!C:C</f>
        <v>USD</v>
      </c>
      <c r="C11" s="140">
        <v>0</v>
      </c>
      <c r="D11" s="140"/>
      <c r="E11" s="140"/>
      <c r="F11" s="140"/>
      <c r="G11" s="7"/>
      <c r="H11" s="147">
        <f>SUM(C11:F11)*'Portfolio Ned'!G11</f>
        <v>0</v>
      </c>
      <c r="O11" s="7" t="e">
        <f>5/K49</f>
        <v>#DIV/0!</v>
      </c>
      <c r="P11" s="20">
        <v>7.0000000000000007E-2</v>
      </c>
      <c r="Q11" s="21" t="e">
        <f>'Portfolio Ned'!G10*O11*((1+P11)^10)*0.75</f>
        <v>#DIV/0!</v>
      </c>
      <c r="R11" s="20" t="e">
        <f>Q11/('Portfolio Ned'!F10*'Portfolio Ned'!G10)</f>
        <v>#DIV/0!</v>
      </c>
    </row>
    <row r="12" spans="1:19" ht="20.25">
      <c r="A12" s="135" t="str">
        <f>'Portfolio Ned'!A:A</f>
        <v>Prosus NV</v>
      </c>
      <c r="B12" s="135" t="str">
        <f>'Portfolio Ned'!C:C</f>
        <v>EUR</v>
      </c>
      <c r="C12" s="140">
        <v>7.0000000000000007E-2</v>
      </c>
      <c r="D12" s="140"/>
      <c r="E12" s="140"/>
      <c r="F12" s="140"/>
      <c r="G12" s="7"/>
      <c r="H12" s="147">
        <f>SUM(C12:F12)*'Portfolio Ned'!G12</f>
        <v>12.510904000000002</v>
      </c>
      <c r="O12" s="7">
        <f>1.64</f>
        <v>1.64</v>
      </c>
      <c r="P12" s="20">
        <v>0.05</v>
      </c>
      <c r="Q12" s="21">
        <f>'Portfolio Ned'!G28*O12*((1+P12)^10)*0.75</f>
        <v>104.18410032868516</v>
      </c>
      <c r="R12" s="20">
        <f>Q12/('Portfolio Ned'!F28*'Portfolio Ned'!G28)</f>
        <v>4.4856476183801522E-2</v>
      </c>
    </row>
    <row r="13" spans="1:19" ht="20.25">
      <c r="A13" s="135" t="str">
        <f>'Portfolio Ned'!A:A</f>
        <v>Texas Instruments</v>
      </c>
      <c r="B13" s="135" t="str">
        <f>'Portfolio Ned'!C:C</f>
        <v>USD</v>
      </c>
      <c r="C13" s="140">
        <f>1.3/4</f>
        <v>0.32500000000000001</v>
      </c>
      <c r="D13" s="140">
        <f>1.3/4</f>
        <v>0.32500000000000001</v>
      </c>
      <c r="E13" s="140">
        <f>1.3/4</f>
        <v>0.32500000000000001</v>
      </c>
      <c r="F13" s="140">
        <f>1.3/4</f>
        <v>0.32500000000000001</v>
      </c>
      <c r="G13" s="7"/>
      <c r="H13" s="147">
        <f>SUM(C13:F13)*'Portfolio Ned'!G13</f>
        <v>52</v>
      </c>
      <c r="P13" s="20">
        <v>0.05</v>
      </c>
      <c r="Q13" s="21" t="e">
        <f>#REF!*O13*((1+P13)^10)*0.75</f>
        <v>#REF!</v>
      </c>
      <c r="R13" s="20" t="e">
        <f>Q13/(#REF!*#REF!)</f>
        <v>#REF!</v>
      </c>
    </row>
    <row r="14" spans="1:19" ht="20.25">
      <c r="A14" s="135" t="str">
        <f>'Portfolio Ned'!A:A</f>
        <v>Softbank Group</v>
      </c>
      <c r="B14" s="135" t="str">
        <f>'Portfolio Ned'!C:C</f>
        <v>USD</v>
      </c>
      <c r="C14" s="140">
        <v>2.5</v>
      </c>
      <c r="D14" s="140"/>
      <c r="E14" s="140"/>
      <c r="F14" s="140"/>
      <c r="G14" s="7"/>
      <c r="H14" s="147">
        <f>SUM(C14:F14)*'Portfolio Ned'!G14</f>
        <v>187.5</v>
      </c>
      <c r="O14" s="7"/>
      <c r="P14" s="20"/>
      <c r="Q14" s="21">
        <f>'Portfolio Ned'!G4*O14*((1+P14)^10)*0.75</f>
        <v>0</v>
      </c>
      <c r="R14" s="20">
        <f>Q14/('Portfolio Ned'!F4*'Portfolio Ned'!G4)</f>
        <v>0</v>
      </c>
    </row>
    <row r="15" spans="1:19" ht="20.25">
      <c r="A15" s="135" t="str">
        <f>'Portfolio Ned'!A:A</f>
        <v>Microsoft</v>
      </c>
      <c r="B15" s="135" t="str">
        <f>'Portfolio Ned'!C:C</f>
        <v>USD</v>
      </c>
      <c r="C15" s="140"/>
      <c r="D15" s="140"/>
      <c r="E15" s="140"/>
      <c r="F15" s="140"/>
      <c r="H15" s="147">
        <f>SUM(C15:F15)*'Portfolio Ned'!G15</f>
        <v>0</v>
      </c>
      <c r="O15" s="7"/>
      <c r="P15" s="20"/>
      <c r="Q15" s="21">
        <f>'Portfolio Ned'!G12*O15*((1+P15)^10)*0.75</f>
        <v>0</v>
      </c>
      <c r="R15" s="20">
        <f>Q15/('Portfolio Ned'!F12*'Portfolio Ned'!G12)</f>
        <v>0</v>
      </c>
    </row>
    <row r="16" spans="1:19" ht="20.25">
      <c r="A16" s="135" t="str">
        <f>'Portfolio Ned'!A:A</f>
        <v>10k trading</v>
      </c>
      <c r="B16" s="135" t="str">
        <f>'Portfolio Ned'!C:C</f>
        <v>EUR</v>
      </c>
      <c r="C16" s="140">
        <v>0</v>
      </c>
      <c r="D16" s="140"/>
      <c r="E16" s="140"/>
      <c r="F16" s="140"/>
      <c r="G16" s="7"/>
      <c r="H16" s="147">
        <f>SUM(C16:F16)*'Portfolio Ned'!G16</f>
        <v>0</v>
      </c>
      <c r="O16" s="7" t="e">
        <f>2.28/K49</f>
        <v>#DIV/0!</v>
      </c>
      <c r="P16" s="20">
        <v>0.02</v>
      </c>
      <c r="Q16" s="21" t="e">
        <f>'Portfolio Ned'!G40*O16*((1+P16)^10)*0.75</f>
        <v>#DIV/0!</v>
      </c>
      <c r="R16" s="20" t="e">
        <f>Q16/('Portfolio Ned'!F40*'Portfolio Ned'!G40)</f>
        <v>#DIV/0!</v>
      </c>
    </row>
    <row r="17" spans="1:18" ht="20.25">
      <c r="A17" s="136" t="str">
        <f>'Portfolio Ned'!A:A</f>
        <v>Procter&amp;Gamble</v>
      </c>
      <c r="B17" s="135" t="str">
        <f>'Portfolio Ned'!C:C</f>
        <v>USD</v>
      </c>
      <c r="C17" s="140">
        <v>0.87</v>
      </c>
      <c r="D17" s="140">
        <v>0.87</v>
      </c>
      <c r="E17" s="140">
        <v>0.87</v>
      </c>
      <c r="F17" s="140">
        <v>0.87</v>
      </c>
      <c r="G17" s="7"/>
      <c r="H17" s="147">
        <f>SUM(C17:F17)*'Portfolio Ned'!G17</f>
        <v>34.799999999999997</v>
      </c>
      <c r="O17" s="7">
        <v>9.5</v>
      </c>
      <c r="P17" s="20">
        <v>0.02</v>
      </c>
      <c r="Q17" s="21">
        <f>'Portfolio Ned'!G61*O17*((1+P17)^10)*0.75</f>
        <v>86.853352424626451</v>
      </c>
      <c r="R17" s="20">
        <f>Q17/('Portfolio Ned'!F61*'Portfolio Ned'!G61)</f>
        <v>0.19386909023354118</v>
      </c>
    </row>
    <row r="18" spans="1:18" ht="20.25">
      <c r="A18" s="136" t="str">
        <f>'Portfolio Ned'!A:A</f>
        <v>Ball Corp.</v>
      </c>
      <c r="B18" s="135" t="str">
        <f>'Portfolio Ned'!C:C</f>
        <v>USD</v>
      </c>
      <c r="C18" s="140">
        <v>0.2</v>
      </c>
      <c r="D18" s="140">
        <v>0.2</v>
      </c>
      <c r="E18" s="140">
        <v>0.2</v>
      </c>
      <c r="F18" s="140">
        <v>0.2</v>
      </c>
      <c r="H18" s="147">
        <f>SUM(C18:F18)*'Portfolio Ned'!G18</f>
        <v>8</v>
      </c>
      <c r="O18" s="7" t="e">
        <f>2.98/K49</f>
        <v>#DIV/0!</v>
      </c>
      <c r="P18" s="20">
        <v>0.03</v>
      </c>
      <c r="Q18" s="21" t="e">
        <f>#REF!*O18*((1+P18)^10)*0.75</f>
        <v>#REF!</v>
      </c>
      <c r="R18" s="20" t="e">
        <f>Q18/(#REF!*#REF!)</f>
        <v>#REF!</v>
      </c>
    </row>
    <row r="19" spans="1:18" ht="20.25">
      <c r="A19" s="136" t="str">
        <f>'Portfolio Ned'!A:A</f>
        <v>Corteva</v>
      </c>
      <c r="B19" s="135" t="str">
        <f>'Portfolio Ned'!C:C</f>
        <v>USD</v>
      </c>
      <c r="C19" s="140">
        <v>0.17</v>
      </c>
      <c r="D19" s="140">
        <v>0.17</v>
      </c>
      <c r="E19" s="140">
        <v>0.17</v>
      </c>
      <c r="F19" s="140">
        <v>0.17</v>
      </c>
      <c r="G19" s="7"/>
      <c r="H19" s="147">
        <f>SUM(C19:F19)*'Portfolio Ned'!G19</f>
        <v>8.16</v>
      </c>
      <c r="O19" s="7" t="e">
        <f>0.6/K49</f>
        <v>#DIV/0!</v>
      </c>
      <c r="P19" s="20">
        <v>0.08</v>
      </c>
      <c r="Q19" s="21" t="e">
        <f>'Portfolio Ned'!G18*O19*((1+P19)^10)*0.75</f>
        <v>#DIV/0!</v>
      </c>
      <c r="R19" s="20" t="e">
        <f>Q19/('Portfolio Ned'!F18*'Portfolio Ned'!G18)</f>
        <v>#DIV/0!</v>
      </c>
    </row>
    <row r="20" spans="1:18" ht="20.25">
      <c r="A20" s="136" t="str">
        <f>'Portfolio Ned'!A:A</f>
        <v>Coca Cola</v>
      </c>
      <c r="B20" s="135" t="str">
        <f>'Portfolio Ned'!C:C</f>
        <v>USD</v>
      </c>
      <c r="C20" s="140">
        <v>0.49</v>
      </c>
      <c r="D20" s="140">
        <v>0.49</v>
      </c>
      <c r="E20" s="140">
        <v>0.49</v>
      </c>
      <c r="F20" s="140">
        <v>0.49</v>
      </c>
      <c r="G20" s="7"/>
      <c r="H20" s="147">
        <f>SUM(C20:F20)*'Portfolio Ned'!G20</f>
        <v>19.600000000000001</v>
      </c>
      <c r="O20" s="7"/>
      <c r="P20" s="20"/>
      <c r="Q20" s="21">
        <f>'Portfolio Ned'!G27*O20*((1+P20)^10)*0.75</f>
        <v>0</v>
      </c>
      <c r="R20" s="20">
        <f>Q20/('Portfolio Ned'!F27*'Portfolio Ned'!G27)</f>
        <v>0</v>
      </c>
    </row>
    <row r="21" spans="1:18" ht="20.25">
      <c r="A21" s="136" t="str">
        <f>'Portfolio Ned'!A:A</f>
        <v>Starbucks</v>
      </c>
      <c r="B21" s="135" t="str">
        <f>'Portfolio Ned'!C:C</f>
        <v>USD</v>
      </c>
      <c r="C21" s="140">
        <v>0.61</v>
      </c>
      <c r="D21" s="140">
        <v>0.61</v>
      </c>
      <c r="E21" s="140">
        <v>0.61</v>
      </c>
      <c r="F21" s="140">
        <v>0.61</v>
      </c>
      <c r="G21" s="7"/>
      <c r="H21" s="147">
        <f>SUM(C21:F21)*'Portfolio Ned'!G21</f>
        <v>114.67999999999999</v>
      </c>
      <c r="O21" s="7"/>
      <c r="P21" s="20"/>
      <c r="Q21" s="21">
        <f>'Portfolio Ned'!G50*O21*((1+P21)^10)*0.75</f>
        <v>0</v>
      </c>
      <c r="R21" s="20">
        <f>Q21/('Portfolio Ned'!F50*'Portfolio Ned'!G50)</f>
        <v>0</v>
      </c>
    </row>
    <row r="22" spans="1:18" ht="20.25">
      <c r="A22" s="136" t="str">
        <f>'Portfolio Ned'!A:A</f>
        <v>Nestle SA</v>
      </c>
      <c r="B22" s="135" t="str">
        <f>'Portfolio Ned'!C:C</f>
        <v>CHF</v>
      </c>
      <c r="C22" s="140"/>
      <c r="D22" s="140">
        <v>3</v>
      </c>
      <c r="E22" s="140"/>
      <c r="F22" s="140"/>
      <c r="G22" s="7"/>
      <c r="H22" s="147">
        <f>SUM(C22:F22)*'Portfolio Ned'!G22</f>
        <v>18</v>
      </c>
      <c r="I22" t="s">
        <v>577</v>
      </c>
      <c r="O22" s="7"/>
      <c r="P22" s="20"/>
      <c r="Q22" s="21">
        <f>'Portfolio Ned'!G43*O22*((1+P22)^10)*0.75</f>
        <v>0</v>
      </c>
      <c r="R22" s="20">
        <f>Q22/('Portfolio Ned'!F43*'Portfolio Ned'!G43)</f>
        <v>0</v>
      </c>
    </row>
    <row r="23" spans="1:18" ht="20.25">
      <c r="A23" s="136" t="str">
        <f>'Portfolio Ned'!A:A</f>
        <v>Nike</v>
      </c>
      <c r="B23" s="135" t="str">
        <f>'Portfolio Ned'!C:C</f>
        <v>USD</v>
      </c>
      <c r="C23" s="140">
        <v>0.4</v>
      </c>
      <c r="D23" s="140">
        <v>0.4</v>
      </c>
      <c r="E23" s="140">
        <v>0.4</v>
      </c>
      <c r="F23" s="140">
        <v>0.4</v>
      </c>
      <c r="G23" s="7"/>
      <c r="H23" s="147">
        <f>SUM(C23:F23)*'Portfolio Ned'!G23</f>
        <v>48</v>
      </c>
      <c r="O23" s="7"/>
      <c r="P23" s="20"/>
      <c r="Q23" s="21">
        <f>'Portfolio Ned'!G67*O23*((1+P23)^10)*0.75</f>
        <v>0</v>
      </c>
      <c r="R23" s="20">
        <f>Q23/('Portfolio Ned'!F67*'Portfolio Ned'!G67)</f>
        <v>0</v>
      </c>
    </row>
    <row r="24" spans="1:18" ht="20.25">
      <c r="A24" s="136" t="str">
        <f>'Portfolio Ned'!A:A</f>
        <v>Walmart</v>
      </c>
      <c r="B24" s="135" t="str">
        <f>'Portfolio Ned'!C:C</f>
        <v>USD</v>
      </c>
      <c r="C24" s="140">
        <v>0.21</v>
      </c>
      <c r="D24" s="140">
        <v>0.21</v>
      </c>
      <c r="E24" s="140">
        <v>0.21</v>
      </c>
      <c r="F24" s="140">
        <v>0.21</v>
      </c>
      <c r="G24" s="7"/>
      <c r="H24" s="147">
        <f>SUM(C24:F24)*'Portfolio Ned'!G24</f>
        <v>15.12</v>
      </c>
      <c r="O24" s="7"/>
      <c r="P24" s="20"/>
      <c r="Q24" s="21">
        <f>'Portfolio Ned'!G85*O24*((1+P24)^10)*0.75</f>
        <v>0</v>
      </c>
      <c r="R24" s="20">
        <f>Q24/('Portfolio Ned'!F85*'Portfolio Ned'!G85)</f>
        <v>0</v>
      </c>
    </row>
    <row r="25" spans="1:18" ht="20.25">
      <c r="A25" s="136" t="str">
        <f>'Portfolio Ned'!A:A</f>
        <v>Mowi SK</v>
      </c>
      <c r="B25" s="135" t="str">
        <f>'Portfolio Ned'!C:C</f>
        <v>NOK</v>
      </c>
      <c r="C25" s="140"/>
      <c r="D25" s="140"/>
      <c r="E25" s="140"/>
      <c r="F25" s="140"/>
      <c r="G25" s="7"/>
      <c r="H25" s="147">
        <f>SUM(C25:F25)*'Portfolio Ned'!G25</f>
        <v>0</v>
      </c>
      <c r="O25" s="7"/>
      <c r="P25" s="20"/>
      <c r="Q25" s="21">
        <f>'Portfolio Ned'!G66*O25*((1+P25)^10)*0.75</f>
        <v>0</v>
      </c>
      <c r="R25" s="20">
        <f>Q25/('Portfolio Ned'!F66*'Portfolio Ned'!G66)</f>
        <v>0</v>
      </c>
    </row>
    <row r="26" spans="1:18" ht="20.25">
      <c r="A26" s="136" t="str">
        <f>'Portfolio Ned'!A:A</f>
        <v xml:space="preserve">Oreal (L`) </v>
      </c>
      <c r="B26" s="135" t="str">
        <f>'Portfolio Ned'!C:C</f>
        <v>EUR</v>
      </c>
      <c r="C26" s="140"/>
      <c r="D26" s="140"/>
      <c r="E26" s="140"/>
      <c r="F26" s="140"/>
      <c r="G26" s="7"/>
      <c r="H26" s="147">
        <f>SUM(C26:F26)*'Portfolio Ned'!G26</f>
        <v>0</v>
      </c>
      <c r="O26" s="7"/>
      <c r="P26" s="20"/>
      <c r="Q26" s="21">
        <f>'Portfolio Ned'!G31*O26*((1+P26)^10)*0.75</f>
        <v>0</v>
      </c>
      <c r="R26" s="20">
        <f>Q26/('Portfolio Ned'!F31*'Portfolio Ned'!G31)</f>
        <v>0</v>
      </c>
    </row>
    <row r="27" spans="1:18" ht="20.25">
      <c r="A27" s="136" t="str">
        <f>'Portfolio Ned'!A:A</f>
        <v>Reckit Benckiser</v>
      </c>
      <c r="B27" s="135" t="str">
        <f>'Portfolio Ned'!C:C</f>
        <v>USD</v>
      </c>
      <c r="C27" s="140"/>
      <c r="D27" s="140"/>
      <c r="E27" s="140"/>
      <c r="F27" s="140"/>
      <c r="G27" s="7"/>
      <c r="H27" s="147">
        <f>SUM(C27:F27)*'Portfolio Ned'!G27</f>
        <v>0</v>
      </c>
      <c r="O27" s="7"/>
      <c r="P27" s="20"/>
      <c r="Q27" s="21">
        <f>'Portfolio Ned'!G86*O27*((1+P27)^10)*0.75</f>
        <v>0</v>
      </c>
      <c r="R27" s="20">
        <f>Q27/('Portfolio Ned'!F86*'Portfolio Ned'!G86)</f>
        <v>0</v>
      </c>
    </row>
    <row r="28" spans="1:18" ht="20.25">
      <c r="A28" s="136" t="str">
        <f>'Portfolio Ned'!A:A</f>
        <v>Unilever</v>
      </c>
      <c r="B28" s="135" t="str">
        <f>'Portfolio Ned'!C:C</f>
        <v>EUR</v>
      </c>
      <c r="C28" s="140"/>
      <c r="D28" s="140"/>
      <c r="E28" s="140"/>
      <c r="F28" s="140"/>
      <c r="G28" s="7"/>
      <c r="H28" s="147">
        <f>SUM(C28:F28)*'Portfolio Ned'!G28</f>
        <v>0</v>
      </c>
      <c r="O28" s="7"/>
      <c r="P28" s="20"/>
      <c r="Q28" s="21">
        <f>'Portfolio Ned'!G55*O28*((1+P28)^10)*0.75</f>
        <v>0</v>
      </c>
      <c r="R28" s="20">
        <f>Q28/('Portfolio Ned'!F55*'Portfolio Ned'!G55)</f>
        <v>0</v>
      </c>
    </row>
    <row r="29" spans="1:18" ht="20.25">
      <c r="A29" s="136" t="str">
        <f>'Portfolio Ned'!A:A</f>
        <v>Anheuser-Busch Inbev</v>
      </c>
      <c r="B29" s="135" t="str">
        <f>'Portfolio Ned'!C:C</f>
        <v>USD</v>
      </c>
      <c r="C29" s="140"/>
      <c r="D29" s="140"/>
      <c r="E29" s="140"/>
      <c r="F29" s="140"/>
      <c r="G29" s="7"/>
      <c r="H29" s="147">
        <f>SUM(C29:F29)*'Portfolio Ned'!G29</f>
        <v>0</v>
      </c>
      <c r="O29" s="7"/>
      <c r="P29" s="20"/>
      <c r="Q29" s="21" t="e">
        <f>#REF!*O29*((1+P29)^10)*0.75</f>
        <v>#REF!</v>
      </c>
      <c r="R29" s="20" t="e">
        <f>Q29/(#REF!*#REF!)</f>
        <v>#REF!</v>
      </c>
    </row>
    <row r="30" spans="1:18" ht="20.25">
      <c r="A30" s="136" t="str">
        <f>'Portfolio Ned'!A:A</f>
        <v>LVHM</v>
      </c>
      <c r="B30" s="135" t="str">
        <f>'Portfolio Ned'!C:C</f>
        <v>EUR</v>
      </c>
      <c r="C30" s="140"/>
      <c r="D30" s="140"/>
      <c r="E30" s="140"/>
      <c r="F30" s="140"/>
      <c r="G30" s="7"/>
      <c r="H30" s="147">
        <f>SUM(C30:F30)*'Portfolio Ned'!G30</f>
        <v>0</v>
      </c>
      <c r="I30" s="9"/>
      <c r="O30" s="7"/>
      <c r="P30" s="20"/>
      <c r="Q30" s="21">
        <f>'Portfolio Ned'!G79*O30*((1+P30)^10)*0.75</f>
        <v>0</v>
      </c>
      <c r="R30" s="20">
        <f>Q30/('Portfolio Ned'!F79*'Portfolio Ned'!G79)</f>
        <v>0</v>
      </c>
    </row>
    <row r="31" spans="1:18" ht="20.25">
      <c r="A31" s="136" t="str">
        <f>'Portfolio Ned'!A:A</f>
        <v>Porsche Holding</v>
      </c>
      <c r="B31" s="135" t="str">
        <f>'Portfolio Ned'!C:C</f>
        <v>EUR</v>
      </c>
      <c r="C31" s="140"/>
      <c r="D31" s="140"/>
      <c r="E31" s="140"/>
      <c r="F31" s="140"/>
      <c r="G31" s="7"/>
      <c r="H31" s="147">
        <f>SUM(C31:F31)*'Portfolio Ned'!G31</f>
        <v>0</v>
      </c>
      <c r="I31" s="9"/>
      <c r="O31" s="7"/>
      <c r="P31" s="20"/>
      <c r="Q31" s="21">
        <f>'Portfolio Ned'!G69*O31*((1+P31)^10)*0.75</f>
        <v>0</v>
      </c>
      <c r="R31" s="20">
        <f>Q31/('Portfolio Ned'!F69*'Portfolio Ned'!G69)</f>
        <v>0</v>
      </c>
    </row>
    <row r="32" spans="1:18" ht="20.25">
      <c r="A32" s="136" t="str">
        <f>'Portfolio Ned'!A:A</f>
        <v>Diageo</v>
      </c>
      <c r="B32" s="135" t="str">
        <f>'Portfolio Ned'!C:C</f>
        <v>GB</v>
      </c>
      <c r="C32" s="140"/>
      <c r="D32" s="140"/>
      <c r="E32" s="140"/>
      <c r="F32" s="140"/>
      <c r="G32" s="7"/>
      <c r="H32" s="147">
        <f>SUM(C32:F32)*'Portfolio Ned'!G32</f>
        <v>0</v>
      </c>
      <c r="I32" s="9"/>
      <c r="O32" s="7"/>
      <c r="P32" s="20"/>
      <c r="Q32" s="21">
        <f>'Portfolio Ned'!G105*O32*((1+P32)^10)*0.75</f>
        <v>0</v>
      </c>
      <c r="R32" s="20">
        <f>Q32/('Portfolio Ned'!F105*'Portfolio Ned'!G105)</f>
        <v>0</v>
      </c>
    </row>
    <row r="33" spans="1:18" ht="20.25">
      <c r="A33" s="136" t="str">
        <f>'Portfolio Ned'!A:A</f>
        <v>Heineken</v>
      </c>
      <c r="B33" s="135" t="str">
        <f>'Portfolio Ned'!C:C</f>
        <v>EUR</v>
      </c>
      <c r="C33" s="140"/>
      <c r="D33" s="140"/>
      <c r="E33" s="140"/>
      <c r="F33" s="140"/>
      <c r="G33" s="7"/>
      <c r="H33" s="147">
        <f>SUM(C33:F33)*'Portfolio Ned'!G33</f>
        <v>0</v>
      </c>
      <c r="I33" s="9"/>
      <c r="O33" s="7"/>
      <c r="P33" s="20"/>
      <c r="Q33" s="21">
        <f>'Portfolio Ned'!G87*O33*((1+P33)^10)*0.75</f>
        <v>0</v>
      </c>
      <c r="R33" s="20">
        <f>Q33/('Portfolio Ned'!F87*'Portfolio Ned'!G87)</f>
        <v>0</v>
      </c>
    </row>
    <row r="34" spans="1:18" ht="20.25">
      <c r="A34" s="136" t="str">
        <f>'Portfolio Ned'!A:A</f>
        <v>Carlsberg</v>
      </c>
      <c r="B34" s="135" t="str">
        <f>'Portfolio Ned'!C:C</f>
        <v>DK</v>
      </c>
      <c r="C34" s="140"/>
      <c r="D34" s="140"/>
      <c r="E34" s="140"/>
      <c r="F34" s="140"/>
      <c r="G34" s="7"/>
      <c r="H34" s="147">
        <f>SUM(C34:F34)*'Portfolio Ned'!G34</f>
        <v>0</v>
      </c>
      <c r="I34" s="9"/>
      <c r="O34" s="7"/>
      <c r="P34" s="20"/>
      <c r="Q34" s="21">
        <f>'Portfolio Ned'!G52*O34*((1+P34)^10)*0.75</f>
        <v>0</v>
      </c>
      <c r="R34" s="20">
        <f>Q34/('Portfolio Ned'!F52*'Portfolio Ned'!G52)</f>
        <v>0</v>
      </c>
    </row>
    <row r="35" spans="1:18" ht="20.25">
      <c r="A35" s="136" t="str">
        <f>'Portfolio Ned'!A:A</f>
        <v>J Martins</v>
      </c>
      <c r="B35" s="135" t="str">
        <f>'Portfolio Ned'!C:C</f>
        <v>EUR</v>
      </c>
      <c r="C35" s="140"/>
      <c r="D35" s="140"/>
      <c r="E35" s="140"/>
      <c r="F35" s="140"/>
      <c r="G35" s="7"/>
      <c r="H35" s="147">
        <f>SUM(C35:F35)*'Portfolio Ned'!G35</f>
        <v>0</v>
      </c>
      <c r="I35" s="9"/>
      <c r="O35" s="7"/>
      <c r="P35" s="20"/>
      <c r="Q35" s="21" t="e">
        <f>'Portfolio Ned'!#REF!*O35*((1+P35)^10)*0.75</f>
        <v>#REF!</v>
      </c>
      <c r="R35" s="20" t="e">
        <f>Q35/('Portfolio Ned'!#REF!*'Portfolio Ned'!#REF!)</f>
        <v>#REF!</v>
      </c>
    </row>
    <row r="36" spans="1:18" ht="20.25">
      <c r="A36" s="136" t="str">
        <f>'Portfolio Ned'!A:A</f>
        <v>Kering</v>
      </c>
      <c r="B36" s="135" t="str">
        <f>'Portfolio Ned'!C:C</f>
        <v>EUR</v>
      </c>
      <c r="C36" s="140"/>
      <c r="D36" s="140"/>
      <c r="E36" s="140"/>
      <c r="F36" s="140"/>
      <c r="G36" s="7"/>
      <c r="H36" s="147">
        <f>SUM(C36:F36)*'Portfolio Ned'!G36</f>
        <v>0</v>
      </c>
      <c r="I36" s="9"/>
      <c r="O36" s="7"/>
      <c r="P36" s="20"/>
      <c r="Q36" s="21">
        <f>'Portfolio Ned'!G60*O36*((1+P36)^10)*0.75</f>
        <v>0</v>
      </c>
      <c r="R36" s="20">
        <f>Q36/('Portfolio Ned'!F60*'Portfolio Ned'!G60)</f>
        <v>0</v>
      </c>
    </row>
    <row r="37" spans="1:18" ht="20.25">
      <c r="A37" s="136" t="str">
        <f>'Portfolio Ned'!A:A</f>
        <v>Pepsico</v>
      </c>
      <c r="B37" s="135" t="str">
        <f>'Portfolio Ned'!C:C</f>
        <v>USD</v>
      </c>
      <c r="C37" s="140"/>
      <c r="D37" s="140"/>
      <c r="E37" s="140"/>
      <c r="F37" s="140"/>
      <c r="G37" s="7"/>
      <c r="H37" s="147">
        <f>SUM(C37:F37)*'Portfolio Ned'!G37</f>
        <v>0</v>
      </c>
      <c r="I37" s="9"/>
      <c r="O37" s="7"/>
      <c r="P37" s="20"/>
      <c r="Q37" s="21">
        <f>'Portfolio Ned'!G19*O37*((1+P37)^10)*0.75</f>
        <v>0</v>
      </c>
      <c r="R37" s="20">
        <f>Q37/('Portfolio Ned'!F19*'Portfolio Ned'!G19)</f>
        <v>0</v>
      </c>
    </row>
    <row r="38" spans="1:18" ht="20.25">
      <c r="A38" s="136" t="str">
        <f>'Portfolio Ned'!A:A</f>
        <v>Realty Income REIT</v>
      </c>
      <c r="B38" s="135" t="str">
        <f>'Portfolio Ned'!C:C</f>
        <v>USD</v>
      </c>
      <c r="C38" s="140">
        <f>0.79</f>
        <v>0.79</v>
      </c>
      <c r="D38" s="140">
        <f t="shared" ref="D38:F38" si="0">0.79</f>
        <v>0.79</v>
      </c>
      <c r="E38" s="140">
        <f t="shared" si="0"/>
        <v>0.79</v>
      </c>
      <c r="F38" s="140">
        <f t="shared" si="0"/>
        <v>0.79</v>
      </c>
      <c r="G38" s="7"/>
      <c r="H38" s="147">
        <f>SUM(C38:F38)*'Portfolio Ned'!G38</f>
        <v>474</v>
      </c>
      <c r="I38" s="9"/>
      <c r="O38" s="7"/>
      <c r="P38" s="20"/>
      <c r="Q38" s="21" t="e">
        <f>'Portfolio Ned'!#REF!*O38*((1+P38)^10)*0.75</f>
        <v>#REF!</v>
      </c>
      <c r="R38" s="20" t="e">
        <f>Q38/('Portfolio Ned'!#REF!*'Portfolio Ned'!#REF!)</f>
        <v>#REF!</v>
      </c>
    </row>
    <row r="39" spans="1:18" ht="20.25">
      <c r="A39" s="136" t="str">
        <f>'Portfolio Ned'!A:A</f>
        <v>SL Green REIT</v>
      </c>
      <c r="B39" s="135" t="str">
        <f>'Portfolio Ned'!C:C</f>
        <v>USD</v>
      </c>
      <c r="C39" s="140">
        <v>0.77</v>
      </c>
      <c r="D39" s="140">
        <v>0.77</v>
      </c>
      <c r="E39" s="140">
        <v>0.77</v>
      </c>
      <c r="F39" s="140">
        <v>0.77</v>
      </c>
      <c r="G39" s="7"/>
      <c r="H39" s="147">
        <f>SUM(C39:F39)*'Portfolio Ned'!G39</f>
        <v>77.390082000000007</v>
      </c>
      <c r="I39" s="9"/>
      <c r="O39" s="7"/>
      <c r="P39" s="20"/>
      <c r="Q39" s="21">
        <f>'Portfolio Ned'!G101*O39*((1+P39)^10)*0.75</f>
        <v>0</v>
      </c>
      <c r="R39" s="20" t="e">
        <f>Q39/('Portfolio Ned'!F101*'Portfolio Ned'!G101)</f>
        <v>#DIV/0!</v>
      </c>
    </row>
    <row r="40" spans="1:18" ht="20.25">
      <c r="A40" s="136" t="str">
        <f>'Portfolio Ned'!A:A</f>
        <v>LTC Properties</v>
      </c>
      <c r="B40" s="135" t="str">
        <f>'Portfolio Ned'!C:C</f>
        <v>USD</v>
      </c>
      <c r="C40" s="140">
        <v>0.56999999999999995</v>
      </c>
      <c r="D40" s="140">
        <v>0.56999999999999995</v>
      </c>
      <c r="E40" s="140">
        <v>0.56999999999999995</v>
      </c>
      <c r="F40" s="140">
        <v>0.56999999999999995</v>
      </c>
      <c r="G40" s="7"/>
      <c r="H40" s="147">
        <f>SUM(C40:F40)*'Portfolio Ned'!G40</f>
        <v>113.99999999999999</v>
      </c>
      <c r="I40" s="9"/>
      <c r="O40" s="7"/>
      <c r="P40" s="20"/>
      <c r="Q40" s="21">
        <f>'Portfolio Ned'!G83*O40*((1+P40)^10)*0.75</f>
        <v>0</v>
      </c>
      <c r="R40" s="20">
        <f>Q40/('Portfolio Ned'!F83*'Portfolio Ned'!G83)</f>
        <v>0</v>
      </c>
    </row>
    <row r="41" spans="1:18" ht="20.25">
      <c r="A41" s="136" t="str">
        <f>'Portfolio Ned'!A:A</f>
        <v>Brookfield AS</v>
      </c>
      <c r="B41" s="135" t="str">
        <f>'Portfolio Ned'!C:C</f>
        <v>USD</v>
      </c>
      <c r="C41" s="140"/>
      <c r="D41" s="140"/>
      <c r="E41" s="140"/>
      <c r="F41" s="140"/>
      <c r="G41" s="7"/>
      <c r="H41" s="147">
        <f>SUM(C41:F41)*'Portfolio Ned'!G41</f>
        <v>0</v>
      </c>
      <c r="I41" s="9"/>
      <c r="O41" s="7"/>
      <c r="P41" s="20"/>
      <c r="Q41" s="21" t="e">
        <f>#REF!*O41*((1+P41)^10)*0.75</f>
        <v>#REF!</v>
      </c>
      <c r="R41" s="20" t="e">
        <f>Q41/(#REF!*#REF!)</f>
        <v>#REF!</v>
      </c>
    </row>
    <row r="42" spans="1:18" ht="20.25">
      <c r="A42" s="136" t="str">
        <f>'Portfolio Ned'!A:A</f>
        <v>Crown Castle REIT</v>
      </c>
      <c r="B42" s="135" t="str">
        <f>'Portfolio Ned'!C:C</f>
        <v>USD</v>
      </c>
      <c r="C42" s="140"/>
      <c r="D42" s="140"/>
      <c r="E42" s="140"/>
      <c r="F42" s="140"/>
      <c r="G42" s="7"/>
      <c r="H42" s="147">
        <f>SUM(C42:F42)*'Portfolio Ned'!G42</f>
        <v>0</v>
      </c>
      <c r="I42" s="9"/>
      <c r="O42" s="7"/>
      <c r="P42" s="20"/>
      <c r="Q42" s="21">
        <f>'Portfolio Ned'!G73*O42*((1+P42)^10)*0.75</f>
        <v>0</v>
      </c>
      <c r="R42" s="20">
        <f>Q42/('Portfolio Ned'!F73*'Portfolio Ned'!G73)</f>
        <v>0</v>
      </c>
    </row>
    <row r="43" spans="1:18" ht="20.25">
      <c r="A43" s="136" t="str">
        <f>'Portfolio Ned'!A:A</f>
        <v>Flughafen Zürich</v>
      </c>
      <c r="B43" s="135" t="str">
        <f>'Portfolio Ned'!C:C</f>
        <v>CHF</v>
      </c>
      <c r="C43" s="140"/>
      <c r="D43" s="140"/>
      <c r="E43" s="140"/>
      <c r="F43" s="140"/>
      <c r="G43" s="7"/>
      <c r="H43" s="147">
        <f>SUM(C43:F43)*'Portfolio Ned'!G43</f>
        <v>0</v>
      </c>
      <c r="I43" s="9"/>
      <c r="O43" s="7">
        <f>(1/117)*44</f>
        <v>0.37606837606837612</v>
      </c>
      <c r="P43" s="20">
        <v>0.08</v>
      </c>
      <c r="Q43" s="21">
        <f>'Portfolio Ned'!G14*O43*((1+P43)^10)*0.75</f>
        <v>45.669567250001279</v>
      </c>
      <c r="R43" s="20">
        <f>Q43/('Portfolio Ned'!F14*'Portfolio Ned'!G14)</f>
        <v>1.6859859992063308E-2</v>
      </c>
    </row>
    <row r="44" spans="1:18" ht="20.25">
      <c r="A44" s="136" t="str">
        <f>'Portfolio Ned'!A:A</f>
        <v>Vinci</v>
      </c>
      <c r="B44" s="135" t="str">
        <f>'Portfolio Ned'!C:C</f>
        <v>EUR</v>
      </c>
      <c r="C44" s="140"/>
      <c r="D44" s="140"/>
      <c r="E44" s="140"/>
      <c r="F44" s="140"/>
      <c r="G44" s="7"/>
      <c r="H44" s="147">
        <f>SUM(C44:F44)*'Portfolio Ned'!G44</f>
        <v>0</v>
      </c>
      <c r="I44" s="9"/>
      <c r="O44" s="7">
        <f>0.41</f>
        <v>0.41</v>
      </c>
      <c r="P44" s="20">
        <v>5.0000000000000001E-3</v>
      </c>
      <c r="Q44" s="21" t="e">
        <f>'Portfolio Ned'!#REF!*O44*((1+P44)^10)*0.75</f>
        <v>#REF!</v>
      </c>
      <c r="R44" s="20" t="e">
        <f>Q44/('Portfolio Ned'!#REF!*'Portfolio Ned'!#REF!)</f>
        <v>#REF!</v>
      </c>
    </row>
    <row r="45" spans="1:18" ht="20.25">
      <c r="A45" s="136" t="str">
        <f>'Portfolio Ned'!A:A</f>
        <v>Prologis</v>
      </c>
      <c r="B45" s="135" t="str">
        <f>'Portfolio Ned'!C:C</f>
        <v>USD</v>
      </c>
      <c r="C45" s="140"/>
      <c r="D45" s="140"/>
      <c r="E45" s="140"/>
      <c r="F45" s="140"/>
      <c r="G45" s="7"/>
      <c r="H45" s="147">
        <f>SUM(C45:F45)*'Portfolio Ned'!G45</f>
        <v>0</v>
      </c>
      <c r="I45" s="9"/>
      <c r="O45" s="7">
        <f>0.74*(1/1.1)</f>
        <v>0.67272727272727273</v>
      </c>
      <c r="P45" s="20">
        <v>0.08</v>
      </c>
      <c r="Q45" s="21">
        <f>'Portfolio Ned'!G9*O45*((1+P45)^10)*0.75</f>
        <v>468.38859145377342</v>
      </c>
      <c r="R45" s="20" t="e">
        <f>Q45/('Portfolio Ned'!#REF!*'Portfolio Ned'!G9)</f>
        <v>#REF!</v>
      </c>
    </row>
    <row r="46" spans="1:18" ht="20.25">
      <c r="A46" s="136" t="str">
        <f>'Portfolio Ned'!A:A</f>
        <v>KKR&amp;CO.</v>
      </c>
      <c r="B46" s="135" t="str">
        <f>'Portfolio Ned'!C:C</f>
        <v>USD</v>
      </c>
      <c r="C46" s="140"/>
      <c r="D46" s="140"/>
      <c r="E46" s="140"/>
      <c r="F46" s="140"/>
      <c r="G46" s="7"/>
      <c r="H46" s="147">
        <f>SUM(C46:F46)*'Portfolio Ned'!G46</f>
        <v>0</v>
      </c>
      <c r="I46" s="9"/>
      <c r="O46" s="7">
        <f>1.88*(1/1.1)</f>
        <v>1.709090909090909</v>
      </c>
      <c r="P46" s="20">
        <v>5.0000000000000001E-3</v>
      </c>
      <c r="Q46" s="21">
        <f>'Portfolio Ned'!G82*O46*((1+P46)^10)*0.75</f>
        <v>0</v>
      </c>
      <c r="R46" s="20" t="e">
        <f>Q46/('Portfolio Ned'!#REF!*'Portfolio Ned'!G9)</f>
        <v>#REF!</v>
      </c>
    </row>
    <row r="47" spans="1:18" ht="20.25">
      <c r="A47" s="136" t="str">
        <f>'Portfolio Ned'!A:A</f>
        <v>Fraport AG</v>
      </c>
      <c r="B47" s="135" t="str">
        <f>'Portfolio Ned'!C:C</f>
        <v>EUR</v>
      </c>
      <c r="C47" s="140"/>
      <c r="D47" s="140"/>
      <c r="E47" s="140"/>
      <c r="F47" s="140"/>
      <c r="G47" s="7"/>
      <c r="H47" s="147">
        <f>SUM(C47:F47)*'Portfolio Ned'!G47</f>
        <v>0</v>
      </c>
      <c r="I47" s="9"/>
      <c r="O47" s="7"/>
      <c r="P47" s="20">
        <v>5.0000000000000001E-3</v>
      </c>
      <c r="Q47" s="21">
        <f>'Portfolio Ned'!G71*O47*((1+P47)^10)*0.75</f>
        <v>0</v>
      </c>
      <c r="R47" s="20" t="e">
        <f>Q47/(#REF!*'Portfolio Ned'!G82)</f>
        <v>#REF!</v>
      </c>
    </row>
    <row r="48" spans="1:18" ht="20.25">
      <c r="A48" s="136" t="str">
        <f>'Portfolio Ned'!A:A</f>
        <v>British Land REIT</v>
      </c>
      <c r="B48" s="135" t="str">
        <f>'Portfolio Ned'!C:C</f>
        <v>USD</v>
      </c>
      <c r="C48" s="140"/>
      <c r="D48" s="140"/>
      <c r="E48" s="140"/>
      <c r="F48" s="140"/>
      <c r="G48" s="7"/>
      <c r="H48" s="147">
        <f>SUM(C48:F48)*'Portfolio Ned'!G48</f>
        <v>0</v>
      </c>
      <c r="I48" s="9"/>
      <c r="K48" s="4"/>
      <c r="O48" s="7"/>
      <c r="P48" s="20">
        <v>5.0000000000000001E-3</v>
      </c>
      <c r="Q48" s="21">
        <f>'Portfolio Ned'!G32*O48*((1+P48)^10)*0.75</f>
        <v>0</v>
      </c>
      <c r="R48" s="20">
        <f>Q48/('Portfolio Ned'!F71*'Portfolio Ned'!G71)</f>
        <v>0</v>
      </c>
    </row>
    <row r="49" spans="1:18" ht="20.25">
      <c r="A49" s="136" t="str">
        <f>'Portfolio Ned'!A:A</f>
        <v>CA Immo REIT</v>
      </c>
      <c r="B49" s="135" t="str">
        <f>'Portfolio Ned'!C:C</f>
        <v>EUR</v>
      </c>
      <c r="C49" s="140"/>
      <c r="D49" s="140"/>
      <c r="E49" s="140"/>
      <c r="F49" s="140"/>
      <c r="G49" s="7"/>
      <c r="H49" s="147">
        <f>SUM(C49:F49)*'Portfolio Ned'!G49</f>
        <v>0</v>
      </c>
      <c r="I49" s="9"/>
      <c r="O49" s="7"/>
      <c r="P49" s="20">
        <v>5.0000000000000001E-3</v>
      </c>
      <c r="Q49" s="21">
        <f>'Portfolio Ned'!G100*O49*((1+P49)^10)*0.75</f>
        <v>0</v>
      </c>
      <c r="R49" s="20">
        <f>Q49/('Portfolio Ned'!F32*'Portfolio Ned'!G32)</f>
        <v>0</v>
      </c>
    </row>
    <row r="50" spans="1:18" ht="20.25">
      <c r="A50" s="136" t="str">
        <f>'Portfolio Ned'!A:A</f>
        <v>Swisscom</v>
      </c>
      <c r="B50" s="135" t="str">
        <f>'Portfolio Ned'!C:C</f>
        <v>CHF</v>
      </c>
      <c r="C50" s="140"/>
      <c r="D50" s="140"/>
      <c r="E50" s="140"/>
      <c r="F50" s="140"/>
      <c r="G50" s="7"/>
      <c r="H50" s="147">
        <f>SUM(C50:F50)*'Portfolio Ned'!G50</f>
        <v>0</v>
      </c>
      <c r="I50" s="9"/>
      <c r="O50" s="7" t="e">
        <f>(4*0.9)*(1/K49)</f>
        <v>#DIV/0!</v>
      </c>
      <c r="P50" s="20">
        <v>0.05</v>
      </c>
      <c r="Q50" s="21" t="e">
        <f>'Portfolio Ned'!G64*O50*((1+P50)^10)*0.75</f>
        <v>#DIV/0!</v>
      </c>
      <c r="R50" s="20" t="e">
        <f>Q50/('Portfolio Ned'!F100*'Portfolio Ned'!G100)</f>
        <v>#DIV/0!</v>
      </c>
    </row>
    <row r="51" spans="1:18" ht="20.25">
      <c r="A51" s="136" t="str">
        <f>'Portfolio Ned'!A:A</f>
        <v>Essex Property Trust</v>
      </c>
      <c r="B51" s="135" t="str">
        <f>'Portfolio Ned'!C:C</f>
        <v>USD</v>
      </c>
      <c r="C51" s="140"/>
      <c r="D51" s="140"/>
      <c r="E51" s="140"/>
      <c r="F51" s="140"/>
      <c r="G51" s="7"/>
      <c r="H51" s="147">
        <f>SUM(C51:F51)*'Portfolio Ned'!G51</f>
        <v>0</v>
      </c>
      <c r="I51" s="9"/>
      <c r="O51" s="7"/>
      <c r="P51" s="20">
        <v>5.0000000000000001E-3</v>
      </c>
      <c r="Q51" s="21">
        <f>'Portfolio Ned'!G58*O51*((1+P51)^10)*0.75</f>
        <v>0</v>
      </c>
      <c r="R51" s="20">
        <f>Q51/('Portfolio Ned'!F64*'Portfolio Ned'!G64)</f>
        <v>0</v>
      </c>
    </row>
    <row r="52" spans="1:18" ht="20.25">
      <c r="A52" s="136" t="str">
        <f>'Portfolio Ned'!A:A</f>
        <v>3M</v>
      </c>
      <c r="B52" s="135" t="str">
        <f>'Portfolio Ned'!C:C</f>
        <v>USD</v>
      </c>
      <c r="C52" s="140"/>
      <c r="D52" s="140"/>
      <c r="E52" s="140"/>
      <c r="F52" s="140"/>
      <c r="G52" s="7"/>
      <c r="H52" s="147">
        <f>SUM(C52:F52)*'Portfolio Ned'!G52</f>
        <v>0</v>
      </c>
      <c r="I52" s="9"/>
      <c r="O52" s="7"/>
      <c r="P52" s="20">
        <v>5.0000000000000001E-3</v>
      </c>
      <c r="Q52" s="21">
        <f>'Portfolio Ned'!G62*O52*((1+P52)^10)*0.75</f>
        <v>0</v>
      </c>
      <c r="R52" s="20">
        <f>Q52/('Portfolio Ned'!F58*'Portfolio Ned'!G58)</f>
        <v>0</v>
      </c>
    </row>
    <row r="53" spans="1:18" ht="20.25">
      <c r="A53" s="136" t="str">
        <f>'Portfolio Ned'!A:A</f>
        <v>Danaher</v>
      </c>
      <c r="B53" s="135" t="str">
        <f>'Portfolio Ned'!C:C</f>
        <v>USD</v>
      </c>
      <c r="C53" s="140"/>
      <c r="D53" s="140"/>
      <c r="E53" s="140"/>
      <c r="F53" s="140"/>
      <c r="G53" s="7"/>
      <c r="H53" s="147">
        <f>SUM(C53:F53)*'Portfolio Ned'!G53</f>
        <v>0</v>
      </c>
      <c r="I53" s="9"/>
      <c r="O53" s="7"/>
      <c r="P53" s="20">
        <v>5.0000000000000001E-3</v>
      </c>
      <c r="Q53" s="21">
        <f>'Portfolio Ned'!G26*O53*((1+P53)^10)*0.75</f>
        <v>0</v>
      </c>
      <c r="R53" s="20">
        <f>Q53/('Portfolio Ned'!F62*'Portfolio Ned'!G62)</f>
        <v>0</v>
      </c>
    </row>
    <row r="54" spans="1:18" ht="20.25">
      <c r="A54" s="136" t="str">
        <f>'Portfolio Ned'!A:A</f>
        <v>HB Fuller</v>
      </c>
      <c r="B54" s="135" t="str">
        <f>'Portfolio Ned'!C:C</f>
        <v>USD</v>
      </c>
      <c r="C54" s="140"/>
      <c r="D54" s="140"/>
      <c r="E54" s="140"/>
      <c r="F54" s="140"/>
      <c r="G54" s="7"/>
      <c r="H54" s="147">
        <f>SUM(C54:F54)*'Portfolio Ned'!G54</f>
        <v>0</v>
      </c>
      <c r="I54" s="9"/>
      <c r="O54" s="7"/>
      <c r="P54" s="20">
        <v>5.0000000000000001E-3</v>
      </c>
      <c r="Q54" s="21">
        <f>'Portfolio Ned'!G53*O54*((1+P54)^10)*0.75</f>
        <v>0</v>
      </c>
      <c r="R54" s="20">
        <f>Q54/('Portfolio Ned'!F26*'Portfolio Ned'!G26)</f>
        <v>0</v>
      </c>
    </row>
    <row r="55" spans="1:18" ht="20.25">
      <c r="A55" s="136" t="str">
        <f>'Portfolio Ned'!A:A</f>
        <v>Covestro</v>
      </c>
      <c r="B55" s="135" t="str">
        <f>'Portfolio Ned'!C:C</f>
        <v>EUR</v>
      </c>
      <c r="C55" s="140"/>
      <c r="D55" s="140"/>
      <c r="E55" s="140"/>
      <c r="F55" s="140"/>
      <c r="G55" s="7"/>
      <c r="H55" s="147">
        <f>SUM(C55:F55)*'Portfolio Ned'!G55</f>
        <v>0</v>
      </c>
      <c r="I55" s="9"/>
      <c r="O55" s="7"/>
      <c r="P55" s="20">
        <v>5.0000000000000001E-3</v>
      </c>
      <c r="Q55" s="21" t="e">
        <f>#REF!*O55*((1+P55)^10)*0.75</f>
        <v>#REF!</v>
      </c>
      <c r="R55" s="20" t="e">
        <f>Q55/('Portfolio Ned'!F53*'Portfolio Ned'!G53)</f>
        <v>#REF!</v>
      </c>
    </row>
    <row r="56" spans="1:18" ht="20.25">
      <c r="A56" s="136" t="str">
        <f>'Portfolio Ned'!A:A</f>
        <v>Exxon Mobil Corp</v>
      </c>
      <c r="B56" s="135" t="str">
        <f>'Portfolio Ned'!C:C</f>
        <v>USD</v>
      </c>
      <c r="C56" s="140"/>
      <c r="D56" s="140"/>
      <c r="E56" s="140"/>
      <c r="F56" s="140"/>
      <c r="G56" s="7"/>
      <c r="H56" s="147">
        <f>SUM(C56:F56)*'Portfolio Ned'!G56</f>
        <v>0</v>
      </c>
      <c r="I56" s="9"/>
      <c r="O56" s="7"/>
      <c r="P56" s="20">
        <v>5.0000000000000001E-3</v>
      </c>
      <c r="Q56" s="21" t="e">
        <f>#REF!*O56*((1+P56)^10)*0.75</f>
        <v>#REF!</v>
      </c>
      <c r="R56" s="20" t="e">
        <f>Q56/(#REF!*#REF!)</f>
        <v>#REF!</v>
      </c>
    </row>
    <row r="57" spans="1:18" ht="20.25">
      <c r="A57" s="136" t="str">
        <f>'Portfolio Ned'!A:A</f>
        <v>Glencore</v>
      </c>
      <c r="B57" s="135" t="str">
        <f>'Portfolio Ned'!C:C</f>
        <v>USD</v>
      </c>
      <c r="C57" s="140"/>
      <c r="D57" s="140"/>
      <c r="E57" s="140"/>
      <c r="F57" s="140"/>
      <c r="G57" s="7"/>
      <c r="H57" s="147">
        <f>SUM(C57:F57)*'Portfolio Ned'!G57</f>
        <v>0</v>
      </c>
      <c r="I57" s="9"/>
      <c r="O57" s="7"/>
      <c r="P57" s="20">
        <v>5.0000000000000001E-3</v>
      </c>
      <c r="Q57" s="21">
        <f>'Portfolio Ned'!G75*O57*((1+P57)^10)*0.75</f>
        <v>0</v>
      </c>
      <c r="R57" s="20" t="e">
        <f>Q57/('Portfolio Ned'!K94*#REF!)</f>
        <v>#REF!</v>
      </c>
    </row>
    <row r="58" spans="1:18" ht="20.25">
      <c r="A58" s="136" t="str">
        <f>'Portfolio Ned'!A:A</f>
        <v>Hochtief AG</v>
      </c>
      <c r="B58" s="135" t="str">
        <f>'Portfolio Ned'!C:C</f>
        <v>EUR</v>
      </c>
      <c r="C58" s="140"/>
      <c r="D58" s="140"/>
      <c r="E58" s="140"/>
      <c r="F58" s="140"/>
      <c r="G58" s="7"/>
      <c r="H58" s="147">
        <f>SUM(C58:F58)*'Portfolio Ned'!G58</f>
        <v>0</v>
      </c>
      <c r="I58" s="9"/>
      <c r="O58" s="7"/>
      <c r="P58" s="20">
        <v>5.0000000000000001E-3</v>
      </c>
      <c r="Q58" s="21">
        <f>'Portfolio Ned'!G22*O58*((1+P58)^10)*0.75</f>
        <v>0</v>
      </c>
      <c r="R58" s="20" t="e">
        <f>Q58/(#REF!*'Portfolio Ned'!G75)</f>
        <v>#REF!</v>
      </c>
    </row>
    <row r="59" spans="1:18" ht="20.25">
      <c r="A59" s="136" t="str">
        <f>'Portfolio Ned'!A:A</f>
        <v>Sika</v>
      </c>
      <c r="B59" s="135" t="str">
        <f>'Portfolio Ned'!C:C</f>
        <v>CHF</v>
      </c>
      <c r="C59" s="140"/>
      <c r="D59" s="140"/>
      <c r="E59" s="140"/>
      <c r="F59" s="140"/>
      <c r="G59" s="7"/>
      <c r="H59" s="147">
        <f>SUM(C59:F59)*'Portfolio Ned'!G59</f>
        <v>0</v>
      </c>
      <c r="I59" s="9"/>
      <c r="O59" s="7"/>
      <c r="P59" s="20">
        <v>5.0000000000000001E-3</v>
      </c>
      <c r="Q59" s="21" t="e">
        <f>#REF!*O59*((1+P59)^10)*0.75</f>
        <v>#REF!</v>
      </c>
      <c r="R59" s="20" t="e">
        <f>Q59/(#REF!*'Portfolio Ned'!G22)</f>
        <v>#REF!</v>
      </c>
    </row>
    <row r="60" spans="1:18" ht="20.25">
      <c r="A60" s="136" t="str">
        <f>'Portfolio Ned'!A:A</f>
        <v>Dupont de Nemours</v>
      </c>
      <c r="B60" s="135" t="str">
        <f>'Portfolio Ned'!C:C</f>
        <v>USD</v>
      </c>
      <c r="C60" s="140"/>
      <c r="D60" s="140"/>
      <c r="E60" s="140"/>
      <c r="F60" s="140"/>
      <c r="G60" s="7"/>
      <c r="H60" s="147">
        <f>SUM(C60:F60)*'Portfolio Ned'!G60</f>
        <v>0</v>
      </c>
      <c r="I60" s="9"/>
      <c r="O60" s="7"/>
      <c r="P60" s="20">
        <v>5.0000000000000001E-3</v>
      </c>
      <c r="Q60" s="21">
        <f>'Portfolio Ned'!G51*O60*((1+P60)^10)*0.75</f>
        <v>0</v>
      </c>
      <c r="R60" s="20" t="e">
        <f>Q60/(#REF!*#REF!)</f>
        <v>#REF!</v>
      </c>
    </row>
    <row r="61" spans="1:18" ht="20.25">
      <c r="A61" s="136" t="str">
        <f>'Portfolio Ned'!A:A</f>
        <v>Fuchs Petroclub</v>
      </c>
      <c r="B61" s="135" t="str">
        <f>'Portfolio Ned'!C:C</f>
        <v>EUR</v>
      </c>
      <c r="C61" s="140"/>
      <c r="D61" s="140"/>
      <c r="E61" s="140"/>
      <c r="F61" s="140"/>
      <c r="G61" s="7"/>
      <c r="H61" s="147">
        <f>SUM(C61:F61)*'Portfolio Ned'!G61</f>
        <v>0</v>
      </c>
      <c r="I61" s="9"/>
      <c r="P61" s="20">
        <v>5.0000000000000001E-3</v>
      </c>
      <c r="Q61" s="21" t="e">
        <f>#REF!*O61*((1+P61)^10)*0.75</f>
        <v>#REF!</v>
      </c>
      <c r="R61" s="20" t="e">
        <f>Q61/(#REF!*'Portfolio Ned'!G51)</f>
        <v>#REF!</v>
      </c>
    </row>
    <row r="62" spans="1:18" ht="20.25">
      <c r="A62" s="136" t="str">
        <f>'Portfolio Ned'!A:A</f>
        <v>Continental</v>
      </c>
      <c r="B62" s="135" t="str">
        <f>'Portfolio Ned'!C:C</f>
        <v>EUR</v>
      </c>
      <c r="C62" s="140"/>
      <c r="D62" s="140"/>
      <c r="E62" s="140"/>
      <c r="F62" s="140"/>
      <c r="G62" s="7"/>
      <c r="H62" s="147">
        <f>SUM(C62:F62)*'Portfolio Ned'!G62</f>
        <v>0</v>
      </c>
      <c r="I62" s="9"/>
      <c r="P62" s="20">
        <v>5.0000000000000001E-3</v>
      </c>
      <c r="Q62" s="21">
        <f>'Portfolio Ned'!G46*O62*((1+P62)^10)*0.75</f>
        <v>0</v>
      </c>
      <c r="R62" s="20" t="e">
        <f>Q62/(#REF!*#REF!)</f>
        <v>#REF!</v>
      </c>
    </row>
    <row r="63" spans="1:18" ht="20.25">
      <c r="A63" s="136" t="str">
        <f>'Portfolio Ned'!A:A</f>
        <v>Linde PLC</v>
      </c>
      <c r="B63" s="135" t="str">
        <f>'Portfolio Ned'!C:C</f>
        <v>EUR</v>
      </c>
      <c r="C63" s="140"/>
      <c r="D63" s="140"/>
      <c r="E63" s="140"/>
      <c r="F63" s="140"/>
      <c r="G63" s="7"/>
      <c r="H63" s="147">
        <f>SUM(C63:F63)*'Portfolio Ned'!G63</f>
        <v>0</v>
      </c>
      <c r="I63" s="9"/>
    </row>
    <row r="64" spans="1:18" ht="20.25">
      <c r="A64" s="136" t="str">
        <f>'Portfolio Ned'!A:A</f>
        <v>JP Morgan</v>
      </c>
      <c r="B64" s="135" t="str">
        <f>'Portfolio Ned'!C:C</f>
        <v>USD</v>
      </c>
      <c r="C64" s="140"/>
      <c r="D64" s="140"/>
      <c r="E64" s="140"/>
      <c r="F64" s="140"/>
      <c r="G64" s="7"/>
      <c r="H64" s="147">
        <f>SUM(C64:F64)*'Portfolio Ned'!G64</f>
        <v>0</v>
      </c>
      <c r="I64" s="9"/>
    </row>
    <row r="65" spans="1:9" ht="20.25">
      <c r="A65" s="136" t="str">
        <f>'Portfolio Ned'!A:A</f>
        <v>Commonwealth Bank AUS</v>
      </c>
      <c r="B65" s="135" t="str">
        <f>'Portfolio Ned'!C:C</f>
        <v>AUD</v>
      </c>
      <c r="C65" s="140"/>
      <c r="D65" s="140"/>
      <c r="E65" s="140"/>
      <c r="F65" s="140"/>
      <c r="G65" s="7"/>
      <c r="H65" s="147">
        <f>SUM(C65:F65)*'Portfolio Ned'!G65</f>
        <v>0</v>
      </c>
      <c r="I65" s="9"/>
    </row>
    <row r="66" spans="1:9" ht="20.25">
      <c r="A66" s="136" t="str">
        <f>'Portfolio Ned'!A:A</f>
        <v>Charter Hall Grp</v>
      </c>
      <c r="B66" s="135" t="str">
        <f>'Portfolio Ned'!C:C</f>
        <v>AUD</v>
      </c>
      <c r="C66" s="140"/>
      <c r="D66" s="140"/>
      <c r="E66" s="140"/>
      <c r="F66" s="140"/>
      <c r="G66" s="7"/>
      <c r="H66" s="147">
        <f>SUM(C66:F66)*'Portfolio Ned'!G66</f>
        <v>0</v>
      </c>
      <c r="I66" s="9"/>
    </row>
    <row r="67" spans="1:9" ht="20.25">
      <c r="A67" s="136" t="str">
        <f>'Portfolio Ned'!A:A</f>
        <v>IBM</v>
      </c>
      <c r="B67" s="135" t="str">
        <f>'Portfolio Ned'!C:C</f>
        <v>USD</v>
      </c>
      <c r="C67" s="140"/>
      <c r="D67" s="140"/>
      <c r="E67" s="140"/>
      <c r="F67" s="140"/>
      <c r="G67" s="7"/>
      <c r="H67" s="147">
        <f>SUM(C67:F67)*'Portfolio Ned'!G67</f>
        <v>0</v>
      </c>
      <c r="I67" s="9"/>
    </row>
    <row r="68" spans="1:9" ht="20.25">
      <c r="A68" s="136" t="str">
        <f>'Portfolio Ned'!A:A</f>
        <v>Visa</v>
      </c>
      <c r="B68" s="135" t="str">
        <f>'Portfolio Ned'!C:C</f>
        <v>USD</v>
      </c>
      <c r="C68" s="140"/>
      <c r="D68" s="140"/>
      <c r="E68" s="140"/>
      <c r="F68" s="140"/>
      <c r="G68" s="7"/>
      <c r="H68" s="147">
        <f>SUM(C68:F68)*'Portfolio Ned'!G68</f>
        <v>0</v>
      </c>
      <c r="I68" s="9"/>
    </row>
    <row r="69" spans="1:9" ht="20.25">
      <c r="A69" s="136" t="str">
        <f>'Portfolio Ned'!A:A</f>
        <v>Sony Corp</v>
      </c>
      <c r="B69" s="135" t="str">
        <f>'Portfolio Ned'!C:C</f>
        <v>JPY</v>
      </c>
      <c r="C69" s="140"/>
      <c r="D69" s="140"/>
      <c r="E69" s="140"/>
      <c r="F69" s="140"/>
      <c r="G69" s="7"/>
      <c r="H69" s="147">
        <f>SUM(C69:F69)*'Portfolio Ned'!G69</f>
        <v>0</v>
      </c>
      <c r="I69" s="9"/>
    </row>
    <row r="70" spans="1:9" ht="20.25">
      <c r="A70" s="136" t="str">
        <f>'Portfolio Ned'!A:A</f>
        <v>Adobe</v>
      </c>
      <c r="B70" s="135" t="str">
        <f>'Portfolio Ned'!C:C</f>
        <v>USD</v>
      </c>
      <c r="C70" s="140"/>
      <c r="D70" s="140"/>
      <c r="E70" s="140"/>
      <c r="F70" s="140"/>
      <c r="G70" s="7"/>
      <c r="H70" s="147">
        <f>SUM(C70:F70)*'Portfolio Ned'!G70</f>
        <v>0</v>
      </c>
      <c r="I70" s="9"/>
    </row>
    <row r="71" spans="1:9" ht="20.25">
      <c r="A71" s="136" t="str">
        <f>'Portfolio Ned'!A:A</f>
        <v>Naspers</v>
      </c>
      <c r="B71" s="135" t="str">
        <f>'Portfolio Ned'!C:C</f>
        <v>USD</v>
      </c>
      <c r="C71" s="140"/>
      <c r="D71" s="140"/>
      <c r="E71" s="140"/>
      <c r="F71" s="140"/>
      <c r="G71" s="7"/>
      <c r="H71" s="147">
        <f>SUM(C71:F71)*'Portfolio Ned'!G71</f>
        <v>0</v>
      </c>
      <c r="I71" s="9"/>
    </row>
    <row r="72" spans="1:9" ht="20.25">
      <c r="A72" s="136" t="str">
        <f>'Portfolio Ned'!A:A</f>
        <v>Palo Alto</v>
      </c>
      <c r="B72" s="135">
        <f>'Portfolio Ned'!C:C</f>
        <v>0</v>
      </c>
      <c r="C72" s="140"/>
      <c r="D72" s="140"/>
      <c r="E72" s="140"/>
      <c r="F72" s="140"/>
      <c r="G72" s="7"/>
      <c r="H72" s="147">
        <f>SUM(C72:F72)*'Portfolio Ned'!G72</f>
        <v>0</v>
      </c>
      <c r="I72" s="9"/>
    </row>
    <row r="73" spans="1:9" ht="20.25">
      <c r="A73" s="136" t="str">
        <f>'Portfolio Ned'!A:A</f>
        <v>Illumina</v>
      </c>
      <c r="B73" s="135" t="str">
        <f>'Portfolio Ned'!C:C</f>
        <v>USD</v>
      </c>
      <c r="C73" s="140"/>
      <c r="D73" s="140"/>
      <c r="E73" s="140"/>
      <c r="F73" s="140"/>
      <c r="G73" s="7"/>
      <c r="H73" s="147">
        <f>SUM(C73:F73)*'Portfolio Ned'!G73</f>
        <v>0</v>
      </c>
      <c r="I73" s="9"/>
    </row>
    <row r="74" spans="1:9" ht="20.25">
      <c r="A74" s="136" t="str">
        <f>'Portfolio Ned'!A:A</f>
        <v>Novartis</v>
      </c>
      <c r="B74" s="135" t="str">
        <f>'Portfolio Ned'!C:C</f>
        <v>USD</v>
      </c>
      <c r="C74" s="140"/>
      <c r="D74" s="140"/>
      <c r="E74" s="140"/>
      <c r="F74" s="140"/>
      <c r="G74" s="7"/>
      <c r="H74" s="147">
        <f>SUM(C74:F74)*'Portfolio Ned'!G74</f>
        <v>0</v>
      </c>
      <c r="I74" s="9"/>
    </row>
    <row r="75" spans="1:9" ht="20.25">
      <c r="A75" s="136" t="str">
        <f>'Portfolio Ned'!A:A</f>
        <v>Bayer AG</v>
      </c>
      <c r="B75" s="135" t="str">
        <f>'Portfolio Ned'!C:C</f>
        <v>EUR</v>
      </c>
      <c r="C75" s="140"/>
      <c r="D75" s="140"/>
      <c r="E75" s="140"/>
      <c r="F75" s="140"/>
      <c r="G75" s="7"/>
      <c r="H75" s="147">
        <f>SUM(C75:F75)*'Portfolio Ned'!G75</f>
        <v>0</v>
      </c>
      <c r="I75" s="9"/>
    </row>
    <row r="76" spans="1:9" ht="20.25">
      <c r="A76" s="136" t="str">
        <f>'Portfolio Ned'!A:A</f>
        <v>Roche Holding AG</v>
      </c>
      <c r="B76" s="135" t="str">
        <f>'Portfolio Ned'!C:C</f>
        <v>CHF</v>
      </c>
      <c r="C76" s="140"/>
      <c r="D76" s="140"/>
      <c r="E76" s="140"/>
      <c r="F76" s="140"/>
      <c r="G76" s="7"/>
      <c r="H76" s="147">
        <f>SUM(C76:F76)*'Portfolio Ned'!G76</f>
        <v>0</v>
      </c>
      <c r="I76" s="9"/>
    </row>
    <row r="77" spans="1:9" ht="20.25">
      <c r="A77" s="136" t="str">
        <f>'Portfolio Ned'!A:A</f>
        <v>Merck</v>
      </c>
      <c r="B77" s="135">
        <f>'Portfolio Ned'!C:C</f>
        <v>0</v>
      </c>
      <c r="C77" s="140"/>
      <c r="D77" s="140"/>
      <c r="E77" s="140"/>
      <c r="F77" s="140"/>
      <c r="G77" s="7"/>
      <c r="H77" s="147">
        <f>SUM(C77:F77)*'Portfolio Ned'!G77</f>
        <v>0</v>
      </c>
      <c r="I77" s="9"/>
    </row>
    <row r="78" spans="1:9" ht="20.25">
      <c r="A78" s="136">
        <f>'Portfolio Ned'!A:A</f>
        <v>0</v>
      </c>
      <c r="B78" s="135">
        <f>'Portfolio Ned'!C:C</f>
        <v>0</v>
      </c>
      <c r="C78" s="140"/>
      <c r="D78" s="140"/>
      <c r="E78" s="140"/>
      <c r="F78" s="140"/>
      <c r="G78" s="7"/>
      <c r="H78" s="147">
        <f>SUM(C78:F78)*'Portfolio Ned'!G78</f>
        <v>0</v>
      </c>
      <c r="I78" s="9"/>
    </row>
    <row r="79" spans="1:9" ht="20.25">
      <c r="A79" s="136" t="str">
        <f>'Portfolio Ned'!A:A</f>
        <v>NextEra Energy</v>
      </c>
      <c r="B79" s="135" t="str">
        <f>'Portfolio Ned'!C:C</f>
        <v>USD</v>
      </c>
      <c r="C79" s="140"/>
      <c r="D79" s="140"/>
      <c r="E79" s="140"/>
      <c r="F79" s="140"/>
      <c r="G79" s="7"/>
      <c r="H79" s="147">
        <f>SUM(C79:F79)*'Portfolio Ned'!G79</f>
        <v>0</v>
      </c>
      <c r="I79" s="9"/>
    </row>
    <row r="80" spans="1:9" ht="20.25">
      <c r="A80" s="136" t="str">
        <f>'Portfolio Ned'!A:A</f>
        <v>Enel</v>
      </c>
      <c r="B80" s="135" t="str">
        <f>'Portfolio Ned'!C:C</f>
        <v>USD</v>
      </c>
      <c r="C80" s="140"/>
      <c r="D80" s="140"/>
      <c r="E80" s="140"/>
      <c r="F80" s="140"/>
      <c r="G80" s="7"/>
      <c r="H80" s="147">
        <f>SUM(C80:F80)*'Portfolio Ned'!G80</f>
        <v>0</v>
      </c>
      <c r="I80" s="9"/>
    </row>
    <row r="81" spans="1:9" ht="20.25">
      <c r="A81" s="136" t="str">
        <f>'Portfolio Ned'!A:A</f>
        <v>EDP-Energias</v>
      </c>
      <c r="B81" s="135" t="str">
        <f>'Portfolio Ned'!C:C</f>
        <v>EUR</v>
      </c>
      <c r="C81" s="140"/>
      <c r="D81" s="140"/>
      <c r="E81" s="140"/>
      <c r="F81" s="140"/>
      <c r="G81" s="7"/>
      <c r="H81" s="147">
        <f>SUM(C81:F81)*'Portfolio Ned'!G81</f>
        <v>0</v>
      </c>
      <c r="I81" s="9"/>
    </row>
    <row r="82" spans="1:9" ht="20.25">
      <c r="A82" s="136">
        <f>'Portfolio Ned'!A:A</f>
        <v>0</v>
      </c>
      <c r="B82" s="135">
        <f>'Portfolio Ned'!C:C</f>
        <v>0</v>
      </c>
      <c r="C82" s="140"/>
      <c r="D82" s="140"/>
      <c r="E82" s="140"/>
      <c r="F82" s="140"/>
      <c r="G82" s="7"/>
      <c r="H82" s="147">
        <f>SUM(C82:F82)*'Portfolio Ned'!G82</f>
        <v>0</v>
      </c>
      <c r="I82" s="9"/>
    </row>
    <row r="83" spans="1:9" ht="20.25">
      <c r="A83" s="136" t="str">
        <f>'Portfolio Ned'!A:A</f>
        <v>Sixt SE</v>
      </c>
      <c r="B83" s="135" t="str">
        <f>'Portfolio Ned'!C:C</f>
        <v>EUR</v>
      </c>
      <c r="C83" s="140"/>
      <c r="D83" s="140"/>
      <c r="E83" s="140"/>
      <c r="F83" s="140"/>
      <c r="G83" s="7"/>
      <c r="H83" s="147">
        <f>SUM(C83:F83)*'Portfolio Ned'!G83</f>
        <v>0</v>
      </c>
      <c r="I83" s="9"/>
    </row>
    <row r="84" spans="1:9" ht="20.25">
      <c r="A84" s="136" t="str">
        <f>'Portfolio Ned'!A:A</f>
        <v>Tencent</v>
      </c>
      <c r="B84" s="135">
        <f>'Portfolio Ned'!C:C</f>
        <v>0</v>
      </c>
      <c r="C84" s="140"/>
      <c r="D84" s="140"/>
      <c r="E84" s="140"/>
      <c r="F84" s="140"/>
      <c r="G84" s="7"/>
      <c r="H84" s="147">
        <f>SUM(C84:F84)*'Portfolio Ned'!G84</f>
        <v>0</v>
      </c>
      <c r="I84" s="9"/>
    </row>
    <row r="85" spans="1:9" ht="20.25">
      <c r="A85" s="136" t="str">
        <f>'Portfolio Ned'!A:A</f>
        <v>ICBC</v>
      </c>
      <c r="B85" s="135" t="str">
        <f>'Portfolio Ned'!C:C</f>
        <v>CNY</v>
      </c>
      <c r="C85" s="140"/>
      <c r="D85" s="140"/>
      <c r="E85" s="140"/>
      <c r="F85" s="140"/>
      <c r="G85" s="7"/>
      <c r="H85" s="147">
        <f>SUM(C85:F85)*'Portfolio Ned'!G85</f>
        <v>0</v>
      </c>
      <c r="I85" s="9"/>
    </row>
    <row r="86" spans="1:9" ht="20.25">
      <c r="A86" s="136" t="str">
        <f>'Portfolio Ned'!A:A</f>
        <v>Parkway Life REIT</v>
      </c>
      <c r="B86" s="135" t="str">
        <f>'Portfolio Ned'!C:C</f>
        <v>SGD</v>
      </c>
      <c r="C86" s="140"/>
      <c r="D86" s="140"/>
      <c r="E86" s="140"/>
      <c r="F86" s="140"/>
      <c r="G86" s="7"/>
      <c r="H86" s="147">
        <f>SUM(C86:F86)*'Portfolio Ned'!G86</f>
        <v>0</v>
      </c>
      <c r="I86" s="9"/>
    </row>
    <row r="87" spans="1:9" ht="20.25">
      <c r="A87" s="136" t="str">
        <f>'Portfolio Ned'!A:A</f>
        <v>China Mobile LTD.</v>
      </c>
      <c r="B87" s="135" t="str">
        <f>'Portfolio Ned'!C:C</f>
        <v>HKD</v>
      </c>
      <c r="C87" s="140"/>
      <c r="D87" s="140"/>
      <c r="E87" s="140"/>
      <c r="F87" s="140"/>
      <c r="G87" s="7"/>
      <c r="H87" s="147">
        <f>SUM(C87:F87)*'Portfolio Ned'!G87</f>
        <v>0</v>
      </c>
      <c r="I87" s="9"/>
    </row>
    <row r="88" spans="1:9" ht="20.25">
      <c r="A88" s="136" t="str">
        <f>'Portfolio Ned'!A:A</f>
        <v>Wharf Holdings Ltd</v>
      </c>
      <c r="B88" s="135" t="str">
        <f>'Portfolio Ned'!C:C</f>
        <v>EUR</v>
      </c>
      <c r="C88" s="140"/>
      <c r="D88" s="140"/>
      <c r="E88" s="140"/>
      <c r="F88" s="140"/>
      <c r="G88" s="7"/>
      <c r="H88" s="147">
        <f>SUM(C88:F88)*'Portfolio Ned'!G88</f>
        <v>0</v>
      </c>
      <c r="I88" s="9"/>
    </row>
    <row r="89" spans="1:9" ht="20.25">
      <c r="A89" s="136" t="str">
        <f>'Portfolio Ned'!A:A</f>
        <v xml:space="preserve">Wipro ADR </v>
      </c>
      <c r="B89" s="135" t="str">
        <f>'Portfolio Ned'!C:C</f>
        <v>USD</v>
      </c>
      <c r="C89" s="140"/>
      <c r="D89" s="140"/>
      <c r="E89" s="140"/>
      <c r="F89" s="140"/>
      <c r="G89" s="7"/>
      <c r="H89" s="147">
        <f>SUM(C89:F89)*'Portfolio Ned'!G89</f>
        <v>0</v>
      </c>
      <c r="I89" s="9"/>
    </row>
    <row r="90" spans="1:9" ht="20.25">
      <c r="A90" s="136" t="str">
        <f>'Portfolio Ned'!A:A</f>
        <v>Meituan Cl B</v>
      </c>
      <c r="B90" s="135" t="str">
        <f>'Portfolio Ned'!C:C</f>
        <v>USD</v>
      </c>
      <c r="C90" s="140"/>
      <c r="D90" s="140"/>
      <c r="E90" s="140"/>
      <c r="F90" s="140"/>
      <c r="G90" s="7"/>
      <c r="H90" s="147">
        <f>SUM(C90:F90)*'Portfolio Ned'!G90</f>
        <v>0</v>
      </c>
      <c r="I90" s="9"/>
    </row>
    <row r="91" spans="1:9" ht="20.25">
      <c r="A91" s="136" t="str">
        <f>'Portfolio Ned'!A:A</f>
        <v>Sea Ltd</v>
      </c>
      <c r="B91" s="135" t="str">
        <f>'Portfolio Ned'!C:C</f>
        <v>USD</v>
      </c>
      <c r="C91" s="140"/>
      <c r="D91" s="140"/>
      <c r="E91" s="140"/>
      <c r="F91" s="140"/>
      <c r="G91" s="7"/>
      <c r="H91" s="147">
        <f>SUM(C91:F91)*'Portfolio Ned'!G91</f>
        <v>0</v>
      </c>
      <c r="I91" s="9"/>
    </row>
    <row r="92" spans="1:9" ht="20.25">
      <c r="A92" s="136" t="str">
        <f>'Portfolio Ned'!A:A</f>
        <v>DBS Grp Hld</v>
      </c>
      <c r="B92" s="135" t="str">
        <f>'Portfolio Ned'!C:C</f>
        <v>USD</v>
      </c>
      <c r="C92" s="140"/>
      <c r="D92" s="140"/>
      <c r="E92" s="140"/>
      <c r="F92" s="140"/>
      <c r="G92" s="7"/>
      <c r="H92" s="147">
        <f>SUM(C92:F92)*'Portfolio Ned'!G92</f>
        <v>0</v>
      </c>
      <c r="I92" s="9"/>
    </row>
    <row r="93" spans="1:9" ht="20.25">
      <c r="A93" s="136" t="str">
        <f>'Portfolio Ned'!A:A</f>
        <v>Shenzou Itl</v>
      </c>
      <c r="B93" s="135" t="str">
        <f>'Portfolio Ned'!C:C</f>
        <v>HKD</v>
      </c>
      <c r="C93" s="140"/>
      <c r="D93" s="140"/>
      <c r="E93" s="140"/>
      <c r="F93" s="140"/>
      <c r="G93" s="7"/>
      <c r="H93" s="147">
        <f>SUM(C93:F93)*'Portfolio Ned'!G93</f>
        <v>0</v>
      </c>
      <c r="I93" s="9"/>
    </row>
    <row r="94" spans="1:9" ht="20.25">
      <c r="A94" s="136" t="str">
        <f>'Portfolio Ned'!A:A</f>
        <v>Xiaomi</v>
      </c>
      <c r="B94" s="135" t="str">
        <f>'Portfolio Ned'!C:C</f>
        <v>HKD</v>
      </c>
      <c r="C94" s="140"/>
      <c r="D94" s="140"/>
      <c r="E94" s="140"/>
      <c r="F94" s="140"/>
      <c r="G94" s="7"/>
      <c r="H94" s="147">
        <f>SUM(C94:F94)*'Portfolio Ned'!G94</f>
        <v>0</v>
      </c>
      <c r="I94" s="9"/>
    </row>
    <row r="95" spans="1:9" ht="20.25">
      <c r="A95" s="136" t="str">
        <f>'Portfolio Ned'!A:A</f>
        <v>Infosys ADR</v>
      </c>
      <c r="B95" s="135" t="str">
        <f>'Portfolio Ned'!C:C</f>
        <v>USD</v>
      </c>
      <c r="C95" s="140"/>
      <c r="D95" s="140"/>
      <c r="E95" s="140"/>
      <c r="F95" s="140"/>
      <c r="G95" s="7"/>
      <c r="H95" s="147">
        <f>SUM(C95:F95)*'Portfolio Ned'!G95</f>
        <v>0</v>
      </c>
      <c r="I95" s="9"/>
    </row>
    <row r="96" spans="1:9" ht="20.25">
      <c r="A96" s="136" t="str">
        <f>'Portfolio Ned'!A:A</f>
        <v>Pinduoduo</v>
      </c>
      <c r="B96" s="135" t="str">
        <f>'Portfolio Ned'!C:C</f>
        <v>EUR</v>
      </c>
      <c r="C96" s="140"/>
      <c r="D96" s="140"/>
      <c r="E96" s="140"/>
      <c r="F96" s="140"/>
      <c r="G96" s="7"/>
      <c r="H96" s="147">
        <f>SUM(C96:F96)*'Portfolio Ned'!G96</f>
        <v>0</v>
      </c>
      <c r="I96" s="9"/>
    </row>
    <row r="97" spans="1:9" ht="20.25">
      <c r="A97" s="136" t="str">
        <f>'Portfolio Ned'!A:A</f>
        <v>Weichai Power</v>
      </c>
      <c r="B97" s="135" t="str">
        <f>'Portfolio Ned'!C:C</f>
        <v>HKD</v>
      </c>
      <c r="C97" s="140"/>
      <c r="D97" s="140"/>
      <c r="E97" s="140"/>
      <c r="F97" s="140"/>
      <c r="G97" s="7"/>
      <c r="H97" s="147">
        <f>SUM(C97:F97)*'Portfolio Ned'!G97</f>
        <v>0</v>
      </c>
      <c r="I97" s="9"/>
    </row>
    <row r="98" spans="1:9" ht="20.25">
      <c r="A98" s="136" t="str">
        <f>'Portfolio Ned'!A:A</f>
        <v>Lenovo Group</v>
      </c>
      <c r="B98" s="135" t="str">
        <f>'Portfolio Ned'!C:C</f>
        <v>HKD</v>
      </c>
      <c r="C98" s="140"/>
      <c r="D98" s="140"/>
      <c r="E98" s="140"/>
      <c r="F98" s="140"/>
      <c r="G98" s="7"/>
      <c r="H98" s="147">
        <f>SUM(C98:F98)*'Portfolio Ned'!G98</f>
        <v>0</v>
      </c>
      <c r="I98" s="9"/>
    </row>
    <row r="99" spans="1:9" ht="20.25">
      <c r="A99" s="136" t="str">
        <f>'Portfolio Ned'!A:A</f>
        <v>AIA Group LTD</v>
      </c>
      <c r="B99" s="135" t="str">
        <f>'Portfolio Ned'!C:C</f>
        <v>HKD</v>
      </c>
      <c r="C99" s="140"/>
      <c r="D99" s="140"/>
      <c r="E99" s="140"/>
      <c r="F99" s="140"/>
      <c r="G99" s="7"/>
      <c r="H99" s="147">
        <f>SUM(C99:F99)*'Portfolio Ned'!G99</f>
        <v>0</v>
      </c>
      <c r="I99" s="9"/>
    </row>
    <row r="100" spans="1:9" ht="20.25">
      <c r="A100" s="136" t="str">
        <f>'Portfolio Ned'!A:A</f>
        <v>Baidu</v>
      </c>
      <c r="B100" s="135" t="str">
        <f>'Portfolio Ned'!C:C</f>
        <v>USD</v>
      </c>
      <c r="C100" s="140"/>
      <c r="D100" s="140"/>
      <c r="E100" s="140"/>
      <c r="F100" s="140"/>
      <c r="G100" s="7"/>
      <c r="H100" s="147">
        <f>SUM(C100:F100)*'Portfolio Ned'!G100</f>
        <v>0</v>
      </c>
      <c r="I100" s="9"/>
    </row>
    <row r="101" spans="1:9" ht="20.25">
      <c r="A101" s="136">
        <f>'Portfolio Ned'!A:A</f>
        <v>0</v>
      </c>
      <c r="B101" s="135">
        <f>'Portfolio Ned'!C:C</f>
        <v>0</v>
      </c>
      <c r="C101" s="140"/>
      <c r="D101" s="140"/>
      <c r="E101" s="140"/>
      <c r="F101" s="140"/>
      <c r="G101" s="7"/>
      <c r="H101" s="147">
        <f>SUM(C101:F101)*'Portfolio Ned'!G101</f>
        <v>0</v>
      </c>
      <c r="I101" s="9"/>
    </row>
    <row r="102" spans="1:9" ht="20.25">
      <c r="A102" s="136">
        <f>'Portfolio Ned'!A:A</f>
        <v>0</v>
      </c>
      <c r="B102" s="135">
        <f>'Portfolio Ned'!C:C</f>
        <v>0</v>
      </c>
      <c r="C102" s="140"/>
      <c r="D102" s="140"/>
      <c r="E102" s="140"/>
      <c r="F102" s="140"/>
      <c r="G102" s="7"/>
      <c r="H102" s="147">
        <f>SUM(C102:F102)*'Portfolio Ned'!G102</f>
        <v>0</v>
      </c>
      <c r="I102" s="9"/>
    </row>
    <row r="103" spans="1:9" ht="20.25">
      <c r="A103" s="136">
        <f>'Portfolio Ned'!A:A</f>
        <v>0</v>
      </c>
      <c r="B103" s="135">
        <f>'Portfolio Ned'!C:C</f>
        <v>0</v>
      </c>
      <c r="C103" s="140"/>
      <c r="D103" s="140"/>
      <c r="E103" s="140"/>
      <c r="F103" s="140"/>
      <c r="G103" s="7"/>
      <c r="H103" s="147">
        <f>SUM(C103:F103)*'Portfolio Ned'!G103</f>
        <v>0</v>
      </c>
      <c r="I103" s="9"/>
    </row>
    <row r="104" spans="1:9" ht="20.25">
      <c r="A104" s="136" t="str">
        <f>'Portfolio Ned'!A:A</f>
        <v>Spin offs:</v>
      </c>
      <c r="B104" s="135">
        <f>'Portfolio Ned'!C:C</f>
        <v>0</v>
      </c>
      <c r="C104" s="140"/>
      <c r="D104" s="140"/>
      <c r="E104" s="140"/>
      <c r="F104" s="140"/>
      <c r="G104" s="7"/>
      <c r="H104" s="147">
        <f>SUM(C104:F104)*'Portfolio Ned'!G104</f>
        <v>0</v>
      </c>
      <c r="I104" s="9"/>
    </row>
    <row r="105" spans="1:9" ht="20.25">
      <c r="A105" s="136" t="str">
        <f>'Portfolio Ned'!A:A</f>
        <v>Alcon AG</v>
      </c>
      <c r="B105" s="135" t="str">
        <f>'Portfolio Ned'!C:C</f>
        <v>CHF</v>
      </c>
      <c r="C105" s="140"/>
      <c r="D105" s="140"/>
      <c r="E105" s="140"/>
      <c r="F105" s="140"/>
      <c r="G105" s="7"/>
      <c r="H105" s="147">
        <f>SUM(C105:F105)*'Portfolio Ned'!G105</f>
        <v>0</v>
      </c>
      <c r="I105" s="9"/>
    </row>
    <row r="106" spans="1:9" ht="20.25">
      <c r="A106" s="136" t="str">
        <f>'Portfolio Ned'!A:A</f>
        <v>Schaeffler</v>
      </c>
      <c r="B106" s="135" t="str">
        <f>'Portfolio Ned'!C:C</f>
        <v>EUR</v>
      </c>
      <c r="C106" s="140"/>
      <c r="D106" s="140"/>
      <c r="E106" s="140"/>
      <c r="F106" s="140"/>
      <c r="G106" s="7"/>
      <c r="H106" s="147">
        <f>SUM(C106:F106)*'Portfolio Ned'!G106</f>
        <v>0</v>
      </c>
      <c r="I106" s="9"/>
    </row>
    <row r="107" spans="1:9" ht="20.25">
      <c r="A107" s="136" t="str">
        <f>'Portfolio Ned'!A:A</f>
        <v>Orion office REIT</v>
      </c>
      <c r="B107" s="135" t="str">
        <f>'Portfolio Ned'!C:C</f>
        <v>USD</v>
      </c>
      <c r="C107" s="140"/>
      <c r="D107" s="140"/>
      <c r="E107" s="140"/>
      <c r="F107" s="140"/>
      <c r="G107" s="7"/>
      <c r="H107" s="147">
        <f>SUM(C107:F107)*'Portfolio Ned'!G107</f>
        <v>0</v>
      </c>
      <c r="I107" s="9"/>
    </row>
    <row r="108" spans="1:9" ht="20.25">
      <c r="A108" s="136" t="str">
        <f>'Portfolio Ned'!A:A</f>
        <v>Kyndril Holdings</v>
      </c>
      <c r="B108" s="135" t="str">
        <f>'Portfolio Ned'!C:C</f>
        <v>USD</v>
      </c>
      <c r="C108" s="140"/>
      <c r="D108" s="140"/>
      <c r="E108" s="140"/>
      <c r="F108" s="140"/>
      <c r="G108" s="19"/>
      <c r="H108" s="147">
        <f>SUM(C108:F108)*'Portfolio Ned'!G108</f>
        <v>0</v>
      </c>
      <c r="I108" s="9"/>
    </row>
    <row r="109" spans="1:9" ht="20.25">
      <c r="A109" s="136" t="str">
        <f>'Portfolio Ned'!A:A</f>
        <v>Sandoz</v>
      </c>
      <c r="B109" s="135" t="str">
        <f>'Portfolio Ned'!C:C</f>
        <v>USD</v>
      </c>
      <c r="C109" s="140"/>
      <c r="D109" s="140"/>
      <c r="E109" s="140"/>
      <c r="F109" s="140"/>
      <c r="G109" s="19"/>
      <c r="H109" s="147">
        <f>SUM(C109:F109)*'Portfolio Ned'!G109</f>
        <v>0</v>
      </c>
      <c r="I109" s="9"/>
    </row>
    <row r="110" spans="1:9" ht="20.25">
      <c r="A110" s="136" t="str">
        <f>'Portfolio Ned'!A:A</f>
        <v>Veralto</v>
      </c>
      <c r="B110" s="135" t="str">
        <f>'Portfolio Ned'!C:C</f>
        <v>USD</v>
      </c>
      <c r="C110" s="140"/>
      <c r="D110" s="140"/>
      <c r="E110" s="140"/>
      <c r="F110" s="140"/>
      <c r="G110" s="19"/>
      <c r="H110" s="147">
        <f>SUM(C110:F110)*'Portfolio Ned'!G110</f>
        <v>0</v>
      </c>
      <c r="I110" s="9"/>
    </row>
    <row r="111" spans="1:9" ht="20.25">
      <c r="A111" s="136" t="str">
        <f>'Portfolio Ned'!A:A</f>
        <v xml:space="preserve">Solventum </v>
      </c>
      <c r="B111" s="135" t="str">
        <f>'Portfolio Ned'!C:C</f>
        <v>USD</v>
      </c>
      <c r="C111" s="140"/>
      <c r="D111" s="140"/>
      <c r="E111" s="140"/>
      <c r="F111" s="140"/>
      <c r="G111" s="19"/>
      <c r="H111" s="147">
        <f>SUM(C111:F111)*'Portfolio Ned'!G111</f>
        <v>0</v>
      </c>
      <c r="I111" s="9"/>
    </row>
    <row r="112" spans="1:9" ht="20.25">
      <c r="A112" s="136" t="str">
        <f>'Portfolio Ned'!A:A</f>
        <v>Grail</v>
      </c>
      <c r="B112" s="135" t="str">
        <f>'Portfolio Ned'!C:C</f>
        <v>USD</v>
      </c>
      <c r="C112" s="140"/>
      <c r="D112" s="140"/>
      <c r="E112" s="140"/>
      <c r="F112" s="140"/>
      <c r="G112" s="19"/>
      <c r="H112" s="147">
        <f>SUM(C112:F112)*'Portfolio Ned'!G112</f>
        <v>0</v>
      </c>
      <c r="I112" s="9"/>
    </row>
    <row r="113" spans="1:9" ht="20.25">
      <c r="A113" s="136">
        <f>'Portfolio Ned'!A:A</f>
        <v>0</v>
      </c>
      <c r="B113" s="135">
        <f>'Portfolio Ned'!C:C</f>
        <v>0</v>
      </c>
      <c r="C113" s="140"/>
      <c r="D113" s="140"/>
      <c r="E113" s="140"/>
      <c r="F113" s="140"/>
      <c r="G113" s="19"/>
      <c r="H113" s="147">
        <f>SUM(C113:F113)*'Portfolio Ned'!G113</f>
        <v>0</v>
      </c>
      <c r="I113" s="9"/>
    </row>
    <row r="114" spans="1:9" ht="20.25">
      <c r="A114" s="136">
        <f>'Portfolio Ned'!A:A</f>
        <v>0</v>
      </c>
      <c r="B114" s="135">
        <f>'Portfolio Ned'!C:C</f>
        <v>0</v>
      </c>
      <c r="C114" s="140"/>
      <c r="D114" s="140"/>
      <c r="E114" s="140"/>
      <c r="F114" s="140"/>
      <c r="G114" s="19"/>
      <c r="H114" s="147">
        <f>SUM(C114:F114)*'Portfolio Ned'!G114</f>
        <v>0</v>
      </c>
      <c r="I114" s="9"/>
    </row>
    <row r="115" spans="1:9" ht="20.25">
      <c r="A115" s="136">
        <f>'Portfolio Ned'!A:A</f>
        <v>0</v>
      </c>
      <c r="B115" s="135">
        <f>'Portfolio Ned'!C:C</f>
        <v>0</v>
      </c>
      <c r="C115" s="140"/>
      <c r="D115" s="140"/>
      <c r="E115" s="140"/>
      <c r="F115" s="140"/>
      <c r="G115" s="19"/>
      <c r="H115" s="147">
        <f>SUM(C115:F115)*'Portfolio Ned'!G115</f>
        <v>0</v>
      </c>
      <c r="I115" s="9"/>
    </row>
    <row r="116" spans="1:9" ht="20.25">
      <c r="A116" s="136">
        <f>'Portfolio Ned'!A:A</f>
        <v>0</v>
      </c>
      <c r="B116" s="135">
        <f>'Portfolio Ned'!C:C</f>
        <v>0</v>
      </c>
      <c r="C116" s="140"/>
      <c r="D116" s="140"/>
      <c r="E116" s="140"/>
      <c r="F116" s="140"/>
      <c r="G116" s="19"/>
      <c r="H116" s="147">
        <f>SUM(C116:F116)*'Portfolio Ned'!G116</f>
        <v>0</v>
      </c>
      <c r="I116" s="9"/>
    </row>
    <row r="117" spans="1:9" ht="20.25">
      <c r="A117" s="136">
        <f>'Portfolio Ned'!A:A</f>
        <v>0</v>
      </c>
      <c r="B117" s="135">
        <f>'Portfolio Ned'!C:C</f>
        <v>0</v>
      </c>
      <c r="C117" s="142"/>
      <c r="D117" s="142"/>
      <c r="E117" s="142"/>
      <c r="F117" s="145"/>
      <c r="G117" s="19"/>
      <c r="H117" s="147">
        <f>SUM(C117:F117)*'Portfolio Ned'!G117</f>
        <v>0</v>
      </c>
      <c r="I117" s="9"/>
    </row>
    <row r="118" spans="1:9" ht="20.25">
      <c r="A118" s="136">
        <f>'Portfolio Ned'!A:A</f>
        <v>0</v>
      </c>
      <c r="B118" s="135">
        <f>'Portfolio Ned'!C:C</f>
        <v>0</v>
      </c>
      <c r="C118" s="142"/>
      <c r="D118" s="142"/>
      <c r="E118" s="142"/>
      <c r="F118" s="145"/>
      <c r="G118" s="19"/>
      <c r="H118" s="147">
        <f>SUM(C118:F118)*'Portfolio Ned'!G118</f>
        <v>0</v>
      </c>
      <c r="I118" s="9"/>
    </row>
    <row r="119" spans="1:9" ht="20.25">
      <c r="A119" s="136">
        <f>'Portfolio Ned'!A:A</f>
        <v>0</v>
      </c>
      <c r="B119" s="135">
        <f>'Portfolio Ned'!C:C</f>
        <v>0</v>
      </c>
      <c r="C119" s="142"/>
      <c r="D119" s="142"/>
      <c r="E119" s="142"/>
      <c r="F119" s="145"/>
      <c r="G119" s="19"/>
      <c r="H119" s="147">
        <f>SUM(C119:F119)*'Portfolio Ned'!G119</f>
        <v>0</v>
      </c>
      <c r="I119" s="9"/>
    </row>
    <row r="120" spans="1:9" ht="20.25">
      <c r="A120" s="136">
        <f>'Portfolio Ned'!A:A</f>
        <v>0</v>
      </c>
      <c r="B120" s="135">
        <f>'Portfolio Ned'!C:C</f>
        <v>0</v>
      </c>
      <c r="C120" s="142"/>
      <c r="D120" s="142"/>
      <c r="E120" s="142"/>
      <c r="F120" s="145"/>
      <c r="G120" s="19"/>
      <c r="H120" s="147">
        <f>SUM(C120:F120)*'Portfolio Ned'!G120</f>
        <v>0</v>
      </c>
      <c r="I120" s="9"/>
    </row>
    <row r="121" spans="1:9" ht="20.25">
      <c r="A121" s="24"/>
      <c r="B121" s="24"/>
      <c r="C121" s="142"/>
      <c r="D121" s="142"/>
      <c r="E121" s="142"/>
      <c r="F121" s="145"/>
      <c r="G121" s="19"/>
      <c r="I121" s="9"/>
    </row>
    <row r="122" spans="1:9" ht="20.25">
      <c r="A122" s="24"/>
      <c r="B122" s="24"/>
      <c r="C122" s="142"/>
      <c r="D122" s="142"/>
      <c r="E122" s="142"/>
      <c r="F122" s="145"/>
      <c r="G122" s="19"/>
      <c r="I122" s="9"/>
    </row>
    <row r="123" spans="1:9" ht="20.25">
      <c r="A123" s="24"/>
      <c r="B123" s="24"/>
      <c r="C123" s="142"/>
      <c r="D123" s="142"/>
      <c r="E123" s="142"/>
      <c r="F123" s="145"/>
      <c r="G123" s="19"/>
      <c r="I123" s="9"/>
    </row>
    <row r="124" spans="1:9" ht="20.25">
      <c r="A124" s="24"/>
      <c r="B124" s="24"/>
      <c r="C124" s="142"/>
      <c r="D124" s="142"/>
      <c r="E124" s="142"/>
      <c r="F124" s="145"/>
      <c r="G124" s="19"/>
      <c r="I124" s="9"/>
    </row>
    <row r="125" spans="1:9" ht="20.25">
      <c r="A125" s="24"/>
      <c r="B125" s="24"/>
      <c r="C125" s="142"/>
      <c r="D125" s="142"/>
      <c r="E125" s="142"/>
      <c r="F125" s="145"/>
      <c r="G125" s="19"/>
      <c r="I125" s="9"/>
    </row>
    <row r="126" spans="1:9" ht="20.25">
      <c r="A126" s="24"/>
      <c r="B126" s="24"/>
      <c r="C126" s="142"/>
      <c r="D126" s="142"/>
      <c r="E126" s="142"/>
      <c r="F126" s="145"/>
      <c r="G126" s="19"/>
      <c r="I126" s="9"/>
    </row>
    <row r="127" spans="1:9" ht="20.25">
      <c r="A127" s="24"/>
      <c r="B127" s="24"/>
      <c r="C127" s="142"/>
      <c r="D127" s="142"/>
      <c r="E127" s="142"/>
      <c r="F127" s="145"/>
      <c r="G127" s="19"/>
    </row>
    <row r="128" spans="1:9" ht="20.25">
      <c r="A128" s="24"/>
      <c r="B128" s="24"/>
      <c r="C128" s="142"/>
      <c r="D128" s="142"/>
      <c r="E128" s="142"/>
      <c r="F128" s="145"/>
      <c r="G128" s="19"/>
    </row>
    <row r="129" spans="1:7" ht="20.25">
      <c r="A129" s="24"/>
      <c r="B129" s="24"/>
      <c r="C129" s="142"/>
      <c r="D129" s="142"/>
      <c r="E129" s="142"/>
      <c r="F129" s="145"/>
      <c r="G129" s="19"/>
    </row>
    <row r="130" spans="1:7" ht="20.25">
      <c r="A130" s="24"/>
      <c r="B130" s="24"/>
      <c r="C130" s="142"/>
      <c r="D130" s="142"/>
      <c r="E130" s="142"/>
      <c r="F130" s="145"/>
      <c r="G130" s="19"/>
    </row>
    <row r="131" spans="1:7" ht="20.25">
      <c r="A131" s="24"/>
      <c r="B131" s="24"/>
      <c r="C131" s="142"/>
      <c r="D131" s="142"/>
      <c r="E131" s="142"/>
      <c r="F131" s="145"/>
      <c r="G131" s="19"/>
    </row>
    <row r="132" spans="1:7" ht="20.25">
      <c r="A132" s="24"/>
      <c r="B132" s="24"/>
      <c r="C132" s="142"/>
      <c r="D132" s="142"/>
      <c r="E132" s="142"/>
      <c r="F132" s="145"/>
      <c r="G132" s="19"/>
    </row>
    <row r="133" spans="1:7" ht="20.25">
      <c r="A133" s="24"/>
      <c r="B133" s="24"/>
      <c r="C133" s="142"/>
      <c r="D133" s="142"/>
      <c r="E133" s="142"/>
      <c r="F133" s="145"/>
      <c r="G133" s="19"/>
    </row>
    <row r="134" spans="1:7" ht="20.25">
      <c r="A134" s="24"/>
      <c r="B134" s="24"/>
      <c r="C134" s="142"/>
      <c r="D134" s="142"/>
      <c r="E134" s="142"/>
      <c r="F134" s="145"/>
      <c r="G134" s="19"/>
    </row>
    <row r="135" spans="1:7" ht="20.25">
      <c r="A135" s="24"/>
      <c r="B135" s="24"/>
      <c r="C135" s="142"/>
      <c r="D135" s="142"/>
      <c r="E135" s="142"/>
      <c r="F135" s="145"/>
      <c r="G135" s="19"/>
    </row>
    <row r="136" spans="1:7" ht="20.25">
      <c r="A136" s="24"/>
      <c r="B136" s="24"/>
      <c r="C136" s="142"/>
      <c r="D136" s="142"/>
      <c r="E136" s="142"/>
      <c r="F136" s="145"/>
      <c r="G136" s="19"/>
    </row>
    <row r="137" spans="1:7" ht="20.25">
      <c r="A137" s="24"/>
      <c r="B137" s="24"/>
      <c r="C137" s="142"/>
      <c r="D137" s="142"/>
      <c r="E137" s="142"/>
      <c r="F137" s="145"/>
      <c r="G137" s="19"/>
    </row>
    <row r="138" spans="1:7" ht="20.25">
      <c r="A138" s="24"/>
      <c r="B138" s="24"/>
      <c r="C138" s="142"/>
      <c r="D138" s="142"/>
      <c r="E138" s="142"/>
      <c r="F138" s="145"/>
      <c r="G138" s="19"/>
    </row>
    <row r="139" spans="1:7" ht="20.25">
      <c r="A139" s="24"/>
      <c r="B139" s="24"/>
      <c r="C139" s="142"/>
      <c r="D139" s="142"/>
      <c r="E139" s="142"/>
      <c r="F139" s="145"/>
      <c r="G139" s="19"/>
    </row>
    <row r="140" spans="1:7" ht="20.25">
      <c r="A140" s="24"/>
      <c r="B140" s="24"/>
      <c r="C140" s="142"/>
      <c r="D140" s="142"/>
      <c r="E140" s="142"/>
      <c r="F140" s="145"/>
      <c r="G140" s="19"/>
    </row>
    <row r="141" spans="1:7" ht="20.25">
      <c r="A141" s="24"/>
      <c r="B141" s="24"/>
      <c r="C141" s="142"/>
      <c r="D141" s="142"/>
      <c r="E141" s="142"/>
      <c r="F141" s="145"/>
      <c r="G141" s="19"/>
    </row>
    <row r="142" spans="1:7" ht="20.25">
      <c r="A142" s="24"/>
      <c r="B142" s="24"/>
      <c r="C142" s="142"/>
      <c r="D142" s="142"/>
      <c r="E142" s="142"/>
      <c r="F142" s="145"/>
      <c r="G142" s="19"/>
    </row>
    <row r="143" spans="1:7" ht="20.25">
      <c r="A143" s="24"/>
      <c r="B143" s="24"/>
      <c r="C143" s="142"/>
      <c r="D143" s="142"/>
      <c r="E143" s="142"/>
      <c r="F143" s="145"/>
      <c r="G143" s="19"/>
    </row>
    <row r="144" spans="1:7" ht="20.25">
      <c r="A144" s="24"/>
      <c r="B144" s="24"/>
      <c r="C144" s="142"/>
      <c r="D144" s="142"/>
      <c r="E144" s="142"/>
      <c r="F144" s="145"/>
      <c r="G144" s="19"/>
    </row>
    <row r="145" spans="1:7" ht="20.25">
      <c r="A145" s="24"/>
      <c r="B145" s="24"/>
      <c r="C145" s="142"/>
      <c r="D145" s="142"/>
      <c r="E145" s="142"/>
      <c r="F145" s="145"/>
      <c r="G145" s="19"/>
    </row>
    <row r="146" spans="1:7" ht="20.25">
      <c r="A146" s="24"/>
      <c r="B146" s="24"/>
      <c r="C146" s="142"/>
      <c r="D146" s="142"/>
      <c r="E146" s="142"/>
      <c r="F146" s="145"/>
      <c r="G146" s="19"/>
    </row>
    <row r="147" spans="1:7" ht="20.25">
      <c r="A147" s="24"/>
      <c r="B147" s="24"/>
      <c r="C147" s="142"/>
      <c r="D147" s="142"/>
      <c r="E147" s="142"/>
      <c r="F147" s="145"/>
      <c r="G147" s="19"/>
    </row>
    <row r="148" spans="1:7" ht="20.25">
      <c r="A148" s="24"/>
      <c r="B148" s="24"/>
      <c r="C148" s="142"/>
      <c r="D148" s="142"/>
      <c r="E148" s="142"/>
      <c r="F148" s="145"/>
      <c r="G148" s="19"/>
    </row>
    <row r="149" spans="1:7" ht="20.25">
      <c r="A149" s="24"/>
      <c r="B149" s="24"/>
      <c r="C149" s="142"/>
      <c r="D149" s="142"/>
      <c r="E149" s="142"/>
      <c r="F149" s="145"/>
      <c r="G149" s="19"/>
    </row>
    <row r="150" spans="1:7" ht="20.25">
      <c r="A150" s="24"/>
      <c r="B150" s="24"/>
      <c r="C150" s="142"/>
      <c r="D150" s="142"/>
      <c r="E150" s="142"/>
      <c r="F150" s="145"/>
      <c r="G150" s="19"/>
    </row>
    <row r="151" spans="1:7" ht="20.25">
      <c r="A151" s="24"/>
      <c r="B151" s="24"/>
      <c r="C151" s="142"/>
      <c r="D151" s="142"/>
      <c r="E151" s="142"/>
      <c r="F151" s="145"/>
      <c r="G151" s="19"/>
    </row>
    <row r="152" spans="1:7" ht="20.25">
      <c r="A152" s="24"/>
      <c r="B152" s="24"/>
      <c r="C152" s="142"/>
      <c r="D152" s="142"/>
      <c r="E152" s="142"/>
      <c r="F152" s="145"/>
      <c r="G152" s="19"/>
    </row>
    <row r="153" spans="1:7" ht="20.25">
      <c r="A153" s="24"/>
      <c r="B153" s="24"/>
      <c r="C153" s="142"/>
      <c r="D153" s="142"/>
      <c r="E153" s="142"/>
      <c r="F153" s="145"/>
      <c r="G153" s="19"/>
    </row>
    <row r="154" spans="1:7" ht="20.25">
      <c r="A154" s="24"/>
      <c r="B154" s="24"/>
      <c r="C154" s="142"/>
      <c r="D154" s="142"/>
      <c r="E154" s="142"/>
      <c r="F154" s="145"/>
      <c r="G154" s="19"/>
    </row>
    <row r="155" spans="1:7" ht="20.25">
      <c r="A155" s="24"/>
      <c r="B155" s="24"/>
      <c r="C155" s="142"/>
      <c r="D155" s="142"/>
      <c r="E155" s="142"/>
      <c r="F155" s="145"/>
      <c r="G155" s="19"/>
    </row>
    <row r="156" spans="1:7" ht="20.25">
      <c r="A156" s="24"/>
      <c r="B156" s="24"/>
      <c r="C156" s="142"/>
      <c r="D156" s="142"/>
      <c r="E156" s="142"/>
      <c r="F156" s="145"/>
      <c r="G156" s="19"/>
    </row>
    <row r="157" spans="1:7" ht="20.25">
      <c r="A157" s="24"/>
      <c r="B157" s="24"/>
      <c r="C157" s="142"/>
      <c r="D157" s="142"/>
      <c r="E157" s="142"/>
      <c r="F157" s="145"/>
      <c r="G157" s="19"/>
    </row>
    <row r="158" spans="1:7" ht="20.25">
      <c r="A158" s="24"/>
      <c r="B158" s="24"/>
      <c r="C158" s="142"/>
      <c r="D158" s="142"/>
      <c r="E158" s="142"/>
      <c r="F158" s="145"/>
      <c r="G158" s="19"/>
    </row>
    <row r="159" spans="1:7" ht="20.25">
      <c r="A159" s="24"/>
      <c r="B159" s="24"/>
      <c r="C159" s="142"/>
      <c r="D159" s="142"/>
      <c r="E159" s="142"/>
      <c r="F159" s="145"/>
      <c r="G159" s="19"/>
    </row>
    <row r="160" spans="1:7" ht="20.25">
      <c r="A160" s="24"/>
      <c r="B160" s="24"/>
      <c r="C160" s="142"/>
      <c r="D160" s="142"/>
      <c r="E160" s="142"/>
      <c r="F160" s="145"/>
      <c r="G160" s="19"/>
    </row>
    <row r="161" spans="1:7" ht="20.25">
      <c r="A161" s="24"/>
      <c r="B161" s="24"/>
      <c r="C161" s="142"/>
      <c r="D161" s="142"/>
      <c r="E161" s="142"/>
      <c r="F161" s="145"/>
      <c r="G161" s="19"/>
    </row>
    <row r="162" spans="1:7" ht="20.25">
      <c r="A162" s="24"/>
      <c r="B162" s="24"/>
      <c r="C162" s="142"/>
      <c r="D162" s="142"/>
      <c r="E162" s="142"/>
      <c r="F162" s="145"/>
      <c r="G162" s="19"/>
    </row>
    <row r="163" spans="1:7" ht="20.25">
      <c r="A163" s="24"/>
      <c r="B163" s="24"/>
      <c r="C163" s="142"/>
      <c r="D163" s="142"/>
      <c r="E163" s="142"/>
      <c r="F163" s="145"/>
      <c r="G163" s="19"/>
    </row>
    <row r="164" spans="1:7" ht="20.25">
      <c r="A164" s="24"/>
      <c r="B164" s="24"/>
      <c r="C164" s="142"/>
      <c r="D164" s="142"/>
      <c r="E164" s="142"/>
      <c r="F164" s="145"/>
      <c r="G164" s="19"/>
    </row>
    <row r="165" spans="1:7" ht="20.25">
      <c r="A165" s="24"/>
      <c r="B165" s="24"/>
      <c r="C165" s="142"/>
      <c r="D165" s="142"/>
      <c r="E165" s="142"/>
      <c r="F165" s="145"/>
      <c r="G165" s="19"/>
    </row>
    <row r="166" spans="1:7" ht="20.25">
      <c r="A166" s="24"/>
      <c r="B166" s="24"/>
      <c r="C166" s="142"/>
      <c r="D166" s="142"/>
      <c r="E166" s="142"/>
      <c r="F166" s="145"/>
      <c r="G166" s="19"/>
    </row>
    <row r="167" spans="1:7" ht="20.25">
      <c r="A167" s="24"/>
      <c r="B167" s="24"/>
      <c r="C167" s="142"/>
      <c r="D167" s="142"/>
      <c r="E167" s="142"/>
      <c r="F167" s="145"/>
      <c r="G167" s="19"/>
    </row>
    <row r="168" spans="1:7" ht="20.25">
      <c r="A168" s="24"/>
      <c r="B168" s="24"/>
      <c r="C168" s="142"/>
      <c r="D168" s="142"/>
      <c r="E168" s="142"/>
      <c r="F168" s="145"/>
      <c r="G168" s="19"/>
    </row>
    <row r="169" spans="1:7" ht="20.25">
      <c r="A169" s="24"/>
      <c r="B169" s="24"/>
      <c r="C169" s="142"/>
      <c r="D169" s="142"/>
      <c r="E169" s="142"/>
      <c r="F169" s="145"/>
      <c r="G169" s="19"/>
    </row>
    <row r="170" spans="1:7" ht="20.25">
      <c r="A170" s="24"/>
      <c r="B170" s="24"/>
      <c r="C170" s="142"/>
      <c r="D170" s="142"/>
      <c r="E170" s="142"/>
      <c r="F170" s="145"/>
      <c r="G170" s="19"/>
    </row>
    <row r="171" spans="1:7" ht="20.25">
      <c r="A171" s="24"/>
      <c r="B171" s="24"/>
      <c r="C171" s="142"/>
      <c r="D171" s="142"/>
      <c r="E171" s="142"/>
      <c r="F171" s="145"/>
      <c r="G171" s="19"/>
    </row>
    <row r="172" spans="1:7" ht="20.25">
      <c r="A172" s="24"/>
      <c r="B172" s="24"/>
      <c r="C172" s="142"/>
      <c r="D172" s="142"/>
      <c r="E172" s="142"/>
      <c r="F172" s="145"/>
      <c r="G172" s="19"/>
    </row>
    <row r="173" spans="1:7" ht="20.25">
      <c r="A173" s="24"/>
      <c r="B173" s="24"/>
      <c r="C173" s="142"/>
      <c r="D173" s="142"/>
      <c r="E173" s="142"/>
      <c r="F173" s="145"/>
      <c r="G173" s="19"/>
    </row>
    <row r="174" spans="1:7" ht="20.25">
      <c r="A174" s="24"/>
      <c r="B174" s="24"/>
      <c r="C174" s="142"/>
      <c r="D174" s="142"/>
      <c r="E174" s="142"/>
      <c r="F174" s="145"/>
      <c r="G174" s="19"/>
    </row>
    <row r="175" spans="1:7" ht="20.25">
      <c r="A175" s="24"/>
      <c r="B175" s="24"/>
      <c r="C175" s="142"/>
      <c r="D175" s="142"/>
      <c r="E175" s="142"/>
      <c r="F175" s="145"/>
      <c r="G175" s="19"/>
    </row>
    <row r="176" spans="1:7" ht="20.25">
      <c r="A176" s="24"/>
      <c r="B176" s="24"/>
      <c r="C176" s="142"/>
      <c r="D176" s="142"/>
      <c r="E176" s="142"/>
      <c r="F176" s="145"/>
      <c r="G176" s="19"/>
    </row>
    <row r="177" spans="1:7" ht="20.25">
      <c r="A177" s="24"/>
      <c r="B177" s="24"/>
      <c r="C177" s="142"/>
      <c r="D177" s="142"/>
      <c r="E177" s="142"/>
      <c r="F177" s="145"/>
      <c r="G177" s="19"/>
    </row>
    <row r="178" spans="1:7" ht="20.25">
      <c r="A178" s="24"/>
      <c r="B178" s="24"/>
      <c r="C178" s="142"/>
      <c r="D178" s="142"/>
      <c r="E178" s="142"/>
      <c r="F178" s="145"/>
      <c r="G178" s="19"/>
    </row>
    <row r="179" spans="1:7" ht="20.25">
      <c r="A179" s="24"/>
      <c r="B179" s="24"/>
      <c r="C179" s="142"/>
      <c r="D179" s="142"/>
      <c r="E179" s="142"/>
      <c r="F179" s="145"/>
      <c r="G179" s="19"/>
    </row>
    <row r="180" spans="1:7" ht="20.25">
      <c r="A180" s="24"/>
      <c r="B180" s="24"/>
      <c r="C180" s="142"/>
      <c r="D180" s="142"/>
      <c r="E180" s="142"/>
      <c r="F180" s="145"/>
      <c r="G180" s="19"/>
    </row>
    <row r="181" spans="1:7" ht="20.25">
      <c r="A181" s="24"/>
      <c r="B181" s="24"/>
      <c r="C181" s="142"/>
      <c r="D181" s="142"/>
      <c r="E181" s="142"/>
      <c r="F181" s="145"/>
      <c r="G181" s="19"/>
    </row>
    <row r="182" spans="1:7" ht="20.25">
      <c r="A182" s="24"/>
      <c r="B182" s="24"/>
      <c r="C182" s="142"/>
      <c r="D182" s="142"/>
      <c r="E182" s="142"/>
      <c r="F182" s="145"/>
      <c r="G182" s="19"/>
    </row>
    <row r="183" spans="1:7" ht="20.25">
      <c r="A183" s="24"/>
      <c r="B183" s="24"/>
      <c r="C183" s="142"/>
      <c r="D183" s="142"/>
      <c r="E183" s="142"/>
      <c r="F183" s="145"/>
      <c r="G183" s="19"/>
    </row>
    <row r="184" spans="1:7" ht="20.25">
      <c r="A184" s="24"/>
      <c r="B184" s="24"/>
      <c r="C184" s="142"/>
      <c r="D184" s="142"/>
      <c r="E184" s="142"/>
      <c r="F184" s="145"/>
      <c r="G184" s="19"/>
    </row>
    <row r="185" spans="1:7" ht="20.25">
      <c r="A185" s="24"/>
      <c r="B185" s="24"/>
      <c r="C185" s="142"/>
      <c r="D185" s="142"/>
      <c r="E185" s="142"/>
      <c r="F185" s="145"/>
      <c r="G185" s="19"/>
    </row>
    <row r="186" spans="1:7" ht="20.25">
      <c r="A186" s="24"/>
      <c r="B186" s="24"/>
      <c r="C186" s="142"/>
      <c r="D186" s="142"/>
      <c r="E186" s="142"/>
      <c r="F186" s="145"/>
      <c r="G186" s="19"/>
    </row>
    <row r="187" spans="1:7" ht="20.25">
      <c r="A187" s="24"/>
      <c r="B187" s="24"/>
      <c r="C187" s="142"/>
      <c r="D187" s="142"/>
      <c r="E187" s="142"/>
      <c r="F187" s="145"/>
      <c r="G187" s="19"/>
    </row>
    <row r="188" spans="1:7" ht="20.25">
      <c r="A188" s="24"/>
      <c r="B188" s="24"/>
      <c r="C188" s="142"/>
      <c r="D188" s="142"/>
      <c r="E188" s="142"/>
      <c r="F188" s="145"/>
      <c r="G188" s="19"/>
    </row>
    <row r="189" spans="1:7" ht="20.25">
      <c r="A189" s="24"/>
      <c r="B189" s="24"/>
      <c r="C189" s="142"/>
      <c r="D189" s="142"/>
      <c r="E189" s="142"/>
      <c r="F189" s="145"/>
      <c r="G189" s="19"/>
    </row>
    <row r="190" spans="1:7" ht="20.25">
      <c r="A190" s="24"/>
      <c r="B190" s="24"/>
      <c r="C190" s="142"/>
      <c r="D190" s="142"/>
      <c r="E190" s="142"/>
      <c r="F190" s="145"/>
      <c r="G190" s="19"/>
    </row>
    <row r="191" spans="1:7" ht="20.25">
      <c r="A191" s="24"/>
      <c r="B191" s="24"/>
      <c r="C191" s="142"/>
      <c r="D191" s="142"/>
      <c r="E191" s="142"/>
      <c r="F191" s="145"/>
      <c r="G191" s="19"/>
    </row>
    <row r="192" spans="1:7" ht="20.25">
      <c r="A192" s="24"/>
      <c r="B192" s="24"/>
      <c r="C192" s="142"/>
      <c r="D192" s="142"/>
      <c r="E192" s="142"/>
      <c r="F192" s="145"/>
      <c r="G192" s="19"/>
    </row>
    <row r="193" spans="1:7" ht="20.25">
      <c r="A193" s="24"/>
      <c r="B193" s="24"/>
      <c r="C193" s="142"/>
      <c r="D193" s="142"/>
      <c r="E193" s="142"/>
      <c r="F193" s="145"/>
      <c r="G193" s="19"/>
    </row>
    <row r="194" spans="1:7" ht="20.25">
      <c r="A194" s="24"/>
      <c r="B194" s="24"/>
      <c r="C194" s="142"/>
      <c r="D194" s="142"/>
      <c r="E194" s="142"/>
      <c r="F194" s="145"/>
      <c r="G194" s="19"/>
    </row>
    <row r="195" spans="1:7" ht="20.25">
      <c r="A195" s="24"/>
      <c r="B195" s="24"/>
      <c r="C195" s="142"/>
      <c r="D195" s="142"/>
      <c r="E195" s="142"/>
      <c r="F195" s="145"/>
      <c r="G195" s="19"/>
    </row>
    <row r="196" spans="1:7" ht="20.25">
      <c r="A196" s="24"/>
      <c r="B196" s="24"/>
      <c r="C196" s="142"/>
      <c r="D196" s="142"/>
      <c r="E196" s="142"/>
      <c r="F196" s="145"/>
      <c r="G196" s="19"/>
    </row>
    <row r="197" spans="1:7" ht="20.25">
      <c r="A197" s="24"/>
      <c r="B197" s="24"/>
      <c r="C197" s="142"/>
      <c r="D197" s="142"/>
      <c r="E197" s="142"/>
      <c r="F197" s="145"/>
      <c r="G197" s="19"/>
    </row>
    <row r="198" spans="1:7" ht="20.25">
      <c r="A198" s="24"/>
      <c r="B198" s="24"/>
      <c r="C198" s="142"/>
      <c r="D198" s="142"/>
      <c r="E198" s="142"/>
      <c r="F198" s="145"/>
      <c r="G198" s="19"/>
    </row>
    <row r="199" spans="1:7" ht="20.25">
      <c r="A199" s="24"/>
      <c r="B199" s="24"/>
      <c r="C199" s="142"/>
      <c r="D199" s="142"/>
      <c r="E199" s="142"/>
      <c r="F199" s="145"/>
      <c r="G199" s="19"/>
    </row>
    <row r="200" spans="1:7" ht="20.25">
      <c r="A200" s="24"/>
      <c r="B200" s="24"/>
      <c r="C200" s="142"/>
      <c r="D200" s="142"/>
      <c r="E200" s="142"/>
      <c r="F200" s="145"/>
      <c r="G200" s="19"/>
    </row>
    <row r="201" spans="1:7" ht="20.25">
      <c r="A201" s="24"/>
      <c r="B201" s="24"/>
      <c r="C201" s="142"/>
      <c r="D201" s="142"/>
      <c r="E201" s="142"/>
      <c r="F201" s="145"/>
      <c r="G201" s="19"/>
    </row>
    <row r="202" spans="1:7" ht="20.25">
      <c r="A202" s="24"/>
      <c r="B202" s="24"/>
      <c r="C202" s="142"/>
      <c r="D202" s="142"/>
      <c r="E202" s="142"/>
      <c r="F202" s="145"/>
      <c r="G202" s="19"/>
    </row>
    <row r="203" spans="1:7" ht="20.25">
      <c r="A203" s="24"/>
      <c r="B203" s="24"/>
      <c r="C203" s="142"/>
      <c r="D203" s="142"/>
      <c r="E203" s="142"/>
      <c r="F203" s="145"/>
      <c r="G203" s="19"/>
    </row>
    <row r="204" spans="1:7" ht="20.25">
      <c r="A204" s="24"/>
      <c r="B204" s="24"/>
      <c r="C204" s="142"/>
      <c r="D204" s="142"/>
      <c r="E204" s="142"/>
      <c r="F204" s="145"/>
      <c r="G204" s="19"/>
    </row>
    <row r="205" spans="1:7" ht="20.25">
      <c r="A205" s="24"/>
      <c r="B205" s="24"/>
      <c r="C205" s="142"/>
      <c r="D205" s="142"/>
      <c r="E205" s="142"/>
      <c r="F205" s="145"/>
      <c r="G205" s="19"/>
    </row>
    <row r="206" spans="1:7" ht="20.25">
      <c r="A206" s="24"/>
      <c r="B206" s="24"/>
      <c r="C206" s="142"/>
      <c r="D206" s="142"/>
      <c r="E206" s="142"/>
      <c r="F206" s="145"/>
      <c r="G206" s="19"/>
    </row>
    <row r="207" spans="1:7" ht="20.25">
      <c r="A207" s="24"/>
      <c r="B207" s="24"/>
      <c r="C207" s="142"/>
      <c r="D207" s="142"/>
      <c r="E207" s="142"/>
      <c r="F207" s="145"/>
      <c r="G207" s="19"/>
    </row>
    <row r="208" spans="1:7" ht="20.25">
      <c r="A208" s="24"/>
      <c r="B208" s="24"/>
      <c r="C208" s="142"/>
      <c r="D208" s="142"/>
      <c r="E208" s="142"/>
      <c r="F208" s="145"/>
      <c r="G208" s="19"/>
    </row>
    <row r="209" spans="1:7" ht="20.25">
      <c r="A209" s="24"/>
      <c r="B209" s="24"/>
      <c r="C209" s="142"/>
      <c r="D209" s="142"/>
      <c r="E209" s="142"/>
      <c r="F209" s="145"/>
      <c r="G209" s="19"/>
    </row>
    <row r="210" spans="1:7" ht="20.25">
      <c r="A210" s="24"/>
      <c r="B210" s="24"/>
      <c r="C210" s="142"/>
      <c r="D210" s="142"/>
      <c r="E210" s="142"/>
      <c r="F210" s="145"/>
      <c r="G210" s="19"/>
    </row>
    <row r="211" spans="1:7" ht="20.25">
      <c r="A211" s="24"/>
      <c r="B211" s="24"/>
      <c r="C211" s="142"/>
      <c r="D211" s="142"/>
      <c r="E211" s="142"/>
      <c r="F211" s="145"/>
      <c r="G211" s="19"/>
    </row>
    <row r="212" spans="1:7" ht="20.25">
      <c r="A212" s="24"/>
      <c r="B212" s="24"/>
      <c r="C212" s="142"/>
      <c r="D212" s="142"/>
      <c r="E212" s="142"/>
      <c r="F212" s="145"/>
      <c r="G212" s="19"/>
    </row>
    <row r="213" spans="1:7" ht="20.25">
      <c r="A213" s="24"/>
      <c r="B213" s="24"/>
      <c r="C213" s="142"/>
      <c r="D213" s="142"/>
      <c r="E213" s="142"/>
      <c r="F213" s="145"/>
      <c r="G213" s="19"/>
    </row>
    <row r="214" spans="1:7" ht="20.25">
      <c r="A214" s="24"/>
      <c r="B214" s="24"/>
      <c r="C214" s="142"/>
      <c r="D214" s="142"/>
      <c r="E214" s="142"/>
      <c r="F214" s="145"/>
      <c r="G214" s="19"/>
    </row>
    <row r="215" spans="1:7" ht="20.25">
      <c r="A215" s="24"/>
      <c r="B215" s="24"/>
      <c r="C215" s="142"/>
      <c r="D215" s="142"/>
      <c r="E215" s="142"/>
      <c r="F215" s="145"/>
      <c r="G215" s="19"/>
    </row>
    <row r="216" spans="1:7" ht="20.25">
      <c r="A216" s="24"/>
      <c r="B216" s="24"/>
      <c r="C216" s="142"/>
      <c r="D216" s="142"/>
      <c r="E216" s="142"/>
      <c r="F216" s="145"/>
      <c r="G216" s="19"/>
    </row>
    <row r="217" spans="1:7" ht="20.25">
      <c r="A217" s="24"/>
      <c r="B217" s="24"/>
      <c r="C217" s="142"/>
      <c r="D217" s="142"/>
      <c r="E217" s="142"/>
      <c r="F217" s="145"/>
      <c r="G217" s="19"/>
    </row>
    <row r="218" spans="1:7" ht="20.25">
      <c r="A218" s="24"/>
      <c r="B218" s="24"/>
      <c r="C218" s="142"/>
      <c r="D218" s="142"/>
      <c r="E218" s="142"/>
      <c r="F218" s="145"/>
      <c r="G218" s="19"/>
    </row>
    <row r="219" spans="1:7" ht="20.25">
      <c r="A219" s="24"/>
      <c r="B219" s="24"/>
      <c r="C219" s="142"/>
      <c r="D219" s="142"/>
      <c r="E219" s="142"/>
      <c r="F219" s="145"/>
      <c r="G219" s="19"/>
    </row>
    <row r="220" spans="1:7" ht="20.25">
      <c r="A220" s="24"/>
      <c r="B220" s="24"/>
      <c r="C220" s="142"/>
      <c r="D220" s="142"/>
      <c r="E220" s="142"/>
      <c r="F220" s="145"/>
      <c r="G220" s="19"/>
    </row>
    <row r="221" spans="1:7" ht="20.25">
      <c r="A221" s="24"/>
      <c r="B221" s="24"/>
      <c r="C221" s="142"/>
      <c r="D221" s="142"/>
      <c r="E221" s="142"/>
      <c r="F221" s="145"/>
      <c r="G221" s="19"/>
    </row>
    <row r="222" spans="1:7" ht="20.25">
      <c r="A222" s="24"/>
      <c r="B222" s="24"/>
      <c r="C222" s="142"/>
      <c r="D222" s="142"/>
      <c r="E222" s="142"/>
      <c r="F222" s="145"/>
      <c r="G222" s="19"/>
    </row>
    <row r="223" spans="1:7" ht="20.25">
      <c r="A223" s="24"/>
      <c r="B223" s="24"/>
      <c r="C223" s="142"/>
      <c r="D223" s="142"/>
      <c r="E223" s="142"/>
      <c r="F223" s="145"/>
      <c r="G223" s="19"/>
    </row>
    <row r="224" spans="1:7" ht="20.25">
      <c r="A224" s="24"/>
      <c r="B224" s="24"/>
      <c r="C224" s="142"/>
      <c r="D224" s="142"/>
      <c r="E224" s="142"/>
      <c r="F224" s="145"/>
      <c r="G224" s="19"/>
    </row>
    <row r="225" spans="1:7" ht="20.25">
      <c r="A225" s="24"/>
      <c r="B225" s="24"/>
      <c r="C225" s="142"/>
      <c r="D225" s="142"/>
      <c r="E225" s="142"/>
      <c r="F225" s="145"/>
      <c r="G225" s="19"/>
    </row>
    <row r="226" spans="1:7" ht="20.25">
      <c r="A226" s="24"/>
      <c r="B226" s="24"/>
      <c r="C226" s="142"/>
      <c r="D226" s="142"/>
      <c r="E226" s="142"/>
      <c r="F226" s="145"/>
      <c r="G226" s="19"/>
    </row>
    <row r="227" spans="1:7" ht="20.25">
      <c r="A227" s="24"/>
      <c r="B227" s="24"/>
      <c r="C227" s="142"/>
      <c r="D227" s="142"/>
      <c r="E227" s="142"/>
      <c r="F227" s="145"/>
      <c r="G227" s="19"/>
    </row>
    <row r="228" spans="1:7" ht="20.25">
      <c r="A228" s="24"/>
      <c r="B228" s="24"/>
      <c r="C228" s="142"/>
      <c r="D228" s="142"/>
      <c r="E228" s="142"/>
      <c r="F228" s="145"/>
      <c r="G228" s="19"/>
    </row>
    <row r="229" spans="1:7" ht="20.25">
      <c r="A229" s="24"/>
      <c r="B229" s="24"/>
      <c r="C229" s="142"/>
      <c r="D229" s="142"/>
      <c r="E229" s="142"/>
      <c r="F229" s="145"/>
      <c r="G229" s="19"/>
    </row>
    <row r="230" spans="1:7" ht="20.25">
      <c r="A230" s="24"/>
      <c r="B230" s="24"/>
      <c r="C230" s="142"/>
      <c r="D230" s="142"/>
      <c r="E230" s="142"/>
      <c r="F230" s="145"/>
      <c r="G230" s="19"/>
    </row>
    <row r="231" spans="1:7" ht="20.25">
      <c r="A231" s="24"/>
      <c r="B231" s="24"/>
      <c r="C231" s="142"/>
      <c r="D231" s="142"/>
      <c r="E231" s="142"/>
      <c r="F231" s="145"/>
      <c r="G231" s="19"/>
    </row>
    <row r="232" spans="1:7" ht="20.25">
      <c r="A232" s="24"/>
      <c r="B232" s="24"/>
      <c r="C232" s="142"/>
      <c r="D232" s="142"/>
      <c r="E232" s="142"/>
      <c r="F232" s="145"/>
      <c r="G232" s="19"/>
    </row>
    <row r="233" spans="1:7" ht="20.25">
      <c r="A233" s="24"/>
      <c r="B233" s="24"/>
      <c r="C233" s="142"/>
      <c r="D233" s="142"/>
      <c r="E233" s="142"/>
      <c r="F233" s="145"/>
      <c r="G233" s="19"/>
    </row>
    <row r="234" spans="1:7" ht="20.25">
      <c r="A234" s="24"/>
      <c r="B234" s="24"/>
      <c r="C234" s="142"/>
      <c r="D234" s="142"/>
      <c r="E234" s="142"/>
      <c r="F234" s="145"/>
      <c r="G234" s="19"/>
    </row>
    <row r="235" spans="1:7" ht="20.25">
      <c r="A235" s="24"/>
      <c r="B235" s="24"/>
      <c r="C235" s="142"/>
      <c r="D235" s="142"/>
      <c r="E235" s="142"/>
      <c r="F235" s="145"/>
      <c r="G235" s="19"/>
    </row>
    <row r="236" spans="1:7" ht="20.25">
      <c r="A236" s="24"/>
      <c r="B236" s="24"/>
      <c r="C236" s="142"/>
      <c r="D236" s="142"/>
      <c r="E236" s="142"/>
      <c r="F236" s="145"/>
      <c r="G236" s="19"/>
    </row>
    <row r="237" spans="1:7" ht="20.25">
      <c r="A237" s="24"/>
      <c r="B237" s="24"/>
      <c r="C237" s="142"/>
      <c r="D237" s="142"/>
      <c r="E237" s="142"/>
      <c r="F237" s="145"/>
      <c r="G237" s="19"/>
    </row>
    <row r="238" spans="1:7" ht="20.25">
      <c r="A238" s="24"/>
      <c r="B238" s="24"/>
      <c r="C238" s="142"/>
      <c r="D238" s="142"/>
      <c r="E238" s="142"/>
      <c r="F238" s="145"/>
      <c r="G238" s="19"/>
    </row>
    <row r="239" spans="1:7" ht="20.25">
      <c r="A239" s="24"/>
      <c r="B239" s="24"/>
      <c r="C239" s="142"/>
      <c r="D239" s="142"/>
      <c r="E239" s="142"/>
      <c r="F239" s="145"/>
      <c r="G239" s="19"/>
    </row>
    <row r="240" spans="1:7" ht="20.25">
      <c r="A240" s="24"/>
      <c r="B240" s="24"/>
      <c r="C240" s="142"/>
      <c r="D240" s="142"/>
      <c r="E240" s="142"/>
      <c r="F240" s="145"/>
      <c r="G240" s="19"/>
    </row>
    <row r="241" spans="1:7" ht="20.25">
      <c r="A241" s="24"/>
      <c r="B241" s="24"/>
      <c r="C241" s="142"/>
      <c r="D241" s="142"/>
      <c r="E241" s="142"/>
      <c r="F241" s="145"/>
      <c r="G241" s="19"/>
    </row>
    <row r="242" spans="1:7" ht="20.25">
      <c r="A242" s="24"/>
      <c r="B242" s="24"/>
      <c r="C242" s="142"/>
      <c r="D242" s="142"/>
      <c r="E242" s="142"/>
      <c r="F242" s="145"/>
      <c r="G242" s="19"/>
    </row>
    <row r="243" spans="1:7" ht="20.25">
      <c r="A243" s="24"/>
      <c r="B243" s="24"/>
      <c r="C243" s="142"/>
      <c r="D243" s="142"/>
      <c r="E243" s="142"/>
      <c r="F243" s="145"/>
      <c r="G243" s="19"/>
    </row>
    <row r="244" spans="1:7" ht="20.25">
      <c r="A244" s="24"/>
      <c r="B244" s="24"/>
      <c r="C244" s="142"/>
      <c r="D244" s="142"/>
      <c r="E244" s="142"/>
      <c r="F244" s="145"/>
      <c r="G244" s="19"/>
    </row>
    <row r="245" spans="1:7" ht="20.25">
      <c r="A245" s="24"/>
      <c r="B245" s="24"/>
      <c r="C245" s="142"/>
      <c r="D245" s="142"/>
      <c r="E245" s="142"/>
      <c r="F245" s="145"/>
      <c r="G245" s="19"/>
    </row>
    <row r="246" spans="1:7" ht="20.25">
      <c r="A246" s="24"/>
      <c r="B246" s="24"/>
      <c r="C246" s="142"/>
      <c r="D246" s="142"/>
      <c r="E246" s="142"/>
      <c r="F246" s="145"/>
      <c r="G246" s="19"/>
    </row>
    <row r="247" spans="1:7" ht="20.25">
      <c r="A247" s="24"/>
      <c r="B247" s="24"/>
      <c r="C247" s="142"/>
      <c r="D247" s="142"/>
      <c r="E247" s="142"/>
      <c r="F247" s="145"/>
      <c r="G247" s="19"/>
    </row>
    <row r="248" spans="1:7" ht="20.25">
      <c r="A248" s="24"/>
      <c r="B248" s="24"/>
      <c r="C248" s="142"/>
      <c r="D248" s="142"/>
      <c r="E248" s="142"/>
      <c r="F248" s="145"/>
      <c r="G248" s="19"/>
    </row>
    <row r="249" spans="1:7" ht="20.25">
      <c r="A249" s="24"/>
      <c r="B249" s="24"/>
      <c r="C249" s="142"/>
      <c r="D249" s="142"/>
      <c r="E249" s="142"/>
      <c r="F249" s="145"/>
      <c r="G249" s="19"/>
    </row>
    <row r="250" spans="1:7" ht="20.25">
      <c r="A250" s="24"/>
      <c r="B250" s="24"/>
      <c r="C250" s="142"/>
      <c r="D250" s="142"/>
      <c r="E250" s="142"/>
      <c r="F250" s="145"/>
      <c r="G250" s="19"/>
    </row>
    <row r="251" spans="1:7" ht="20.25">
      <c r="A251" s="24"/>
      <c r="B251" s="24"/>
      <c r="C251" s="142"/>
      <c r="D251" s="142"/>
      <c r="E251" s="142"/>
      <c r="F251" s="145"/>
      <c r="G251" s="19"/>
    </row>
    <row r="252" spans="1:7" ht="20.25">
      <c r="A252" s="24"/>
      <c r="B252" s="24"/>
      <c r="C252" s="142"/>
      <c r="D252" s="142"/>
      <c r="E252" s="142"/>
      <c r="F252" s="145"/>
      <c r="G252" s="19"/>
    </row>
    <row r="253" spans="1:7" ht="20.25">
      <c r="A253" s="24"/>
      <c r="B253" s="24"/>
      <c r="C253" s="142"/>
      <c r="D253" s="142"/>
      <c r="E253" s="142"/>
      <c r="F253" s="145"/>
      <c r="G253" s="19"/>
    </row>
    <row r="254" spans="1:7" ht="20.25">
      <c r="A254" s="24"/>
      <c r="B254" s="24"/>
      <c r="C254" s="142"/>
      <c r="D254" s="142"/>
      <c r="E254" s="142"/>
      <c r="F254" s="145"/>
      <c r="G254" s="19"/>
    </row>
    <row r="255" spans="1:7" ht="20.25">
      <c r="A255" s="24"/>
      <c r="B255" s="24"/>
      <c r="C255" s="142"/>
      <c r="D255" s="142"/>
      <c r="E255" s="142"/>
      <c r="F255" s="145"/>
      <c r="G255" s="19"/>
    </row>
    <row r="256" spans="1:7" ht="20.25">
      <c r="A256" s="24"/>
      <c r="B256" s="24"/>
      <c r="C256" s="142"/>
      <c r="D256" s="142"/>
      <c r="E256" s="142"/>
      <c r="F256" s="145"/>
      <c r="G256" s="19"/>
    </row>
    <row r="257" spans="1:7" ht="20.25">
      <c r="A257" s="24"/>
      <c r="B257" s="24"/>
      <c r="C257" s="142"/>
      <c r="D257" s="142"/>
      <c r="E257" s="142"/>
      <c r="F257" s="145"/>
      <c r="G257" s="19"/>
    </row>
    <row r="258" spans="1:7" ht="20.25">
      <c r="A258" s="24"/>
      <c r="B258" s="24"/>
      <c r="C258" s="142"/>
      <c r="D258" s="142"/>
      <c r="E258" s="142"/>
      <c r="F258" s="145"/>
      <c r="G258" s="19"/>
    </row>
    <row r="259" spans="1:7" ht="20.25">
      <c r="A259" s="24"/>
      <c r="B259" s="24"/>
      <c r="C259" s="142"/>
      <c r="D259" s="142"/>
      <c r="E259" s="142"/>
      <c r="F259" s="145"/>
      <c r="G259" s="19"/>
    </row>
    <row r="260" spans="1:7" ht="20.25">
      <c r="A260" s="24"/>
      <c r="B260" s="24"/>
      <c r="C260" s="142"/>
      <c r="D260" s="142"/>
      <c r="E260" s="142"/>
      <c r="F260" s="145"/>
      <c r="G260" s="19"/>
    </row>
    <row r="261" spans="1:7" ht="20.25">
      <c r="A261" s="24"/>
      <c r="B261" s="24"/>
      <c r="C261" s="142"/>
      <c r="D261" s="142"/>
      <c r="E261" s="142"/>
      <c r="F261" s="145"/>
      <c r="G261" s="19"/>
    </row>
    <row r="262" spans="1:7" ht="20.25">
      <c r="A262" s="24"/>
      <c r="B262" s="24"/>
      <c r="C262" s="142"/>
      <c r="D262" s="142"/>
      <c r="E262" s="142"/>
      <c r="F262" s="145"/>
      <c r="G262" s="19"/>
    </row>
    <row r="263" spans="1:7" ht="20.25">
      <c r="A263" s="24"/>
      <c r="B263" s="24"/>
      <c r="C263" s="142"/>
      <c r="D263" s="142"/>
      <c r="E263" s="142"/>
      <c r="F263" s="145"/>
      <c r="G263" s="19"/>
    </row>
    <row r="264" spans="1:7" ht="20.25">
      <c r="A264" s="24"/>
      <c r="B264" s="24"/>
      <c r="C264" s="142"/>
      <c r="D264" s="142"/>
      <c r="E264" s="142"/>
      <c r="F264" s="145"/>
      <c r="G264" s="19"/>
    </row>
    <row r="265" spans="1:7" ht="20.25">
      <c r="A265" s="24"/>
      <c r="B265" s="24"/>
      <c r="C265" s="142"/>
      <c r="D265" s="142"/>
      <c r="E265" s="142"/>
      <c r="F265" s="145"/>
      <c r="G265" s="19"/>
    </row>
    <row r="266" spans="1:7" ht="20.25">
      <c r="A266" s="24"/>
      <c r="B266" s="24"/>
      <c r="C266" s="142"/>
      <c r="D266" s="142"/>
      <c r="E266" s="142"/>
      <c r="F266" s="145"/>
      <c r="G266" s="19"/>
    </row>
    <row r="267" spans="1:7" ht="20.25">
      <c r="A267" s="24"/>
      <c r="B267" s="24"/>
      <c r="C267" s="142"/>
      <c r="D267" s="142"/>
      <c r="E267" s="142"/>
      <c r="F267" s="145"/>
      <c r="G267" s="19"/>
    </row>
    <row r="268" spans="1:7" ht="20.25">
      <c r="A268" s="24"/>
      <c r="B268" s="24"/>
      <c r="C268" s="142"/>
      <c r="D268" s="142"/>
      <c r="E268" s="142"/>
      <c r="F268" s="145"/>
      <c r="G268" s="19"/>
    </row>
    <row r="269" spans="1:7" ht="20.25">
      <c r="A269" s="24"/>
      <c r="B269" s="24"/>
      <c r="C269" s="142"/>
      <c r="D269" s="142"/>
      <c r="E269" s="142"/>
      <c r="F269" s="145"/>
      <c r="G269" s="19"/>
    </row>
    <row r="270" spans="1:7" ht="20.25">
      <c r="A270" s="24"/>
      <c r="B270" s="24"/>
      <c r="C270" s="142"/>
      <c r="D270" s="142"/>
      <c r="E270" s="142"/>
      <c r="F270" s="145"/>
      <c r="G270" s="19"/>
    </row>
    <row r="271" spans="1:7" ht="20.25">
      <c r="A271" s="24"/>
      <c r="B271" s="24"/>
      <c r="C271" s="142"/>
      <c r="D271" s="142"/>
      <c r="E271" s="142"/>
      <c r="F271" s="145"/>
      <c r="G271" s="19"/>
    </row>
    <row r="272" spans="1:7" ht="20.25">
      <c r="A272" s="24"/>
      <c r="B272" s="24"/>
      <c r="C272" s="142"/>
      <c r="D272" s="142"/>
      <c r="E272" s="142"/>
      <c r="F272" s="145"/>
      <c r="G272" s="19"/>
    </row>
    <row r="273" spans="1:7" ht="20.25">
      <c r="A273" s="24"/>
      <c r="B273" s="24"/>
      <c r="C273" s="142"/>
      <c r="D273" s="142"/>
      <c r="E273" s="142"/>
      <c r="F273" s="145"/>
      <c r="G273" s="19"/>
    </row>
    <row r="274" spans="1:7" ht="20.25">
      <c r="A274" s="24"/>
      <c r="B274" s="24"/>
      <c r="C274" s="142"/>
      <c r="D274" s="142"/>
      <c r="E274" s="142"/>
      <c r="F274" s="145"/>
      <c r="G274" s="19"/>
    </row>
    <row r="275" spans="1:7" ht="20.25">
      <c r="A275" s="24"/>
      <c r="B275" s="24"/>
      <c r="C275" s="142"/>
      <c r="D275" s="142"/>
      <c r="E275" s="142"/>
      <c r="F275" s="145"/>
      <c r="G275" s="19"/>
    </row>
    <row r="276" spans="1:7" ht="20.25">
      <c r="A276" s="24"/>
      <c r="B276" s="24"/>
      <c r="C276" s="142"/>
      <c r="D276" s="142"/>
      <c r="E276" s="142"/>
      <c r="F276" s="145"/>
      <c r="G276" s="19"/>
    </row>
    <row r="277" spans="1:7" ht="20.25">
      <c r="A277" s="24"/>
      <c r="B277" s="24"/>
      <c r="C277" s="142"/>
      <c r="D277" s="142"/>
      <c r="E277" s="142"/>
      <c r="F277" s="145"/>
      <c r="G277" s="19"/>
    </row>
    <row r="278" spans="1:7" ht="20.25">
      <c r="A278" s="24"/>
      <c r="B278" s="24"/>
      <c r="C278" s="142"/>
      <c r="D278" s="142"/>
      <c r="E278" s="142"/>
      <c r="F278" s="145"/>
      <c r="G278" s="19"/>
    </row>
    <row r="279" spans="1:7" ht="20.25">
      <c r="A279" s="24"/>
      <c r="B279" s="24"/>
      <c r="C279" s="142"/>
      <c r="D279" s="142"/>
      <c r="E279" s="142"/>
      <c r="F279" s="145"/>
      <c r="G279" s="19"/>
    </row>
    <row r="280" spans="1:7" ht="20.25">
      <c r="A280" s="24"/>
      <c r="B280" s="24"/>
      <c r="C280" s="142"/>
      <c r="D280" s="142"/>
      <c r="E280" s="142"/>
      <c r="F280" s="145"/>
      <c r="G280" s="19"/>
    </row>
    <row r="281" spans="1:7" ht="20.25">
      <c r="A281" s="24"/>
      <c r="B281" s="24"/>
      <c r="C281" s="142"/>
      <c r="D281" s="142"/>
      <c r="E281" s="142"/>
      <c r="F281" s="145"/>
      <c r="G281" s="19"/>
    </row>
    <row r="282" spans="1:7" ht="20.25">
      <c r="A282" s="24"/>
      <c r="B282" s="24"/>
      <c r="C282" s="142"/>
      <c r="D282" s="142"/>
      <c r="E282" s="142"/>
      <c r="F282" s="145"/>
      <c r="G282" s="19"/>
    </row>
    <row r="283" spans="1:7" ht="20.25">
      <c r="A283" s="24"/>
      <c r="B283" s="24"/>
      <c r="C283" s="142"/>
      <c r="D283" s="142"/>
      <c r="E283" s="142"/>
      <c r="F283" s="145"/>
      <c r="G283" s="19"/>
    </row>
    <row r="284" spans="1:7" ht="20.25">
      <c r="A284" s="24"/>
      <c r="B284" s="24"/>
      <c r="C284" s="142"/>
      <c r="D284" s="142"/>
      <c r="E284" s="142"/>
      <c r="F284" s="145"/>
      <c r="G284" s="19"/>
    </row>
    <row r="285" spans="1:7" ht="20.25">
      <c r="A285" s="24"/>
      <c r="B285" s="24"/>
      <c r="C285" s="142"/>
      <c r="D285" s="142"/>
      <c r="E285" s="142"/>
      <c r="F285" s="145"/>
      <c r="G285" s="19"/>
    </row>
    <row r="286" spans="1:7" ht="20.25">
      <c r="A286" s="24"/>
      <c r="B286" s="24"/>
      <c r="C286" s="142"/>
      <c r="D286" s="142"/>
      <c r="E286" s="142"/>
      <c r="F286" s="145"/>
      <c r="G286" s="19"/>
    </row>
    <row r="287" spans="1:7" ht="20.25">
      <c r="A287" s="24"/>
      <c r="B287" s="24"/>
      <c r="C287" s="142"/>
      <c r="D287" s="142"/>
      <c r="E287" s="142"/>
      <c r="F287" s="145"/>
      <c r="G287" s="19"/>
    </row>
    <row r="288" spans="1:7" ht="20.25">
      <c r="A288" s="24"/>
      <c r="B288" s="24"/>
      <c r="C288" s="142"/>
      <c r="D288" s="142"/>
      <c r="E288" s="142"/>
      <c r="F288" s="145"/>
      <c r="G288" s="19"/>
    </row>
    <row r="289" spans="1:7" ht="20.25">
      <c r="A289" s="24"/>
      <c r="B289" s="24"/>
      <c r="C289" s="142"/>
      <c r="D289" s="142"/>
      <c r="E289" s="142"/>
      <c r="F289" s="145"/>
      <c r="G289" s="19"/>
    </row>
    <row r="290" spans="1:7" ht="20.25">
      <c r="A290" s="24"/>
      <c r="B290" s="24"/>
      <c r="C290" s="142"/>
      <c r="D290" s="142"/>
      <c r="E290" s="142"/>
      <c r="F290" s="145"/>
      <c r="G290" s="19"/>
    </row>
    <row r="291" spans="1:7" ht="20.25">
      <c r="A291" s="24"/>
      <c r="B291" s="24"/>
      <c r="C291" s="142"/>
      <c r="D291" s="142"/>
      <c r="E291" s="142"/>
      <c r="F291" s="145"/>
      <c r="G291" s="19"/>
    </row>
    <row r="292" spans="1:7" ht="20.25">
      <c r="A292" s="24"/>
      <c r="B292" s="24"/>
      <c r="C292" s="142"/>
      <c r="D292" s="142"/>
      <c r="E292" s="142"/>
      <c r="F292" s="145"/>
      <c r="G292" s="19"/>
    </row>
    <row r="293" spans="1:7" ht="20.25">
      <c r="A293" s="24"/>
      <c r="B293" s="24"/>
      <c r="C293" s="142"/>
      <c r="D293" s="142"/>
      <c r="E293" s="142"/>
      <c r="F293" s="145"/>
      <c r="G293" s="19"/>
    </row>
    <row r="294" spans="1:7" ht="20.25">
      <c r="A294" s="24"/>
      <c r="B294" s="24"/>
      <c r="C294" s="142"/>
      <c r="D294" s="142"/>
      <c r="E294" s="142"/>
      <c r="F294" s="145"/>
      <c r="G294" s="19"/>
    </row>
    <row r="295" spans="1:7" ht="20.25">
      <c r="A295" s="24"/>
      <c r="B295" s="24"/>
      <c r="C295" s="142"/>
      <c r="D295" s="142"/>
      <c r="E295" s="142"/>
      <c r="F295" s="145"/>
      <c r="G295" s="19"/>
    </row>
    <row r="296" spans="1:7" ht="20.25">
      <c r="A296" s="24"/>
      <c r="B296" s="24"/>
      <c r="C296" s="142"/>
      <c r="D296" s="142"/>
      <c r="E296" s="142"/>
      <c r="F296" s="145"/>
      <c r="G296" s="19"/>
    </row>
    <row r="297" spans="1:7" ht="20.25">
      <c r="A297" s="24"/>
      <c r="B297" s="24"/>
      <c r="C297" s="142"/>
      <c r="D297" s="142"/>
      <c r="E297" s="142"/>
      <c r="F297" s="145"/>
      <c r="G297" s="19"/>
    </row>
    <row r="298" spans="1:7" ht="20.25">
      <c r="A298" s="24"/>
      <c r="B298" s="24"/>
      <c r="C298" s="142"/>
      <c r="D298" s="142"/>
      <c r="E298" s="142"/>
      <c r="F298" s="145"/>
      <c r="G298" s="19"/>
    </row>
    <row r="299" spans="1:7" ht="20.25">
      <c r="A299" s="24"/>
      <c r="B299" s="24"/>
      <c r="C299" s="142"/>
      <c r="D299" s="142"/>
      <c r="E299" s="142"/>
      <c r="F299" s="145"/>
      <c r="G299" s="19"/>
    </row>
    <row r="300" spans="1:7" ht="20.25">
      <c r="A300" s="24"/>
      <c r="B300" s="24"/>
      <c r="C300" s="142"/>
      <c r="D300" s="142"/>
      <c r="E300" s="142"/>
      <c r="F300" s="145"/>
      <c r="G300" s="19"/>
    </row>
    <row r="301" spans="1:7" ht="20.25">
      <c r="A301" s="24"/>
      <c r="B301" s="24"/>
      <c r="C301" s="142"/>
      <c r="D301" s="142"/>
      <c r="E301" s="142"/>
      <c r="F301" s="145"/>
      <c r="G301" s="19"/>
    </row>
    <row r="302" spans="1:7" ht="20.25">
      <c r="A302" s="24"/>
      <c r="B302" s="24"/>
      <c r="C302" s="142"/>
      <c r="D302" s="142"/>
      <c r="E302" s="142"/>
      <c r="F302" s="145"/>
      <c r="G302" s="19"/>
    </row>
    <row r="303" spans="1:7" ht="20.25">
      <c r="A303" s="24"/>
      <c r="B303" s="24"/>
      <c r="C303" s="142"/>
      <c r="D303" s="142"/>
      <c r="E303" s="142"/>
      <c r="F303" s="145"/>
      <c r="G303" s="19"/>
    </row>
    <row r="304" spans="1:7" ht="20.25">
      <c r="A304" s="24"/>
      <c r="B304" s="24"/>
      <c r="C304" s="142"/>
      <c r="D304" s="142"/>
      <c r="E304" s="142"/>
      <c r="F304" s="145"/>
      <c r="G304" s="19"/>
    </row>
    <row r="305" spans="1:7" ht="20.25">
      <c r="A305" s="24"/>
      <c r="B305" s="24"/>
      <c r="C305" s="142"/>
      <c r="D305" s="142"/>
      <c r="E305" s="142"/>
      <c r="F305" s="145"/>
      <c r="G305" s="19"/>
    </row>
    <row r="306" spans="1:7" ht="20.25">
      <c r="A306" s="24"/>
      <c r="B306" s="24"/>
      <c r="C306" s="142"/>
      <c r="D306" s="142"/>
      <c r="E306" s="142"/>
      <c r="F306" s="145"/>
      <c r="G306" s="19"/>
    </row>
    <row r="307" spans="1:7" ht="20.25">
      <c r="A307" s="24"/>
      <c r="B307" s="24"/>
      <c r="C307" s="142"/>
      <c r="D307" s="142"/>
      <c r="E307" s="142"/>
      <c r="F307" s="145"/>
      <c r="G307" s="19"/>
    </row>
    <row r="308" spans="1:7" ht="20.25">
      <c r="A308" s="24"/>
      <c r="B308" s="24"/>
      <c r="C308" s="142"/>
      <c r="D308" s="142"/>
      <c r="E308" s="142"/>
      <c r="F308" s="145"/>
      <c r="G308" s="19"/>
    </row>
    <row r="309" spans="1:7" ht="20.25">
      <c r="A309" s="24"/>
      <c r="B309" s="24"/>
      <c r="C309" s="142"/>
      <c r="D309" s="142"/>
      <c r="E309" s="142"/>
      <c r="F309" s="145"/>
      <c r="G309" s="19"/>
    </row>
    <row r="310" spans="1:7" ht="20.25">
      <c r="A310" s="24"/>
      <c r="B310" s="24"/>
      <c r="C310" s="142"/>
      <c r="D310" s="142"/>
      <c r="E310" s="142"/>
      <c r="F310" s="145"/>
      <c r="G310" s="19"/>
    </row>
    <row r="311" spans="1:7" ht="20.25">
      <c r="A311" s="24"/>
      <c r="B311" s="24"/>
      <c r="C311" s="142"/>
      <c r="D311" s="142"/>
      <c r="E311" s="142"/>
      <c r="F311" s="145"/>
      <c r="G311" s="19"/>
    </row>
    <row r="312" spans="1:7" ht="20.25">
      <c r="A312" s="24"/>
      <c r="B312" s="24"/>
      <c r="C312" s="142"/>
      <c r="D312" s="142"/>
      <c r="E312" s="142"/>
      <c r="F312" s="145"/>
      <c r="G312" s="19"/>
    </row>
    <row r="313" spans="1:7" ht="20.25">
      <c r="A313" s="24"/>
      <c r="B313" s="24"/>
      <c r="C313" s="142"/>
      <c r="D313" s="142"/>
      <c r="E313" s="142"/>
      <c r="F313" s="145"/>
      <c r="G313" s="19"/>
    </row>
    <row r="314" spans="1:7" ht="20.25">
      <c r="A314" s="24"/>
      <c r="B314" s="24"/>
      <c r="C314" s="142"/>
      <c r="D314" s="142"/>
      <c r="E314" s="142"/>
      <c r="F314" s="145"/>
      <c r="G314" s="19"/>
    </row>
    <row r="315" spans="1:7" ht="20.25">
      <c r="A315" s="24"/>
      <c r="B315" s="24"/>
      <c r="C315" s="142"/>
      <c r="D315" s="142"/>
      <c r="E315" s="142"/>
      <c r="F315" s="145"/>
      <c r="G315" s="19"/>
    </row>
    <row r="316" spans="1:7" ht="20.25">
      <c r="A316" s="24"/>
      <c r="B316" s="24"/>
      <c r="C316" s="142"/>
      <c r="D316" s="142"/>
      <c r="E316" s="142"/>
      <c r="F316" s="145"/>
      <c r="G316" s="19"/>
    </row>
    <row r="317" spans="1:7" ht="20.25">
      <c r="A317" s="24"/>
      <c r="B317" s="24"/>
      <c r="C317" s="142"/>
      <c r="D317" s="142"/>
      <c r="E317" s="142"/>
      <c r="F317" s="145"/>
      <c r="G317" s="19"/>
    </row>
    <row r="318" spans="1:7" ht="20.25">
      <c r="A318" s="24"/>
      <c r="B318" s="24"/>
      <c r="C318" s="142"/>
      <c r="D318" s="142"/>
      <c r="E318" s="142"/>
      <c r="F318" s="145"/>
      <c r="G318" s="19"/>
    </row>
    <row r="319" spans="1:7" ht="20.25">
      <c r="A319" s="24"/>
      <c r="B319" s="24"/>
      <c r="C319" s="142"/>
      <c r="D319" s="142"/>
      <c r="E319" s="142"/>
      <c r="F319" s="145"/>
      <c r="G319" s="19"/>
    </row>
    <row r="320" spans="1:7" ht="20.25">
      <c r="A320" s="24"/>
      <c r="B320" s="24"/>
      <c r="C320" s="142"/>
      <c r="D320" s="142"/>
      <c r="E320" s="142"/>
      <c r="F320" s="145"/>
      <c r="G320" s="19"/>
    </row>
    <row r="321" spans="1:7" ht="20.25">
      <c r="A321" s="24"/>
      <c r="B321" s="24"/>
      <c r="C321" s="142"/>
      <c r="D321" s="142"/>
      <c r="E321" s="142"/>
      <c r="F321" s="145"/>
      <c r="G321" s="19"/>
    </row>
    <row r="322" spans="1:7" ht="20.25">
      <c r="A322" s="24"/>
      <c r="B322" s="24"/>
      <c r="C322" s="142"/>
      <c r="D322" s="142"/>
      <c r="E322" s="142"/>
      <c r="F322" s="145"/>
      <c r="G322" s="19"/>
    </row>
    <row r="323" spans="1:7" ht="20.25">
      <c r="A323" s="24"/>
      <c r="B323" s="24"/>
      <c r="C323" s="142"/>
      <c r="D323" s="142"/>
      <c r="E323" s="142"/>
      <c r="F323" s="145"/>
      <c r="G323" s="19"/>
    </row>
    <row r="324" spans="1:7" ht="20.25">
      <c r="A324" s="24"/>
      <c r="B324" s="24"/>
      <c r="C324" s="142"/>
      <c r="D324" s="142"/>
      <c r="E324" s="142"/>
      <c r="F324" s="145"/>
      <c r="G324" s="19"/>
    </row>
    <row r="325" spans="1:7" ht="20.25">
      <c r="A325" s="24"/>
      <c r="B325" s="24"/>
      <c r="C325" s="142"/>
      <c r="D325" s="142"/>
      <c r="E325" s="142"/>
      <c r="F325" s="145"/>
      <c r="G325" s="19"/>
    </row>
    <row r="326" spans="1:7" ht="20.25">
      <c r="A326" s="24"/>
      <c r="B326" s="24"/>
      <c r="C326" s="142"/>
      <c r="D326" s="142"/>
      <c r="E326" s="142"/>
      <c r="F326" s="145"/>
      <c r="G326" s="19"/>
    </row>
    <row r="327" spans="1:7" ht="20.25">
      <c r="A327" s="24"/>
      <c r="B327" s="24"/>
      <c r="C327" s="142"/>
      <c r="D327" s="142"/>
      <c r="E327" s="142"/>
      <c r="F327" s="145"/>
      <c r="G327" s="19"/>
    </row>
    <row r="328" spans="1:7" ht="20.25">
      <c r="A328" s="24"/>
      <c r="B328" s="24"/>
      <c r="C328" s="142"/>
      <c r="D328" s="142"/>
      <c r="E328" s="142"/>
      <c r="F328" s="145"/>
      <c r="G328" s="19"/>
    </row>
    <row r="329" spans="1:7" ht="20.25">
      <c r="A329" s="24"/>
      <c r="B329" s="24"/>
      <c r="C329" s="142"/>
      <c r="D329" s="142"/>
      <c r="E329" s="142"/>
      <c r="F329" s="145"/>
      <c r="G329" s="19"/>
    </row>
    <row r="330" spans="1:7" ht="20.25">
      <c r="A330" s="24"/>
      <c r="B330" s="24"/>
      <c r="C330" s="142"/>
      <c r="D330" s="142"/>
      <c r="E330" s="142"/>
      <c r="F330" s="145"/>
      <c r="G330" s="19"/>
    </row>
    <row r="331" spans="1:7" ht="20.25">
      <c r="A331" s="24"/>
      <c r="B331" s="24"/>
      <c r="C331" s="142"/>
      <c r="D331" s="142"/>
      <c r="E331" s="142"/>
      <c r="F331" s="145"/>
      <c r="G331" s="19"/>
    </row>
    <row r="332" spans="1:7" ht="20.25">
      <c r="A332" s="24"/>
      <c r="B332" s="24"/>
      <c r="C332" s="142"/>
      <c r="D332" s="142"/>
      <c r="E332" s="142"/>
      <c r="F332" s="145"/>
      <c r="G332" s="19"/>
    </row>
    <row r="333" spans="1:7" ht="20.25">
      <c r="A333" s="24"/>
      <c r="B333" s="24"/>
      <c r="C333" s="142"/>
      <c r="D333" s="142"/>
      <c r="E333" s="142"/>
      <c r="F333" s="145"/>
      <c r="G333" s="19"/>
    </row>
    <row r="334" spans="1:7" ht="20.25">
      <c r="A334" s="24"/>
      <c r="B334" s="24"/>
      <c r="C334" s="142"/>
      <c r="D334" s="142"/>
      <c r="E334" s="142"/>
      <c r="F334" s="145"/>
      <c r="G334" s="19"/>
    </row>
    <row r="335" spans="1:7" ht="20.25">
      <c r="A335" s="24"/>
      <c r="B335" s="24"/>
      <c r="C335" s="142"/>
      <c r="D335" s="142"/>
      <c r="E335" s="142"/>
      <c r="F335" s="145"/>
      <c r="G335" s="19"/>
    </row>
    <row r="336" spans="1:7" ht="20.25">
      <c r="A336" s="24"/>
      <c r="B336" s="24"/>
      <c r="C336" s="142"/>
      <c r="D336" s="142"/>
      <c r="E336" s="142"/>
      <c r="F336" s="145"/>
      <c r="G336" s="19"/>
    </row>
    <row r="337" spans="1:7" ht="20.25">
      <c r="A337" s="24"/>
      <c r="B337" s="24"/>
      <c r="C337" s="142"/>
      <c r="D337" s="142"/>
      <c r="E337" s="142"/>
      <c r="F337" s="145"/>
      <c r="G337" s="19"/>
    </row>
    <row r="338" spans="1:7" ht="20.25">
      <c r="A338" s="24"/>
      <c r="B338" s="24"/>
      <c r="C338" s="142"/>
      <c r="D338" s="142"/>
      <c r="E338" s="142"/>
      <c r="F338" s="145"/>
      <c r="G338" s="19"/>
    </row>
    <row r="339" spans="1:7" ht="20.25">
      <c r="A339" s="24"/>
      <c r="B339" s="24"/>
      <c r="C339" s="142"/>
      <c r="D339" s="142"/>
      <c r="E339" s="142"/>
      <c r="F339" s="145"/>
      <c r="G339" s="19"/>
    </row>
    <row r="340" spans="1:7" ht="20.25">
      <c r="A340" s="24"/>
      <c r="B340" s="24"/>
      <c r="C340" s="142"/>
      <c r="D340" s="142"/>
      <c r="E340" s="142"/>
      <c r="F340" s="145"/>
      <c r="G340" s="19"/>
    </row>
    <row r="341" spans="1:7" ht="20.25">
      <c r="A341" s="24"/>
      <c r="B341" s="24"/>
      <c r="C341" s="142"/>
      <c r="D341" s="142"/>
      <c r="E341" s="142"/>
      <c r="F341" s="145"/>
      <c r="G341" s="19"/>
    </row>
    <row r="342" spans="1:7" ht="20.25">
      <c r="A342" s="24"/>
      <c r="B342" s="24"/>
      <c r="C342" s="142"/>
      <c r="D342" s="142"/>
      <c r="E342" s="142"/>
      <c r="F342" s="145"/>
      <c r="G342" s="19"/>
    </row>
    <row r="343" spans="1:7" ht="20.25">
      <c r="A343" s="24"/>
      <c r="B343" s="24"/>
      <c r="C343" s="142"/>
      <c r="D343" s="142"/>
      <c r="E343" s="142"/>
      <c r="F343" s="145"/>
      <c r="G343" s="19"/>
    </row>
    <row r="344" spans="1:7" ht="20.25">
      <c r="A344" s="24"/>
      <c r="B344" s="24"/>
      <c r="C344" s="142"/>
      <c r="D344" s="142"/>
      <c r="E344" s="142"/>
      <c r="F344" s="145"/>
      <c r="G344" s="19"/>
    </row>
    <row r="345" spans="1:7" ht="20.25">
      <c r="A345" s="24"/>
      <c r="B345" s="24"/>
      <c r="C345" s="142"/>
      <c r="D345" s="142"/>
      <c r="E345" s="142"/>
      <c r="F345" s="145"/>
      <c r="G345" s="19"/>
    </row>
    <row r="346" spans="1:7" ht="20.25">
      <c r="A346" s="24"/>
      <c r="B346" s="24"/>
      <c r="C346" s="142"/>
      <c r="D346" s="142"/>
      <c r="E346" s="142"/>
      <c r="F346" s="145"/>
      <c r="G346" s="19"/>
    </row>
    <row r="347" spans="1:7" ht="20.25">
      <c r="A347" s="24"/>
      <c r="B347" s="24"/>
      <c r="C347" s="142"/>
      <c r="D347" s="142"/>
      <c r="E347" s="142"/>
      <c r="F347" s="145"/>
      <c r="G347" s="19"/>
    </row>
    <row r="348" spans="1:7" ht="20.25">
      <c r="A348" s="24"/>
      <c r="B348" s="24"/>
      <c r="C348" s="142"/>
      <c r="D348" s="142"/>
      <c r="E348" s="142"/>
      <c r="F348" s="145"/>
      <c r="G348" s="19"/>
    </row>
    <row r="349" spans="1:7" ht="20.25">
      <c r="A349" s="24"/>
      <c r="B349" s="24"/>
      <c r="C349" s="142"/>
      <c r="D349" s="142"/>
      <c r="E349" s="142"/>
      <c r="F349" s="145"/>
      <c r="G349" s="19"/>
    </row>
    <row r="350" spans="1:7" ht="20.25">
      <c r="A350" s="24"/>
      <c r="B350" s="24"/>
      <c r="C350" s="142"/>
      <c r="D350" s="142"/>
      <c r="E350" s="142"/>
      <c r="F350" s="145"/>
      <c r="G350" s="19"/>
    </row>
    <row r="351" spans="1:7" ht="20.25">
      <c r="A351" s="24"/>
      <c r="B351" s="24"/>
      <c r="C351" s="142"/>
      <c r="D351" s="142"/>
      <c r="E351" s="142"/>
      <c r="F351" s="145"/>
      <c r="G351" s="19"/>
    </row>
    <row r="352" spans="1:7" ht="20.25">
      <c r="A352" s="24"/>
      <c r="B352" s="24"/>
      <c r="C352" s="142"/>
      <c r="D352" s="142"/>
      <c r="E352" s="142"/>
      <c r="F352" s="145"/>
      <c r="G352" s="19"/>
    </row>
    <row r="353" spans="1:7" ht="20.25">
      <c r="A353" s="24"/>
      <c r="B353" s="24"/>
      <c r="C353" s="142"/>
      <c r="D353" s="142"/>
      <c r="E353" s="142"/>
      <c r="F353" s="145"/>
      <c r="G353" s="19"/>
    </row>
    <row r="354" spans="1:7" ht="20.25">
      <c r="A354" s="24"/>
      <c r="B354" s="24"/>
      <c r="C354" s="142"/>
      <c r="D354" s="142"/>
      <c r="E354" s="142"/>
      <c r="F354" s="145"/>
      <c r="G354" s="19"/>
    </row>
    <row r="355" spans="1:7" ht="20.25">
      <c r="A355" s="24"/>
      <c r="B355" s="24"/>
      <c r="C355" s="142"/>
      <c r="D355" s="142"/>
      <c r="E355" s="142"/>
      <c r="F355" s="145"/>
      <c r="G355" s="19"/>
    </row>
    <row r="356" spans="1:7" ht="20.25">
      <c r="A356" s="24"/>
      <c r="B356" s="24"/>
      <c r="C356" s="142"/>
      <c r="D356" s="142"/>
      <c r="E356" s="142"/>
      <c r="F356" s="145"/>
      <c r="G356" s="19"/>
    </row>
    <row r="357" spans="1:7" ht="20.25">
      <c r="A357" s="24"/>
      <c r="B357" s="24"/>
      <c r="C357" s="142"/>
      <c r="D357" s="142"/>
      <c r="E357" s="142"/>
      <c r="F357" s="145"/>
      <c r="G357" s="19"/>
    </row>
    <row r="358" spans="1:7" ht="20.25">
      <c r="A358" s="24"/>
      <c r="B358" s="24"/>
      <c r="C358" s="142"/>
      <c r="D358" s="142"/>
      <c r="E358" s="142"/>
      <c r="F358" s="145"/>
      <c r="G358" s="19"/>
    </row>
    <row r="359" spans="1:7" ht="20.25">
      <c r="A359" s="24"/>
      <c r="B359" s="24"/>
      <c r="C359" s="142"/>
      <c r="D359" s="142"/>
      <c r="E359" s="142"/>
      <c r="F359" s="145"/>
      <c r="G359" s="19"/>
    </row>
    <row r="360" spans="1:7" ht="20.25">
      <c r="A360" s="24"/>
      <c r="B360" s="24"/>
      <c r="C360" s="142"/>
      <c r="D360" s="142"/>
      <c r="E360" s="142"/>
      <c r="F360" s="145"/>
      <c r="G360" s="19"/>
    </row>
    <row r="361" spans="1:7" ht="20.25">
      <c r="A361" s="24"/>
      <c r="B361" s="24"/>
      <c r="C361" s="142"/>
      <c r="D361" s="142"/>
      <c r="E361" s="142"/>
      <c r="F361" s="145"/>
      <c r="G361" s="19"/>
    </row>
    <row r="362" spans="1:7" ht="20.25">
      <c r="A362" s="24"/>
      <c r="B362" s="24"/>
      <c r="C362" s="142"/>
      <c r="D362" s="142"/>
      <c r="E362" s="142"/>
      <c r="F362" s="145"/>
      <c r="G362" s="19"/>
    </row>
    <row r="363" spans="1:7" ht="20.25">
      <c r="A363" s="24"/>
      <c r="B363" s="24"/>
      <c r="C363" s="142"/>
      <c r="D363" s="142"/>
      <c r="E363" s="142"/>
      <c r="F363" s="145"/>
      <c r="G363" s="19"/>
    </row>
    <row r="364" spans="1:7" ht="20.25">
      <c r="A364" s="24"/>
      <c r="B364" s="24"/>
      <c r="C364" s="142"/>
      <c r="D364" s="142"/>
      <c r="E364" s="142"/>
      <c r="F364" s="145"/>
      <c r="G364" s="19"/>
    </row>
    <row r="365" spans="1:7" ht="20.25">
      <c r="A365" s="24"/>
      <c r="B365" s="24"/>
      <c r="C365" s="142"/>
      <c r="D365" s="142"/>
      <c r="E365" s="142"/>
      <c r="F365" s="145"/>
      <c r="G365" s="19"/>
    </row>
    <row r="366" spans="1:7" ht="20.25">
      <c r="A366" s="24"/>
      <c r="B366" s="24"/>
      <c r="C366" s="142"/>
      <c r="D366" s="142"/>
      <c r="E366" s="142"/>
      <c r="F366" s="145"/>
      <c r="G366" s="19"/>
    </row>
    <row r="367" spans="1:7" ht="20.25">
      <c r="A367" s="24"/>
      <c r="B367" s="24"/>
      <c r="C367" s="142"/>
      <c r="D367" s="142"/>
      <c r="E367" s="142"/>
      <c r="F367" s="145"/>
      <c r="G367" s="19"/>
    </row>
    <row r="368" spans="1:7" ht="20.25">
      <c r="A368" s="24"/>
      <c r="B368" s="24"/>
      <c r="C368" s="142"/>
      <c r="D368" s="142"/>
      <c r="E368" s="142"/>
      <c r="F368" s="145"/>
      <c r="G368" s="19"/>
    </row>
    <row r="369" spans="1:7" ht="20.25">
      <c r="A369" s="24"/>
      <c r="B369" s="24"/>
      <c r="C369" s="142"/>
      <c r="D369" s="142"/>
      <c r="E369" s="142"/>
      <c r="F369" s="145"/>
      <c r="G369" s="19"/>
    </row>
    <row r="370" spans="1:7" ht="20.25">
      <c r="A370" s="24"/>
      <c r="B370" s="24"/>
      <c r="C370" s="142"/>
      <c r="D370" s="142"/>
      <c r="E370" s="142"/>
      <c r="F370" s="145"/>
      <c r="G370" s="19"/>
    </row>
    <row r="371" spans="1:7" ht="20.25">
      <c r="A371" s="24"/>
      <c r="B371" s="24"/>
      <c r="C371" s="142"/>
      <c r="D371" s="142"/>
      <c r="E371" s="142"/>
      <c r="F371" s="145"/>
      <c r="G371" s="19"/>
    </row>
    <row r="372" spans="1:7" ht="20.25">
      <c r="A372" s="24"/>
      <c r="B372" s="24"/>
      <c r="C372" s="142"/>
      <c r="D372" s="142"/>
      <c r="E372" s="142"/>
      <c r="F372" s="145"/>
      <c r="G372" s="19"/>
    </row>
    <row r="373" spans="1:7" ht="20.25">
      <c r="A373" s="24"/>
      <c r="B373" s="24"/>
      <c r="C373" s="142"/>
      <c r="D373" s="142"/>
      <c r="E373" s="142"/>
      <c r="F373" s="145"/>
      <c r="G373" s="19"/>
    </row>
    <row r="374" spans="1:7" ht="20.25">
      <c r="A374" s="24"/>
      <c r="B374" s="24"/>
      <c r="C374" s="142"/>
      <c r="D374" s="142"/>
      <c r="E374" s="142"/>
      <c r="F374" s="145"/>
      <c r="G374" s="19"/>
    </row>
    <row r="375" spans="1:7" ht="20.25">
      <c r="A375" s="24"/>
      <c r="B375" s="24"/>
      <c r="C375" s="142"/>
      <c r="D375" s="142"/>
      <c r="E375" s="142"/>
      <c r="F375" s="145"/>
      <c r="G375" s="19"/>
    </row>
    <row r="376" spans="1:7" ht="20.25">
      <c r="A376" s="24"/>
      <c r="B376" s="24"/>
      <c r="C376" s="142"/>
      <c r="D376" s="142"/>
      <c r="E376" s="142"/>
      <c r="F376" s="145"/>
      <c r="G376" s="19"/>
    </row>
    <row r="377" spans="1:7" ht="20.25">
      <c r="A377" s="24"/>
      <c r="B377" s="24"/>
      <c r="C377" s="142"/>
      <c r="D377" s="142"/>
      <c r="E377" s="142"/>
      <c r="F377" s="145"/>
      <c r="G377" s="19"/>
    </row>
    <row r="378" spans="1:7" ht="20.25">
      <c r="A378" s="24"/>
      <c r="B378" s="24"/>
      <c r="C378" s="142"/>
      <c r="D378" s="142"/>
      <c r="E378" s="142"/>
      <c r="F378" s="145"/>
      <c r="G378" s="19"/>
    </row>
    <row r="379" spans="1:7" ht="20.25">
      <c r="A379" s="24"/>
      <c r="B379" s="24"/>
      <c r="C379" s="142"/>
      <c r="D379" s="142"/>
      <c r="E379" s="142"/>
      <c r="F379" s="145"/>
      <c r="G379" s="19"/>
    </row>
    <row r="380" spans="1:7" ht="20.25">
      <c r="A380" s="24"/>
      <c r="B380" s="24"/>
      <c r="C380" s="142"/>
      <c r="D380" s="142"/>
      <c r="E380" s="142"/>
      <c r="F380" s="145"/>
      <c r="G380" s="19"/>
    </row>
    <row r="381" spans="1:7" ht="20.25">
      <c r="A381" s="24"/>
      <c r="B381" s="24"/>
      <c r="C381" s="142"/>
      <c r="D381" s="142"/>
      <c r="E381" s="142"/>
      <c r="F381" s="145"/>
      <c r="G381" s="19"/>
    </row>
    <row r="382" spans="1:7" ht="20.25">
      <c r="A382" s="24"/>
      <c r="B382" s="24"/>
      <c r="C382" s="142"/>
      <c r="D382" s="142"/>
      <c r="E382" s="142"/>
      <c r="F382" s="145"/>
      <c r="G382" s="19"/>
    </row>
    <row r="383" spans="1:7" ht="20.25">
      <c r="A383" s="24"/>
      <c r="B383" s="24"/>
      <c r="C383" s="142"/>
      <c r="D383" s="142"/>
      <c r="E383" s="142"/>
      <c r="F383" s="145"/>
      <c r="G383" s="19"/>
    </row>
    <row r="384" spans="1:7" ht="20.25">
      <c r="A384" s="24"/>
      <c r="B384" s="24"/>
      <c r="C384" s="142"/>
      <c r="D384" s="142"/>
      <c r="E384" s="142"/>
      <c r="F384" s="145"/>
      <c r="G384" s="19"/>
    </row>
    <row r="385" spans="1:7" ht="20.25">
      <c r="A385" s="24"/>
      <c r="B385" s="24"/>
      <c r="C385" s="142"/>
      <c r="D385" s="142"/>
      <c r="E385" s="142"/>
      <c r="F385" s="145"/>
      <c r="G385" s="19"/>
    </row>
    <row r="386" spans="1:7" ht="20.25">
      <c r="A386" s="24"/>
      <c r="B386" s="24"/>
      <c r="C386" s="142"/>
      <c r="D386" s="142"/>
      <c r="E386" s="142"/>
      <c r="F386" s="145"/>
      <c r="G386" s="19"/>
    </row>
    <row r="387" spans="1:7" ht="20.25">
      <c r="A387" s="24"/>
      <c r="B387" s="24"/>
      <c r="C387" s="142"/>
      <c r="D387" s="142"/>
      <c r="E387" s="142"/>
      <c r="F387" s="145"/>
      <c r="G387" s="19"/>
    </row>
    <row r="388" spans="1:7" ht="20.25">
      <c r="A388" s="24"/>
      <c r="B388" s="24"/>
      <c r="C388" s="142"/>
      <c r="D388" s="142"/>
      <c r="E388" s="142"/>
      <c r="F388" s="145"/>
      <c r="G388" s="19"/>
    </row>
    <row r="389" spans="1:7" ht="20.25">
      <c r="A389" s="24"/>
      <c r="B389" s="24"/>
      <c r="C389" s="142"/>
      <c r="D389" s="142"/>
      <c r="E389" s="142"/>
      <c r="F389" s="145"/>
      <c r="G389" s="19"/>
    </row>
    <row r="390" spans="1:7" ht="20.25">
      <c r="A390" s="24"/>
      <c r="B390" s="24"/>
      <c r="C390" s="142"/>
      <c r="D390" s="142"/>
      <c r="E390" s="142"/>
      <c r="F390" s="145"/>
      <c r="G390" s="19"/>
    </row>
    <row r="391" spans="1:7" ht="20.25">
      <c r="A391" s="24"/>
      <c r="B391" s="24"/>
      <c r="C391" s="142"/>
      <c r="D391" s="142"/>
      <c r="E391" s="142"/>
      <c r="F391" s="145"/>
      <c r="G391" s="19"/>
    </row>
    <row r="392" spans="1:7" ht="20.25">
      <c r="A392" s="24"/>
      <c r="B392" s="24"/>
      <c r="C392" s="142"/>
      <c r="D392" s="142"/>
      <c r="E392" s="142"/>
      <c r="F392" s="145"/>
      <c r="G392" s="19"/>
    </row>
    <row r="393" spans="1:7" ht="20.25">
      <c r="A393" s="24"/>
      <c r="B393" s="24"/>
      <c r="C393" s="142"/>
      <c r="D393" s="142"/>
      <c r="E393" s="142"/>
      <c r="F393" s="145"/>
      <c r="G393" s="19"/>
    </row>
    <row r="394" spans="1:7" ht="20.25">
      <c r="A394" s="24"/>
      <c r="B394" s="24"/>
      <c r="C394" s="142"/>
      <c r="D394" s="142"/>
      <c r="E394" s="142"/>
      <c r="F394" s="145"/>
      <c r="G394" s="19"/>
    </row>
    <row r="395" spans="1:7" ht="20.25">
      <c r="A395" s="24"/>
      <c r="B395" s="24"/>
      <c r="C395" s="142"/>
      <c r="D395" s="142"/>
      <c r="E395" s="142"/>
      <c r="F395" s="145"/>
      <c r="G395" s="19"/>
    </row>
    <row r="396" spans="1:7" ht="20.25">
      <c r="A396" s="24"/>
      <c r="B396" s="24"/>
      <c r="C396" s="142"/>
      <c r="D396" s="142"/>
      <c r="E396" s="142"/>
      <c r="F396" s="145"/>
      <c r="G396" s="19"/>
    </row>
    <row r="397" spans="1:7" ht="20.25">
      <c r="A397" s="24"/>
      <c r="B397" s="24"/>
      <c r="C397" s="142"/>
      <c r="D397" s="142"/>
      <c r="E397" s="142"/>
      <c r="F397" s="145"/>
      <c r="G397" s="19"/>
    </row>
    <row r="398" spans="1:7" ht="20.25">
      <c r="A398" s="24"/>
      <c r="B398" s="24"/>
      <c r="C398" s="142"/>
      <c r="D398" s="142"/>
      <c r="E398" s="142"/>
      <c r="F398" s="145"/>
      <c r="G398" s="19"/>
    </row>
    <row r="399" spans="1:7" ht="20.25">
      <c r="A399" s="24"/>
      <c r="B399" s="24"/>
      <c r="C399" s="142"/>
      <c r="D399" s="142"/>
      <c r="E399" s="142"/>
      <c r="F399" s="145"/>
      <c r="G399" s="19"/>
    </row>
    <row r="400" spans="1:7" ht="20.25">
      <c r="A400" s="24"/>
      <c r="B400" s="24"/>
      <c r="C400" s="142"/>
      <c r="D400" s="142"/>
      <c r="E400" s="142"/>
      <c r="F400" s="145"/>
      <c r="G400" s="19"/>
    </row>
    <row r="401" spans="1:7" ht="20.25">
      <c r="A401" s="24"/>
      <c r="B401" s="24"/>
      <c r="C401" s="142"/>
      <c r="D401" s="142"/>
      <c r="E401" s="142"/>
      <c r="F401" s="145"/>
      <c r="G401" s="19"/>
    </row>
    <row r="402" spans="1:7" ht="20.25">
      <c r="A402" s="24"/>
      <c r="B402" s="24"/>
      <c r="C402" s="142"/>
      <c r="D402" s="142"/>
      <c r="E402" s="142"/>
      <c r="F402" s="145"/>
      <c r="G402" s="19"/>
    </row>
    <row r="403" spans="1:7" ht="20.25">
      <c r="A403" s="24"/>
      <c r="B403" s="24"/>
      <c r="C403" s="142"/>
      <c r="D403" s="142"/>
      <c r="E403" s="142"/>
      <c r="F403" s="145"/>
      <c r="G403" s="19"/>
    </row>
    <row r="404" spans="1:7" ht="20.25">
      <c r="A404" s="24"/>
      <c r="B404" s="24"/>
      <c r="C404" s="142"/>
      <c r="D404" s="142"/>
      <c r="E404" s="142"/>
      <c r="F404" s="145"/>
      <c r="G404" s="19"/>
    </row>
    <row r="405" spans="1:7" ht="20.25">
      <c r="A405" s="24"/>
      <c r="B405" s="24"/>
      <c r="C405" s="142"/>
      <c r="D405" s="142"/>
      <c r="E405" s="142"/>
      <c r="F405" s="145"/>
      <c r="G405" s="19"/>
    </row>
    <row r="406" spans="1:7" ht="20.25">
      <c r="A406" s="24"/>
      <c r="B406" s="24"/>
      <c r="C406" s="142"/>
      <c r="D406" s="142"/>
      <c r="E406" s="142"/>
      <c r="F406" s="145"/>
      <c r="G406" s="19"/>
    </row>
    <row r="407" spans="1:7" ht="20.25">
      <c r="A407" s="24"/>
      <c r="B407" s="24"/>
      <c r="C407" s="142"/>
      <c r="D407" s="142"/>
      <c r="E407" s="142"/>
      <c r="F407" s="145"/>
      <c r="G407" s="19"/>
    </row>
    <row r="408" spans="1:7" ht="20.25">
      <c r="A408" s="24"/>
      <c r="B408" s="24"/>
      <c r="C408" s="142"/>
      <c r="D408" s="142"/>
      <c r="E408" s="142"/>
      <c r="F408" s="145"/>
      <c r="G408" s="19"/>
    </row>
    <row r="409" spans="1:7" ht="20.25">
      <c r="A409" s="24"/>
      <c r="B409" s="24"/>
      <c r="C409" s="142"/>
      <c r="D409" s="142"/>
      <c r="E409" s="142"/>
      <c r="F409" s="145"/>
      <c r="G409" s="19"/>
    </row>
    <row r="410" spans="1:7" ht="20.25">
      <c r="A410" s="24"/>
      <c r="B410" s="24"/>
      <c r="C410" s="142"/>
      <c r="D410" s="142"/>
      <c r="E410" s="142"/>
      <c r="F410" s="145"/>
      <c r="G410" s="19"/>
    </row>
    <row r="411" spans="1:7" ht="20.25">
      <c r="A411" s="24"/>
      <c r="B411" s="24"/>
      <c r="C411" s="142"/>
      <c r="D411" s="142"/>
      <c r="E411" s="142"/>
      <c r="F411" s="145"/>
      <c r="G411" s="19"/>
    </row>
    <row r="412" spans="1:7" ht="20.25">
      <c r="A412" s="24"/>
      <c r="B412" s="24"/>
      <c r="C412" s="142"/>
      <c r="D412" s="142"/>
      <c r="E412" s="142"/>
      <c r="F412" s="145"/>
      <c r="G412" s="19"/>
    </row>
    <row r="413" spans="1:7" ht="20.25">
      <c r="A413" s="24"/>
      <c r="B413" s="24"/>
      <c r="C413" s="142"/>
      <c r="D413" s="142"/>
      <c r="E413" s="142"/>
      <c r="F413" s="145"/>
      <c r="G413" s="19"/>
    </row>
    <row r="414" spans="1:7" ht="20.25">
      <c r="A414" s="24"/>
      <c r="B414" s="24"/>
      <c r="C414" s="142"/>
      <c r="D414" s="142"/>
      <c r="E414" s="142"/>
      <c r="F414" s="145"/>
      <c r="G414" s="19"/>
    </row>
    <row r="415" spans="1:7" ht="20.25">
      <c r="A415" s="24"/>
      <c r="B415" s="24"/>
      <c r="C415" s="142"/>
      <c r="D415" s="142"/>
      <c r="E415" s="142"/>
      <c r="F415" s="145"/>
      <c r="G415" s="19"/>
    </row>
    <row r="416" spans="1:7" ht="20.25">
      <c r="A416" s="24"/>
      <c r="B416" s="24"/>
      <c r="C416" s="142"/>
      <c r="D416" s="142"/>
      <c r="E416" s="142"/>
      <c r="F416" s="145"/>
      <c r="G416" s="19"/>
    </row>
    <row r="417" spans="1:7" ht="20.25">
      <c r="A417" s="24"/>
      <c r="B417" s="24"/>
      <c r="C417" s="142"/>
      <c r="D417" s="142"/>
      <c r="E417" s="142"/>
      <c r="F417" s="145"/>
      <c r="G417" s="19"/>
    </row>
    <row r="418" spans="1:7" ht="20.25">
      <c r="A418" s="24"/>
      <c r="B418" s="24"/>
      <c r="C418" s="142"/>
      <c r="D418" s="142"/>
      <c r="E418" s="142"/>
      <c r="F418" s="145"/>
      <c r="G418" s="19"/>
    </row>
    <row r="419" spans="1:7" ht="20.25">
      <c r="A419" s="24"/>
      <c r="B419" s="24"/>
      <c r="C419" s="142"/>
      <c r="D419" s="142"/>
      <c r="E419" s="142"/>
      <c r="F419" s="145"/>
      <c r="G419" s="19"/>
    </row>
    <row r="420" spans="1:7" ht="20.25">
      <c r="A420" s="24"/>
      <c r="B420" s="24"/>
      <c r="C420" s="142"/>
      <c r="D420" s="142"/>
      <c r="E420" s="142"/>
      <c r="F420" s="145"/>
      <c r="G420" s="19"/>
    </row>
    <row r="421" spans="1:7" ht="20.25">
      <c r="A421" s="24"/>
      <c r="B421" s="24"/>
      <c r="C421" s="142"/>
      <c r="D421" s="142"/>
      <c r="E421" s="142"/>
      <c r="F421" s="145"/>
      <c r="G421" s="19"/>
    </row>
    <row r="422" spans="1:7" ht="20.25">
      <c r="A422" s="24"/>
      <c r="B422" s="24"/>
      <c r="C422" s="142"/>
      <c r="D422" s="142"/>
      <c r="E422" s="142"/>
      <c r="F422" s="145"/>
      <c r="G422" s="19"/>
    </row>
    <row r="423" spans="1:7" ht="20.25">
      <c r="A423" s="24"/>
      <c r="B423" s="24"/>
      <c r="C423" s="142"/>
      <c r="D423" s="142"/>
      <c r="E423" s="142"/>
      <c r="F423" s="145"/>
      <c r="G423" s="19"/>
    </row>
    <row r="424" spans="1:7" ht="20.25">
      <c r="A424" s="24"/>
      <c r="B424" s="24"/>
      <c r="C424" s="142"/>
      <c r="D424" s="142"/>
      <c r="E424" s="142"/>
      <c r="F424" s="145"/>
      <c r="G424" s="19"/>
    </row>
    <row r="425" spans="1:7" ht="20.25">
      <c r="A425" s="24"/>
      <c r="B425" s="24"/>
      <c r="C425" s="142"/>
      <c r="D425" s="142"/>
      <c r="E425" s="142"/>
      <c r="F425" s="145"/>
      <c r="G425" s="19"/>
    </row>
    <row r="426" spans="1:7" ht="20.25">
      <c r="A426" s="24"/>
      <c r="B426" s="24"/>
      <c r="C426" s="142"/>
      <c r="D426" s="142"/>
      <c r="E426" s="142"/>
      <c r="F426" s="145"/>
      <c r="G426" s="19"/>
    </row>
    <row r="427" spans="1:7" ht="20.25">
      <c r="A427" s="24"/>
      <c r="B427" s="24"/>
      <c r="C427" s="142"/>
      <c r="D427" s="142"/>
      <c r="E427" s="142"/>
      <c r="F427" s="145"/>
      <c r="G427" s="19"/>
    </row>
    <row r="428" spans="1:7" ht="20.25">
      <c r="A428" s="24"/>
      <c r="B428" s="24"/>
      <c r="C428" s="142"/>
      <c r="D428" s="142"/>
      <c r="E428" s="142"/>
      <c r="F428" s="145"/>
      <c r="G428" s="19"/>
    </row>
    <row r="429" spans="1:7" ht="20.25">
      <c r="A429" s="24"/>
      <c r="B429" s="24"/>
      <c r="C429" s="142"/>
      <c r="D429" s="142"/>
      <c r="E429" s="142"/>
      <c r="F429" s="145"/>
      <c r="G429" s="19"/>
    </row>
    <row r="430" spans="1:7" ht="20.25">
      <c r="A430" s="24"/>
      <c r="B430" s="24"/>
      <c r="C430" s="142"/>
      <c r="D430" s="142"/>
      <c r="E430" s="142"/>
      <c r="F430" s="145"/>
      <c r="G430" s="19"/>
    </row>
    <row r="431" spans="1:7" ht="20.25">
      <c r="A431" s="24"/>
      <c r="B431" s="24"/>
      <c r="C431" s="142"/>
      <c r="D431" s="142"/>
      <c r="E431" s="142"/>
      <c r="F431" s="145"/>
      <c r="G431" s="19"/>
    </row>
    <row r="432" spans="1:7" ht="20.25">
      <c r="A432" s="24"/>
      <c r="B432" s="24"/>
      <c r="C432" s="142"/>
      <c r="D432" s="142"/>
      <c r="E432" s="142"/>
      <c r="F432" s="145"/>
      <c r="G432" s="19"/>
    </row>
    <row r="433" spans="1:7" ht="20.25">
      <c r="A433" s="24"/>
      <c r="B433" s="24"/>
      <c r="C433" s="142"/>
      <c r="D433" s="142"/>
      <c r="E433" s="142"/>
      <c r="F433" s="145"/>
      <c r="G433" s="19"/>
    </row>
    <row r="434" spans="1:7" ht="20.25">
      <c r="A434" s="24"/>
      <c r="B434" s="24"/>
      <c r="C434" s="142"/>
      <c r="D434" s="142"/>
      <c r="E434" s="142"/>
      <c r="F434" s="145"/>
      <c r="G434" s="19"/>
    </row>
    <row r="435" spans="1:7" ht="20.25">
      <c r="A435" s="24"/>
      <c r="B435" s="24"/>
      <c r="C435" s="142"/>
      <c r="D435" s="142"/>
      <c r="E435" s="142"/>
      <c r="F435" s="145"/>
      <c r="G435" s="19"/>
    </row>
    <row r="436" spans="1:7" ht="20.25">
      <c r="A436" s="24"/>
      <c r="B436" s="24"/>
      <c r="C436" s="142"/>
      <c r="D436" s="142"/>
      <c r="E436" s="142"/>
      <c r="F436" s="145"/>
      <c r="G436" s="19"/>
    </row>
    <row r="437" spans="1:7" ht="20.25">
      <c r="A437" s="24"/>
      <c r="B437" s="24"/>
      <c r="C437" s="142"/>
      <c r="D437" s="142"/>
      <c r="E437" s="142"/>
      <c r="F437" s="145"/>
      <c r="G437" s="19"/>
    </row>
    <row r="438" spans="1:7" ht="20.25">
      <c r="A438" s="24"/>
      <c r="B438" s="24"/>
      <c r="C438" s="142"/>
      <c r="D438" s="142"/>
      <c r="E438" s="142"/>
      <c r="F438" s="145"/>
      <c r="G438" s="19"/>
    </row>
    <row r="439" spans="1:7" ht="20.25">
      <c r="A439" s="24"/>
      <c r="B439" s="24"/>
      <c r="C439" s="142"/>
      <c r="D439" s="142"/>
      <c r="E439" s="142"/>
      <c r="F439" s="145"/>
      <c r="G439" s="19"/>
    </row>
    <row r="440" spans="1:7" ht="20.25">
      <c r="A440" s="24"/>
      <c r="B440" s="24"/>
      <c r="C440" s="142"/>
      <c r="D440" s="142"/>
      <c r="E440" s="142"/>
      <c r="F440" s="145"/>
      <c r="G440" s="19"/>
    </row>
    <row r="441" spans="1:7" ht="20.25">
      <c r="A441" s="24"/>
      <c r="B441" s="24"/>
      <c r="C441" s="142"/>
      <c r="D441" s="142"/>
      <c r="E441" s="142"/>
      <c r="F441" s="145"/>
      <c r="G441" s="19"/>
    </row>
    <row r="442" spans="1:7" ht="20.25">
      <c r="A442" s="24"/>
      <c r="B442" s="24"/>
      <c r="C442" s="142"/>
      <c r="D442" s="142"/>
      <c r="E442" s="142"/>
      <c r="F442" s="145"/>
      <c r="G442" s="19"/>
    </row>
    <row r="443" spans="1:7" ht="20.25">
      <c r="A443" s="24"/>
      <c r="B443" s="24"/>
      <c r="C443" s="142"/>
      <c r="D443" s="142"/>
      <c r="E443" s="142"/>
      <c r="F443" s="145"/>
      <c r="G443" s="19"/>
    </row>
    <row r="444" spans="1:7" ht="20.25">
      <c r="A444" s="24"/>
      <c r="B444" s="24"/>
      <c r="C444" s="142"/>
      <c r="D444" s="142"/>
      <c r="E444" s="142"/>
      <c r="F444" s="145"/>
      <c r="G444" s="19"/>
    </row>
    <row r="445" spans="1:7" ht="20.25">
      <c r="A445" s="24"/>
      <c r="B445" s="24"/>
      <c r="C445" s="142"/>
      <c r="D445" s="142"/>
      <c r="E445" s="142"/>
      <c r="F445" s="145"/>
      <c r="G445" s="19"/>
    </row>
    <row r="446" spans="1:7" ht="20.25">
      <c r="A446" s="24"/>
      <c r="B446" s="24"/>
      <c r="C446" s="142"/>
      <c r="D446" s="142"/>
      <c r="E446" s="142"/>
      <c r="F446" s="145"/>
      <c r="G446" s="19"/>
    </row>
    <row r="447" spans="1:7" ht="20.25">
      <c r="A447" s="24"/>
      <c r="B447" s="24"/>
      <c r="C447" s="142"/>
      <c r="D447" s="142"/>
      <c r="E447" s="142"/>
      <c r="F447" s="145"/>
      <c r="G447" s="19"/>
    </row>
    <row r="448" spans="1:7" ht="20.25">
      <c r="A448" s="24"/>
      <c r="B448" s="24"/>
      <c r="C448" s="142"/>
      <c r="D448" s="142"/>
      <c r="E448" s="142"/>
      <c r="F448" s="145"/>
      <c r="G448" s="19"/>
    </row>
    <row r="449" spans="1:7" ht="20.25">
      <c r="A449" s="24"/>
      <c r="B449" s="24"/>
      <c r="C449" s="142"/>
      <c r="D449" s="142"/>
      <c r="E449" s="142"/>
      <c r="F449" s="145"/>
      <c r="G449" s="19"/>
    </row>
    <row r="450" spans="1:7" ht="20.25">
      <c r="A450" s="24"/>
      <c r="B450" s="24"/>
      <c r="C450" s="142"/>
      <c r="D450" s="142"/>
      <c r="E450" s="142"/>
      <c r="F450" s="145"/>
      <c r="G450" s="19"/>
    </row>
    <row r="451" spans="1:7" ht="20.25">
      <c r="A451" s="24"/>
      <c r="B451" s="24"/>
      <c r="C451" s="142"/>
      <c r="D451" s="142"/>
      <c r="E451" s="142"/>
      <c r="F451" s="145"/>
      <c r="G451" s="19"/>
    </row>
    <row r="452" spans="1:7" ht="20.25">
      <c r="A452" s="24"/>
      <c r="B452" s="24"/>
      <c r="C452" s="142"/>
      <c r="D452" s="142"/>
      <c r="E452" s="142"/>
      <c r="F452" s="145"/>
      <c r="G452" s="19"/>
    </row>
    <row r="453" spans="1:7" ht="20.25">
      <c r="A453" s="24"/>
      <c r="B453" s="24"/>
      <c r="C453" s="142"/>
      <c r="D453" s="142"/>
      <c r="E453" s="142"/>
      <c r="F453" s="145"/>
      <c r="G453" s="19"/>
    </row>
    <row r="454" spans="1:7" ht="20.25">
      <c r="A454" s="24"/>
      <c r="B454" s="24"/>
      <c r="C454" s="142"/>
      <c r="D454" s="142"/>
      <c r="E454" s="142"/>
      <c r="F454" s="145"/>
      <c r="G454" s="19"/>
    </row>
    <row r="455" spans="1:7" ht="20.25">
      <c r="A455" s="24"/>
      <c r="B455" s="24"/>
      <c r="C455" s="142"/>
      <c r="D455" s="142"/>
      <c r="E455" s="142"/>
      <c r="F455" s="145"/>
      <c r="G455" s="19"/>
    </row>
    <row r="456" spans="1:7" ht="20.25">
      <c r="A456" s="24"/>
      <c r="B456" s="24"/>
      <c r="C456" s="142"/>
      <c r="D456" s="142"/>
      <c r="E456" s="142"/>
      <c r="F456" s="145"/>
      <c r="G456" s="19"/>
    </row>
    <row r="457" spans="1:7" ht="20.25">
      <c r="A457" s="24"/>
      <c r="B457" s="24"/>
      <c r="C457" s="142"/>
      <c r="D457" s="142"/>
      <c r="E457" s="142"/>
      <c r="F457" s="145"/>
      <c r="G457" s="19"/>
    </row>
    <row r="458" spans="1:7" ht="20.25">
      <c r="A458" s="24"/>
      <c r="B458" s="24"/>
      <c r="C458" s="142"/>
      <c r="D458" s="142"/>
      <c r="E458" s="142"/>
      <c r="F458" s="145"/>
      <c r="G458" s="19"/>
    </row>
    <row r="459" spans="1:7" ht="20.25">
      <c r="A459" s="24"/>
      <c r="B459" s="24"/>
      <c r="C459" s="142"/>
      <c r="D459" s="142"/>
      <c r="E459" s="142"/>
      <c r="F459" s="145"/>
      <c r="G459" s="19"/>
    </row>
    <row r="460" spans="1:7" ht="20.25">
      <c r="A460" s="24"/>
      <c r="B460" s="24"/>
      <c r="C460" s="142"/>
      <c r="D460" s="142"/>
      <c r="E460" s="142"/>
      <c r="F460" s="145"/>
      <c r="G460" s="19"/>
    </row>
    <row r="461" spans="1:7" ht="20.25">
      <c r="A461" s="24"/>
      <c r="B461" s="24"/>
      <c r="C461" s="142"/>
      <c r="D461" s="142"/>
      <c r="E461" s="142"/>
      <c r="F461" s="145"/>
      <c r="G461" s="19"/>
    </row>
    <row r="462" spans="1:7" ht="20.25">
      <c r="A462" s="24"/>
      <c r="B462" s="24"/>
      <c r="C462" s="142"/>
      <c r="D462" s="142"/>
      <c r="E462" s="142"/>
      <c r="F462" s="145"/>
      <c r="G462" s="19"/>
    </row>
    <row r="463" spans="1:7" ht="20.25">
      <c r="A463" s="24"/>
      <c r="B463" s="24"/>
      <c r="C463" s="142"/>
      <c r="D463" s="142"/>
      <c r="E463" s="142"/>
      <c r="F463" s="145"/>
      <c r="G463" s="19"/>
    </row>
    <row r="464" spans="1:7" ht="20.25">
      <c r="A464" s="24"/>
      <c r="B464" s="24"/>
      <c r="C464" s="142"/>
      <c r="D464" s="142"/>
      <c r="E464" s="142"/>
      <c r="F464" s="145"/>
      <c r="G464" s="19"/>
    </row>
    <row r="465" spans="1:7" ht="20.25">
      <c r="A465" s="24"/>
      <c r="B465" s="24"/>
      <c r="C465" s="142"/>
      <c r="D465" s="142"/>
      <c r="E465" s="142"/>
      <c r="F465" s="145"/>
      <c r="G465" s="19"/>
    </row>
    <row r="466" spans="1:7" ht="20.25">
      <c r="A466" s="24"/>
      <c r="B466" s="24"/>
      <c r="C466" s="142"/>
      <c r="D466" s="142"/>
      <c r="E466" s="142"/>
      <c r="F466" s="145"/>
      <c r="G466" s="19"/>
    </row>
    <row r="467" spans="1:7" ht="20.25">
      <c r="A467" s="24"/>
      <c r="B467" s="24"/>
      <c r="C467" s="142"/>
      <c r="D467" s="142"/>
      <c r="E467" s="142"/>
      <c r="F467" s="145"/>
      <c r="G467" s="19"/>
    </row>
    <row r="468" spans="1:7" ht="20.25">
      <c r="A468" s="24"/>
      <c r="B468" s="24"/>
      <c r="C468" s="142"/>
      <c r="D468" s="142"/>
      <c r="E468" s="142"/>
      <c r="F468" s="145"/>
      <c r="G468" s="19"/>
    </row>
    <row r="469" spans="1:7" ht="20.25">
      <c r="A469" s="24"/>
      <c r="B469" s="24"/>
      <c r="C469" s="142"/>
      <c r="D469" s="142"/>
      <c r="E469" s="142"/>
      <c r="F469" s="145"/>
      <c r="G469" s="19"/>
    </row>
    <row r="470" spans="1:7" ht="20.25">
      <c r="A470" s="24"/>
      <c r="B470" s="24"/>
      <c r="C470" s="142"/>
      <c r="D470" s="142"/>
      <c r="E470" s="142"/>
      <c r="F470" s="145"/>
      <c r="G470" s="19"/>
    </row>
    <row r="471" spans="1:7" ht="20.25">
      <c r="A471" s="24"/>
      <c r="B471" s="24"/>
      <c r="C471" s="142"/>
      <c r="D471" s="142"/>
      <c r="E471" s="142"/>
      <c r="F471" s="145"/>
      <c r="G471" s="19"/>
    </row>
    <row r="472" spans="1:7" ht="20.25">
      <c r="A472" s="24"/>
      <c r="B472" s="24"/>
      <c r="C472" s="142"/>
      <c r="D472" s="142"/>
      <c r="E472" s="142"/>
      <c r="F472" s="145"/>
      <c r="G472" s="19"/>
    </row>
    <row r="473" spans="1:7" ht="20.25">
      <c r="A473" s="24"/>
      <c r="B473" s="24"/>
      <c r="C473" s="142"/>
      <c r="D473" s="142"/>
      <c r="E473" s="142"/>
      <c r="F473" s="145"/>
      <c r="G473" s="19"/>
    </row>
    <row r="474" spans="1:7" ht="20.25">
      <c r="A474" s="24"/>
      <c r="B474" s="24"/>
      <c r="C474" s="142"/>
      <c r="D474" s="142"/>
      <c r="E474" s="142"/>
      <c r="F474" s="145"/>
      <c r="G474" s="19"/>
    </row>
    <row r="475" spans="1:7" ht="20.25">
      <c r="A475" s="24"/>
      <c r="B475" s="24"/>
      <c r="C475" s="142"/>
      <c r="D475" s="142"/>
      <c r="E475" s="142"/>
      <c r="F475" s="145"/>
      <c r="G475" s="19"/>
    </row>
    <row r="476" spans="1:7" ht="20.25">
      <c r="A476" s="24"/>
      <c r="B476" s="24"/>
      <c r="C476" s="142"/>
      <c r="D476" s="142"/>
      <c r="E476" s="142"/>
      <c r="F476" s="145"/>
      <c r="G476" s="19"/>
    </row>
    <row r="477" spans="1:7" ht="20.25">
      <c r="A477" s="24"/>
      <c r="B477" s="24"/>
      <c r="C477" s="142"/>
      <c r="D477" s="142"/>
      <c r="E477" s="142"/>
      <c r="F477" s="145"/>
      <c r="G477" s="19"/>
    </row>
    <row r="478" spans="1:7" ht="20.25">
      <c r="A478" s="24"/>
      <c r="B478" s="24"/>
      <c r="C478" s="142"/>
      <c r="D478" s="142"/>
      <c r="E478" s="142"/>
      <c r="F478" s="145"/>
      <c r="G478" s="19"/>
    </row>
    <row r="479" spans="1:7" ht="20.25">
      <c r="A479" s="24"/>
      <c r="B479" s="24"/>
      <c r="C479" s="142"/>
      <c r="D479" s="142"/>
      <c r="E479" s="142"/>
      <c r="F479" s="145"/>
      <c r="G479" s="19"/>
    </row>
    <row r="480" spans="1:7" ht="20.25">
      <c r="A480" s="24"/>
      <c r="B480" s="24"/>
      <c r="C480" s="142"/>
      <c r="D480" s="142"/>
      <c r="E480" s="142"/>
      <c r="F480" s="145"/>
      <c r="G480" s="19"/>
    </row>
    <row r="481" spans="1:7" ht="20.25">
      <c r="A481" s="24"/>
      <c r="B481" s="24"/>
      <c r="C481" s="142"/>
      <c r="D481" s="142"/>
      <c r="E481" s="142"/>
      <c r="F481" s="145"/>
      <c r="G481" s="19"/>
    </row>
    <row r="482" spans="1:7" ht="20.25">
      <c r="A482" s="24"/>
      <c r="B482" s="24"/>
      <c r="C482" s="142"/>
      <c r="D482" s="142"/>
      <c r="E482" s="142"/>
      <c r="F482" s="145"/>
      <c r="G482" s="19"/>
    </row>
    <row r="483" spans="1:7" ht="20.25">
      <c r="A483" s="24"/>
      <c r="B483" s="24"/>
      <c r="C483" s="142"/>
      <c r="D483" s="142"/>
      <c r="E483" s="142"/>
      <c r="F483" s="145"/>
      <c r="G483" s="19"/>
    </row>
    <row r="484" spans="1:7" ht="20.25">
      <c r="A484" s="24"/>
      <c r="B484" s="24"/>
      <c r="C484" s="142"/>
      <c r="D484" s="142"/>
      <c r="E484" s="142"/>
      <c r="F484" s="145"/>
      <c r="G484" s="19"/>
    </row>
    <row r="485" spans="1:7" ht="20.25">
      <c r="A485" s="24"/>
      <c r="B485" s="24"/>
      <c r="C485" s="142"/>
      <c r="D485" s="142"/>
      <c r="E485" s="142"/>
      <c r="F485" s="145"/>
      <c r="G485" s="19"/>
    </row>
    <row r="486" spans="1:7" ht="20.25">
      <c r="A486" s="24"/>
      <c r="B486" s="24"/>
      <c r="C486" s="142"/>
      <c r="D486" s="142"/>
      <c r="E486" s="142"/>
      <c r="F486" s="145"/>
      <c r="G486" s="19"/>
    </row>
    <row r="487" spans="1:7" ht="20.25">
      <c r="A487" s="24"/>
      <c r="B487" s="24"/>
      <c r="C487" s="142"/>
      <c r="D487" s="142"/>
      <c r="E487" s="142"/>
      <c r="F487" s="145"/>
      <c r="G487" s="19"/>
    </row>
    <row r="488" spans="1:7" ht="20.25">
      <c r="A488" s="24"/>
      <c r="B488" s="24"/>
      <c r="C488" s="142"/>
      <c r="D488" s="142"/>
      <c r="E488" s="142"/>
      <c r="F488" s="145"/>
      <c r="G488" s="19"/>
    </row>
    <row r="489" spans="1:7" ht="20.25">
      <c r="A489" s="24"/>
      <c r="B489" s="24"/>
      <c r="C489" s="142"/>
      <c r="D489" s="142"/>
      <c r="E489" s="142"/>
      <c r="F489" s="145"/>
      <c r="G489" s="19"/>
    </row>
    <row r="490" spans="1:7" ht="20.25">
      <c r="A490" s="24"/>
      <c r="B490" s="24"/>
      <c r="C490" s="142"/>
      <c r="D490" s="142"/>
      <c r="E490" s="142"/>
      <c r="F490" s="145"/>
      <c r="G490" s="19"/>
    </row>
    <row r="491" spans="1:7" ht="20.25">
      <c r="A491" s="24"/>
      <c r="B491" s="24"/>
      <c r="C491" s="142"/>
      <c r="D491" s="142"/>
      <c r="E491" s="142"/>
      <c r="F491" s="145"/>
      <c r="G491" s="19"/>
    </row>
    <row r="492" spans="1:7" ht="20.25">
      <c r="A492" s="24"/>
      <c r="B492" s="24"/>
      <c r="C492" s="142"/>
      <c r="D492" s="142"/>
      <c r="E492" s="142"/>
      <c r="F492" s="145"/>
      <c r="G492" s="19"/>
    </row>
    <row r="493" spans="1:7" ht="20.25">
      <c r="A493" s="24"/>
      <c r="B493" s="24"/>
      <c r="C493" s="142"/>
      <c r="D493" s="142"/>
      <c r="E493" s="142"/>
      <c r="F493" s="145"/>
      <c r="G493" s="19"/>
    </row>
    <row r="494" spans="1:7" ht="20.25">
      <c r="A494" s="24"/>
      <c r="B494" s="24"/>
      <c r="C494" s="142"/>
      <c r="D494" s="142"/>
      <c r="E494" s="142"/>
      <c r="F494" s="145"/>
      <c r="G494" s="19"/>
    </row>
    <row r="495" spans="1:7" ht="20.25">
      <c r="A495" s="24"/>
      <c r="B495" s="24"/>
      <c r="C495" s="142"/>
      <c r="D495" s="142"/>
      <c r="E495" s="142"/>
      <c r="F495" s="145"/>
      <c r="G495" s="19"/>
    </row>
    <row r="496" spans="1:7" ht="20.25">
      <c r="A496" s="24"/>
      <c r="B496" s="24"/>
      <c r="C496" s="142"/>
      <c r="D496" s="142"/>
      <c r="E496" s="142"/>
      <c r="F496" s="145"/>
      <c r="G496" s="19"/>
    </row>
    <row r="497" spans="1:7" ht="20.25">
      <c r="A497" s="24"/>
      <c r="B497" s="24"/>
      <c r="C497" s="142"/>
      <c r="D497" s="142"/>
      <c r="E497" s="142"/>
      <c r="F497" s="145"/>
      <c r="G497" s="19"/>
    </row>
    <row r="498" spans="1:7" ht="20.25">
      <c r="A498" s="24"/>
      <c r="B498" s="24"/>
      <c r="C498" s="142"/>
      <c r="D498" s="142"/>
      <c r="E498" s="142"/>
      <c r="F498" s="145"/>
      <c r="G498" s="19"/>
    </row>
    <row r="499" spans="1:7" ht="20.25">
      <c r="A499" s="24"/>
      <c r="B499" s="24"/>
      <c r="C499" s="142"/>
      <c r="D499" s="142"/>
      <c r="E499" s="142"/>
      <c r="F499" s="145"/>
      <c r="G499" s="19"/>
    </row>
    <row r="500" spans="1:7" ht="20.25">
      <c r="A500" s="24"/>
      <c r="B500" s="24"/>
      <c r="C500" s="142"/>
      <c r="D500" s="142"/>
      <c r="E500" s="142"/>
      <c r="F500" s="145"/>
      <c r="G500" s="19"/>
    </row>
    <row r="501" spans="1:7" ht="20.25">
      <c r="A501" s="24"/>
      <c r="B501" s="24"/>
      <c r="C501" s="142"/>
      <c r="D501" s="142"/>
      <c r="E501" s="142"/>
      <c r="F501" s="145"/>
      <c r="G501" s="19"/>
    </row>
    <row r="502" spans="1:7" ht="20.25">
      <c r="A502" s="24"/>
      <c r="B502" s="24"/>
      <c r="C502" s="142"/>
      <c r="D502" s="142"/>
      <c r="E502" s="142"/>
      <c r="F502" s="145"/>
      <c r="G502" s="19"/>
    </row>
    <row r="503" spans="1:7" ht="20.25">
      <c r="A503" s="24"/>
      <c r="B503" s="24"/>
      <c r="C503" s="142"/>
      <c r="D503" s="142"/>
      <c r="E503" s="142"/>
      <c r="F503" s="145"/>
      <c r="G503" s="19"/>
    </row>
    <row r="504" spans="1:7" ht="20.25">
      <c r="A504" s="24"/>
      <c r="B504" s="24"/>
      <c r="C504" s="142"/>
      <c r="D504" s="142"/>
      <c r="E504" s="142"/>
      <c r="F504" s="145"/>
      <c r="G504" s="19"/>
    </row>
    <row r="505" spans="1:7" ht="20.25">
      <c r="A505" s="24"/>
      <c r="B505" s="24"/>
      <c r="C505" s="142"/>
      <c r="D505" s="142"/>
      <c r="E505" s="142"/>
      <c r="F505" s="145"/>
      <c r="G505" s="19"/>
    </row>
    <row r="506" spans="1:7" ht="20.25">
      <c r="A506" s="24"/>
      <c r="B506" s="24"/>
      <c r="C506" s="142"/>
      <c r="D506" s="142"/>
      <c r="E506" s="142"/>
      <c r="F506" s="145"/>
      <c r="G506" s="19"/>
    </row>
    <row r="507" spans="1:7" ht="20.25">
      <c r="A507" s="24"/>
      <c r="B507" s="24"/>
      <c r="C507" s="142"/>
      <c r="D507" s="142"/>
      <c r="E507" s="142"/>
      <c r="F507" s="145"/>
      <c r="G507" s="19"/>
    </row>
    <row r="508" spans="1:7" ht="20.25">
      <c r="A508" s="24"/>
      <c r="B508" s="24"/>
      <c r="C508" s="142"/>
      <c r="D508" s="142"/>
      <c r="E508" s="142"/>
      <c r="F508" s="145"/>
      <c r="G508" s="19"/>
    </row>
    <row r="509" spans="1:7" ht="20.25">
      <c r="A509" s="24"/>
      <c r="B509" s="24"/>
      <c r="C509" s="142"/>
      <c r="D509" s="142"/>
      <c r="E509" s="142"/>
      <c r="F509" s="145"/>
      <c r="G509" s="19"/>
    </row>
    <row r="510" spans="1:7" ht="20.25">
      <c r="A510" s="24"/>
      <c r="B510" s="24"/>
      <c r="C510" s="142"/>
      <c r="D510" s="142"/>
      <c r="E510" s="142"/>
      <c r="F510" s="145"/>
      <c r="G510" s="19"/>
    </row>
    <row r="511" spans="1:7" ht="20.25">
      <c r="A511" s="24"/>
      <c r="B511" s="24"/>
      <c r="C511" s="142"/>
      <c r="D511" s="142"/>
      <c r="E511" s="142"/>
      <c r="F511" s="145"/>
      <c r="G511" s="19"/>
    </row>
    <row r="512" spans="1:7" ht="20.25">
      <c r="A512" s="24"/>
      <c r="B512" s="24"/>
      <c r="C512" s="142"/>
      <c r="D512" s="142"/>
      <c r="E512" s="142"/>
      <c r="F512" s="145"/>
      <c r="G512" s="19"/>
    </row>
    <row r="513" spans="1:7" ht="20.25">
      <c r="A513" s="24"/>
      <c r="B513" s="24"/>
      <c r="C513" s="142"/>
      <c r="D513" s="142"/>
      <c r="E513" s="142"/>
      <c r="F513" s="145"/>
      <c r="G513" s="19"/>
    </row>
    <row r="514" spans="1:7" ht="20.25">
      <c r="A514" s="24"/>
      <c r="B514" s="24"/>
      <c r="C514" s="142"/>
      <c r="D514" s="142"/>
      <c r="E514" s="142"/>
      <c r="F514" s="145"/>
      <c r="G514" s="19"/>
    </row>
    <row r="515" spans="1:7" ht="20.25">
      <c r="A515" s="24"/>
      <c r="B515" s="24"/>
      <c r="C515" s="142"/>
      <c r="D515" s="142"/>
      <c r="E515" s="142"/>
      <c r="F515" s="145"/>
      <c r="G515" s="19"/>
    </row>
    <row r="516" spans="1:7" ht="20.25">
      <c r="A516" s="24"/>
      <c r="B516" s="24"/>
      <c r="C516" s="142"/>
      <c r="D516" s="142"/>
      <c r="E516" s="142"/>
      <c r="F516" s="145"/>
      <c r="G516" s="19"/>
    </row>
    <row r="517" spans="1:7" ht="20.25">
      <c r="A517" s="24"/>
      <c r="B517" s="24"/>
      <c r="C517" s="142"/>
      <c r="D517" s="142"/>
      <c r="E517" s="142"/>
      <c r="F517" s="145"/>
      <c r="G517" s="19"/>
    </row>
    <row r="518" spans="1:7" ht="20.25">
      <c r="A518" s="24"/>
      <c r="B518" s="24"/>
      <c r="C518" s="142"/>
      <c r="D518" s="142"/>
      <c r="E518" s="142"/>
      <c r="F518" s="145"/>
      <c r="G518" s="19"/>
    </row>
    <row r="519" spans="1:7" ht="20.25">
      <c r="A519" s="24"/>
      <c r="B519" s="24"/>
      <c r="C519" s="142"/>
      <c r="D519" s="142"/>
      <c r="E519" s="142"/>
      <c r="F519" s="145"/>
      <c r="G519" s="19"/>
    </row>
    <row r="520" spans="1:7" ht="20.25">
      <c r="A520" s="24"/>
      <c r="B520" s="24"/>
      <c r="C520" s="142"/>
      <c r="D520" s="142"/>
      <c r="E520" s="142"/>
      <c r="F520" s="145"/>
      <c r="G520" s="19"/>
    </row>
    <row r="521" spans="1:7" ht="20.25">
      <c r="A521" s="24"/>
      <c r="B521" s="24"/>
      <c r="C521" s="142"/>
      <c r="D521" s="142"/>
      <c r="E521" s="142"/>
      <c r="F521" s="145"/>
      <c r="G521" s="19"/>
    </row>
    <row r="522" spans="1:7" ht="20.25">
      <c r="A522" s="24"/>
      <c r="B522" s="24"/>
      <c r="C522" s="142"/>
      <c r="D522" s="142"/>
      <c r="E522" s="142"/>
      <c r="F522" s="145"/>
      <c r="G522" s="19"/>
    </row>
    <row r="523" spans="1:7" ht="20.25">
      <c r="A523" s="24"/>
      <c r="B523" s="24"/>
      <c r="C523" s="142"/>
      <c r="D523" s="142"/>
      <c r="E523" s="142"/>
      <c r="F523" s="145"/>
      <c r="G523" s="19"/>
    </row>
    <row r="524" spans="1:7" ht="20.25">
      <c r="A524" s="24"/>
      <c r="B524" s="24"/>
      <c r="C524" s="142"/>
      <c r="D524" s="142"/>
      <c r="E524" s="142"/>
      <c r="F524" s="145"/>
      <c r="G524" s="19"/>
    </row>
    <row r="525" spans="1:7" ht="20.25">
      <c r="A525" s="24"/>
      <c r="B525" s="24"/>
      <c r="C525" s="142"/>
      <c r="D525" s="142"/>
      <c r="E525" s="142"/>
      <c r="F525" s="145"/>
      <c r="G525" s="19"/>
    </row>
    <row r="526" spans="1:7" ht="20.25">
      <c r="A526" s="24"/>
      <c r="B526" s="24"/>
      <c r="C526" s="142"/>
      <c r="D526" s="142"/>
      <c r="E526" s="142"/>
      <c r="F526" s="145"/>
      <c r="G526" s="19"/>
    </row>
    <row r="527" spans="1:7" ht="20.25">
      <c r="A527" s="24"/>
      <c r="B527" s="24"/>
      <c r="C527" s="142"/>
      <c r="D527" s="142"/>
      <c r="E527" s="142"/>
      <c r="F527" s="145"/>
      <c r="G527" s="19"/>
    </row>
    <row r="528" spans="1:7" ht="20.25">
      <c r="A528" s="24"/>
      <c r="B528" s="24"/>
      <c r="C528" s="142"/>
      <c r="D528" s="142"/>
      <c r="E528" s="142"/>
      <c r="F528" s="145"/>
      <c r="G528" s="19"/>
    </row>
    <row r="529" spans="1:7" ht="20.25">
      <c r="A529" s="24"/>
      <c r="B529" s="24"/>
      <c r="C529" s="142"/>
      <c r="D529" s="142"/>
      <c r="E529" s="142"/>
      <c r="F529" s="145"/>
      <c r="G529" s="19"/>
    </row>
    <row r="530" spans="1:7" ht="20.25">
      <c r="A530" s="24"/>
      <c r="B530" s="24"/>
      <c r="C530" s="142"/>
      <c r="D530" s="142"/>
      <c r="E530" s="142"/>
      <c r="F530" s="145"/>
      <c r="G530" s="19"/>
    </row>
    <row r="531" spans="1:7" ht="20.25">
      <c r="A531" s="24"/>
      <c r="B531" s="24"/>
      <c r="C531" s="142"/>
      <c r="D531" s="142"/>
      <c r="E531" s="142"/>
      <c r="F531" s="145"/>
      <c r="G531" s="19"/>
    </row>
    <row r="532" spans="1:7" ht="20.25">
      <c r="A532" s="24"/>
      <c r="B532" s="24"/>
      <c r="C532" s="142"/>
      <c r="D532" s="142"/>
      <c r="E532" s="142"/>
      <c r="F532" s="145"/>
      <c r="G532" s="19"/>
    </row>
    <row r="533" spans="1:7" ht="20.25">
      <c r="A533" s="24"/>
      <c r="B533" s="24"/>
      <c r="C533" s="142"/>
      <c r="D533" s="142"/>
      <c r="E533" s="142"/>
      <c r="F533" s="145"/>
      <c r="G533" s="19"/>
    </row>
    <row r="534" spans="1:7" ht="20.25">
      <c r="A534" s="24"/>
      <c r="B534" s="24"/>
      <c r="C534" s="142"/>
      <c r="D534" s="142"/>
      <c r="E534" s="142"/>
      <c r="F534" s="145"/>
      <c r="G534" s="19"/>
    </row>
    <row r="535" spans="1:7" ht="20.25">
      <c r="A535" s="24"/>
      <c r="B535" s="24"/>
      <c r="C535" s="142"/>
      <c r="D535" s="142"/>
      <c r="E535" s="142"/>
      <c r="F535" s="145"/>
      <c r="G535" s="19"/>
    </row>
    <row r="536" spans="1:7" ht="20.25">
      <c r="A536" s="24"/>
      <c r="B536" s="24"/>
      <c r="C536" s="142"/>
      <c r="D536" s="142"/>
      <c r="E536" s="142"/>
      <c r="F536" s="145"/>
      <c r="G536" s="19"/>
    </row>
    <row r="537" spans="1:7" ht="20.25">
      <c r="A537" s="24"/>
      <c r="B537" s="24"/>
      <c r="C537" s="142"/>
      <c r="D537" s="142"/>
      <c r="E537" s="142"/>
      <c r="F537" s="145"/>
      <c r="G537" s="19"/>
    </row>
    <row r="538" spans="1:7" ht="20.25">
      <c r="A538" s="24"/>
      <c r="B538" s="24"/>
      <c r="C538" s="142"/>
      <c r="D538" s="142"/>
      <c r="E538" s="142"/>
      <c r="F538" s="145"/>
      <c r="G538" s="19"/>
    </row>
    <row r="539" spans="1:7" ht="20.25">
      <c r="A539" s="24"/>
      <c r="B539" s="24"/>
      <c r="C539" s="142"/>
      <c r="D539" s="142"/>
      <c r="E539" s="142"/>
      <c r="F539" s="145"/>
      <c r="G539" s="19"/>
    </row>
    <row r="540" spans="1:7" ht="20.25">
      <c r="A540" s="24"/>
      <c r="B540" s="24"/>
      <c r="C540" s="142"/>
      <c r="D540" s="142"/>
      <c r="E540" s="142"/>
      <c r="F540" s="145"/>
      <c r="G540" s="19"/>
    </row>
    <row r="541" spans="1:7" ht="20.25">
      <c r="A541" s="24"/>
      <c r="B541" s="24"/>
      <c r="C541" s="142"/>
      <c r="D541" s="142"/>
      <c r="E541" s="142"/>
      <c r="F541" s="145"/>
      <c r="G541" s="19"/>
    </row>
    <row r="542" spans="1:7" ht="20.25">
      <c r="A542" s="24"/>
      <c r="B542" s="24"/>
      <c r="C542" s="142"/>
      <c r="D542" s="142"/>
      <c r="E542" s="142"/>
      <c r="F542" s="145"/>
      <c r="G542" s="19"/>
    </row>
    <row r="543" spans="1:7" ht="20.25">
      <c r="A543" s="24"/>
      <c r="B543" s="24"/>
      <c r="C543" s="142"/>
      <c r="D543" s="142"/>
      <c r="E543" s="142"/>
      <c r="F543" s="145"/>
      <c r="G543" s="19"/>
    </row>
    <row r="544" spans="1:7" ht="20.25">
      <c r="A544" s="24"/>
      <c r="B544" s="24"/>
      <c r="C544" s="142"/>
      <c r="D544" s="142"/>
      <c r="E544" s="142"/>
      <c r="F544" s="145"/>
      <c r="G544" s="19"/>
    </row>
    <row r="545" spans="1:7" ht="20.25">
      <c r="A545" s="24"/>
      <c r="B545" s="24"/>
      <c r="C545" s="142"/>
      <c r="D545" s="142"/>
      <c r="E545" s="142"/>
      <c r="F545" s="145"/>
      <c r="G545" s="19"/>
    </row>
    <row r="546" spans="1:7" ht="20.25">
      <c r="A546" s="24"/>
      <c r="B546" s="24"/>
      <c r="C546" s="142"/>
      <c r="D546" s="142"/>
      <c r="E546" s="142"/>
      <c r="F546" s="145"/>
      <c r="G546" s="19"/>
    </row>
    <row r="547" spans="1:7" ht="20.25">
      <c r="A547" s="24"/>
      <c r="B547" s="24"/>
      <c r="C547" s="142"/>
      <c r="D547" s="142"/>
      <c r="E547" s="142"/>
      <c r="F547" s="145"/>
      <c r="G547" s="19"/>
    </row>
    <row r="548" spans="1:7" ht="20.25">
      <c r="A548" s="24"/>
      <c r="B548" s="24"/>
      <c r="C548" s="142"/>
      <c r="D548" s="142"/>
      <c r="E548" s="142"/>
      <c r="F548" s="145"/>
      <c r="G548" s="19"/>
    </row>
    <row r="549" spans="1:7" ht="20.25">
      <c r="A549" s="24"/>
      <c r="B549" s="24"/>
      <c r="C549" s="142"/>
      <c r="D549" s="142"/>
      <c r="E549" s="142"/>
      <c r="F549" s="145"/>
      <c r="G549" s="19"/>
    </row>
    <row r="550" spans="1:7" ht="20.25">
      <c r="A550" s="24"/>
      <c r="B550" s="24"/>
      <c r="C550" s="142"/>
      <c r="D550" s="142"/>
      <c r="E550" s="142"/>
      <c r="F550" s="145"/>
      <c r="G550" s="19"/>
    </row>
    <row r="551" spans="1:7" ht="20.25">
      <c r="A551" s="24"/>
      <c r="B551" s="24"/>
      <c r="C551" s="142"/>
      <c r="D551" s="142"/>
      <c r="E551" s="142"/>
      <c r="F551" s="145"/>
      <c r="G551" s="19"/>
    </row>
    <row r="552" spans="1:7" ht="20.25">
      <c r="A552" s="24"/>
      <c r="B552" s="24"/>
      <c r="C552" s="142"/>
      <c r="D552" s="142"/>
      <c r="E552" s="142"/>
      <c r="F552" s="145"/>
      <c r="G552" s="19"/>
    </row>
    <row r="553" spans="1:7" ht="20.25">
      <c r="A553" s="24"/>
      <c r="B553" s="24"/>
      <c r="C553" s="142"/>
      <c r="D553" s="142"/>
      <c r="E553" s="142"/>
      <c r="F553" s="145"/>
      <c r="G553" s="19"/>
    </row>
    <row r="554" spans="1:7" ht="20.25">
      <c r="A554" s="24"/>
      <c r="B554" s="24"/>
      <c r="C554" s="142"/>
      <c r="D554" s="142"/>
      <c r="E554" s="142"/>
      <c r="F554" s="145"/>
      <c r="G554" s="19"/>
    </row>
    <row r="555" spans="1:7" ht="20.25">
      <c r="A555" s="24"/>
      <c r="B555" s="24"/>
      <c r="C555" s="142"/>
      <c r="D555" s="142"/>
      <c r="E555" s="142"/>
      <c r="F555" s="145"/>
      <c r="G555" s="19"/>
    </row>
    <row r="556" spans="1:7" ht="20.25">
      <c r="A556" s="24"/>
      <c r="B556" s="24"/>
      <c r="C556" s="142"/>
      <c r="D556" s="142"/>
      <c r="E556" s="142"/>
      <c r="F556" s="145"/>
      <c r="G556" s="19"/>
    </row>
    <row r="557" spans="1:7" ht="20.25">
      <c r="A557" s="24"/>
      <c r="B557" s="24"/>
      <c r="C557" s="142"/>
      <c r="D557" s="142"/>
      <c r="E557" s="142"/>
      <c r="F557" s="145"/>
      <c r="G557" s="19"/>
    </row>
    <row r="558" spans="1:7" ht="20.25">
      <c r="A558" s="24"/>
      <c r="B558" s="24"/>
      <c r="C558" s="142"/>
      <c r="D558" s="142"/>
      <c r="E558" s="142"/>
      <c r="F558" s="145"/>
      <c r="G558" s="19"/>
    </row>
    <row r="559" spans="1:7" ht="20.25">
      <c r="A559" s="24"/>
      <c r="B559" s="24"/>
      <c r="C559" s="142"/>
      <c r="D559" s="142"/>
      <c r="E559" s="142"/>
      <c r="F559" s="145"/>
      <c r="G559" s="19"/>
    </row>
    <row r="560" spans="1:7" ht="20.25">
      <c r="A560" s="24"/>
      <c r="B560" s="24"/>
      <c r="C560" s="142"/>
      <c r="D560" s="142"/>
      <c r="E560" s="142"/>
      <c r="F560" s="145"/>
      <c r="G560" s="19"/>
    </row>
    <row r="561" spans="1:7" ht="20.25">
      <c r="A561" s="24"/>
      <c r="B561" s="24"/>
      <c r="C561" s="142"/>
      <c r="D561" s="142"/>
      <c r="E561" s="142"/>
      <c r="F561" s="145"/>
      <c r="G561" s="19"/>
    </row>
    <row r="562" spans="1:7" ht="20.25">
      <c r="A562" s="24"/>
      <c r="B562" s="24"/>
      <c r="C562" s="142"/>
      <c r="D562" s="142"/>
      <c r="E562" s="142"/>
      <c r="F562" s="145"/>
      <c r="G562" s="19"/>
    </row>
    <row r="563" spans="1:7" ht="20.25">
      <c r="A563" s="24"/>
      <c r="B563" s="24"/>
      <c r="C563" s="142"/>
      <c r="D563" s="142"/>
      <c r="E563" s="142"/>
      <c r="F563" s="145"/>
      <c r="G563" s="19"/>
    </row>
    <row r="564" spans="1:7" ht="20.25">
      <c r="A564" s="24"/>
      <c r="B564" s="24"/>
      <c r="C564" s="142"/>
      <c r="D564" s="142"/>
      <c r="E564" s="142"/>
      <c r="F564" s="145"/>
      <c r="G564" s="19"/>
    </row>
    <row r="565" spans="1:7" ht="20.25">
      <c r="A565" s="24"/>
      <c r="B565" s="24"/>
      <c r="C565" s="142"/>
      <c r="D565" s="142"/>
      <c r="E565" s="142"/>
      <c r="F565" s="145"/>
      <c r="G565" s="19"/>
    </row>
    <row r="566" spans="1:7" ht="20.25">
      <c r="A566" s="24"/>
      <c r="B566" s="24"/>
      <c r="C566" s="142"/>
      <c r="D566" s="142"/>
      <c r="E566" s="142"/>
      <c r="F566" s="145"/>
      <c r="G566" s="19"/>
    </row>
    <row r="567" spans="1:7" ht="20.25">
      <c r="A567" s="24"/>
      <c r="B567" s="24"/>
      <c r="C567" s="142"/>
      <c r="D567" s="142"/>
      <c r="E567" s="142"/>
      <c r="F567" s="145"/>
      <c r="G567" s="19"/>
    </row>
    <row r="568" spans="1:7" ht="20.25">
      <c r="A568" s="24"/>
      <c r="B568" s="24"/>
      <c r="C568" s="142"/>
      <c r="D568" s="142"/>
      <c r="E568" s="142"/>
      <c r="F568" s="145"/>
      <c r="G568" s="19"/>
    </row>
    <row r="569" spans="1:7" ht="20.25">
      <c r="A569" s="24"/>
      <c r="B569" s="24"/>
      <c r="C569" s="142"/>
      <c r="D569" s="142"/>
      <c r="E569" s="142"/>
      <c r="F569" s="145"/>
      <c r="G569" s="19"/>
    </row>
    <row r="570" spans="1:7" ht="20.25">
      <c r="A570" s="24"/>
      <c r="B570" s="24"/>
      <c r="C570" s="142"/>
      <c r="D570" s="142"/>
      <c r="E570" s="142"/>
      <c r="F570" s="145"/>
      <c r="G570" s="19"/>
    </row>
    <row r="571" spans="1:7" ht="20.25">
      <c r="A571" s="24"/>
      <c r="B571" s="24"/>
      <c r="C571" s="142"/>
      <c r="D571" s="142"/>
      <c r="E571" s="142"/>
      <c r="F571" s="145"/>
      <c r="G571" s="19"/>
    </row>
    <row r="572" spans="1:7" ht="20.25">
      <c r="A572" s="24"/>
      <c r="B572" s="24"/>
      <c r="C572" s="142"/>
      <c r="D572" s="142"/>
      <c r="E572" s="142"/>
      <c r="F572" s="145"/>
      <c r="G572" s="19"/>
    </row>
    <row r="573" spans="1:7" ht="20.25">
      <c r="A573" s="24"/>
      <c r="B573" s="24"/>
      <c r="C573" s="142"/>
      <c r="D573" s="142"/>
      <c r="E573" s="142"/>
      <c r="F573" s="145"/>
      <c r="G573" s="19"/>
    </row>
    <row r="574" spans="1:7" ht="20.25">
      <c r="A574" s="24"/>
      <c r="B574" s="24"/>
      <c r="C574" s="142"/>
      <c r="D574" s="142"/>
      <c r="E574" s="142"/>
      <c r="F574" s="145"/>
      <c r="G574" s="19"/>
    </row>
    <row r="575" spans="1:7" ht="20.25">
      <c r="A575" s="24"/>
      <c r="B575" s="24"/>
      <c r="C575" s="142"/>
      <c r="D575" s="142"/>
      <c r="E575" s="142"/>
      <c r="F575" s="145"/>
      <c r="G575" s="19"/>
    </row>
    <row r="576" spans="1:7" ht="20.25">
      <c r="A576" s="24"/>
      <c r="B576" s="24"/>
      <c r="C576" s="142"/>
      <c r="D576" s="142"/>
      <c r="E576" s="142"/>
      <c r="F576" s="145"/>
      <c r="G576" s="19"/>
    </row>
    <row r="577" spans="1:7" ht="20.25">
      <c r="A577" s="24"/>
      <c r="B577" s="24"/>
      <c r="C577" s="142"/>
      <c r="D577" s="142"/>
      <c r="E577" s="142"/>
      <c r="F577" s="145"/>
      <c r="G577" s="19"/>
    </row>
    <row r="578" spans="1:7" ht="20.25">
      <c r="A578" s="24"/>
      <c r="B578" s="24"/>
      <c r="C578" s="142"/>
      <c r="D578" s="142"/>
      <c r="E578" s="142"/>
      <c r="F578" s="145"/>
      <c r="G578" s="19"/>
    </row>
    <row r="579" spans="1:7" ht="20.25">
      <c r="A579" s="24"/>
      <c r="B579" s="24"/>
      <c r="C579" s="142"/>
      <c r="D579" s="142"/>
      <c r="E579" s="142"/>
      <c r="F579" s="145"/>
      <c r="G579" s="19"/>
    </row>
    <row r="580" spans="1:7" ht="20.25">
      <c r="A580" s="24"/>
      <c r="B580" s="24"/>
      <c r="C580" s="142"/>
      <c r="D580" s="142"/>
      <c r="E580" s="142"/>
      <c r="F580" s="145"/>
      <c r="G580" s="19"/>
    </row>
    <row r="581" spans="1:7" ht="20.25">
      <c r="A581" s="24"/>
      <c r="B581" s="24"/>
      <c r="C581" s="142"/>
      <c r="D581" s="142"/>
      <c r="E581" s="142"/>
      <c r="F581" s="145"/>
      <c r="G581" s="19"/>
    </row>
    <row r="582" spans="1:7" ht="20.25">
      <c r="A582" s="24"/>
      <c r="B582" s="24"/>
      <c r="C582" s="142"/>
      <c r="D582" s="142"/>
      <c r="E582" s="142"/>
      <c r="F582" s="145"/>
      <c r="G582" s="19"/>
    </row>
    <row r="583" spans="1:7" ht="20.25">
      <c r="A583" s="24"/>
      <c r="B583" s="24"/>
      <c r="C583" s="142"/>
      <c r="D583" s="142"/>
      <c r="E583" s="142"/>
      <c r="F583" s="145"/>
      <c r="G583" s="19"/>
    </row>
    <row r="584" spans="1:7" ht="20.25">
      <c r="A584" s="24"/>
      <c r="B584" s="24"/>
      <c r="C584" s="142"/>
      <c r="D584" s="142"/>
      <c r="E584" s="142"/>
      <c r="F584" s="145"/>
      <c r="G584" s="19"/>
    </row>
    <row r="585" spans="1:7" ht="20.25">
      <c r="A585" s="24"/>
      <c r="B585" s="24"/>
      <c r="C585" s="142"/>
      <c r="D585" s="142"/>
      <c r="E585" s="142"/>
      <c r="F585" s="145"/>
      <c r="G585" s="19"/>
    </row>
    <row r="586" spans="1:7" ht="20.25">
      <c r="A586" s="24"/>
      <c r="B586" s="24"/>
      <c r="C586" s="142"/>
      <c r="D586" s="142"/>
      <c r="E586" s="142"/>
      <c r="F586" s="145"/>
      <c r="G586" s="19"/>
    </row>
    <row r="587" spans="1:7" ht="20.25">
      <c r="A587" s="24"/>
      <c r="B587" s="24"/>
      <c r="C587" s="142"/>
      <c r="D587" s="142"/>
      <c r="E587" s="142"/>
      <c r="F587" s="145"/>
      <c r="G587" s="19"/>
    </row>
    <row r="588" spans="1:7" ht="20.25">
      <c r="A588" s="24"/>
      <c r="B588" s="24"/>
      <c r="C588" s="142"/>
      <c r="D588" s="142"/>
      <c r="E588" s="142"/>
      <c r="F588" s="145"/>
      <c r="G588" s="19"/>
    </row>
    <row r="589" spans="1:7" ht="20.25">
      <c r="A589" s="24"/>
      <c r="B589" s="24"/>
      <c r="C589" s="142"/>
      <c r="D589" s="142"/>
      <c r="E589" s="142"/>
      <c r="F589" s="145"/>
      <c r="G589" s="19"/>
    </row>
    <row r="590" spans="1:7" ht="20.25">
      <c r="A590" s="24"/>
      <c r="B590" s="24"/>
      <c r="C590" s="142"/>
      <c r="D590" s="142"/>
      <c r="E590" s="142"/>
      <c r="F590" s="145"/>
      <c r="G590" s="19"/>
    </row>
    <row r="591" spans="1:7" ht="20.25">
      <c r="A591" s="24"/>
      <c r="B591" s="24"/>
      <c r="C591" s="142"/>
      <c r="D591" s="142"/>
      <c r="E591" s="142"/>
      <c r="F591" s="145"/>
      <c r="G591" s="19"/>
    </row>
    <row r="592" spans="1:7" ht="20.25">
      <c r="A592" s="24"/>
      <c r="B592" s="24"/>
      <c r="C592" s="142"/>
      <c r="D592" s="142"/>
      <c r="E592" s="142"/>
      <c r="F592" s="145"/>
      <c r="G592" s="19"/>
    </row>
    <row r="593" spans="1:7" ht="20.25">
      <c r="A593" s="24"/>
      <c r="B593" s="24"/>
      <c r="C593" s="142"/>
      <c r="D593" s="142"/>
      <c r="E593" s="142"/>
      <c r="F593" s="145"/>
      <c r="G593" s="19"/>
    </row>
    <row r="594" spans="1:7" ht="20.25">
      <c r="A594" s="24"/>
      <c r="B594" s="24"/>
      <c r="C594" s="142"/>
      <c r="D594" s="142"/>
      <c r="E594" s="142"/>
      <c r="F594" s="145"/>
      <c r="G594" s="19"/>
    </row>
    <row r="595" spans="1:7" ht="20.25">
      <c r="A595" s="24"/>
      <c r="B595" s="24"/>
      <c r="C595" s="142"/>
      <c r="D595" s="142"/>
      <c r="E595" s="142"/>
      <c r="F595" s="145"/>
      <c r="G595" s="19"/>
    </row>
    <row r="596" spans="1:7" ht="20.25">
      <c r="A596" s="24"/>
      <c r="B596" s="24"/>
      <c r="C596" s="142"/>
      <c r="D596" s="142"/>
      <c r="E596" s="142"/>
      <c r="F596" s="145"/>
      <c r="G596" s="19"/>
    </row>
    <row r="597" spans="1:7" ht="20.25">
      <c r="A597" s="24"/>
      <c r="B597" s="24"/>
      <c r="C597" s="142"/>
      <c r="D597" s="142"/>
      <c r="E597" s="142"/>
      <c r="F597" s="145"/>
      <c r="G597" s="19"/>
    </row>
    <row r="598" spans="1:7" ht="20.25">
      <c r="A598" s="24"/>
      <c r="B598" s="24"/>
      <c r="C598" s="142"/>
      <c r="D598" s="142"/>
      <c r="E598" s="142"/>
      <c r="F598" s="145"/>
      <c r="G598" s="19"/>
    </row>
    <row r="599" spans="1:7" ht="20.25">
      <c r="A599" s="24"/>
      <c r="B599" s="24"/>
      <c r="C599" s="142"/>
      <c r="D599" s="142"/>
      <c r="E599" s="142"/>
      <c r="F599" s="145"/>
      <c r="G599" s="19"/>
    </row>
    <row r="600" spans="1:7" ht="20.25">
      <c r="A600" s="24"/>
      <c r="B600" s="24"/>
      <c r="C600" s="142"/>
      <c r="D600" s="142"/>
      <c r="E600" s="142"/>
      <c r="F600" s="145"/>
      <c r="G600" s="19"/>
    </row>
    <row r="601" spans="1:7" ht="20.25">
      <c r="A601" s="24"/>
      <c r="B601" s="24"/>
      <c r="C601" s="142"/>
      <c r="D601" s="142"/>
      <c r="E601" s="142"/>
      <c r="F601" s="145"/>
      <c r="G601" s="19"/>
    </row>
    <row r="602" spans="1:7" ht="20.25">
      <c r="A602" s="24"/>
      <c r="B602" s="24"/>
      <c r="C602" s="142"/>
      <c r="D602" s="142"/>
      <c r="E602" s="142"/>
      <c r="F602" s="145"/>
      <c r="G602" s="19"/>
    </row>
    <row r="603" spans="1:7" ht="20.25">
      <c r="A603" s="24"/>
      <c r="B603" s="24"/>
      <c r="C603" s="142"/>
      <c r="D603" s="142"/>
      <c r="E603" s="142"/>
      <c r="F603" s="145"/>
      <c r="G603" s="19"/>
    </row>
    <row r="604" spans="1:7" ht="20.25">
      <c r="A604" s="24"/>
      <c r="B604" s="24"/>
      <c r="C604" s="142"/>
      <c r="D604" s="142"/>
      <c r="E604" s="142"/>
      <c r="F604" s="145"/>
      <c r="G604" s="19"/>
    </row>
    <row r="605" spans="1:7" ht="20.25">
      <c r="A605" s="24"/>
      <c r="B605" s="24"/>
      <c r="C605" s="142"/>
      <c r="D605" s="142"/>
      <c r="E605" s="142"/>
      <c r="F605" s="145"/>
      <c r="G605" s="19"/>
    </row>
    <row r="606" spans="1:7" ht="20.25">
      <c r="A606" s="24"/>
      <c r="B606" s="24"/>
      <c r="C606" s="142"/>
      <c r="D606" s="142"/>
      <c r="E606" s="142"/>
      <c r="F606" s="145"/>
      <c r="G606" s="19"/>
    </row>
    <row r="607" spans="1:7" ht="20.25">
      <c r="A607" s="24"/>
      <c r="B607" s="24"/>
      <c r="C607" s="142"/>
      <c r="D607" s="142"/>
      <c r="E607" s="142"/>
      <c r="F607" s="145"/>
      <c r="G607" s="19"/>
    </row>
    <row r="608" spans="1:7" ht="20.25">
      <c r="A608" s="24"/>
      <c r="B608" s="24"/>
      <c r="C608" s="142"/>
      <c r="D608" s="142"/>
      <c r="E608" s="142"/>
      <c r="F608" s="145"/>
      <c r="G608" s="19"/>
    </row>
    <row r="609" spans="1:7" ht="20.25">
      <c r="A609" s="24"/>
      <c r="B609" s="24"/>
      <c r="C609" s="142"/>
      <c r="D609" s="142"/>
      <c r="E609" s="142"/>
      <c r="F609" s="145"/>
      <c r="G609" s="19"/>
    </row>
    <row r="610" spans="1:7" ht="20.25">
      <c r="A610" s="24"/>
      <c r="B610" s="24"/>
      <c r="C610" s="142"/>
      <c r="D610" s="142"/>
      <c r="E610" s="142"/>
      <c r="F610" s="145"/>
      <c r="G610" s="19"/>
    </row>
    <row r="611" spans="1:7" ht="20.25">
      <c r="A611" s="24"/>
      <c r="B611" s="24"/>
      <c r="C611" s="142"/>
      <c r="D611" s="142"/>
      <c r="E611" s="142"/>
      <c r="F611" s="145"/>
      <c r="G611" s="19"/>
    </row>
    <row r="612" spans="1:7" ht="20.25">
      <c r="A612" s="24"/>
      <c r="B612" s="24"/>
      <c r="C612" s="142"/>
      <c r="D612" s="142"/>
      <c r="E612" s="142"/>
      <c r="F612" s="145"/>
      <c r="G612" s="19"/>
    </row>
    <row r="613" spans="1:7" ht="20.25">
      <c r="A613" s="24"/>
      <c r="B613" s="24"/>
      <c r="C613" s="142"/>
      <c r="D613" s="142"/>
      <c r="E613" s="142"/>
      <c r="F613" s="145"/>
      <c r="G613" s="19"/>
    </row>
    <row r="614" spans="1:7" ht="20.25">
      <c r="A614" s="24"/>
      <c r="B614" s="24"/>
      <c r="C614" s="142"/>
      <c r="D614" s="142"/>
      <c r="E614" s="142"/>
      <c r="F614" s="145"/>
      <c r="G614" s="19"/>
    </row>
    <row r="615" spans="1:7" ht="20.25">
      <c r="A615" s="24"/>
      <c r="B615" s="24"/>
      <c r="C615" s="142"/>
      <c r="D615" s="142"/>
      <c r="E615" s="142"/>
      <c r="F615" s="145"/>
      <c r="G615" s="19"/>
    </row>
    <row r="616" spans="1:7" ht="20.25">
      <c r="A616" s="24"/>
      <c r="B616" s="24"/>
      <c r="C616" s="142"/>
      <c r="D616" s="142"/>
      <c r="E616" s="142"/>
      <c r="F616" s="145"/>
      <c r="G616" s="19"/>
    </row>
    <row r="617" spans="1:7" ht="20.25">
      <c r="A617" s="24"/>
      <c r="B617" s="24"/>
      <c r="C617" s="142"/>
      <c r="D617" s="142"/>
      <c r="E617" s="142"/>
      <c r="F617" s="145"/>
      <c r="G617" s="19"/>
    </row>
    <row r="618" spans="1:7" ht="20.25">
      <c r="A618" s="24"/>
      <c r="B618" s="24"/>
      <c r="C618" s="142"/>
      <c r="D618" s="142"/>
      <c r="E618" s="142"/>
      <c r="F618" s="145"/>
      <c r="G618" s="19"/>
    </row>
    <row r="619" spans="1:7" ht="20.25">
      <c r="A619" s="24"/>
      <c r="B619" s="24"/>
      <c r="C619" s="142"/>
      <c r="D619" s="142"/>
      <c r="E619" s="142"/>
      <c r="F619" s="145"/>
      <c r="G619" s="19"/>
    </row>
    <row r="620" spans="1:7" ht="20.25">
      <c r="A620" s="24"/>
      <c r="B620" s="24"/>
      <c r="C620" s="142"/>
      <c r="D620" s="142"/>
      <c r="E620" s="142"/>
      <c r="F620" s="145"/>
      <c r="G620" s="19"/>
    </row>
    <row r="621" spans="1:7" ht="20.25">
      <c r="A621" s="24"/>
      <c r="B621" s="24"/>
      <c r="C621" s="142"/>
      <c r="D621" s="142"/>
      <c r="E621" s="142"/>
      <c r="F621" s="145"/>
      <c r="G621" s="19"/>
    </row>
    <row r="622" spans="1:7" ht="20.25">
      <c r="A622" s="24"/>
      <c r="B622" s="24"/>
      <c r="C622" s="142"/>
      <c r="D622" s="142"/>
      <c r="E622" s="142"/>
      <c r="F622" s="145"/>
      <c r="G622" s="19"/>
    </row>
    <row r="623" spans="1:7" ht="20.25">
      <c r="A623" s="24"/>
      <c r="B623" s="24"/>
      <c r="C623" s="142"/>
      <c r="D623" s="142"/>
      <c r="E623" s="142"/>
      <c r="F623" s="145"/>
      <c r="G623" s="19"/>
    </row>
    <row r="624" spans="1:7" ht="20.25">
      <c r="A624" s="24"/>
      <c r="B624" s="24"/>
      <c r="C624" s="142"/>
      <c r="D624" s="142"/>
      <c r="E624" s="142"/>
      <c r="F624" s="145"/>
      <c r="G624" s="19"/>
    </row>
    <row r="625" spans="1:7" ht="20.25">
      <c r="A625" s="24"/>
      <c r="B625" s="24"/>
      <c r="C625" s="142"/>
      <c r="D625" s="142"/>
      <c r="E625" s="142"/>
      <c r="F625" s="145"/>
      <c r="G625" s="19"/>
    </row>
    <row r="626" spans="1:7" ht="20.25">
      <c r="A626" s="24"/>
      <c r="B626" s="24"/>
      <c r="C626" s="142"/>
      <c r="D626" s="142"/>
      <c r="E626" s="142"/>
      <c r="F626" s="145"/>
      <c r="G626" s="19"/>
    </row>
    <row r="627" spans="1:7" ht="20.25">
      <c r="A627" s="24"/>
      <c r="B627" s="24"/>
      <c r="C627" s="142"/>
      <c r="D627" s="142"/>
      <c r="E627" s="142"/>
      <c r="F627" s="145"/>
      <c r="G627" s="19"/>
    </row>
    <row r="628" spans="1:7" ht="20.25">
      <c r="A628" s="24"/>
      <c r="B628" s="24"/>
      <c r="C628" s="142"/>
      <c r="D628" s="142"/>
      <c r="E628" s="142"/>
      <c r="F628" s="145"/>
      <c r="G628" s="19"/>
    </row>
    <row r="629" spans="1:7" ht="20.25">
      <c r="A629" s="24"/>
      <c r="B629" s="24"/>
      <c r="C629" s="142"/>
      <c r="D629" s="142"/>
      <c r="E629" s="142"/>
      <c r="F629" s="145"/>
      <c r="G629" s="19"/>
    </row>
    <row r="630" spans="1:7" ht="20.25">
      <c r="A630" s="24"/>
      <c r="B630" s="24"/>
      <c r="C630" s="142"/>
      <c r="D630" s="142"/>
      <c r="E630" s="142"/>
      <c r="F630" s="145"/>
      <c r="G630" s="19"/>
    </row>
    <row r="631" spans="1:7" ht="20.25">
      <c r="A631" s="24"/>
      <c r="B631" s="24"/>
      <c r="C631" s="142"/>
      <c r="D631" s="142"/>
      <c r="E631" s="142"/>
      <c r="F631" s="145"/>
      <c r="G631" s="19"/>
    </row>
    <row r="632" spans="1:7" ht="20.25">
      <c r="A632" s="24"/>
      <c r="B632" s="24"/>
      <c r="C632" s="142"/>
      <c r="D632" s="142"/>
      <c r="E632" s="142"/>
      <c r="F632" s="145"/>
      <c r="G632" s="19"/>
    </row>
    <row r="633" spans="1:7" ht="20.25">
      <c r="A633" s="24"/>
      <c r="B633" s="24"/>
      <c r="C633" s="142"/>
      <c r="D633" s="142"/>
      <c r="E633" s="142"/>
      <c r="F633" s="145"/>
      <c r="G633" s="19"/>
    </row>
    <row r="634" spans="1:7" ht="20.25">
      <c r="A634" s="24"/>
      <c r="B634" s="24"/>
      <c r="C634" s="142"/>
      <c r="D634" s="142"/>
      <c r="E634" s="142"/>
      <c r="F634" s="145"/>
      <c r="G634" s="19"/>
    </row>
    <row r="635" spans="1:7" ht="20.25">
      <c r="A635" s="24"/>
      <c r="B635" s="24"/>
      <c r="C635" s="142"/>
      <c r="D635" s="142"/>
      <c r="E635" s="142"/>
      <c r="F635" s="145"/>
      <c r="G635" s="19"/>
    </row>
    <row r="636" spans="1:7" ht="20.25">
      <c r="A636" s="24"/>
      <c r="B636" s="24"/>
      <c r="C636" s="142"/>
      <c r="D636" s="142"/>
      <c r="E636" s="142"/>
      <c r="F636" s="145"/>
      <c r="G636" s="19"/>
    </row>
    <row r="637" spans="1:7" ht="20.25">
      <c r="A637" s="24"/>
      <c r="B637" s="24"/>
      <c r="C637" s="142"/>
      <c r="D637" s="142"/>
      <c r="E637" s="142"/>
      <c r="F637" s="145"/>
      <c r="G637" s="19"/>
    </row>
    <row r="638" spans="1:7" ht="20.25">
      <c r="A638" s="24"/>
      <c r="B638" s="24"/>
      <c r="C638" s="142"/>
      <c r="D638" s="142"/>
      <c r="E638" s="142"/>
      <c r="F638" s="145"/>
      <c r="G638" s="19"/>
    </row>
    <row r="639" spans="1:7" ht="20.25">
      <c r="A639" s="24"/>
      <c r="B639" s="24"/>
      <c r="C639" s="142"/>
      <c r="D639" s="142"/>
      <c r="E639" s="142"/>
      <c r="F639" s="145"/>
      <c r="G639" s="19"/>
    </row>
    <row r="640" spans="1:7" ht="20.25">
      <c r="A640" s="24"/>
      <c r="B640" s="24"/>
      <c r="C640" s="142"/>
      <c r="D640" s="142"/>
      <c r="E640" s="142"/>
      <c r="F640" s="145"/>
      <c r="G640" s="19"/>
    </row>
    <row r="641" spans="1:7" ht="20.25">
      <c r="A641" s="24"/>
      <c r="B641" s="24"/>
      <c r="C641" s="142"/>
      <c r="D641" s="142"/>
      <c r="E641" s="142"/>
      <c r="F641" s="145"/>
      <c r="G641" s="19"/>
    </row>
    <row r="642" spans="1:7" ht="20.25">
      <c r="A642" s="24"/>
      <c r="B642" s="24"/>
      <c r="C642" s="142"/>
      <c r="D642" s="142"/>
      <c r="E642" s="142"/>
      <c r="F642" s="145"/>
      <c r="G642" s="19"/>
    </row>
    <row r="643" spans="1:7" ht="20.25">
      <c r="A643" s="24"/>
      <c r="B643" s="24"/>
      <c r="C643" s="142"/>
      <c r="D643" s="142"/>
      <c r="E643" s="142"/>
      <c r="F643" s="145"/>
      <c r="G643" s="19"/>
    </row>
    <row r="644" spans="1:7" ht="20.25">
      <c r="A644" s="24"/>
      <c r="B644" s="24"/>
      <c r="C644" s="142"/>
      <c r="D644" s="142"/>
      <c r="E644" s="142"/>
      <c r="F644" s="145"/>
      <c r="G644" s="19"/>
    </row>
    <row r="645" spans="1:7" ht="20.25">
      <c r="A645" s="24"/>
      <c r="B645" s="24"/>
      <c r="C645" s="142"/>
      <c r="D645" s="142"/>
      <c r="E645" s="142"/>
      <c r="F645" s="145"/>
      <c r="G645" s="19"/>
    </row>
    <row r="646" spans="1:7" ht="20.25">
      <c r="A646" s="24"/>
      <c r="B646" s="24"/>
      <c r="C646" s="142"/>
      <c r="D646" s="142"/>
      <c r="E646" s="142"/>
      <c r="F646" s="145"/>
      <c r="G646" s="19"/>
    </row>
    <row r="647" spans="1:7" ht="20.25">
      <c r="A647" s="24"/>
      <c r="B647" s="24"/>
      <c r="C647" s="142"/>
      <c r="D647" s="142"/>
      <c r="E647" s="142"/>
      <c r="F647" s="145"/>
      <c r="G647" s="19"/>
    </row>
    <row r="648" spans="1:7" ht="20.25">
      <c r="A648" s="24"/>
      <c r="B648" s="24"/>
      <c r="C648" s="142"/>
      <c r="D648" s="142"/>
      <c r="E648" s="142"/>
      <c r="F648" s="145"/>
      <c r="G648" s="19"/>
    </row>
    <row r="649" spans="1:7" ht="20.25">
      <c r="A649" s="24"/>
      <c r="B649" s="24"/>
      <c r="C649" s="142"/>
      <c r="D649" s="142"/>
      <c r="E649" s="142"/>
      <c r="F649" s="145"/>
      <c r="G649" s="19"/>
    </row>
    <row r="650" spans="1:7" ht="20.25">
      <c r="A650" s="24"/>
      <c r="B650" s="24"/>
      <c r="C650" s="142"/>
      <c r="D650" s="142"/>
      <c r="E650" s="142"/>
      <c r="F650" s="145"/>
      <c r="G650" s="19"/>
    </row>
    <row r="651" spans="1:7" ht="20.25">
      <c r="A651" s="24"/>
      <c r="B651" s="24"/>
      <c r="C651" s="142"/>
      <c r="D651" s="142"/>
      <c r="E651" s="142"/>
      <c r="F651" s="145"/>
      <c r="G651" s="19"/>
    </row>
    <row r="652" spans="1:7" ht="20.25">
      <c r="A652" s="24"/>
      <c r="B652" s="24"/>
      <c r="C652" s="142"/>
      <c r="D652" s="142"/>
      <c r="E652" s="142"/>
      <c r="F652" s="145"/>
      <c r="G652" s="19"/>
    </row>
    <row r="653" spans="1:7" ht="20.25">
      <c r="A653" s="24"/>
      <c r="B653" s="24"/>
      <c r="C653" s="142"/>
      <c r="D653" s="142"/>
      <c r="E653" s="142"/>
      <c r="F653" s="145"/>
      <c r="G653" s="19"/>
    </row>
    <row r="654" spans="1:7" ht="20.25">
      <c r="A654" s="24"/>
      <c r="B654" s="24"/>
      <c r="C654" s="142"/>
      <c r="D654" s="142"/>
      <c r="E654" s="142"/>
      <c r="F654" s="145"/>
      <c r="G654" s="19"/>
    </row>
    <row r="655" spans="1:7" ht="20.25">
      <c r="A655" s="24"/>
      <c r="B655" s="24"/>
      <c r="C655" s="142"/>
      <c r="D655" s="142"/>
      <c r="E655" s="142"/>
      <c r="F655" s="145"/>
      <c r="G655" s="19"/>
    </row>
    <row r="656" spans="1:7" ht="20.25">
      <c r="A656" s="24"/>
      <c r="B656" s="24"/>
      <c r="C656" s="142"/>
      <c r="D656" s="142"/>
      <c r="E656" s="142"/>
      <c r="F656" s="145"/>
      <c r="G656" s="19"/>
    </row>
    <row r="657" spans="1:7" ht="20.25">
      <c r="A657" s="24"/>
      <c r="B657" s="24"/>
      <c r="C657" s="142"/>
      <c r="D657" s="142"/>
      <c r="E657" s="142"/>
      <c r="F657" s="145"/>
      <c r="G657" s="19"/>
    </row>
    <row r="658" spans="1:7" ht="20.25">
      <c r="A658" s="24"/>
      <c r="B658" s="24"/>
      <c r="C658" s="142"/>
      <c r="D658" s="142"/>
      <c r="E658" s="142"/>
      <c r="F658" s="145"/>
      <c r="G658" s="19"/>
    </row>
    <row r="659" spans="1:7" ht="20.25">
      <c r="A659" s="24"/>
      <c r="B659" s="24"/>
      <c r="C659" s="142"/>
      <c r="D659" s="142"/>
      <c r="E659" s="142"/>
      <c r="F659" s="145"/>
      <c r="G659" s="19"/>
    </row>
    <row r="660" spans="1:7" ht="20.25">
      <c r="A660" s="24"/>
      <c r="B660" s="24"/>
      <c r="C660" s="142"/>
      <c r="D660" s="142"/>
      <c r="E660" s="142"/>
      <c r="F660" s="145"/>
      <c r="G660" s="19"/>
    </row>
    <row r="661" spans="1:7" ht="20.25">
      <c r="A661" s="24"/>
      <c r="B661" s="24"/>
      <c r="C661" s="142"/>
      <c r="D661" s="142"/>
      <c r="E661" s="142"/>
      <c r="F661" s="145"/>
      <c r="G661" s="19"/>
    </row>
    <row r="662" spans="1:7" ht="20.25">
      <c r="A662" s="24"/>
      <c r="B662" s="24"/>
      <c r="C662" s="142"/>
      <c r="D662" s="142"/>
      <c r="E662" s="142"/>
      <c r="F662" s="145"/>
      <c r="G662" s="19"/>
    </row>
    <row r="663" spans="1:7" ht="20.25">
      <c r="A663" s="24"/>
      <c r="B663" s="24"/>
      <c r="C663" s="142"/>
      <c r="D663" s="142"/>
      <c r="E663" s="142"/>
      <c r="F663" s="145"/>
      <c r="G663" s="19"/>
    </row>
    <row r="664" spans="1:7" ht="20.25">
      <c r="A664" s="24"/>
      <c r="B664" s="24"/>
      <c r="C664" s="142"/>
      <c r="D664" s="142"/>
      <c r="E664" s="142"/>
      <c r="F664" s="145"/>
      <c r="G664" s="19"/>
    </row>
    <row r="665" spans="1:7" ht="20.25">
      <c r="A665" s="24"/>
      <c r="B665" s="24"/>
      <c r="C665" s="142"/>
      <c r="D665" s="142"/>
      <c r="E665" s="142"/>
      <c r="F665" s="145"/>
      <c r="G665" s="19"/>
    </row>
    <row r="666" spans="1:7" ht="20.25">
      <c r="A666" s="24"/>
      <c r="B666" s="24"/>
      <c r="C666" s="142"/>
      <c r="D666" s="142"/>
      <c r="E666" s="142"/>
      <c r="F666" s="145"/>
      <c r="G666" s="19"/>
    </row>
    <row r="667" spans="1:7" ht="20.25">
      <c r="A667" s="24"/>
      <c r="B667" s="24"/>
      <c r="C667" s="142"/>
      <c r="D667" s="142"/>
      <c r="E667" s="142"/>
      <c r="F667" s="145"/>
      <c r="G667" s="19"/>
    </row>
    <row r="668" spans="1:7" ht="20.25">
      <c r="A668" s="24"/>
      <c r="B668" s="24"/>
      <c r="C668" s="142"/>
      <c r="D668" s="142"/>
      <c r="E668" s="142"/>
      <c r="F668" s="145"/>
      <c r="G668" s="19"/>
    </row>
    <row r="669" spans="1:7" ht="20.25">
      <c r="A669" s="24"/>
      <c r="B669" s="24"/>
      <c r="C669" s="142"/>
      <c r="D669" s="142"/>
      <c r="E669" s="142"/>
      <c r="F669" s="145"/>
      <c r="G669" s="19"/>
    </row>
    <row r="670" spans="1:7" ht="20.25">
      <c r="A670" s="24"/>
      <c r="B670" s="24"/>
      <c r="C670" s="142"/>
      <c r="D670" s="142"/>
      <c r="E670" s="142"/>
      <c r="F670" s="145"/>
      <c r="G670" s="19"/>
    </row>
    <row r="671" spans="1:7" ht="20.25">
      <c r="A671" s="24"/>
      <c r="B671" s="24"/>
      <c r="C671" s="142"/>
      <c r="D671" s="142"/>
      <c r="E671" s="142"/>
      <c r="F671" s="145"/>
      <c r="G671" s="19"/>
    </row>
    <row r="672" spans="1:7" ht="20.25">
      <c r="A672" s="24"/>
      <c r="B672" s="24"/>
      <c r="C672" s="142"/>
      <c r="D672" s="142"/>
      <c r="E672" s="142"/>
      <c r="F672" s="145"/>
      <c r="G672" s="19"/>
    </row>
    <row r="673" spans="1:7" ht="20.25">
      <c r="A673" s="24"/>
      <c r="B673" s="24"/>
      <c r="C673" s="142"/>
      <c r="D673" s="142"/>
      <c r="E673" s="142"/>
      <c r="F673" s="145"/>
      <c r="G673" s="19"/>
    </row>
    <row r="674" spans="1:7" ht="20.25">
      <c r="A674" s="24"/>
      <c r="B674" s="24"/>
      <c r="C674" s="142"/>
      <c r="D674" s="142"/>
      <c r="E674" s="142"/>
      <c r="F674" s="145"/>
      <c r="G674" s="19"/>
    </row>
    <row r="675" spans="1:7" ht="20.25">
      <c r="A675" s="24"/>
      <c r="B675" s="24"/>
      <c r="C675" s="142"/>
      <c r="D675" s="142"/>
      <c r="E675" s="142"/>
      <c r="F675" s="145"/>
      <c r="G675" s="19"/>
    </row>
    <row r="676" spans="1:7" ht="20.25">
      <c r="A676" s="24"/>
      <c r="B676" s="24"/>
      <c r="C676" s="142"/>
      <c r="D676" s="142"/>
      <c r="E676" s="142"/>
      <c r="F676" s="145"/>
      <c r="G676" s="19"/>
    </row>
    <row r="677" spans="1:7" ht="20.25">
      <c r="A677" s="24"/>
      <c r="B677" s="24"/>
      <c r="C677" s="142"/>
      <c r="D677" s="142"/>
      <c r="E677" s="142"/>
      <c r="F677" s="145"/>
      <c r="G677" s="19"/>
    </row>
    <row r="678" spans="1:7" ht="20.25">
      <c r="A678" s="24"/>
      <c r="B678" s="24"/>
      <c r="C678" s="142"/>
      <c r="D678" s="142"/>
      <c r="E678" s="142"/>
      <c r="F678" s="145"/>
      <c r="G678" s="19"/>
    </row>
    <row r="679" spans="1:7" ht="20.25">
      <c r="A679" s="24"/>
      <c r="B679" s="24"/>
      <c r="C679" s="142"/>
      <c r="D679" s="142"/>
      <c r="E679" s="142"/>
      <c r="F679" s="145"/>
      <c r="G679" s="19"/>
    </row>
    <row r="680" spans="1:7" ht="20.25">
      <c r="A680" s="24"/>
      <c r="B680" s="24"/>
      <c r="C680" s="142"/>
      <c r="D680" s="142"/>
      <c r="E680" s="142"/>
      <c r="F680" s="145"/>
      <c r="G680" s="19"/>
    </row>
    <row r="681" spans="1:7" ht="20.25">
      <c r="A681" s="24"/>
      <c r="B681" s="24"/>
      <c r="C681" s="142"/>
      <c r="D681" s="142"/>
      <c r="E681" s="142"/>
      <c r="F681" s="145"/>
      <c r="G681" s="19"/>
    </row>
    <row r="682" spans="1:7" ht="20.25">
      <c r="A682" s="24"/>
      <c r="B682" s="24"/>
      <c r="C682" s="142"/>
      <c r="D682" s="142"/>
      <c r="E682" s="142"/>
      <c r="F682" s="145"/>
      <c r="G682" s="19"/>
    </row>
    <row r="683" spans="1:7" ht="20.25">
      <c r="A683" s="24"/>
      <c r="B683" s="24"/>
      <c r="C683" s="142"/>
      <c r="D683" s="142"/>
      <c r="E683" s="142"/>
      <c r="F683" s="145"/>
      <c r="G683" s="19"/>
    </row>
    <row r="684" spans="1:7" ht="20.25">
      <c r="A684" s="24"/>
      <c r="B684" s="24"/>
      <c r="C684" s="142"/>
      <c r="D684" s="142"/>
      <c r="E684" s="142"/>
      <c r="F684" s="145"/>
      <c r="G684" s="19"/>
    </row>
    <row r="685" spans="1:7" ht="20.25">
      <c r="A685" s="24"/>
      <c r="B685" s="24"/>
      <c r="C685" s="142"/>
      <c r="D685" s="142"/>
      <c r="E685" s="142"/>
      <c r="F685" s="145"/>
      <c r="G685" s="19"/>
    </row>
    <row r="686" spans="1:7" ht="20.25">
      <c r="A686" s="24"/>
      <c r="B686" s="24"/>
      <c r="C686" s="142"/>
      <c r="D686" s="142"/>
      <c r="E686" s="142"/>
      <c r="F686" s="145"/>
      <c r="G686" s="19"/>
    </row>
    <row r="687" spans="1:7" ht="20.25">
      <c r="A687" s="24"/>
      <c r="B687" s="24"/>
      <c r="C687" s="142"/>
      <c r="D687" s="142"/>
      <c r="E687" s="142"/>
      <c r="F687" s="145"/>
      <c r="G687" s="19"/>
    </row>
    <row r="688" spans="1:7" ht="20.25">
      <c r="A688" s="24"/>
      <c r="B688" s="24"/>
      <c r="C688" s="142"/>
      <c r="D688" s="142"/>
      <c r="E688" s="142"/>
      <c r="F688" s="145"/>
      <c r="G688" s="19"/>
    </row>
    <row r="689" spans="1:7" ht="20.25">
      <c r="A689" s="24"/>
      <c r="B689" s="24"/>
      <c r="C689" s="142"/>
      <c r="D689" s="142"/>
      <c r="E689" s="142"/>
      <c r="F689" s="145"/>
      <c r="G689" s="19"/>
    </row>
    <row r="690" spans="1:7" ht="20.25">
      <c r="A690" s="24"/>
      <c r="B690" s="24"/>
      <c r="C690" s="142"/>
      <c r="D690" s="142"/>
      <c r="E690" s="142"/>
      <c r="F690" s="145"/>
      <c r="G690" s="19"/>
    </row>
    <row r="691" spans="1:7" ht="20.25">
      <c r="A691" s="24"/>
      <c r="B691" s="24"/>
      <c r="C691" s="142"/>
      <c r="D691" s="142"/>
      <c r="E691" s="142"/>
      <c r="F691" s="145"/>
      <c r="G691" s="19"/>
    </row>
    <row r="692" spans="1:7" ht="20.25">
      <c r="A692" s="24"/>
      <c r="B692" s="24"/>
      <c r="C692" s="142"/>
      <c r="D692" s="142"/>
      <c r="E692" s="142"/>
      <c r="F692" s="145"/>
      <c r="G692" s="19"/>
    </row>
    <row r="693" spans="1:7" ht="20.25">
      <c r="A693" s="24"/>
      <c r="B693" s="24"/>
      <c r="C693" s="142"/>
      <c r="D693" s="142"/>
      <c r="E693" s="142"/>
      <c r="F693" s="145"/>
      <c r="G693" s="19"/>
    </row>
    <row r="694" spans="1:7" ht="20.25">
      <c r="A694" s="24"/>
      <c r="B694" s="24"/>
      <c r="C694" s="142"/>
      <c r="D694" s="142"/>
      <c r="E694" s="142"/>
      <c r="F694" s="145"/>
      <c r="G694" s="19"/>
    </row>
    <row r="695" spans="1:7" ht="20.25">
      <c r="A695" s="24"/>
      <c r="B695" s="24"/>
      <c r="C695" s="142"/>
      <c r="D695" s="142"/>
      <c r="E695" s="142"/>
      <c r="F695" s="145"/>
      <c r="G695" s="19"/>
    </row>
    <row r="696" spans="1:7" ht="20.25">
      <c r="A696" s="24"/>
      <c r="B696" s="24"/>
      <c r="C696" s="142"/>
      <c r="D696" s="142"/>
      <c r="E696" s="142"/>
      <c r="F696" s="145"/>
      <c r="G696" s="19"/>
    </row>
    <row r="697" spans="1:7" ht="20.25">
      <c r="A697" s="24"/>
      <c r="B697" s="24"/>
      <c r="C697" s="142"/>
      <c r="D697" s="142"/>
      <c r="E697" s="142"/>
      <c r="F697" s="145"/>
      <c r="G697" s="19"/>
    </row>
    <row r="698" spans="1:7" ht="20.25">
      <c r="A698" s="24"/>
      <c r="B698" s="24"/>
      <c r="C698" s="142"/>
      <c r="D698" s="142"/>
      <c r="E698" s="142"/>
      <c r="F698" s="145"/>
      <c r="G698" s="19"/>
    </row>
    <row r="699" spans="1:7" ht="20.25">
      <c r="A699" s="24"/>
      <c r="B699" s="24"/>
      <c r="C699" s="142"/>
      <c r="D699" s="142"/>
      <c r="E699" s="142"/>
      <c r="F699" s="145"/>
      <c r="G699" s="19"/>
    </row>
    <row r="700" spans="1:7" ht="20.25">
      <c r="A700" s="24"/>
      <c r="B700" s="24"/>
      <c r="C700" s="142"/>
      <c r="D700" s="142"/>
      <c r="E700" s="142"/>
      <c r="F700" s="145"/>
      <c r="G700" s="19"/>
    </row>
    <row r="701" spans="1:7" ht="20.25">
      <c r="A701" s="24"/>
      <c r="B701" s="24"/>
      <c r="C701" s="142"/>
      <c r="D701" s="142"/>
      <c r="E701" s="142"/>
      <c r="F701" s="145"/>
      <c r="G701" s="19"/>
    </row>
    <row r="702" spans="1:7" ht="20.25">
      <c r="A702" s="24"/>
      <c r="B702" s="24"/>
      <c r="C702" s="142"/>
      <c r="D702" s="142"/>
      <c r="E702" s="142"/>
      <c r="F702" s="145"/>
      <c r="G702" s="19"/>
    </row>
    <row r="703" spans="1:7" ht="20.25">
      <c r="A703" s="24"/>
      <c r="B703" s="24"/>
      <c r="C703" s="142"/>
      <c r="D703" s="142"/>
      <c r="E703" s="142"/>
      <c r="F703" s="145"/>
      <c r="G703" s="19"/>
    </row>
    <row r="704" spans="1:7" ht="20.25">
      <c r="A704" s="24"/>
      <c r="B704" s="24"/>
      <c r="C704" s="142"/>
      <c r="D704" s="142"/>
      <c r="E704" s="142"/>
      <c r="F704" s="145"/>
      <c r="G704" s="19"/>
    </row>
    <row r="705" spans="1:7" ht="20.25">
      <c r="A705" s="24"/>
      <c r="B705" s="24"/>
      <c r="C705" s="142"/>
      <c r="D705" s="142"/>
      <c r="E705" s="142"/>
      <c r="F705" s="145"/>
      <c r="G705" s="19"/>
    </row>
    <row r="706" spans="1:7" ht="20.25">
      <c r="A706" s="24"/>
      <c r="B706" s="24"/>
      <c r="C706" s="142"/>
      <c r="D706" s="142"/>
      <c r="E706" s="142"/>
      <c r="F706" s="145"/>
      <c r="G706" s="19"/>
    </row>
    <row r="707" spans="1:7" ht="20.25">
      <c r="A707" s="24"/>
      <c r="B707" s="24"/>
      <c r="C707" s="142"/>
      <c r="D707" s="142"/>
      <c r="E707" s="142"/>
      <c r="F707" s="145"/>
      <c r="G707" s="19"/>
    </row>
    <row r="708" spans="1:7" ht="20.25">
      <c r="A708" s="24"/>
      <c r="B708" s="24"/>
      <c r="C708" s="142"/>
      <c r="D708" s="142"/>
      <c r="E708" s="142"/>
      <c r="F708" s="145"/>
      <c r="G708" s="19"/>
    </row>
    <row r="709" spans="1:7" ht="20.25">
      <c r="A709" s="24"/>
      <c r="B709" s="24"/>
      <c r="C709" s="142"/>
      <c r="D709" s="142"/>
      <c r="E709" s="142"/>
      <c r="F709" s="145"/>
      <c r="G709" s="19"/>
    </row>
    <row r="710" spans="1:7" ht="20.25">
      <c r="A710" s="24"/>
      <c r="B710" s="24"/>
      <c r="C710" s="142"/>
      <c r="D710" s="142"/>
      <c r="E710" s="142"/>
      <c r="F710" s="145"/>
      <c r="G710" s="19"/>
    </row>
    <row r="711" spans="1:7" ht="20.25">
      <c r="A711" s="24"/>
      <c r="B711" s="24"/>
      <c r="C711" s="142"/>
      <c r="D711" s="142"/>
      <c r="E711" s="142"/>
      <c r="F711" s="145"/>
      <c r="G711" s="19"/>
    </row>
    <row r="712" spans="1:7" ht="20.25">
      <c r="A712" s="24"/>
      <c r="B712" s="24"/>
      <c r="C712" s="142"/>
      <c r="D712" s="142"/>
      <c r="E712" s="142"/>
      <c r="F712" s="145"/>
      <c r="G712" s="19"/>
    </row>
    <row r="713" spans="1:7" ht="20.25">
      <c r="A713" s="24"/>
      <c r="B713" s="24"/>
      <c r="C713" s="142"/>
      <c r="D713" s="142"/>
      <c r="E713" s="142"/>
      <c r="F713" s="145"/>
      <c r="G713" s="19"/>
    </row>
    <row r="714" spans="1:7" ht="20.25">
      <c r="A714" s="24"/>
      <c r="B714" s="24"/>
      <c r="C714" s="142"/>
      <c r="D714" s="142"/>
      <c r="E714" s="142"/>
      <c r="F714" s="145"/>
      <c r="G714" s="19"/>
    </row>
    <row r="715" spans="1:7" ht="20.25">
      <c r="A715" s="24"/>
      <c r="B715" s="24"/>
      <c r="C715" s="142"/>
      <c r="D715" s="142"/>
      <c r="E715" s="142"/>
      <c r="F715" s="145"/>
      <c r="G715" s="19"/>
    </row>
    <row r="716" spans="1:7" ht="20.25">
      <c r="A716" s="24"/>
      <c r="B716" s="24"/>
      <c r="C716" s="142"/>
      <c r="D716" s="142"/>
      <c r="E716" s="142"/>
      <c r="F716" s="145"/>
      <c r="G716" s="19"/>
    </row>
    <row r="717" spans="1:7" ht="20.25">
      <c r="A717" s="24"/>
      <c r="B717" s="24"/>
      <c r="C717" s="142"/>
      <c r="D717" s="142"/>
      <c r="E717" s="142"/>
      <c r="F717" s="145"/>
      <c r="G717" s="19"/>
    </row>
    <row r="718" spans="1:7" ht="20.25">
      <c r="A718" s="24"/>
      <c r="B718" s="24"/>
      <c r="C718" s="142"/>
      <c r="D718" s="142"/>
      <c r="E718" s="142"/>
      <c r="F718" s="145"/>
      <c r="G718" s="19"/>
    </row>
    <row r="719" spans="1:7" ht="20.25">
      <c r="A719" s="24"/>
      <c r="B719" s="24"/>
      <c r="C719" s="142"/>
      <c r="D719" s="142"/>
      <c r="E719" s="142"/>
      <c r="F719" s="145"/>
      <c r="G719" s="19"/>
    </row>
    <row r="720" spans="1:7" ht="20.25">
      <c r="A720" s="24"/>
      <c r="B720" s="24"/>
      <c r="C720" s="142"/>
      <c r="D720" s="142"/>
      <c r="E720" s="142"/>
      <c r="F720" s="145"/>
      <c r="G720" s="19"/>
    </row>
    <row r="721" spans="1:7" ht="20.25">
      <c r="A721" s="24"/>
      <c r="B721" s="24"/>
      <c r="C721" s="142"/>
      <c r="D721" s="142"/>
      <c r="E721" s="142"/>
      <c r="F721" s="145"/>
      <c r="G721" s="19"/>
    </row>
    <row r="722" spans="1:7" ht="20.25">
      <c r="A722" s="24"/>
      <c r="B722" s="24"/>
      <c r="C722" s="142"/>
      <c r="D722" s="142"/>
      <c r="E722" s="142"/>
      <c r="F722" s="145"/>
      <c r="G722" s="19"/>
    </row>
    <row r="723" spans="1:7" ht="20.25">
      <c r="A723" s="24"/>
      <c r="B723" s="24"/>
      <c r="C723" s="142"/>
      <c r="D723" s="142"/>
      <c r="E723" s="142"/>
      <c r="F723" s="145"/>
      <c r="G723" s="19"/>
    </row>
    <row r="724" spans="1:7" ht="20.25">
      <c r="A724" s="24"/>
      <c r="B724" s="24"/>
      <c r="C724" s="142"/>
      <c r="D724" s="142"/>
      <c r="E724" s="142"/>
      <c r="F724" s="145"/>
      <c r="G724" s="19"/>
    </row>
    <row r="725" spans="1:7" ht="20.25">
      <c r="A725" s="24"/>
      <c r="B725" s="24"/>
      <c r="C725" s="142"/>
      <c r="D725" s="142"/>
      <c r="E725" s="142"/>
      <c r="F725" s="145"/>
      <c r="G725" s="19"/>
    </row>
    <row r="726" spans="1:7" ht="20.25">
      <c r="A726" s="24"/>
      <c r="B726" s="24"/>
      <c r="C726" s="142"/>
      <c r="D726" s="142"/>
      <c r="E726" s="142"/>
      <c r="F726" s="145"/>
      <c r="G726" s="19"/>
    </row>
    <row r="727" spans="1:7" ht="20.25">
      <c r="A727" s="24"/>
      <c r="B727" s="24"/>
      <c r="C727" s="142"/>
      <c r="D727" s="142"/>
      <c r="E727" s="142"/>
      <c r="F727" s="145"/>
      <c r="G727" s="19"/>
    </row>
    <row r="728" spans="1:7" ht="20.25">
      <c r="A728" s="24"/>
      <c r="B728" s="24"/>
      <c r="C728" s="142"/>
      <c r="D728" s="142"/>
      <c r="E728" s="142"/>
      <c r="F728" s="145"/>
      <c r="G728" s="19"/>
    </row>
    <row r="729" spans="1:7" ht="20.25">
      <c r="A729" s="24"/>
      <c r="B729" s="24"/>
      <c r="C729" s="142"/>
      <c r="D729" s="142"/>
      <c r="E729" s="142"/>
      <c r="F729" s="145"/>
      <c r="G729" s="19"/>
    </row>
    <row r="730" spans="1:7" ht="20.25">
      <c r="A730" s="24"/>
      <c r="B730" s="24"/>
      <c r="C730" s="142"/>
      <c r="D730" s="142"/>
      <c r="E730" s="142"/>
      <c r="F730" s="145"/>
      <c r="G730" s="19"/>
    </row>
    <row r="731" spans="1:7" ht="20.25">
      <c r="A731" s="24"/>
      <c r="B731" s="24"/>
      <c r="C731" s="142"/>
      <c r="D731" s="142"/>
      <c r="E731" s="142"/>
      <c r="F731" s="145"/>
      <c r="G731" s="19"/>
    </row>
    <row r="732" spans="1:7" ht="20.25">
      <c r="A732" s="24"/>
      <c r="B732" s="24"/>
      <c r="C732" s="142"/>
      <c r="D732" s="142"/>
      <c r="E732" s="142"/>
      <c r="F732" s="145"/>
      <c r="G732" s="19"/>
    </row>
    <row r="733" spans="1:7" ht="20.25">
      <c r="A733" s="24"/>
      <c r="B733" s="24"/>
      <c r="C733" s="142"/>
      <c r="D733" s="142"/>
      <c r="E733" s="142"/>
      <c r="F733" s="145"/>
      <c r="G733" s="19"/>
    </row>
    <row r="734" spans="1:7" ht="20.25">
      <c r="A734" s="24"/>
      <c r="B734" s="24"/>
      <c r="C734" s="142"/>
      <c r="D734" s="142"/>
      <c r="E734" s="142"/>
      <c r="F734" s="145"/>
      <c r="G734" s="19"/>
    </row>
    <row r="735" spans="1:7" ht="20.25">
      <c r="A735" s="24"/>
      <c r="B735" s="24"/>
      <c r="C735" s="142"/>
      <c r="D735" s="142"/>
      <c r="E735" s="142"/>
      <c r="F735" s="145"/>
      <c r="G735" s="19"/>
    </row>
    <row r="736" spans="1:7" ht="20.25">
      <c r="A736" s="24"/>
      <c r="B736" s="24"/>
      <c r="C736" s="142"/>
      <c r="D736" s="142"/>
      <c r="E736" s="142"/>
      <c r="F736" s="145"/>
      <c r="G736" s="19"/>
    </row>
    <row r="737" spans="1:7" ht="20.25">
      <c r="A737" s="24"/>
      <c r="B737" s="24"/>
      <c r="C737" s="142"/>
      <c r="D737" s="142"/>
      <c r="E737" s="142"/>
      <c r="F737" s="145"/>
      <c r="G737" s="19"/>
    </row>
    <row r="738" spans="1:7" ht="20.25">
      <c r="A738" s="24"/>
      <c r="B738" s="24"/>
      <c r="C738" s="142"/>
      <c r="D738" s="142"/>
      <c r="E738" s="142"/>
      <c r="F738" s="145"/>
      <c r="G738" s="19"/>
    </row>
    <row r="739" spans="1:7" ht="20.25">
      <c r="A739" s="24"/>
      <c r="B739" s="24"/>
      <c r="C739" s="142"/>
      <c r="D739" s="142"/>
      <c r="E739" s="142"/>
      <c r="F739" s="145"/>
      <c r="G739" s="19"/>
    </row>
    <row r="740" spans="1:7" ht="20.25">
      <c r="A740" s="24"/>
      <c r="B740" s="24"/>
      <c r="C740" s="142"/>
      <c r="D740" s="142"/>
      <c r="E740" s="142"/>
      <c r="F740" s="145"/>
      <c r="G740" s="19"/>
    </row>
    <row r="741" spans="1:7" ht="20.25">
      <c r="A741" s="24"/>
      <c r="B741" s="24"/>
      <c r="C741" s="142"/>
      <c r="D741" s="142"/>
      <c r="E741" s="142"/>
      <c r="F741" s="145"/>
      <c r="G741" s="19"/>
    </row>
    <row r="742" spans="1:7" ht="20.25">
      <c r="A742" s="24"/>
      <c r="B742" s="24"/>
      <c r="C742" s="142"/>
      <c r="D742" s="142"/>
      <c r="E742" s="142"/>
      <c r="F742" s="145"/>
      <c r="G742" s="19"/>
    </row>
    <row r="743" spans="1:7" ht="20.25">
      <c r="A743" s="24"/>
      <c r="B743" s="24"/>
      <c r="C743" s="142"/>
      <c r="D743" s="142"/>
      <c r="E743" s="142"/>
      <c r="F743" s="145"/>
      <c r="G743" s="19"/>
    </row>
    <row r="744" spans="1:7" ht="20.25">
      <c r="A744" s="24"/>
      <c r="B744" s="24"/>
      <c r="C744" s="142"/>
      <c r="D744" s="142"/>
      <c r="E744" s="142"/>
      <c r="F744" s="145"/>
      <c r="G744" s="19"/>
    </row>
    <row r="745" spans="1:7" ht="20.25">
      <c r="A745" s="24"/>
      <c r="B745" s="24"/>
      <c r="C745" s="142"/>
      <c r="D745" s="142"/>
      <c r="E745" s="142"/>
      <c r="F745" s="145"/>
      <c r="G745" s="19"/>
    </row>
    <row r="746" spans="1:7" ht="20.25">
      <c r="A746" s="24"/>
      <c r="B746" s="24"/>
      <c r="C746" s="142"/>
      <c r="D746" s="142"/>
      <c r="E746" s="142"/>
      <c r="F746" s="145"/>
      <c r="G746" s="19"/>
    </row>
    <row r="747" spans="1:7" ht="20.25">
      <c r="A747" s="24"/>
      <c r="B747" s="24"/>
      <c r="C747" s="142"/>
      <c r="D747" s="142"/>
      <c r="E747" s="142"/>
      <c r="F747" s="145"/>
      <c r="G747" s="19"/>
    </row>
    <row r="748" spans="1:7" ht="20.25">
      <c r="A748" s="24"/>
      <c r="B748" s="24"/>
      <c r="C748" s="142"/>
      <c r="D748" s="142"/>
      <c r="E748" s="142"/>
      <c r="F748" s="145"/>
      <c r="G748" s="19"/>
    </row>
    <row r="749" spans="1:7" ht="20.25">
      <c r="A749" s="24"/>
      <c r="B749" s="24"/>
      <c r="C749" s="142"/>
      <c r="D749" s="142"/>
      <c r="E749" s="142"/>
      <c r="F749" s="145"/>
      <c r="G749" s="19"/>
    </row>
    <row r="750" spans="1:7" ht="20.25">
      <c r="A750" s="24"/>
      <c r="B750" s="24"/>
      <c r="C750" s="142"/>
      <c r="D750" s="142"/>
      <c r="E750" s="142"/>
      <c r="F750" s="145"/>
      <c r="G750" s="19"/>
    </row>
    <row r="751" spans="1:7" ht="20.25">
      <c r="A751" s="24"/>
      <c r="B751" s="24"/>
      <c r="C751" s="142"/>
      <c r="D751" s="142"/>
      <c r="E751" s="142"/>
      <c r="F751" s="145"/>
      <c r="G751" s="19"/>
    </row>
    <row r="752" spans="1:7" ht="20.25">
      <c r="A752" s="24"/>
      <c r="B752" s="24"/>
      <c r="C752" s="142"/>
      <c r="D752" s="142"/>
      <c r="E752" s="142"/>
      <c r="F752" s="145"/>
      <c r="G752" s="19"/>
    </row>
    <row r="753" spans="1:7" ht="20.25">
      <c r="A753" s="24"/>
      <c r="B753" s="24"/>
      <c r="C753" s="142"/>
      <c r="D753" s="142"/>
      <c r="E753" s="142"/>
      <c r="F753" s="145"/>
      <c r="G753" s="19"/>
    </row>
    <row r="754" spans="1:7" ht="20.25">
      <c r="A754" s="24"/>
      <c r="B754" s="24"/>
      <c r="C754" s="142"/>
      <c r="D754" s="142"/>
      <c r="E754" s="142"/>
      <c r="F754" s="145"/>
      <c r="G754" s="19"/>
    </row>
    <row r="755" spans="1:7" ht="20.25">
      <c r="A755" s="24"/>
      <c r="B755" s="24"/>
      <c r="C755" s="142"/>
      <c r="D755" s="142"/>
      <c r="E755" s="142"/>
      <c r="F755" s="145"/>
      <c r="G755" s="19"/>
    </row>
    <row r="756" spans="1:7" ht="20.25">
      <c r="A756" s="24"/>
      <c r="B756" s="24"/>
      <c r="C756" s="142"/>
      <c r="D756" s="142"/>
      <c r="E756" s="142"/>
      <c r="F756" s="145"/>
      <c r="G756" s="19"/>
    </row>
    <row r="757" spans="1:7" ht="20.25">
      <c r="A757" s="24"/>
      <c r="B757" s="24"/>
      <c r="C757" s="142"/>
      <c r="D757" s="142"/>
      <c r="E757" s="142"/>
      <c r="F757" s="145"/>
      <c r="G757" s="19"/>
    </row>
    <row r="758" spans="1:7" ht="20.25">
      <c r="A758" s="24"/>
      <c r="B758" s="24"/>
      <c r="C758" s="142"/>
      <c r="D758" s="142"/>
      <c r="E758" s="142"/>
      <c r="F758" s="145"/>
      <c r="G758" s="19"/>
    </row>
    <row r="759" spans="1:7" ht="20.25">
      <c r="A759" s="24"/>
      <c r="B759" s="24"/>
      <c r="C759" s="142"/>
      <c r="D759" s="142"/>
      <c r="E759" s="142"/>
      <c r="F759" s="145"/>
      <c r="G759" s="19"/>
    </row>
    <row r="760" spans="1:7" ht="20.25">
      <c r="A760" s="24"/>
      <c r="B760" s="24"/>
      <c r="C760" s="142"/>
      <c r="D760" s="142"/>
      <c r="E760" s="142"/>
      <c r="F760" s="145"/>
      <c r="G760" s="19"/>
    </row>
    <row r="761" spans="1:7" ht="20.25">
      <c r="A761" s="24"/>
      <c r="B761" s="24"/>
      <c r="C761" s="142"/>
      <c r="D761" s="142"/>
      <c r="E761" s="142"/>
      <c r="F761" s="145"/>
      <c r="G761" s="19"/>
    </row>
    <row r="762" spans="1:7" ht="20.25">
      <c r="A762" s="24"/>
      <c r="B762" s="24"/>
      <c r="C762" s="142"/>
      <c r="D762" s="142"/>
      <c r="E762" s="142"/>
      <c r="F762" s="145"/>
      <c r="G762" s="19"/>
    </row>
    <row r="763" spans="1:7" ht="20.25">
      <c r="A763" s="24"/>
      <c r="B763" s="24"/>
      <c r="C763" s="142"/>
      <c r="D763" s="142"/>
      <c r="E763" s="142"/>
      <c r="F763" s="145"/>
      <c r="G763" s="19"/>
    </row>
    <row r="764" spans="1:7" ht="20.25">
      <c r="A764" s="24"/>
      <c r="B764" s="24"/>
      <c r="C764" s="142"/>
      <c r="D764" s="142"/>
      <c r="E764" s="142"/>
      <c r="F764" s="145"/>
      <c r="G764" s="19"/>
    </row>
    <row r="765" spans="1:7" ht="20.25">
      <c r="A765" s="24"/>
      <c r="B765" s="24"/>
      <c r="C765" s="142"/>
      <c r="D765" s="142"/>
      <c r="E765" s="142"/>
      <c r="F765" s="145"/>
      <c r="G765" s="19"/>
    </row>
    <row r="766" spans="1:7" ht="20.25">
      <c r="A766" s="24"/>
      <c r="B766" s="24"/>
      <c r="C766" s="142"/>
      <c r="D766" s="142"/>
      <c r="E766" s="142"/>
      <c r="F766" s="145"/>
      <c r="G766" s="19"/>
    </row>
    <row r="767" spans="1:7" ht="20.25">
      <c r="A767" s="24"/>
      <c r="B767" s="24"/>
      <c r="C767" s="142"/>
      <c r="D767" s="142"/>
      <c r="E767" s="142"/>
      <c r="F767" s="145"/>
      <c r="G767" s="19"/>
    </row>
    <row r="768" spans="1:7" ht="20.25">
      <c r="A768" s="24"/>
      <c r="B768" s="24"/>
      <c r="C768" s="142"/>
      <c r="D768" s="142"/>
      <c r="E768" s="142"/>
      <c r="F768" s="145"/>
      <c r="G768" s="19"/>
    </row>
    <row r="769" spans="1:7" ht="20.25">
      <c r="A769" s="24"/>
      <c r="B769" s="24"/>
      <c r="C769" s="142"/>
      <c r="D769" s="142"/>
      <c r="E769" s="142"/>
      <c r="F769" s="145"/>
      <c r="G769" s="19"/>
    </row>
    <row r="770" spans="1:7" ht="20.25">
      <c r="A770" s="24"/>
      <c r="B770" s="24"/>
      <c r="C770" s="142"/>
      <c r="D770" s="142"/>
      <c r="E770" s="142"/>
      <c r="F770" s="145"/>
      <c r="G770" s="19"/>
    </row>
    <row r="771" spans="1:7" ht="20.25">
      <c r="A771" s="24"/>
      <c r="B771" s="24"/>
      <c r="C771" s="142"/>
      <c r="D771" s="142"/>
      <c r="E771" s="142"/>
      <c r="F771" s="145"/>
      <c r="G771" s="19"/>
    </row>
    <row r="772" spans="1:7" ht="20.25">
      <c r="A772" s="24"/>
      <c r="B772" s="24"/>
      <c r="C772" s="142"/>
      <c r="D772" s="142"/>
      <c r="E772" s="142"/>
      <c r="F772" s="145"/>
      <c r="G772" s="19"/>
    </row>
    <row r="773" spans="1:7" ht="20.25">
      <c r="A773" s="24"/>
      <c r="B773" s="24"/>
      <c r="C773" s="142"/>
      <c r="D773" s="142"/>
      <c r="E773" s="142"/>
      <c r="F773" s="145"/>
      <c r="G773" s="19"/>
    </row>
    <row r="774" spans="1:7" ht="20.25">
      <c r="A774" s="24"/>
      <c r="B774" s="24"/>
      <c r="C774" s="142"/>
      <c r="D774" s="142"/>
      <c r="E774" s="142"/>
      <c r="F774" s="145"/>
      <c r="G774" s="19"/>
    </row>
    <row r="775" spans="1:7" ht="20.25">
      <c r="A775" s="24"/>
      <c r="B775" s="24"/>
      <c r="C775" s="142"/>
      <c r="D775" s="142"/>
      <c r="E775" s="142"/>
      <c r="F775" s="145"/>
      <c r="G775" s="19"/>
    </row>
    <row r="776" spans="1:7" ht="20.25">
      <c r="A776" s="24"/>
      <c r="B776" s="24"/>
      <c r="C776" s="142"/>
      <c r="D776" s="142"/>
      <c r="E776" s="142"/>
      <c r="F776" s="145"/>
      <c r="G776" s="19"/>
    </row>
    <row r="777" spans="1:7" ht="20.25">
      <c r="A777" s="24"/>
      <c r="B777" s="24"/>
      <c r="C777" s="142"/>
      <c r="D777" s="142"/>
      <c r="E777" s="142"/>
      <c r="F777" s="145"/>
      <c r="G777" s="19"/>
    </row>
    <row r="778" spans="1:7" ht="20.25">
      <c r="A778" s="24"/>
      <c r="B778" s="24"/>
      <c r="C778" s="142"/>
      <c r="D778" s="142"/>
      <c r="E778" s="142"/>
      <c r="F778" s="145"/>
      <c r="G778" s="19"/>
    </row>
    <row r="779" spans="1:7" ht="20.25">
      <c r="A779" s="24"/>
      <c r="B779" s="24"/>
      <c r="C779" s="142"/>
      <c r="D779" s="142"/>
      <c r="E779" s="142"/>
      <c r="F779" s="145"/>
      <c r="G779" s="19"/>
    </row>
    <row r="780" spans="1:7" ht="20.25">
      <c r="A780" s="24"/>
      <c r="B780" s="24"/>
      <c r="C780" s="142"/>
      <c r="D780" s="142"/>
      <c r="E780" s="142"/>
      <c r="F780" s="145"/>
      <c r="G780" s="19"/>
    </row>
    <row r="781" spans="1:7" ht="20.25">
      <c r="A781" s="24"/>
      <c r="B781" s="24"/>
      <c r="C781" s="142"/>
      <c r="D781" s="142"/>
      <c r="E781" s="142"/>
      <c r="F781" s="145"/>
      <c r="G781" s="19"/>
    </row>
    <row r="782" spans="1:7" ht="20.25">
      <c r="A782" s="24"/>
      <c r="B782" s="24"/>
      <c r="C782" s="142"/>
      <c r="D782" s="142"/>
      <c r="E782" s="142"/>
      <c r="F782" s="145"/>
      <c r="G782" s="19"/>
    </row>
    <row r="783" spans="1:7" ht="20.25">
      <c r="A783" s="24"/>
      <c r="B783" s="24"/>
      <c r="C783" s="142"/>
      <c r="D783" s="142"/>
      <c r="E783" s="142"/>
      <c r="F783" s="145"/>
      <c r="G783" s="19"/>
    </row>
    <row r="784" spans="1:7" ht="20.25">
      <c r="A784" s="24"/>
      <c r="B784" s="24"/>
      <c r="C784" s="142"/>
      <c r="D784" s="142"/>
      <c r="E784" s="142"/>
      <c r="F784" s="145"/>
      <c r="G784" s="19"/>
    </row>
    <row r="785" spans="1:7" ht="20.25">
      <c r="A785" s="24"/>
      <c r="B785" s="24"/>
      <c r="C785" s="142"/>
      <c r="D785" s="142"/>
      <c r="E785" s="142"/>
      <c r="F785" s="145"/>
      <c r="G785" s="19"/>
    </row>
    <row r="786" spans="1:7" ht="20.25">
      <c r="A786" s="24"/>
      <c r="B786" s="24"/>
      <c r="C786" s="142"/>
      <c r="D786" s="142"/>
      <c r="E786" s="142"/>
      <c r="F786" s="145"/>
      <c r="G786" s="19"/>
    </row>
    <row r="787" spans="1:7" ht="20.25">
      <c r="A787" s="24"/>
      <c r="B787" s="24"/>
      <c r="C787" s="142"/>
      <c r="D787" s="142"/>
      <c r="E787" s="142"/>
      <c r="F787" s="145"/>
      <c r="G787" s="19"/>
    </row>
    <row r="788" spans="1:7" ht="20.25">
      <c r="A788" s="24"/>
      <c r="B788" s="24"/>
      <c r="C788" s="142"/>
      <c r="D788" s="142"/>
      <c r="E788" s="142"/>
      <c r="F788" s="145"/>
      <c r="G788" s="19"/>
    </row>
    <row r="789" spans="1:7" ht="20.25">
      <c r="A789" s="24"/>
      <c r="B789" s="24"/>
      <c r="C789" s="142"/>
      <c r="D789" s="142"/>
      <c r="E789" s="142"/>
      <c r="F789" s="145"/>
      <c r="G789" s="19"/>
    </row>
    <row r="790" spans="1:7" ht="20.25">
      <c r="A790" s="24"/>
      <c r="B790" s="24"/>
      <c r="C790" s="142"/>
      <c r="D790" s="142"/>
      <c r="E790" s="142"/>
      <c r="F790" s="145"/>
      <c r="G790" s="19"/>
    </row>
    <row r="791" spans="1:7" ht="20.25">
      <c r="A791" s="24"/>
      <c r="B791" s="24"/>
      <c r="C791" s="142"/>
      <c r="D791" s="142"/>
      <c r="E791" s="142"/>
      <c r="F791" s="145"/>
      <c r="G791" s="19"/>
    </row>
    <row r="792" spans="1:7" ht="20.25">
      <c r="A792" s="24"/>
      <c r="B792" s="24"/>
      <c r="C792" s="142"/>
      <c r="D792" s="142"/>
      <c r="E792" s="142"/>
      <c r="F792" s="145"/>
      <c r="G792" s="19"/>
    </row>
    <row r="793" spans="1:7" ht="20.25">
      <c r="A793" s="24"/>
      <c r="B793" s="24"/>
      <c r="C793" s="142"/>
      <c r="D793" s="142"/>
      <c r="E793" s="142"/>
      <c r="F793" s="145"/>
      <c r="G793" s="19"/>
    </row>
    <row r="794" spans="1:7" ht="20.25">
      <c r="A794" s="24"/>
      <c r="B794" s="24"/>
      <c r="C794" s="142"/>
      <c r="D794" s="142"/>
      <c r="E794" s="142"/>
      <c r="F794" s="145"/>
      <c r="G794" s="19"/>
    </row>
    <row r="795" spans="1:7" ht="20.25">
      <c r="A795" s="24"/>
      <c r="B795" s="24"/>
      <c r="C795" s="142"/>
      <c r="D795" s="142"/>
      <c r="E795" s="142"/>
      <c r="F795" s="145"/>
      <c r="G795" s="19"/>
    </row>
    <row r="796" spans="1:7" ht="20.25">
      <c r="A796" s="24"/>
      <c r="B796" s="24"/>
      <c r="C796" s="142"/>
      <c r="D796" s="142"/>
      <c r="E796" s="142"/>
      <c r="F796" s="145"/>
      <c r="G796" s="19"/>
    </row>
    <row r="797" spans="1:7" ht="20.25">
      <c r="A797" s="24"/>
      <c r="B797" s="24"/>
      <c r="C797" s="142"/>
      <c r="D797" s="142"/>
      <c r="E797" s="142"/>
      <c r="F797" s="145"/>
      <c r="G797" s="19"/>
    </row>
    <row r="798" spans="1:7" ht="20.25">
      <c r="A798" s="24"/>
      <c r="B798" s="24"/>
      <c r="C798" s="142"/>
      <c r="D798" s="142"/>
      <c r="E798" s="142"/>
      <c r="F798" s="145"/>
      <c r="G798" s="19"/>
    </row>
    <row r="799" spans="1:7" ht="20.25">
      <c r="A799" s="24"/>
      <c r="B799" s="24"/>
      <c r="C799" s="142"/>
      <c r="D799" s="142"/>
      <c r="E799" s="142"/>
      <c r="F799" s="145"/>
      <c r="G799" s="19"/>
    </row>
    <row r="800" spans="1:7" ht="20.25">
      <c r="A800" s="24"/>
      <c r="B800" s="24"/>
      <c r="C800" s="142"/>
      <c r="D800" s="142"/>
      <c r="E800" s="142"/>
      <c r="F800" s="145"/>
      <c r="G800" s="19"/>
    </row>
    <row r="801" spans="1:7" ht="20.25">
      <c r="A801" s="24"/>
      <c r="B801" s="24"/>
      <c r="C801" s="142"/>
      <c r="D801" s="142"/>
      <c r="E801" s="142"/>
      <c r="F801" s="145"/>
      <c r="G801" s="19"/>
    </row>
    <row r="802" spans="1:7" ht="20.25">
      <c r="A802" s="24"/>
      <c r="B802" s="24"/>
      <c r="C802" s="142"/>
      <c r="D802" s="142"/>
      <c r="E802" s="142"/>
      <c r="F802" s="145"/>
      <c r="G802" s="19"/>
    </row>
    <row r="803" spans="1:7" ht="20.25">
      <c r="A803" s="24"/>
      <c r="B803" s="24"/>
      <c r="C803" s="142"/>
      <c r="D803" s="142"/>
      <c r="E803" s="142"/>
      <c r="F803" s="145"/>
      <c r="G803" s="19"/>
    </row>
    <row r="804" spans="1:7" ht="20.25">
      <c r="A804" s="24"/>
      <c r="B804" s="24"/>
      <c r="C804" s="142"/>
      <c r="D804" s="142"/>
      <c r="E804" s="142"/>
      <c r="F804" s="145"/>
      <c r="G804" s="19"/>
    </row>
    <row r="805" spans="1:7" ht="20.25">
      <c r="A805" s="24"/>
      <c r="B805" s="24"/>
      <c r="C805" s="142"/>
      <c r="D805" s="142"/>
      <c r="E805" s="142"/>
      <c r="F805" s="145"/>
      <c r="G805" s="19"/>
    </row>
    <row r="806" spans="1:7" ht="20.25">
      <c r="A806" s="24"/>
      <c r="B806" s="24"/>
      <c r="C806" s="142"/>
      <c r="D806" s="142"/>
      <c r="E806" s="142"/>
      <c r="F806" s="145"/>
      <c r="G806" s="19"/>
    </row>
    <row r="807" spans="1:7" ht="20.25">
      <c r="A807" s="24"/>
      <c r="B807" s="24"/>
      <c r="C807" s="142"/>
      <c r="D807" s="142"/>
      <c r="E807" s="142"/>
      <c r="F807" s="145"/>
      <c r="G807" s="19"/>
    </row>
    <row r="808" spans="1:7" ht="20.25">
      <c r="A808" s="24"/>
      <c r="B808" s="24"/>
      <c r="C808" s="142"/>
      <c r="D808" s="142"/>
      <c r="E808" s="142"/>
      <c r="F808" s="145"/>
      <c r="G808" s="19"/>
    </row>
    <row r="809" spans="1:7" ht="20.25">
      <c r="A809" s="24"/>
      <c r="B809" s="24"/>
      <c r="C809" s="142"/>
      <c r="D809" s="142"/>
      <c r="E809" s="142"/>
      <c r="F809" s="145"/>
      <c r="G809" s="19"/>
    </row>
    <row r="810" spans="1:7" ht="20.25">
      <c r="A810" s="24"/>
      <c r="B810" s="24"/>
      <c r="C810" s="142"/>
      <c r="D810" s="142"/>
      <c r="E810" s="142"/>
      <c r="F810" s="145"/>
      <c r="G810" s="19"/>
    </row>
    <row r="811" spans="1:7" ht="20.25">
      <c r="A811" s="24"/>
      <c r="B811" s="24"/>
      <c r="C811" s="142"/>
      <c r="D811" s="142"/>
      <c r="E811" s="142"/>
      <c r="F811" s="145"/>
      <c r="G811" s="19"/>
    </row>
    <row r="812" spans="1:7" ht="20.25">
      <c r="A812" s="24"/>
      <c r="B812" s="24"/>
      <c r="C812" s="142"/>
      <c r="D812" s="142"/>
      <c r="E812" s="142"/>
      <c r="F812" s="145"/>
      <c r="G812" s="19"/>
    </row>
    <row r="813" spans="1:7" ht="20.25">
      <c r="A813" s="24"/>
      <c r="B813" s="24"/>
      <c r="C813" s="142"/>
      <c r="D813" s="142"/>
      <c r="E813" s="142"/>
      <c r="F813" s="145"/>
      <c r="G813" s="19"/>
    </row>
    <row r="814" spans="1:7" ht="20.25">
      <c r="A814" s="24"/>
      <c r="B814" s="24"/>
      <c r="C814" s="142"/>
      <c r="D814" s="142"/>
      <c r="E814" s="142"/>
      <c r="F814" s="145"/>
      <c r="G814" s="19"/>
    </row>
    <row r="815" spans="1:7" ht="20.25">
      <c r="A815" s="24"/>
      <c r="B815" s="24"/>
      <c r="C815" s="142"/>
      <c r="D815" s="142"/>
      <c r="E815" s="142"/>
      <c r="F815" s="145"/>
      <c r="G815" s="19"/>
    </row>
    <row r="816" spans="1:7" ht="20.25">
      <c r="A816" s="24"/>
      <c r="B816" s="24"/>
      <c r="C816" s="142"/>
      <c r="D816" s="142"/>
      <c r="E816" s="142"/>
      <c r="F816" s="145"/>
      <c r="G816" s="19"/>
    </row>
    <row r="817" spans="1:7" ht="20.25">
      <c r="A817" s="24"/>
      <c r="B817" s="24"/>
      <c r="C817" s="142"/>
      <c r="D817" s="142"/>
      <c r="E817" s="142"/>
      <c r="F817" s="145"/>
      <c r="G817" s="19"/>
    </row>
    <row r="818" spans="1:7" ht="20.25">
      <c r="A818" s="24"/>
      <c r="B818" s="24"/>
      <c r="C818" s="142"/>
      <c r="D818" s="142"/>
      <c r="E818" s="142"/>
      <c r="F818" s="145"/>
      <c r="G818" s="19"/>
    </row>
    <row r="819" spans="1:7" ht="20.25">
      <c r="A819" s="24"/>
      <c r="B819" s="24"/>
      <c r="C819" s="142"/>
      <c r="D819" s="142"/>
      <c r="E819" s="142"/>
      <c r="F819" s="145"/>
      <c r="G819" s="19"/>
    </row>
    <row r="820" spans="1:7" ht="20.25">
      <c r="A820" s="24"/>
      <c r="B820" s="24"/>
      <c r="C820" s="142"/>
      <c r="D820" s="142"/>
      <c r="E820" s="142"/>
      <c r="F820" s="145"/>
      <c r="G820" s="19"/>
    </row>
    <row r="821" spans="1:7" ht="20.25">
      <c r="A821" s="24"/>
      <c r="B821" s="24"/>
      <c r="C821" s="142"/>
      <c r="D821" s="142"/>
      <c r="E821" s="142"/>
      <c r="F821" s="145"/>
      <c r="G821" s="19"/>
    </row>
    <row r="822" spans="1:7" ht="20.25">
      <c r="A822" s="24"/>
      <c r="B822" s="24"/>
      <c r="C822" s="142"/>
      <c r="D822" s="142"/>
      <c r="E822" s="142"/>
      <c r="F822" s="145"/>
      <c r="G822" s="19"/>
    </row>
    <row r="823" spans="1:7" ht="20.25">
      <c r="A823" s="24"/>
      <c r="B823" s="24"/>
      <c r="C823" s="142"/>
      <c r="D823" s="142"/>
      <c r="E823" s="142"/>
      <c r="F823" s="145"/>
      <c r="G823" s="19"/>
    </row>
    <row r="824" spans="1:7" ht="20.25">
      <c r="A824" s="24"/>
      <c r="B824" s="24"/>
      <c r="C824" s="142"/>
      <c r="D824" s="142"/>
      <c r="E824" s="142"/>
      <c r="F824" s="145"/>
      <c r="G824" s="19"/>
    </row>
    <row r="825" spans="1:7" ht="20.25">
      <c r="A825" s="24"/>
      <c r="B825" s="24"/>
      <c r="C825" s="142"/>
      <c r="D825" s="142"/>
      <c r="E825" s="142"/>
      <c r="F825" s="145"/>
      <c r="G825" s="19"/>
    </row>
    <row r="826" spans="1:7" ht="20.25">
      <c r="A826" s="24"/>
      <c r="B826" s="24"/>
      <c r="C826" s="142"/>
      <c r="D826" s="142"/>
      <c r="E826" s="142"/>
      <c r="F826" s="145"/>
      <c r="G826" s="19"/>
    </row>
    <row r="827" spans="1:7" ht="20.25">
      <c r="A827" s="24"/>
      <c r="B827" s="24"/>
      <c r="C827" s="142"/>
      <c r="D827" s="142"/>
      <c r="E827" s="142"/>
      <c r="F827" s="145"/>
      <c r="G827" s="19"/>
    </row>
    <row r="828" spans="1:7" ht="20.25">
      <c r="A828" s="24"/>
      <c r="B828" s="24"/>
      <c r="C828" s="142"/>
      <c r="D828" s="142"/>
      <c r="E828" s="142"/>
      <c r="F828" s="145"/>
      <c r="G828" s="19"/>
    </row>
    <row r="829" spans="1:7" ht="20.25">
      <c r="A829" s="24"/>
      <c r="B829" s="24"/>
      <c r="C829" s="142"/>
      <c r="D829" s="142"/>
      <c r="E829" s="142"/>
      <c r="F829" s="145"/>
      <c r="G829" s="19"/>
    </row>
    <row r="830" spans="1:7" ht="20.25">
      <c r="A830" s="24"/>
      <c r="B830" s="24"/>
      <c r="C830" s="142"/>
      <c r="D830" s="142"/>
      <c r="E830" s="142"/>
      <c r="F830" s="145"/>
      <c r="G830" s="19"/>
    </row>
    <row r="831" spans="1:7" ht="20.25">
      <c r="A831" s="24"/>
      <c r="B831" s="24"/>
      <c r="C831" s="142"/>
      <c r="D831" s="142"/>
      <c r="E831" s="142"/>
      <c r="F831" s="145"/>
      <c r="G831" s="19"/>
    </row>
    <row r="832" spans="1:7" ht="20.25">
      <c r="A832" s="24"/>
      <c r="B832" s="24"/>
      <c r="C832" s="142"/>
      <c r="D832" s="142"/>
      <c r="E832" s="142"/>
      <c r="F832" s="145"/>
      <c r="G832" s="19"/>
    </row>
    <row r="833" spans="1:7" ht="20.25">
      <c r="A833" s="24"/>
      <c r="B833" s="24"/>
      <c r="C833" s="142"/>
      <c r="D833" s="142"/>
      <c r="E833" s="142"/>
      <c r="F833" s="145"/>
      <c r="G833" s="19"/>
    </row>
    <row r="834" spans="1:7" ht="20.25">
      <c r="A834" s="24"/>
      <c r="B834" s="24"/>
      <c r="C834" s="142"/>
      <c r="D834" s="142"/>
      <c r="E834" s="142"/>
      <c r="F834" s="145"/>
      <c r="G834" s="19"/>
    </row>
    <row r="835" spans="1:7" ht="20.25">
      <c r="A835" s="24"/>
      <c r="B835" s="24"/>
      <c r="C835" s="142"/>
      <c r="D835" s="142"/>
      <c r="E835" s="142"/>
      <c r="F835" s="145"/>
      <c r="G835" s="19"/>
    </row>
    <row r="836" spans="1:7" ht="20.25">
      <c r="A836" s="24"/>
      <c r="B836" s="24"/>
      <c r="C836" s="142"/>
      <c r="D836" s="142"/>
      <c r="E836" s="142"/>
      <c r="F836" s="145"/>
      <c r="G836" s="19"/>
    </row>
    <row r="837" spans="1:7" ht="20.25">
      <c r="A837" s="24"/>
      <c r="B837" s="24"/>
      <c r="C837" s="142"/>
      <c r="D837" s="142"/>
      <c r="E837" s="142"/>
      <c r="F837" s="145"/>
      <c r="G837" s="19"/>
    </row>
    <row r="838" spans="1:7" ht="20.25">
      <c r="A838" s="24"/>
      <c r="B838" s="24"/>
      <c r="C838" s="142"/>
      <c r="D838" s="142"/>
      <c r="E838" s="142"/>
      <c r="F838" s="145"/>
      <c r="G838" s="19"/>
    </row>
    <row r="839" spans="1:7" ht="20.25">
      <c r="A839" s="24"/>
      <c r="B839" s="24"/>
      <c r="C839" s="142"/>
      <c r="D839" s="142"/>
      <c r="E839" s="142"/>
      <c r="F839" s="145"/>
      <c r="G839" s="19"/>
    </row>
    <row r="840" spans="1:7" ht="20.25">
      <c r="A840" s="24"/>
      <c r="B840" s="24"/>
      <c r="C840" s="142"/>
      <c r="D840" s="142"/>
      <c r="E840" s="142"/>
      <c r="F840" s="145"/>
      <c r="G840" s="19"/>
    </row>
    <row r="841" spans="1:7" ht="20.25">
      <c r="A841" s="24"/>
      <c r="B841" s="24"/>
      <c r="C841" s="142"/>
      <c r="D841" s="142"/>
      <c r="E841" s="142"/>
      <c r="F841" s="145"/>
      <c r="G841" s="19"/>
    </row>
    <row r="842" spans="1:7" ht="20.25">
      <c r="A842" s="24"/>
      <c r="B842" s="24"/>
      <c r="C842" s="142"/>
      <c r="D842" s="142"/>
      <c r="E842" s="142"/>
      <c r="F842" s="145"/>
      <c r="G842" s="19"/>
    </row>
    <row r="843" spans="1:7" ht="20.25">
      <c r="A843" s="24"/>
      <c r="B843" s="24"/>
      <c r="C843" s="142"/>
      <c r="D843" s="142"/>
      <c r="E843" s="142"/>
      <c r="F843" s="145"/>
      <c r="G843" s="19"/>
    </row>
    <row r="844" spans="1:7" ht="20.25">
      <c r="A844" s="24"/>
      <c r="B844" s="24"/>
      <c r="C844" s="142"/>
      <c r="D844" s="142"/>
      <c r="E844" s="142"/>
      <c r="F844" s="145"/>
      <c r="G844" s="19"/>
    </row>
    <row r="845" spans="1:7" ht="20.25">
      <c r="A845" s="24"/>
      <c r="B845" s="24"/>
      <c r="C845" s="142"/>
      <c r="D845" s="142"/>
      <c r="E845" s="142"/>
      <c r="F845" s="145"/>
      <c r="G845" s="19"/>
    </row>
    <row r="846" spans="1:7" ht="20.25">
      <c r="A846" s="24"/>
      <c r="B846" s="24"/>
      <c r="C846" s="142"/>
      <c r="D846" s="142"/>
      <c r="E846" s="142"/>
      <c r="F846" s="145"/>
      <c r="G846" s="19"/>
    </row>
    <row r="847" spans="1:7" ht="20.25">
      <c r="A847" s="24"/>
      <c r="B847" s="24"/>
      <c r="C847" s="142"/>
      <c r="D847" s="142"/>
      <c r="E847" s="142"/>
      <c r="F847" s="145"/>
      <c r="G847" s="19"/>
    </row>
    <row r="848" spans="1:7" ht="20.25">
      <c r="A848" s="24"/>
      <c r="B848" s="24"/>
      <c r="C848" s="142"/>
      <c r="D848" s="142"/>
      <c r="E848" s="142"/>
      <c r="F848" s="145"/>
      <c r="G848" s="19"/>
    </row>
    <row r="849" spans="1:7" ht="20.25">
      <c r="A849" s="24"/>
      <c r="B849" s="24"/>
      <c r="C849" s="142"/>
      <c r="D849" s="142"/>
      <c r="E849" s="142"/>
      <c r="F849" s="145"/>
      <c r="G849" s="19"/>
    </row>
    <row r="850" spans="1:7" ht="20.25">
      <c r="A850" s="24"/>
      <c r="B850" s="24"/>
      <c r="C850" s="142"/>
      <c r="D850" s="142"/>
      <c r="E850" s="142"/>
      <c r="F850" s="145"/>
      <c r="G850" s="19"/>
    </row>
    <row r="851" spans="1:7" ht="20.25">
      <c r="A851" s="24"/>
      <c r="B851" s="24"/>
      <c r="C851" s="142"/>
      <c r="D851" s="142"/>
      <c r="E851" s="142"/>
      <c r="F851" s="145"/>
      <c r="G851" s="19"/>
    </row>
    <row r="852" spans="1:7" ht="20.25">
      <c r="A852" s="24"/>
      <c r="B852" s="24"/>
      <c r="C852" s="142"/>
      <c r="D852" s="142"/>
      <c r="E852" s="142"/>
      <c r="F852" s="145"/>
      <c r="G852" s="19"/>
    </row>
    <row r="853" spans="1:7" ht="20.25">
      <c r="A853" s="24"/>
      <c r="B853" s="24"/>
      <c r="C853" s="142"/>
      <c r="D853" s="142"/>
      <c r="E853" s="142"/>
      <c r="F853" s="145"/>
      <c r="G853" s="19"/>
    </row>
    <row r="854" spans="1:7" ht="20.25">
      <c r="A854" s="24"/>
      <c r="B854" s="24"/>
      <c r="C854" s="142"/>
      <c r="D854" s="142"/>
      <c r="E854" s="142"/>
      <c r="F854" s="145"/>
      <c r="G854" s="19"/>
    </row>
    <row r="855" spans="1:7" ht="20.25">
      <c r="A855" s="24"/>
      <c r="B855" s="24"/>
      <c r="C855" s="142"/>
      <c r="D855" s="142"/>
      <c r="E855" s="142"/>
      <c r="F855" s="145"/>
      <c r="G855" s="19"/>
    </row>
    <row r="856" spans="1:7" ht="20.25">
      <c r="A856" s="24"/>
      <c r="B856" s="24"/>
      <c r="C856" s="142"/>
      <c r="D856" s="142"/>
      <c r="E856" s="142"/>
      <c r="F856" s="145"/>
      <c r="G856" s="19"/>
    </row>
    <row r="857" spans="1:7" ht="20.25">
      <c r="A857" s="24"/>
      <c r="B857" s="24"/>
      <c r="C857" s="142"/>
      <c r="D857" s="142"/>
      <c r="E857" s="142"/>
      <c r="F857" s="145"/>
      <c r="G857" s="19"/>
    </row>
    <row r="858" spans="1:7" ht="20.25">
      <c r="A858" s="24"/>
      <c r="B858" s="24"/>
      <c r="C858" s="142"/>
      <c r="D858" s="142"/>
      <c r="E858" s="142"/>
      <c r="F858" s="145"/>
      <c r="G858" s="19"/>
    </row>
    <row r="859" spans="1:7" ht="20.25">
      <c r="A859" s="24"/>
      <c r="B859" s="24"/>
      <c r="C859" s="142"/>
      <c r="D859" s="142"/>
      <c r="E859" s="142"/>
      <c r="F859" s="145"/>
      <c r="G859" s="19"/>
    </row>
    <row r="860" spans="1:7" ht="20.25">
      <c r="A860" s="24"/>
      <c r="B860" s="24"/>
      <c r="C860" s="142"/>
      <c r="D860" s="142"/>
      <c r="E860" s="142"/>
      <c r="F860" s="145"/>
      <c r="G860" s="19"/>
    </row>
    <row r="861" spans="1:7" ht="20.25">
      <c r="A861" s="24"/>
      <c r="B861" s="24"/>
      <c r="C861" s="142"/>
      <c r="D861" s="142"/>
      <c r="E861" s="142"/>
      <c r="F861" s="145"/>
      <c r="G861" s="19"/>
    </row>
    <row r="862" spans="1:7" ht="20.25">
      <c r="A862" s="24"/>
      <c r="B862" s="24"/>
      <c r="C862" s="142"/>
      <c r="D862" s="142"/>
      <c r="E862" s="142"/>
      <c r="F862" s="145"/>
      <c r="G862" s="19"/>
    </row>
    <row r="863" spans="1:7" ht="20.25">
      <c r="A863" s="24"/>
      <c r="B863" s="24"/>
      <c r="C863" s="142"/>
      <c r="D863" s="142"/>
      <c r="E863" s="142"/>
      <c r="F863" s="145"/>
      <c r="G863" s="19"/>
    </row>
    <row r="864" spans="1:7" ht="20.25">
      <c r="A864" s="24"/>
      <c r="B864" s="24"/>
      <c r="C864" s="142"/>
      <c r="D864" s="142"/>
      <c r="E864" s="142"/>
      <c r="F864" s="145"/>
      <c r="G864" s="19"/>
    </row>
    <row r="865" spans="1:7" ht="20.25">
      <c r="A865" s="24"/>
      <c r="B865" s="24"/>
      <c r="C865" s="142"/>
      <c r="D865" s="142"/>
      <c r="E865" s="142"/>
      <c r="F865" s="145"/>
      <c r="G865" s="19"/>
    </row>
    <row r="866" spans="1:7" ht="20.25">
      <c r="A866" s="24"/>
      <c r="B866" s="24"/>
      <c r="C866" s="142"/>
      <c r="D866" s="142"/>
      <c r="E866" s="142"/>
      <c r="F866" s="145"/>
      <c r="G866" s="19"/>
    </row>
    <row r="867" spans="1:7" ht="20.25">
      <c r="A867" s="24"/>
      <c r="B867" s="24"/>
      <c r="C867" s="142"/>
      <c r="D867" s="142"/>
      <c r="E867" s="142"/>
      <c r="F867" s="145"/>
      <c r="G867" s="19"/>
    </row>
    <row r="868" spans="1:7" ht="20.25">
      <c r="A868" s="24"/>
      <c r="B868" s="24"/>
      <c r="C868" s="142"/>
      <c r="D868" s="142"/>
      <c r="E868" s="142"/>
      <c r="F868" s="145"/>
      <c r="G868" s="19"/>
    </row>
    <row r="869" spans="1:7" ht="20.25">
      <c r="A869" s="24"/>
      <c r="B869" s="24"/>
      <c r="C869" s="142"/>
      <c r="D869" s="142"/>
      <c r="E869" s="142"/>
      <c r="F869" s="145"/>
      <c r="G869" s="19"/>
    </row>
    <row r="870" spans="1:7" ht="20.25">
      <c r="A870" s="24"/>
      <c r="B870" s="24"/>
      <c r="C870" s="142"/>
      <c r="D870" s="142"/>
      <c r="E870" s="142"/>
      <c r="F870" s="145"/>
      <c r="G870" s="19"/>
    </row>
    <row r="871" spans="1:7" ht="20.25">
      <c r="A871" s="24"/>
      <c r="B871" s="24"/>
      <c r="C871" s="142"/>
      <c r="D871" s="142"/>
      <c r="E871" s="142"/>
      <c r="F871" s="145"/>
      <c r="G871" s="19"/>
    </row>
    <row r="872" spans="1:7" ht="20.25">
      <c r="A872" s="24"/>
      <c r="B872" s="24"/>
      <c r="C872" s="142"/>
      <c r="D872" s="142"/>
      <c r="E872" s="142"/>
      <c r="F872" s="145"/>
      <c r="G872" s="19"/>
    </row>
    <row r="873" spans="1:7" ht="20.25">
      <c r="A873" s="24"/>
      <c r="B873" s="24"/>
      <c r="C873" s="142"/>
      <c r="D873" s="142"/>
      <c r="E873" s="142"/>
      <c r="F873" s="145"/>
      <c r="G873" s="19"/>
    </row>
    <row r="874" spans="1:7" ht="20.25">
      <c r="A874" s="24"/>
      <c r="B874" s="24"/>
      <c r="C874" s="142"/>
      <c r="D874" s="142"/>
      <c r="E874" s="142"/>
      <c r="F874" s="145"/>
      <c r="G874" s="19"/>
    </row>
    <row r="875" spans="1:7" ht="20.25">
      <c r="A875" s="24"/>
      <c r="B875" s="24"/>
      <c r="C875" s="142"/>
      <c r="D875" s="142"/>
      <c r="E875" s="142"/>
      <c r="F875" s="145"/>
      <c r="G875" s="19"/>
    </row>
    <row r="876" spans="1:7" ht="20.25">
      <c r="A876" s="24"/>
      <c r="B876" s="24"/>
      <c r="C876" s="142"/>
      <c r="D876" s="142"/>
      <c r="E876" s="142"/>
      <c r="F876" s="145"/>
      <c r="G876" s="19"/>
    </row>
    <row r="877" spans="1:7" ht="20.25">
      <c r="A877" s="24"/>
      <c r="B877" s="24"/>
      <c r="C877" s="142"/>
      <c r="D877" s="142"/>
      <c r="E877" s="142"/>
      <c r="F877" s="145"/>
      <c r="G877" s="19"/>
    </row>
    <row r="878" spans="1:7" ht="20.25">
      <c r="A878" s="24"/>
      <c r="B878" s="24"/>
      <c r="C878" s="142"/>
      <c r="D878" s="142"/>
      <c r="E878" s="142"/>
      <c r="F878" s="145"/>
      <c r="G878" s="19"/>
    </row>
    <row r="879" spans="1:7" ht="20.25">
      <c r="A879" s="24"/>
      <c r="B879" s="24"/>
      <c r="C879" s="142"/>
      <c r="D879" s="142"/>
      <c r="E879" s="142"/>
      <c r="F879" s="145"/>
      <c r="G879" s="19"/>
    </row>
    <row r="880" spans="1:7" ht="20.25">
      <c r="A880" s="24"/>
      <c r="B880" s="24"/>
      <c r="C880" s="142"/>
      <c r="D880" s="142"/>
      <c r="E880" s="142"/>
      <c r="F880" s="145"/>
      <c r="G880" s="19"/>
    </row>
    <row r="881" spans="1:7" ht="20.25">
      <c r="A881" s="24"/>
      <c r="B881" s="24"/>
      <c r="C881" s="142"/>
      <c r="D881" s="142"/>
      <c r="E881" s="142"/>
      <c r="F881" s="145"/>
      <c r="G881" s="19"/>
    </row>
    <row r="882" spans="1:7" ht="20.25">
      <c r="A882" s="24"/>
      <c r="B882" s="24"/>
      <c r="C882" s="142"/>
      <c r="D882" s="142"/>
      <c r="E882" s="142"/>
      <c r="F882" s="145"/>
      <c r="G882" s="19"/>
    </row>
    <row r="883" spans="1:7" ht="20.25">
      <c r="A883" s="24"/>
      <c r="B883" s="24"/>
      <c r="C883" s="142"/>
      <c r="D883" s="142"/>
      <c r="E883" s="142"/>
      <c r="F883" s="145"/>
      <c r="G883" s="19"/>
    </row>
    <row r="884" spans="1:7" ht="20.25">
      <c r="A884" s="24"/>
      <c r="B884" s="24"/>
      <c r="C884" s="142"/>
      <c r="D884" s="142"/>
      <c r="E884" s="142"/>
      <c r="F884" s="145"/>
      <c r="G884" s="19"/>
    </row>
    <row r="885" spans="1:7" ht="20.25">
      <c r="A885" s="24"/>
      <c r="B885" s="24"/>
      <c r="C885" s="142"/>
      <c r="D885" s="142"/>
      <c r="E885" s="142"/>
      <c r="F885" s="145"/>
      <c r="G885" s="19"/>
    </row>
    <row r="886" spans="1:7" ht="20.25">
      <c r="A886" s="24"/>
      <c r="B886" s="24"/>
      <c r="C886" s="142"/>
      <c r="D886" s="142"/>
      <c r="E886" s="142"/>
      <c r="F886" s="145"/>
      <c r="G886" s="19"/>
    </row>
    <row r="887" spans="1:7" ht="20.25">
      <c r="A887" s="24"/>
      <c r="B887" s="24"/>
      <c r="C887" s="142"/>
      <c r="D887" s="142"/>
      <c r="E887" s="142"/>
      <c r="F887" s="145"/>
      <c r="G887" s="19"/>
    </row>
    <row r="888" spans="1:7" ht="20.25">
      <c r="A888" s="24"/>
      <c r="B888" s="24"/>
      <c r="C888" s="142"/>
      <c r="D888" s="142"/>
      <c r="E888" s="142"/>
      <c r="F888" s="145"/>
      <c r="G888" s="19"/>
    </row>
    <row r="889" spans="1:7" ht="20.25">
      <c r="A889" s="24"/>
      <c r="B889" s="24"/>
      <c r="C889" s="142"/>
      <c r="D889" s="142"/>
      <c r="E889" s="142"/>
      <c r="F889" s="145"/>
      <c r="G889" s="19"/>
    </row>
    <row r="890" spans="1:7" ht="20.25">
      <c r="A890" s="24"/>
      <c r="B890" s="24"/>
      <c r="C890" s="142"/>
      <c r="D890" s="142"/>
      <c r="E890" s="142"/>
      <c r="F890" s="145"/>
      <c r="G890" s="19"/>
    </row>
    <row r="891" spans="1:7" ht="20.25">
      <c r="A891" s="24"/>
      <c r="B891" s="24"/>
      <c r="C891" s="142"/>
      <c r="D891" s="142"/>
      <c r="E891" s="142"/>
      <c r="F891" s="145"/>
      <c r="G891" s="19"/>
    </row>
    <row r="892" spans="1:7" ht="20.25">
      <c r="A892" s="24"/>
      <c r="B892" s="24"/>
      <c r="C892" s="142"/>
      <c r="D892" s="142"/>
      <c r="E892" s="142"/>
      <c r="F892" s="145"/>
      <c r="G892" s="19"/>
    </row>
    <row r="893" spans="1:7" ht="20.25">
      <c r="A893" s="24"/>
      <c r="B893" s="24"/>
      <c r="C893" s="142"/>
      <c r="D893" s="142"/>
      <c r="E893" s="142"/>
      <c r="F893" s="145"/>
      <c r="G893" s="19"/>
    </row>
    <row r="894" spans="1:7" ht="20.25">
      <c r="A894" s="24"/>
      <c r="B894" s="24"/>
      <c r="C894" s="142"/>
      <c r="D894" s="142"/>
      <c r="E894" s="142"/>
      <c r="F894" s="145"/>
      <c r="G894" s="19"/>
    </row>
    <row r="895" spans="1:7" ht="20.25">
      <c r="A895" s="24"/>
      <c r="B895" s="24"/>
      <c r="C895" s="142"/>
      <c r="D895" s="142"/>
      <c r="E895" s="142"/>
      <c r="F895" s="145"/>
      <c r="G895" s="19"/>
    </row>
    <row r="896" spans="1:7" ht="20.25">
      <c r="A896" s="24"/>
      <c r="B896" s="24"/>
      <c r="C896" s="142"/>
      <c r="D896" s="142"/>
      <c r="E896" s="142"/>
      <c r="F896" s="145"/>
      <c r="G896" s="19"/>
    </row>
    <row r="897" spans="1:7" ht="20.25">
      <c r="A897" s="24"/>
      <c r="B897" s="24"/>
      <c r="C897" s="142"/>
      <c r="D897" s="142"/>
      <c r="E897" s="142"/>
      <c r="F897" s="145"/>
      <c r="G897" s="19"/>
    </row>
    <row r="898" spans="1:7" ht="20.25">
      <c r="A898" s="24"/>
      <c r="B898" s="24"/>
      <c r="C898" s="142"/>
      <c r="D898" s="142"/>
      <c r="E898" s="142"/>
      <c r="F898" s="145"/>
      <c r="G898" s="19"/>
    </row>
    <row r="899" spans="1:7" ht="20.25">
      <c r="A899" s="24"/>
      <c r="B899" s="24"/>
      <c r="C899" s="142"/>
      <c r="D899" s="142"/>
      <c r="E899" s="142"/>
      <c r="F899" s="145"/>
      <c r="G899" s="19"/>
    </row>
    <row r="900" spans="1:7" ht="20.25">
      <c r="A900" s="24"/>
      <c r="B900" s="24"/>
      <c r="C900" s="142"/>
      <c r="D900" s="142"/>
      <c r="E900" s="142"/>
      <c r="F900" s="145"/>
      <c r="G900" s="19"/>
    </row>
    <row r="901" spans="1:7" ht="20.25">
      <c r="A901" s="24"/>
      <c r="B901" s="24"/>
      <c r="C901" s="142"/>
      <c r="D901" s="142"/>
      <c r="E901" s="142"/>
      <c r="F901" s="145"/>
      <c r="G901" s="19"/>
    </row>
    <row r="902" spans="1:7" ht="20.25">
      <c r="A902" s="24"/>
      <c r="B902" s="24"/>
      <c r="C902" s="142"/>
      <c r="D902" s="142"/>
      <c r="E902" s="142"/>
      <c r="F902" s="145"/>
      <c r="G902" s="19"/>
    </row>
    <row r="903" spans="1:7" ht="20.25">
      <c r="A903" s="24"/>
      <c r="B903" s="24"/>
      <c r="C903" s="142"/>
      <c r="D903" s="142"/>
      <c r="E903" s="142"/>
      <c r="F903" s="145"/>
      <c r="G903" s="19"/>
    </row>
    <row r="904" spans="1:7" ht="20.25">
      <c r="A904" s="24"/>
      <c r="B904" s="24"/>
      <c r="C904" s="142"/>
      <c r="D904" s="142"/>
      <c r="E904" s="142"/>
      <c r="F904" s="145"/>
      <c r="G904" s="19"/>
    </row>
    <row r="905" spans="1:7" ht="20.25">
      <c r="A905" s="24"/>
      <c r="B905" s="24"/>
      <c r="C905" s="142"/>
      <c r="D905" s="142"/>
      <c r="E905" s="142"/>
      <c r="F905" s="145"/>
      <c r="G905" s="19"/>
    </row>
    <row r="906" spans="1:7" ht="20.25">
      <c r="A906" s="24"/>
      <c r="B906" s="24"/>
      <c r="C906" s="142"/>
      <c r="D906" s="142"/>
      <c r="E906" s="142"/>
      <c r="F906" s="145"/>
      <c r="G906" s="19"/>
    </row>
    <row r="907" spans="1:7" ht="20.25">
      <c r="A907" s="24"/>
      <c r="B907" s="24"/>
      <c r="C907" s="142"/>
      <c r="D907" s="142"/>
      <c r="E907" s="142"/>
      <c r="F907" s="145"/>
      <c r="G907" s="19"/>
    </row>
    <row r="908" spans="1:7" ht="20.25">
      <c r="A908" s="24"/>
      <c r="B908" s="24"/>
      <c r="C908" s="142"/>
      <c r="D908" s="142"/>
      <c r="E908" s="142"/>
      <c r="F908" s="145"/>
      <c r="G908" s="19"/>
    </row>
    <row r="909" spans="1:7" ht="20.25">
      <c r="A909" s="24"/>
      <c r="B909" s="24"/>
      <c r="C909" s="142"/>
      <c r="D909" s="142"/>
      <c r="E909" s="142"/>
      <c r="F909" s="145"/>
      <c r="G909" s="19"/>
    </row>
    <row r="910" spans="1:7" ht="20.25">
      <c r="A910" s="24"/>
      <c r="B910" s="24"/>
      <c r="C910" s="142"/>
      <c r="D910" s="142"/>
      <c r="E910" s="142"/>
      <c r="F910" s="145"/>
      <c r="G910" s="19"/>
    </row>
    <row r="911" spans="1:7" ht="20.25">
      <c r="A911" s="24"/>
      <c r="B911" s="24"/>
      <c r="C911" s="142"/>
      <c r="D911" s="142"/>
      <c r="E911" s="142"/>
      <c r="F911" s="145"/>
      <c r="G911" s="19"/>
    </row>
    <row r="912" spans="1:7" ht="20.25">
      <c r="A912" s="24"/>
      <c r="B912" s="24"/>
      <c r="C912" s="142"/>
      <c r="D912" s="142"/>
      <c r="E912" s="142"/>
      <c r="F912" s="145"/>
      <c r="G912" s="19"/>
    </row>
    <row r="913" spans="1:7" ht="20.25">
      <c r="A913" s="24"/>
      <c r="B913" s="24"/>
      <c r="C913" s="142"/>
      <c r="D913" s="142"/>
      <c r="E913" s="142"/>
      <c r="F913" s="145"/>
      <c r="G913" s="19"/>
    </row>
    <row r="914" spans="1:7" ht="20.25">
      <c r="A914" s="24"/>
      <c r="B914" s="24"/>
      <c r="C914" s="142"/>
      <c r="D914" s="142"/>
      <c r="E914" s="142"/>
      <c r="F914" s="145"/>
      <c r="G914" s="19"/>
    </row>
    <row r="915" spans="1:7" ht="20.25">
      <c r="A915" s="24"/>
      <c r="B915" s="24"/>
      <c r="C915" s="142"/>
      <c r="D915" s="142"/>
      <c r="E915" s="142"/>
      <c r="F915" s="145"/>
      <c r="G915" s="19"/>
    </row>
    <row r="916" spans="1:7" ht="20.25">
      <c r="A916" s="24"/>
      <c r="B916" s="24"/>
      <c r="C916" s="142"/>
      <c r="D916" s="142"/>
      <c r="E916" s="142"/>
      <c r="F916" s="145"/>
      <c r="G916" s="19"/>
    </row>
    <row r="917" spans="1:7" ht="20.25">
      <c r="A917" s="24"/>
      <c r="B917" s="24"/>
      <c r="C917" s="142"/>
      <c r="D917" s="142"/>
      <c r="E917" s="142"/>
      <c r="F917" s="145"/>
      <c r="G917" s="19"/>
    </row>
    <row r="918" spans="1:7" ht="20.25">
      <c r="A918" s="24"/>
      <c r="B918" s="24"/>
      <c r="C918" s="142"/>
      <c r="D918" s="142"/>
      <c r="E918" s="142"/>
      <c r="F918" s="145"/>
      <c r="G918" s="19"/>
    </row>
    <row r="919" spans="1:7" ht="20.25">
      <c r="A919" s="24"/>
      <c r="B919" s="24"/>
      <c r="C919" s="142"/>
      <c r="D919" s="142"/>
      <c r="E919" s="142"/>
      <c r="F919" s="145"/>
      <c r="G919" s="19"/>
    </row>
    <row r="920" spans="1:7" ht="20.25">
      <c r="A920" s="24"/>
      <c r="B920" s="24"/>
      <c r="C920" s="142"/>
      <c r="D920" s="142"/>
      <c r="E920" s="142"/>
      <c r="F920" s="145"/>
      <c r="G920" s="19"/>
    </row>
    <row r="921" spans="1:7" ht="20.25">
      <c r="A921" s="24"/>
      <c r="B921" s="24"/>
      <c r="C921" s="142"/>
      <c r="D921" s="142"/>
      <c r="E921" s="142"/>
      <c r="F921" s="145"/>
      <c r="G921" s="19"/>
    </row>
    <row r="922" spans="1:7" ht="20.25">
      <c r="A922" s="24"/>
      <c r="B922" s="24"/>
      <c r="C922" s="142"/>
      <c r="D922" s="142"/>
      <c r="E922" s="142"/>
      <c r="F922" s="145"/>
      <c r="G922" s="19"/>
    </row>
    <row r="923" spans="1:7" ht="20.25">
      <c r="A923" s="24"/>
      <c r="B923" s="24"/>
      <c r="C923" s="142"/>
      <c r="D923" s="142"/>
      <c r="E923" s="142"/>
      <c r="F923" s="145"/>
      <c r="G923" s="19"/>
    </row>
    <row r="924" spans="1:7" ht="20.25">
      <c r="A924" s="24"/>
      <c r="B924" s="24"/>
      <c r="C924" s="142"/>
      <c r="D924" s="142"/>
      <c r="E924" s="142"/>
      <c r="F924" s="145"/>
      <c r="G924" s="19"/>
    </row>
    <row r="925" spans="1:7" ht="20.25">
      <c r="A925" s="24"/>
      <c r="B925" s="24"/>
      <c r="C925" s="142"/>
      <c r="D925" s="142"/>
      <c r="E925" s="142"/>
      <c r="F925" s="145"/>
      <c r="G925" s="19"/>
    </row>
    <row r="926" spans="1:7" ht="20.25">
      <c r="A926" s="24"/>
      <c r="B926" s="24"/>
      <c r="C926" s="142"/>
      <c r="D926" s="142"/>
      <c r="E926" s="142"/>
      <c r="F926" s="145"/>
      <c r="G926" s="19"/>
    </row>
    <row r="927" spans="1:7" ht="20.25">
      <c r="A927" s="24"/>
      <c r="B927" s="24"/>
      <c r="C927" s="142"/>
      <c r="D927" s="142"/>
      <c r="E927" s="142"/>
      <c r="F927" s="145"/>
      <c r="G927" s="19"/>
    </row>
    <row r="928" spans="1:7" ht="20.25">
      <c r="A928" s="24"/>
      <c r="B928" s="24"/>
      <c r="C928" s="142"/>
      <c r="D928" s="142"/>
      <c r="E928" s="142"/>
      <c r="F928" s="145"/>
      <c r="G928" s="19"/>
    </row>
    <row r="929" spans="1:7" ht="20.25">
      <c r="A929" s="24"/>
      <c r="B929" s="24"/>
      <c r="C929" s="142"/>
      <c r="D929" s="142"/>
      <c r="E929" s="142"/>
      <c r="F929" s="145"/>
      <c r="G929" s="19"/>
    </row>
    <row r="930" spans="1:7" ht="20.25">
      <c r="A930" s="24"/>
      <c r="B930" s="24"/>
      <c r="C930" s="142"/>
      <c r="D930" s="142"/>
      <c r="E930" s="142"/>
      <c r="F930" s="145"/>
      <c r="G930" s="19"/>
    </row>
    <row r="931" spans="1:7" ht="20.25">
      <c r="A931" s="24"/>
      <c r="B931" s="24"/>
      <c r="C931" s="142"/>
      <c r="D931" s="142"/>
      <c r="E931" s="142"/>
      <c r="F931" s="145"/>
      <c r="G931" s="19"/>
    </row>
    <row r="932" spans="1:7" ht="20.25">
      <c r="A932" s="24"/>
      <c r="B932" s="24"/>
      <c r="C932" s="142"/>
      <c r="D932" s="142"/>
      <c r="E932" s="142"/>
      <c r="F932" s="145"/>
      <c r="G932" s="19"/>
    </row>
    <row r="933" spans="1:7" ht="20.25">
      <c r="A933" s="24"/>
      <c r="B933" s="24"/>
      <c r="C933" s="142"/>
      <c r="D933" s="142"/>
      <c r="E933" s="142"/>
      <c r="F933" s="145"/>
      <c r="G933" s="19"/>
    </row>
    <row r="934" spans="1:7" ht="20.25">
      <c r="A934" s="24"/>
      <c r="B934" s="24"/>
      <c r="C934" s="142"/>
      <c r="D934" s="142"/>
      <c r="E934" s="142"/>
      <c r="F934" s="145"/>
      <c r="G934" s="19"/>
    </row>
    <row r="935" spans="1:7" ht="20.25">
      <c r="A935" s="24"/>
      <c r="B935" s="24"/>
      <c r="C935" s="142"/>
      <c r="D935" s="142"/>
      <c r="E935" s="142"/>
      <c r="F935" s="145"/>
      <c r="G935" s="19"/>
    </row>
    <row r="936" spans="1:7" ht="20.25">
      <c r="A936" s="24"/>
      <c r="B936" s="24"/>
      <c r="C936" s="142"/>
      <c r="D936" s="142"/>
      <c r="E936" s="142"/>
      <c r="F936" s="145"/>
      <c r="G936" s="19"/>
    </row>
    <row r="937" spans="1:7" ht="20.25">
      <c r="A937" s="24"/>
      <c r="B937" s="24"/>
      <c r="C937" s="142"/>
      <c r="D937" s="142"/>
      <c r="E937" s="142"/>
      <c r="F937" s="145"/>
      <c r="G937" s="19"/>
    </row>
    <row r="938" spans="1:7" ht="20.25">
      <c r="A938" s="24"/>
      <c r="B938" s="24"/>
      <c r="C938" s="142"/>
      <c r="D938" s="142"/>
      <c r="E938" s="142"/>
      <c r="F938" s="145"/>
      <c r="G938" s="19"/>
    </row>
    <row r="939" spans="1:7" ht="20.25">
      <c r="A939" s="24"/>
      <c r="B939" s="24"/>
      <c r="C939" s="142"/>
      <c r="D939" s="142"/>
      <c r="E939" s="142"/>
      <c r="F939" s="145"/>
      <c r="G939" s="19"/>
    </row>
    <row r="940" spans="1:7" ht="20.25">
      <c r="A940" s="24"/>
      <c r="B940" s="24"/>
      <c r="C940" s="142"/>
      <c r="D940" s="142"/>
      <c r="E940" s="142"/>
      <c r="F940" s="145"/>
      <c r="G940" s="19"/>
    </row>
    <row r="941" spans="1:7" ht="20.25">
      <c r="A941" s="24"/>
      <c r="B941" s="24"/>
      <c r="C941" s="142"/>
      <c r="D941" s="142"/>
      <c r="E941" s="142"/>
      <c r="F941" s="145"/>
      <c r="G941" s="19"/>
    </row>
    <row r="942" spans="1:7" ht="20.25">
      <c r="A942" s="24"/>
      <c r="B942" s="24"/>
      <c r="C942" s="142"/>
      <c r="D942" s="142"/>
      <c r="E942" s="142"/>
      <c r="F942" s="145"/>
      <c r="G942" s="19"/>
    </row>
    <row r="943" spans="1:7" ht="20.25">
      <c r="A943" s="24"/>
      <c r="B943" s="24"/>
      <c r="C943" s="142"/>
      <c r="D943" s="142"/>
      <c r="E943" s="142"/>
      <c r="F943" s="145"/>
      <c r="G943" s="19"/>
    </row>
    <row r="944" spans="1:7" ht="20.25">
      <c r="A944" s="24"/>
      <c r="B944" s="24"/>
      <c r="C944" s="142"/>
      <c r="D944" s="142"/>
      <c r="E944" s="142"/>
      <c r="F944" s="145"/>
      <c r="G944" s="19"/>
    </row>
    <row r="945" spans="1:7" ht="20.25">
      <c r="A945" s="24"/>
      <c r="B945" s="24"/>
      <c r="C945" s="142"/>
      <c r="D945" s="142"/>
      <c r="E945" s="142"/>
      <c r="F945" s="145"/>
      <c r="G945" s="19"/>
    </row>
    <row r="946" spans="1:7" ht="20.25">
      <c r="A946" s="24"/>
      <c r="B946" s="24"/>
      <c r="C946" s="142"/>
      <c r="D946" s="142"/>
      <c r="E946" s="142"/>
      <c r="F946" s="145"/>
      <c r="G946" s="19"/>
    </row>
    <row r="947" spans="1:7" ht="20.25">
      <c r="A947" s="24"/>
      <c r="B947" s="24"/>
      <c r="C947" s="142"/>
      <c r="D947" s="142"/>
      <c r="E947" s="142"/>
      <c r="F947" s="145"/>
      <c r="G947" s="19"/>
    </row>
    <row r="948" spans="1:7" ht="20.25">
      <c r="A948" s="24"/>
      <c r="B948" s="24"/>
      <c r="C948" s="142"/>
      <c r="D948" s="142"/>
      <c r="E948" s="142"/>
      <c r="F948" s="145"/>
      <c r="G948" s="19"/>
    </row>
    <row r="949" spans="1:7" ht="20.25">
      <c r="A949" s="24"/>
      <c r="B949" s="24"/>
      <c r="C949" s="142"/>
      <c r="D949" s="142"/>
      <c r="E949" s="142"/>
      <c r="F949" s="145"/>
      <c r="G949" s="19"/>
    </row>
    <row r="950" spans="1:7" ht="20.25">
      <c r="A950" s="24"/>
      <c r="B950" s="24"/>
      <c r="C950" s="142"/>
      <c r="D950" s="142"/>
      <c r="E950" s="142"/>
      <c r="F950" s="145"/>
      <c r="G950" s="19"/>
    </row>
    <row r="951" spans="1:7" ht="20.25">
      <c r="A951" s="24"/>
      <c r="B951" s="24"/>
      <c r="C951" s="142"/>
      <c r="D951" s="142"/>
      <c r="E951" s="142"/>
      <c r="F951" s="145"/>
      <c r="G951" s="19"/>
    </row>
    <row r="952" spans="1:7" ht="20.25">
      <c r="A952" s="24"/>
      <c r="B952" s="24"/>
      <c r="C952" s="142"/>
      <c r="D952" s="142"/>
      <c r="E952" s="142"/>
      <c r="F952" s="145"/>
      <c r="G952" s="19"/>
    </row>
    <row r="953" spans="1:7" ht="20.25">
      <c r="A953" s="24"/>
      <c r="B953" s="24"/>
      <c r="C953" s="142"/>
      <c r="D953" s="142"/>
      <c r="E953" s="142"/>
      <c r="F953" s="145"/>
      <c r="G953" s="19"/>
    </row>
    <row r="954" spans="1:7" ht="20.25">
      <c r="A954" s="24"/>
      <c r="B954" s="24"/>
      <c r="C954" s="142"/>
      <c r="D954" s="142"/>
      <c r="E954" s="142"/>
      <c r="F954" s="145"/>
      <c r="G954" s="19"/>
    </row>
    <row r="955" spans="1:7" ht="20.25">
      <c r="A955" s="24"/>
      <c r="B955" s="24"/>
      <c r="C955" s="142"/>
      <c r="D955" s="142"/>
      <c r="E955" s="142"/>
      <c r="F955" s="145"/>
      <c r="G955" s="19"/>
    </row>
    <row r="956" spans="1:7" ht="20.25">
      <c r="A956" s="24"/>
      <c r="B956" s="24"/>
      <c r="C956" s="142"/>
      <c r="D956" s="142"/>
      <c r="E956" s="142"/>
      <c r="F956" s="145"/>
      <c r="G956" s="19"/>
    </row>
    <row r="957" spans="1:7" ht="20.25">
      <c r="A957" s="24"/>
      <c r="B957" s="24"/>
      <c r="C957" s="142"/>
      <c r="D957" s="142"/>
      <c r="E957" s="142"/>
      <c r="F957" s="145"/>
      <c r="G957" s="19"/>
    </row>
    <row r="958" spans="1:7" ht="20.25">
      <c r="A958" s="24"/>
      <c r="B958" s="24"/>
      <c r="C958" s="142"/>
      <c r="D958" s="142"/>
      <c r="E958" s="142"/>
      <c r="F958" s="145"/>
      <c r="G958" s="19"/>
    </row>
    <row r="959" spans="1:7" ht="20.25">
      <c r="A959" s="24"/>
      <c r="B959" s="24"/>
      <c r="C959" s="142"/>
      <c r="D959" s="142"/>
      <c r="E959" s="142"/>
      <c r="F959" s="145"/>
      <c r="G959" s="19"/>
    </row>
    <row r="960" spans="1:7" ht="20.25">
      <c r="A960" s="24"/>
      <c r="B960" s="24"/>
      <c r="C960" s="142"/>
      <c r="D960" s="142"/>
      <c r="E960" s="142"/>
      <c r="F960" s="145"/>
      <c r="G960" s="19"/>
    </row>
    <row r="961" spans="1:7" ht="20.25">
      <c r="A961" s="24"/>
      <c r="B961" s="24"/>
      <c r="C961" s="142"/>
      <c r="D961" s="142"/>
      <c r="E961" s="142"/>
      <c r="F961" s="145"/>
      <c r="G961" s="19"/>
    </row>
    <row r="962" spans="1:7" ht="20.25">
      <c r="A962" s="24"/>
      <c r="B962" s="24"/>
      <c r="C962" s="142"/>
      <c r="D962" s="142"/>
      <c r="E962" s="142"/>
      <c r="F962" s="145"/>
      <c r="G962" s="19"/>
    </row>
    <row r="963" spans="1:7" ht="20.25">
      <c r="A963" s="24"/>
      <c r="B963" s="24"/>
      <c r="C963" s="142"/>
      <c r="D963" s="142"/>
      <c r="E963" s="142"/>
      <c r="F963" s="145"/>
      <c r="G963" s="19"/>
    </row>
    <row r="964" spans="1:7" ht="20.25">
      <c r="A964" s="24"/>
      <c r="B964" s="24"/>
      <c r="C964" s="142"/>
      <c r="D964" s="142"/>
      <c r="E964" s="142"/>
      <c r="F964" s="145"/>
      <c r="G964" s="19"/>
    </row>
    <row r="965" spans="1:7" ht="20.25">
      <c r="A965" s="24"/>
      <c r="B965" s="24"/>
      <c r="C965" s="142"/>
      <c r="D965" s="142"/>
      <c r="E965" s="142"/>
      <c r="F965" s="145"/>
      <c r="G965" s="19"/>
    </row>
    <row r="966" spans="1:7" ht="20.25">
      <c r="A966" s="24"/>
      <c r="B966" s="24"/>
      <c r="C966" s="142"/>
      <c r="D966" s="142"/>
      <c r="E966" s="142"/>
      <c r="F966" s="145"/>
      <c r="G966" s="19"/>
    </row>
    <row r="967" spans="1:7" ht="20.25">
      <c r="A967" s="24"/>
      <c r="B967" s="24"/>
      <c r="C967" s="142"/>
      <c r="D967" s="142"/>
      <c r="E967" s="142"/>
      <c r="F967" s="145"/>
      <c r="G967" s="19"/>
    </row>
    <row r="968" spans="1:7" ht="20.25">
      <c r="A968" s="24"/>
      <c r="B968" s="24"/>
      <c r="C968" s="142"/>
      <c r="D968" s="142"/>
      <c r="E968" s="142"/>
      <c r="F968" s="145"/>
      <c r="G968" s="19"/>
    </row>
    <row r="969" spans="1:7" ht="20.25">
      <c r="A969" s="24"/>
      <c r="B969" s="24"/>
      <c r="C969" s="142"/>
      <c r="D969" s="142"/>
      <c r="E969" s="142"/>
      <c r="F969" s="145"/>
      <c r="G969" s="19"/>
    </row>
    <row r="970" spans="1:7" ht="20.25">
      <c r="A970" s="24"/>
      <c r="B970" s="24"/>
      <c r="C970" s="142"/>
      <c r="D970" s="142"/>
      <c r="E970" s="142"/>
      <c r="F970" s="145"/>
      <c r="G970" s="19"/>
    </row>
    <row r="971" spans="1:7" ht="20.25">
      <c r="A971" s="24"/>
      <c r="B971" s="24"/>
      <c r="C971" s="142"/>
      <c r="D971" s="142"/>
      <c r="E971" s="142"/>
      <c r="F971" s="145"/>
      <c r="G971" s="19"/>
    </row>
    <row r="972" spans="1:7" ht="20.25">
      <c r="A972" s="24"/>
      <c r="B972" s="24"/>
      <c r="C972" s="142"/>
      <c r="D972" s="142"/>
      <c r="E972" s="142"/>
      <c r="F972" s="145"/>
      <c r="G972" s="19"/>
    </row>
    <row r="973" spans="1:7" ht="20.25">
      <c r="A973" s="24"/>
      <c r="B973" s="24"/>
      <c r="C973" s="142"/>
      <c r="D973" s="142"/>
      <c r="E973" s="142"/>
      <c r="F973" s="145"/>
      <c r="G973" s="19"/>
    </row>
    <row r="974" spans="1:7" ht="20.25">
      <c r="A974" s="24"/>
      <c r="B974" s="24"/>
      <c r="C974" s="142"/>
      <c r="D974" s="142"/>
      <c r="E974" s="142"/>
      <c r="F974" s="145"/>
      <c r="G974" s="19"/>
    </row>
    <row r="975" spans="1:7" ht="20.25">
      <c r="A975" s="24"/>
      <c r="B975" s="24"/>
      <c r="C975" s="142"/>
      <c r="D975" s="142"/>
      <c r="E975" s="142"/>
      <c r="F975" s="145"/>
      <c r="G975" s="19"/>
    </row>
    <row r="976" spans="1:7" ht="20.25">
      <c r="A976" s="24"/>
      <c r="B976" s="24"/>
      <c r="C976" s="142"/>
      <c r="D976" s="142"/>
      <c r="E976" s="142"/>
      <c r="F976" s="145"/>
      <c r="G976" s="19"/>
    </row>
    <row r="977" spans="1:7" ht="20.25">
      <c r="A977" s="24"/>
      <c r="B977" s="24"/>
      <c r="C977" s="142"/>
      <c r="D977" s="142"/>
      <c r="E977" s="142"/>
      <c r="F977" s="145"/>
      <c r="G977" s="19"/>
    </row>
    <row r="978" spans="1:7" ht="20.25">
      <c r="A978" s="24"/>
      <c r="B978" s="24"/>
      <c r="C978" s="142"/>
      <c r="D978" s="142"/>
      <c r="E978" s="142"/>
      <c r="F978" s="145"/>
      <c r="G978" s="19"/>
    </row>
    <row r="979" spans="1:7" ht="20.25">
      <c r="A979" s="24"/>
      <c r="B979" s="24"/>
      <c r="C979" s="142"/>
      <c r="D979" s="142"/>
      <c r="E979" s="142"/>
      <c r="F979" s="145"/>
      <c r="G979" s="19"/>
    </row>
    <row r="980" spans="1:7" ht="20.25">
      <c r="A980" s="24"/>
      <c r="B980" s="24"/>
      <c r="C980" s="142"/>
      <c r="D980" s="142"/>
      <c r="E980" s="142"/>
      <c r="F980" s="145"/>
      <c r="G980" s="19"/>
    </row>
    <row r="981" spans="1:7" ht="20.25">
      <c r="A981" s="24"/>
      <c r="B981" s="24"/>
      <c r="C981" s="142"/>
      <c r="D981" s="142"/>
      <c r="E981" s="142"/>
      <c r="F981" s="145"/>
      <c r="G981" s="19"/>
    </row>
    <row r="982" spans="1:7" ht="20.25">
      <c r="A982" s="24"/>
      <c r="B982" s="24"/>
      <c r="C982" s="142"/>
      <c r="D982" s="142"/>
      <c r="E982" s="142"/>
      <c r="F982" s="145"/>
      <c r="G982" s="19"/>
    </row>
    <row r="983" spans="1:7" ht="20.25">
      <c r="A983" s="24"/>
      <c r="B983" s="24"/>
      <c r="C983" s="142"/>
      <c r="D983" s="142"/>
      <c r="E983" s="142"/>
      <c r="F983" s="145"/>
      <c r="G983" s="19"/>
    </row>
    <row r="984" spans="1:7" ht="20.25">
      <c r="A984" s="24"/>
      <c r="B984" s="24"/>
      <c r="C984" s="142"/>
      <c r="D984" s="142"/>
      <c r="E984" s="142"/>
      <c r="F984" s="145"/>
      <c r="G984" s="19"/>
    </row>
    <row r="985" spans="1:7" ht="20.25">
      <c r="A985" s="24"/>
      <c r="B985" s="24"/>
      <c r="C985" s="142"/>
      <c r="D985" s="142"/>
      <c r="E985" s="142"/>
      <c r="F985" s="145"/>
      <c r="G985" s="19"/>
    </row>
    <row r="986" spans="1:7" ht="20.25">
      <c r="A986" s="24"/>
      <c r="B986" s="24"/>
      <c r="C986" s="142"/>
      <c r="D986" s="142"/>
      <c r="E986" s="142"/>
      <c r="F986" s="145"/>
      <c r="G986" s="19"/>
    </row>
    <row r="987" spans="1:7" ht="20.25">
      <c r="A987" s="24"/>
      <c r="B987" s="24"/>
      <c r="C987" s="142"/>
      <c r="D987" s="142"/>
      <c r="E987" s="142"/>
      <c r="F987" s="145"/>
      <c r="G987" s="19"/>
    </row>
    <row r="988" spans="1:7" ht="20.25">
      <c r="A988" s="24"/>
      <c r="B988" s="24"/>
      <c r="C988" s="142"/>
      <c r="D988" s="142"/>
      <c r="E988" s="142"/>
      <c r="F988" s="145"/>
      <c r="G988" s="19"/>
    </row>
    <row r="989" spans="1:7" ht="20.25">
      <c r="A989" s="24"/>
      <c r="B989" s="24"/>
      <c r="C989" s="142"/>
      <c r="D989" s="142"/>
      <c r="E989" s="142"/>
      <c r="F989" s="145"/>
      <c r="G989" s="19"/>
    </row>
    <row r="990" spans="1:7" ht="20.25">
      <c r="A990" s="24"/>
      <c r="B990" s="24"/>
      <c r="C990" s="142"/>
      <c r="D990" s="142"/>
      <c r="E990" s="142"/>
      <c r="F990" s="145"/>
      <c r="G990" s="19"/>
    </row>
    <row r="991" spans="1:7" ht="20.25">
      <c r="A991" s="24"/>
      <c r="B991" s="24"/>
      <c r="C991" s="142"/>
      <c r="D991" s="142"/>
      <c r="E991" s="142"/>
      <c r="F991" s="145"/>
      <c r="G991" s="19"/>
    </row>
    <row r="992" spans="1:7" ht="20.25">
      <c r="A992" s="24"/>
      <c r="B992" s="24"/>
      <c r="C992" s="142"/>
      <c r="D992" s="142"/>
      <c r="E992" s="142"/>
      <c r="F992" s="145"/>
      <c r="G992" s="19"/>
    </row>
    <row r="993" spans="1:7" ht="20.25">
      <c r="A993" s="24"/>
      <c r="B993" s="24"/>
      <c r="C993" s="142"/>
      <c r="D993" s="142"/>
      <c r="E993" s="142"/>
      <c r="F993" s="145"/>
      <c r="G993" s="19"/>
    </row>
    <row r="994" spans="1:7" ht="20.25">
      <c r="A994" s="24"/>
      <c r="B994" s="24"/>
      <c r="C994" s="142"/>
      <c r="D994" s="142"/>
      <c r="E994" s="142"/>
      <c r="F994" s="145"/>
      <c r="G994" s="19"/>
    </row>
    <row r="995" spans="1:7" ht="20.25">
      <c r="A995" s="24"/>
      <c r="B995" s="24"/>
      <c r="C995" s="142"/>
      <c r="D995" s="142"/>
      <c r="E995" s="142"/>
      <c r="F995" s="145"/>
      <c r="G995" s="19"/>
    </row>
    <row r="996" spans="1:7" ht="20.25">
      <c r="A996" s="24"/>
      <c r="B996" s="24"/>
      <c r="C996" s="142"/>
      <c r="D996" s="142"/>
      <c r="E996" s="142"/>
      <c r="F996" s="145"/>
      <c r="G996" s="19"/>
    </row>
    <row r="997" spans="1:7" ht="20.25">
      <c r="A997" s="24"/>
      <c r="B997" s="24"/>
      <c r="C997" s="142"/>
      <c r="D997" s="142"/>
      <c r="E997" s="142"/>
      <c r="F997" s="145"/>
      <c r="G997" s="19"/>
    </row>
    <row r="998" spans="1:7" ht="20.25">
      <c r="A998" s="24"/>
      <c r="B998" s="24"/>
      <c r="C998" s="142"/>
      <c r="D998" s="142"/>
      <c r="E998" s="142"/>
      <c r="F998" s="145"/>
      <c r="G998" s="19"/>
    </row>
    <row r="999" spans="1:7" ht="20.25">
      <c r="A999" s="24"/>
      <c r="B999" s="24"/>
      <c r="C999" s="142"/>
      <c r="D999" s="142"/>
      <c r="E999" s="142"/>
      <c r="F999" s="145"/>
      <c r="G999" s="19"/>
    </row>
    <row r="1000" spans="1:7" ht="20.25">
      <c r="A1000" s="24"/>
      <c r="B1000" s="24"/>
      <c r="C1000" s="142"/>
      <c r="D1000" s="142"/>
      <c r="E1000" s="142"/>
      <c r="F1000" s="145"/>
      <c r="G1000" s="1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H24"/>
  <sheetViews>
    <sheetView workbookViewId="0">
      <selection activeCell="A20" sqref="A20"/>
    </sheetView>
  </sheetViews>
  <sheetFormatPr defaultRowHeight="12.75"/>
  <cols>
    <col min="1" max="1" width="15.7109375" style="81" customWidth="1"/>
    <col min="2" max="2" width="13" style="121" customWidth="1"/>
    <col min="3" max="3" width="16.7109375" style="114" customWidth="1"/>
    <col min="4" max="4" width="13.85546875" style="116" customWidth="1"/>
    <col min="5" max="5" width="14.140625" style="118" customWidth="1"/>
    <col min="6" max="6" width="26.7109375" style="108" customWidth="1"/>
    <col min="7" max="7" width="18" style="111" customWidth="1"/>
    <col min="8" max="8" width="23.5703125" customWidth="1"/>
  </cols>
  <sheetData>
    <row r="1" spans="1:8">
      <c r="F1" s="108" t="s">
        <v>453</v>
      </c>
      <c r="G1" s="111" t="s">
        <v>454</v>
      </c>
    </row>
    <row r="2" spans="1:8" ht="13.5" thickBot="1"/>
    <row r="3" spans="1:8" ht="24" thickBot="1">
      <c r="A3" s="120" t="s">
        <v>432</v>
      </c>
      <c r="B3" s="122" t="s">
        <v>429</v>
      </c>
      <c r="C3" s="115" t="s">
        <v>430</v>
      </c>
      <c r="D3" s="117" t="s">
        <v>431</v>
      </c>
      <c r="E3" s="119" t="s">
        <v>436</v>
      </c>
      <c r="F3" s="109" t="s">
        <v>435</v>
      </c>
      <c r="G3" s="112" t="s">
        <v>444</v>
      </c>
      <c r="H3" s="86" t="s">
        <v>420</v>
      </c>
    </row>
    <row r="4" spans="1:8" ht="23.25">
      <c r="A4" s="120" t="s">
        <v>434</v>
      </c>
      <c r="B4" s="122">
        <v>260</v>
      </c>
      <c r="C4" s="115">
        <v>153</v>
      </c>
      <c r="D4" s="117">
        <v>155</v>
      </c>
      <c r="E4" s="119">
        <f>B4*C4</f>
        <v>39780</v>
      </c>
      <c r="F4" s="109">
        <f>((B4*D4)*0.995)-((B4*C4)*0.995)-2</f>
        <v>515.40000000000146</v>
      </c>
      <c r="G4" s="112">
        <f>F4*0.74</f>
        <v>381.3960000000011</v>
      </c>
    </row>
    <row r="7" spans="1:8" ht="13.5" thickBot="1"/>
    <row r="8" spans="1:8" ht="24" thickBot="1">
      <c r="A8" s="120" t="s">
        <v>433</v>
      </c>
      <c r="B8" s="122" t="s">
        <v>429</v>
      </c>
      <c r="C8" s="115" t="s">
        <v>430</v>
      </c>
      <c r="D8" s="117" t="s">
        <v>431</v>
      </c>
      <c r="E8" s="119" t="s">
        <v>436</v>
      </c>
      <c r="F8" s="110" t="s">
        <v>435</v>
      </c>
      <c r="G8" s="112" t="s">
        <v>444</v>
      </c>
      <c r="H8" s="86" t="s">
        <v>420</v>
      </c>
    </row>
    <row r="9" spans="1:8" ht="24" thickBot="1">
      <c r="A9" s="120" t="s">
        <v>19</v>
      </c>
      <c r="B9" s="122">
        <v>35</v>
      </c>
      <c r="C9" s="115">
        <v>163</v>
      </c>
      <c r="D9" s="117">
        <v>180</v>
      </c>
      <c r="E9" s="119">
        <f>B9*C9</f>
        <v>5705</v>
      </c>
      <c r="F9" s="131">
        <f>((B9*D9)*0.995)-((B9*C9)*0.995)-2</f>
        <v>590.02499999999964</v>
      </c>
      <c r="G9" s="112">
        <f>F9*0.74</f>
        <v>436.6184999999997</v>
      </c>
      <c r="H9" t="s">
        <v>451</v>
      </c>
    </row>
    <row r="12" spans="1:8" ht="13.5" thickBot="1"/>
    <row r="13" spans="1:8" ht="24" thickBot="1">
      <c r="A13" s="120" t="s">
        <v>437</v>
      </c>
      <c r="B13" s="122" t="s">
        <v>429</v>
      </c>
      <c r="C13" s="115" t="s">
        <v>430</v>
      </c>
      <c r="D13" s="117" t="s">
        <v>431</v>
      </c>
      <c r="E13" s="119" t="s">
        <v>436</v>
      </c>
      <c r="F13" s="110" t="s">
        <v>435</v>
      </c>
      <c r="G13" s="112" t="s">
        <v>444</v>
      </c>
      <c r="H13" s="86" t="s">
        <v>420</v>
      </c>
    </row>
    <row r="14" spans="1:8" ht="24" thickBot="1">
      <c r="A14" s="120" t="s">
        <v>438</v>
      </c>
      <c r="B14" s="122">
        <v>87</v>
      </c>
      <c r="C14" s="115">
        <v>465</v>
      </c>
      <c r="D14" s="117">
        <v>510</v>
      </c>
      <c r="E14" s="119">
        <f>B14*C14</f>
        <v>40455</v>
      </c>
      <c r="F14" s="131">
        <f>((B14*D14)*0.995)-((B14*C14)*0.995)-2</f>
        <v>3893.4250000000029</v>
      </c>
      <c r="G14" s="112">
        <f>F14*0.74</f>
        <v>2881.1345000000019</v>
      </c>
      <c r="H14" t="s">
        <v>442</v>
      </c>
    </row>
    <row r="17" spans="1:8" ht="13.5" thickBot="1"/>
    <row r="18" spans="1:8" ht="24" thickBot="1">
      <c r="A18" s="120" t="s">
        <v>471</v>
      </c>
      <c r="B18" s="122" t="s">
        <v>429</v>
      </c>
      <c r="C18" s="115" t="s">
        <v>430</v>
      </c>
      <c r="D18" s="117" t="s">
        <v>431</v>
      </c>
      <c r="E18" s="119" t="s">
        <v>436</v>
      </c>
      <c r="F18" s="110" t="s">
        <v>435</v>
      </c>
      <c r="G18" s="113" t="s">
        <v>444</v>
      </c>
      <c r="H18" s="86" t="s">
        <v>420</v>
      </c>
    </row>
    <row r="19" spans="1:8" ht="24" thickBot="1">
      <c r="A19" s="120" t="s">
        <v>25</v>
      </c>
      <c r="B19" s="122">
        <v>250</v>
      </c>
      <c r="C19" s="115">
        <v>24</v>
      </c>
      <c r="D19" s="117">
        <v>25</v>
      </c>
      <c r="E19" s="119">
        <f>B19*C19</f>
        <v>6000</v>
      </c>
      <c r="F19" s="131">
        <f>((B19*D19)*0.995)-((B19*C19)*0.995)-2</f>
        <v>246.75</v>
      </c>
      <c r="G19" s="113">
        <f>F19*0.74</f>
        <v>182.595</v>
      </c>
    </row>
    <row r="22" spans="1:8" ht="13.5" thickBot="1"/>
    <row r="23" spans="1:8" ht="24" thickBot="1">
      <c r="A23" s="120" t="s">
        <v>472</v>
      </c>
      <c r="B23" s="122" t="s">
        <v>429</v>
      </c>
      <c r="C23" s="115" t="s">
        <v>430</v>
      </c>
      <c r="D23" s="117" t="s">
        <v>431</v>
      </c>
      <c r="E23" s="119" t="s">
        <v>436</v>
      </c>
      <c r="F23" s="110" t="s">
        <v>435</v>
      </c>
      <c r="G23" s="113" t="s">
        <v>444</v>
      </c>
      <c r="H23" s="86" t="s">
        <v>420</v>
      </c>
    </row>
    <row r="24" spans="1:8" ht="24" thickBot="1">
      <c r="A24" s="120" t="s">
        <v>27</v>
      </c>
      <c r="B24" s="122">
        <v>64</v>
      </c>
      <c r="C24" s="115">
        <v>124</v>
      </c>
      <c r="D24" s="117">
        <v>125</v>
      </c>
      <c r="E24" s="119">
        <f>B24*C24</f>
        <v>7936</v>
      </c>
      <c r="F24" s="131">
        <f>((B24*D24)*0.995)-((B24*C24)*0.995)-2</f>
        <v>61.680000000000291</v>
      </c>
      <c r="G24" s="113">
        <f>F24*0.74</f>
        <v>45.643200000000213</v>
      </c>
      <c r="H24" t="s">
        <v>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N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46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33" t="s">
        <v>1</v>
      </c>
      <c r="C1" s="42" t="s">
        <v>2</v>
      </c>
      <c r="D1" s="42" t="s">
        <v>3</v>
      </c>
      <c r="E1" s="44" t="s">
        <v>4</v>
      </c>
      <c r="F1" s="42" t="s">
        <v>5</v>
      </c>
      <c r="G1" s="42" t="s">
        <v>6</v>
      </c>
      <c r="H1" s="42" t="s">
        <v>7</v>
      </c>
      <c r="I1" s="3" t="s">
        <v>8</v>
      </c>
      <c r="J1" s="3" t="s">
        <v>9</v>
      </c>
      <c r="K1" s="43" t="s">
        <v>10</v>
      </c>
      <c r="L1" s="2" t="s">
        <v>11</v>
      </c>
      <c r="M1" s="2" t="s">
        <v>477</v>
      </c>
      <c r="N1" s="42" t="s">
        <v>12</v>
      </c>
      <c r="P1" t="s">
        <v>237</v>
      </c>
      <c r="Q1" t="s">
        <v>236</v>
      </c>
    </row>
    <row r="2" spans="1:30" ht="15.75" customHeight="1">
      <c r="A2" s="63" t="s">
        <v>257</v>
      </c>
      <c r="B2" s="6"/>
      <c r="C2" s="45" t="s">
        <v>15</v>
      </c>
      <c r="D2" s="7">
        <v>53</v>
      </c>
      <c r="E2" s="6">
        <v>45.52</v>
      </c>
      <c r="F2" s="6">
        <v>500</v>
      </c>
      <c r="G2" s="6">
        <f t="shared" ref="G2:G65" si="0">F2*D2</f>
        <v>26500</v>
      </c>
      <c r="H2" s="6"/>
      <c r="I2" s="7">
        <f>(G2-(F2*E2)+H2)</f>
        <v>3740</v>
      </c>
      <c r="J2" s="8">
        <f t="shared" ref="J2:J65" si="1">((D2*F2)+H2)/(E2*F2)-100%</f>
        <v>0.16432337434094912</v>
      </c>
      <c r="K2" s="10" t="s">
        <v>315</v>
      </c>
      <c r="L2" s="53">
        <v>43135</v>
      </c>
      <c r="M2" s="7">
        <f>12*0.79*F2*0.09</f>
        <v>426.59999999999997</v>
      </c>
      <c r="N2" s="54" t="s">
        <v>252</v>
      </c>
      <c r="P2" t="s">
        <v>238</v>
      </c>
      <c r="Q2" s="57"/>
    </row>
    <row r="3" spans="1:30" ht="15.75" customHeight="1">
      <c r="A3" s="63" t="s">
        <v>13</v>
      </c>
      <c r="B3" s="6"/>
      <c r="C3" s="45" t="s">
        <v>15</v>
      </c>
      <c r="D3" s="7">
        <v>150</v>
      </c>
      <c r="E3" s="7">
        <v>139.94</v>
      </c>
      <c r="F3" s="6">
        <v>200</v>
      </c>
      <c r="G3" s="6">
        <f t="shared" si="0"/>
        <v>30000</v>
      </c>
      <c r="H3" s="6"/>
      <c r="I3" s="7">
        <f t="shared" ref="I3:I66" si="2">(G3-(F3*E3)+H3)</f>
        <v>2012</v>
      </c>
      <c r="J3" s="8">
        <f t="shared" si="1"/>
        <v>7.1887951979419773E-2</v>
      </c>
      <c r="K3" s="10" t="s">
        <v>316</v>
      </c>
      <c r="L3" s="53">
        <v>43136</v>
      </c>
      <c r="M3" s="7">
        <f>4*1.24*F3*0.9</f>
        <v>892.80000000000007</v>
      </c>
      <c r="P3" t="s">
        <v>239</v>
      </c>
      <c r="Q3" s="64"/>
    </row>
    <row r="4" spans="1:30" ht="15">
      <c r="A4" s="63" t="s">
        <v>258</v>
      </c>
      <c r="B4" s="6"/>
      <c r="C4" s="45" t="s">
        <v>15</v>
      </c>
      <c r="D4" s="7">
        <v>227</v>
      </c>
      <c r="E4" s="7">
        <v>26.853999999999999</v>
      </c>
      <c r="F4" s="6">
        <v>50</v>
      </c>
      <c r="G4" s="6">
        <f t="shared" si="0"/>
        <v>11350</v>
      </c>
      <c r="H4" s="6"/>
      <c r="I4" s="7">
        <f t="shared" si="2"/>
        <v>10007.299999999999</v>
      </c>
      <c r="J4" s="8">
        <f t="shared" si="1"/>
        <v>7.4531168540999477</v>
      </c>
      <c r="K4" s="10" t="s">
        <v>304</v>
      </c>
      <c r="L4" s="53">
        <v>43137</v>
      </c>
      <c r="M4" s="7">
        <f>4*0.9*0.52*F4</f>
        <v>93.600000000000009</v>
      </c>
      <c r="P4" s="35" t="s">
        <v>242</v>
      </c>
      <c r="Q4" s="58"/>
    </row>
    <row r="5" spans="1:30" ht="15.75" customHeight="1">
      <c r="A5" s="63" t="s">
        <v>259</v>
      </c>
      <c r="B5" s="6"/>
      <c r="C5" s="45" t="s">
        <v>22</v>
      </c>
      <c r="D5" s="7">
        <v>60</v>
      </c>
      <c r="E5" s="7">
        <v>41</v>
      </c>
      <c r="F5" s="6">
        <f>110+590</f>
        <v>700</v>
      </c>
      <c r="G5" s="6">
        <f t="shared" si="0"/>
        <v>42000</v>
      </c>
      <c r="H5" s="6"/>
      <c r="I5" s="7">
        <f t="shared" si="2"/>
        <v>13300</v>
      </c>
      <c r="J5" s="8">
        <f t="shared" si="1"/>
        <v>0.46341463414634143</v>
      </c>
      <c r="K5" s="10" t="s">
        <v>304</v>
      </c>
      <c r="L5" s="53">
        <v>43138</v>
      </c>
      <c r="M5" s="7">
        <f>4*0.4*F5*0.9</f>
        <v>1008</v>
      </c>
      <c r="P5" t="s">
        <v>251</v>
      </c>
      <c r="Q5" s="60"/>
    </row>
    <row r="6" spans="1:30" ht="15.75" customHeight="1">
      <c r="A6" s="63" t="s">
        <v>260</v>
      </c>
      <c r="B6" s="6"/>
      <c r="C6" s="45" t="s">
        <v>15</v>
      </c>
      <c r="D6" s="7">
        <v>92</v>
      </c>
      <c r="E6" s="7">
        <v>52.72</v>
      </c>
      <c r="F6" s="6">
        <v>155</v>
      </c>
      <c r="G6" s="6">
        <f t="shared" si="0"/>
        <v>14260</v>
      </c>
      <c r="H6" s="6"/>
      <c r="I6" s="7">
        <f t="shared" si="2"/>
        <v>6088.4000000000005</v>
      </c>
      <c r="J6" s="8">
        <f t="shared" si="1"/>
        <v>0.74506828528072844</v>
      </c>
      <c r="K6" s="10" t="s">
        <v>304</v>
      </c>
      <c r="L6" s="53">
        <v>43139</v>
      </c>
      <c r="M6" s="7">
        <f>4*0.39*F6*0.9</f>
        <v>217.62</v>
      </c>
      <c r="P6" t="s">
        <v>240</v>
      </c>
      <c r="Q6" s="59"/>
    </row>
    <row r="7" spans="1:30" ht="15">
      <c r="A7" s="63" t="s">
        <v>261</v>
      </c>
      <c r="B7" s="6"/>
      <c r="C7" s="45" t="s">
        <v>22</v>
      </c>
      <c r="D7" s="7">
        <v>290</v>
      </c>
      <c r="E7" s="7">
        <v>186.01</v>
      </c>
      <c r="F7" s="6">
        <v>46</v>
      </c>
      <c r="G7" s="6">
        <f t="shared" si="0"/>
        <v>13340</v>
      </c>
      <c r="H7" s="6"/>
      <c r="I7" s="7">
        <f t="shared" si="2"/>
        <v>4783.5400000000009</v>
      </c>
      <c r="J7" s="8">
        <f t="shared" si="1"/>
        <v>0.55905596473307906</v>
      </c>
      <c r="K7" s="10" t="s">
        <v>304</v>
      </c>
      <c r="L7" s="53">
        <v>43140</v>
      </c>
      <c r="M7" s="7">
        <f>1*14*F7</f>
        <v>644</v>
      </c>
      <c r="P7" s="35" t="s">
        <v>241</v>
      </c>
      <c r="Q7" s="61"/>
    </row>
    <row r="8" spans="1:30" ht="15.75" customHeight="1">
      <c r="A8" s="63" t="s">
        <v>303</v>
      </c>
      <c r="B8" s="6"/>
      <c r="C8" s="45" t="s">
        <v>15</v>
      </c>
      <c r="D8" s="7">
        <v>48</v>
      </c>
      <c r="E8" s="6">
        <v>24.414999999999999</v>
      </c>
      <c r="F8" s="6">
        <v>168</v>
      </c>
      <c r="G8" s="6">
        <f t="shared" si="0"/>
        <v>8064</v>
      </c>
      <c r="H8" s="6"/>
      <c r="I8" s="7">
        <f t="shared" si="2"/>
        <v>3962.2799999999997</v>
      </c>
      <c r="J8" s="8">
        <f t="shared" si="1"/>
        <v>0.96600450542699146</v>
      </c>
      <c r="K8" s="10" t="s">
        <v>304</v>
      </c>
      <c r="L8" s="53">
        <v>43141</v>
      </c>
      <c r="M8" s="7">
        <v>0</v>
      </c>
    </row>
    <row r="9" spans="1:30" s="55" customFormat="1" ht="15.75" customHeight="1">
      <c r="A9" s="65" t="s">
        <v>262</v>
      </c>
      <c r="B9" s="6"/>
      <c r="C9" s="45" t="s">
        <v>22</v>
      </c>
      <c r="D9" s="7">
        <v>202</v>
      </c>
      <c r="E9" s="6">
        <v>58.96</v>
      </c>
      <c r="F9" s="6">
        <v>60</v>
      </c>
      <c r="G9" s="6">
        <f t="shared" si="0"/>
        <v>12120</v>
      </c>
      <c r="H9" s="6"/>
      <c r="I9" s="7">
        <f t="shared" si="2"/>
        <v>8582.4</v>
      </c>
      <c r="J9" s="8">
        <f t="shared" si="1"/>
        <v>2.4260515603799186</v>
      </c>
      <c r="K9" s="10" t="s">
        <v>304</v>
      </c>
      <c r="L9" s="53">
        <v>43142</v>
      </c>
      <c r="M9" s="7">
        <f>1*4*F9</f>
        <v>240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65" t="s">
        <v>121</v>
      </c>
      <c r="B10" s="6"/>
      <c r="C10" s="45" t="s">
        <v>15</v>
      </c>
      <c r="D10" s="7">
        <v>275</v>
      </c>
      <c r="E10" s="6">
        <v>196.53</v>
      </c>
      <c r="F10" s="6">
        <v>100</v>
      </c>
      <c r="G10" s="6">
        <f t="shared" si="0"/>
        <v>27500</v>
      </c>
      <c r="H10" s="6"/>
      <c r="I10" s="7">
        <f t="shared" si="2"/>
        <v>7847</v>
      </c>
      <c r="J10" s="8">
        <f t="shared" si="1"/>
        <v>0.39927746400040709</v>
      </c>
      <c r="K10" s="10" t="s">
        <v>304</v>
      </c>
      <c r="L10" s="53">
        <v>43143</v>
      </c>
      <c r="M10" s="7">
        <f>4*2.45*F10*0.9</f>
        <v>882.00000000000011</v>
      </c>
    </row>
    <row r="11" spans="1:30" ht="15">
      <c r="A11" s="65" t="s">
        <v>263</v>
      </c>
      <c r="B11" s="6"/>
      <c r="C11" s="45" t="s">
        <v>22</v>
      </c>
      <c r="D11" s="7">
        <v>14</v>
      </c>
      <c r="E11" s="7">
        <v>10.031700000000001</v>
      </c>
      <c r="F11" s="6">
        <v>1448.34</v>
      </c>
      <c r="G11" s="14">
        <f t="shared" si="0"/>
        <v>20276.759999999998</v>
      </c>
      <c r="H11" s="6"/>
      <c r="I11" s="7">
        <f t="shared" si="2"/>
        <v>5747.4476219999979</v>
      </c>
      <c r="J11" s="8">
        <f t="shared" si="1"/>
        <v>0.39557602400390746</v>
      </c>
      <c r="K11" s="10" t="s">
        <v>304</v>
      </c>
      <c r="L11" s="53">
        <v>43144</v>
      </c>
      <c r="M11" s="7">
        <f>0.85*0.558*F11</f>
        <v>686.94766200000004</v>
      </c>
    </row>
    <row r="12" spans="1:30" s="56" customFormat="1" ht="15.75" customHeight="1">
      <c r="A12" s="65" t="s">
        <v>256</v>
      </c>
      <c r="B12" s="6"/>
      <c r="C12" s="45" t="s">
        <v>15</v>
      </c>
      <c r="D12" s="7">
        <v>108</v>
      </c>
      <c r="E12" s="7">
        <v>93.236999999999995</v>
      </c>
      <c r="F12" s="6">
        <v>220</v>
      </c>
      <c r="G12" s="6">
        <f t="shared" si="0"/>
        <v>23760</v>
      </c>
      <c r="H12" s="6"/>
      <c r="I12" s="7">
        <f t="shared" si="2"/>
        <v>3247.8600000000006</v>
      </c>
      <c r="J12" s="8">
        <f t="shared" si="1"/>
        <v>0.15833842787734476</v>
      </c>
      <c r="K12" s="10" t="s">
        <v>304</v>
      </c>
      <c r="L12" s="53">
        <v>43145</v>
      </c>
      <c r="M12" s="7">
        <f>4*0.55*F12*0.9</f>
        <v>435.60000000000008</v>
      </c>
      <c r="N12" s="67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65" t="s">
        <v>169</v>
      </c>
      <c r="B13" s="35"/>
      <c r="C13" s="45" t="s">
        <v>15</v>
      </c>
      <c r="D13" s="7">
        <v>174</v>
      </c>
      <c r="E13" s="7">
        <v>135.72</v>
      </c>
      <c r="F13" s="6">
        <v>220</v>
      </c>
      <c r="G13" s="6">
        <f t="shared" si="0"/>
        <v>38280</v>
      </c>
      <c r="H13" s="6"/>
      <c r="I13" s="7">
        <f t="shared" si="2"/>
        <v>8421.5999999999985</v>
      </c>
      <c r="J13" s="8">
        <f t="shared" si="1"/>
        <v>0.28205128205128194</v>
      </c>
      <c r="K13" s="10" t="s">
        <v>304</v>
      </c>
      <c r="L13" s="53">
        <v>43146</v>
      </c>
      <c r="M13" s="7">
        <f>4*1.3*F13*0.9</f>
        <v>1029.6000000000001</v>
      </c>
    </row>
    <row r="14" spans="1:30" ht="15.75" customHeight="1">
      <c r="A14" s="65" t="s">
        <v>311</v>
      </c>
      <c r="B14" s="35"/>
      <c r="C14" s="45" t="s">
        <v>15</v>
      </c>
      <c r="D14" s="7">
        <v>88</v>
      </c>
      <c r="E14" s="7">
        <v>67.069999999999993</v>
      </c>
      <c r="F14" s="6">
        <v>100</v>
      </c>
      <c r="G14" s="6">
        <f t="shared" si="0"/>
        <v>8800</v>
      </c>
      <c r="H14" s="6"/>
      <c r="I14" s="7">
        <f t="shared" si="2"/>
        <v>2093.0000000000009</v>
      </c>
      <c r="J14" s="8">
        <f t="shared" si="1"/>
        <v>0.31206202475026101</v>
      </c>
      <c r="K14" s="10" t="s">
        <v>304</v>
      </c>
      <c r="L14" s="53">
        <v>43147</v>
      </c>
      <c r="M14" s="7">
        <f>4*0.75*F14*0.7</f>
        <v>210</v>
      </c>
    </row>
    <row r="15" spans="1:30" ht="15.75" customHeight="1">
      <c r="A15" s="65" t="s">
        <v>270</v>
      </c>
      <c r="B15" s="6"/>
      <c r="C15" s="45" t="s">
        <v>15</v>
      </c>
      <c r="D15" s="7">
        <v>48</v>
      </c>
      <c r="E15" s="7">
        <v>48.378999999999998</v>
      </c>
      <c r="F15" s="6">
        <f>30+400</f>
        <v>430</v>
      </c>
      <c r="G15" s="6">
        <f t="shared" si="0"/>
        <v>20640</v>
      </c>
      <c r="H15" s="6"/>
      <c r="I15" s="7">
        <f t="shared" si="2"/>
        <v>-162.96999999999753</v>
      </c>
      <c r="J15" s="8">
        <f t="shared" si="1"/>
        <v>-7.8339775522435762E-3</v>
      </c>
      <c r="K15" s="10" t="s">
        <v>304</v>
      </c>
      <c r="L15" s="53">
        <v>43148</v>
      </c>
      <c r="M15" s="7">
        <f>4*0.9*0.05*F15</f>
        <v>77.400000000000006</v>
      </c>
    </row>
    <row r="16" spans="1:30" ht="15.75" customHeight="1">
      <c r="A16" s="65" t="s">
        <v>264</v>
      </c>
      <c r="B16" s="35"/>
      <c r="C16" s="45" t="s">
        <v>22</v>
      </c>
      <c r="D16" s="7">
        <v>30</v>
      </c>
      <c r="E16" s="7">
        <v>22.42</v>
      </c>
      <c r="F16" s="6">
        <v>1000</v>
      </c>
      <c r="G16" s="6">
        <f t="shared" si="0"/>
        <v>30000</v>
      </c>
      <c r="H16" s="6"/>
      <c r="I16" s="7">
        <f t="shared" si="2"/>
        <v>7580</v>
      </c>
      <c r="J16" s="8">
        <f t="shared" si="1"/>
        <v>0.3380909901873328</v>
      </c>
      <c r="K16" s="10" t="s">
        <v>304</v>
      </c>
      <c r="L16" s="53">
        <v>43149</v>
      </c>
      <c r="M16" s="7">
        <f>1*0.9*F16</f>
        <v>900</v>
      </c>
    </row>
    <row r="17" spans="1:13" ht="15.75" customHeight="1">
      <c r="A17" s="65" t="s">
        <v>253</v>
      </c>
      <c r="B17" s="6"/>
      <c r="C17" s="45" t="s">
        <v>15</v>
      </c>
      <c r="D17" s="7">
        <v>450</v>
      </c>
      <c r="E17" s="7">
        <v>194.12</v>
      </c>
      <c r="F17" s="6">
        <v>20</v>
      </c>
      <c r="G17" s="6">
        <f>F17*D17</f>
        <v>9000</v>
      </c>
      <c r="H17" s="6"/>
      <c r="I17" s="7">
        <f>(G17-(F17*E17)+H17)</f>
        <v>5117.6000000000004</v>
      </c>
      <c r="J17" s="8">
        <f>((D17*F17)+H17)/(E17*F17)-100%</f>
        <v>1.3181537193488562</v>
      </c>
      <c r="K17" s="10" t="s">
        <v>304</v>
      </c>
      <c r="L17" s="53">
        <v>43159</v>
      </c>
      <c r="M17" s="7">
        <f>0</f>
        <v>0</v>
      </c>
    </row>
    <row r="18" spans="1:13" ht="15">
      <c r="A18" s="65" t="s">
        <v>475</v>
      </c>
      <c r="C18" s="45" t="s">
        <v>15</v>
      </c>
      <c r="D18" s="7">
        <v>140</v>
      </c>
      <c r="E18" s="7">
        <v>150</v>
      </c>
      <c r="F18" s="6">
        <v>100</v>
      </c>
      <c r="G18" s="6">
        <f>F18*D18</f>
        <v>14000</v>
      </c>
      <c r="H18" s="6"/>
      <c r="I18" s="7">
        <f>(G18-(F18*E18)+H18)</f>
        <v>-1000</v>
      </c>
      <c r="J18" s="8">
        <f>((D18*F18)+H18)/(E18*F18)-100%</f>
        <v>-6.6666666666666652E-2</v>
      </c>
      <c r="K18" s="10" t="s">
        <v>304</v>
      </c>
      <c r="L18" s="53">
        <v>45613</v>
      </c>
      <c r="M18" s="7">
        <f>4*1.39*F18*0.9</f>
        <v>500.40000000000003</v>
      </c>
    </row>
    <row r="19" spans="1:13" ht="15.75" customHeight="1">
      <c r="A19" s="65" t="s">
        <v>129</v>
      </c>
      <c r="C19" s="46" t="s">
        <v>15</v>
      </c>
      <c r="D19" s="7">
        <v>442</v>
      </c>
      <c r="E19" s="7">
        <v>438</v>
      </c>
      <c r="F19" s="6">
        <v>20</v>
      </c>
      <c r="G19" s="6">
        <f t="shared" si="0"/>
        <v>8840</v>
      </c>
      <c r="H19" s="6"/>
      <c r="I19" s="7">
        <f t="shared" si="2"/>
        <v>80</v>
      </c>
      <c r="J19" s="8">
        <f t="shared" si="1"/>
        <v>9.1324200913243114E-3</v>
      </c>
      <c r="K19" s="10" t="s">
        <v>304</v>
      </c>
      <c r="L19" s="53">
        <v>45434</v>
      </c>
      <c r="M19" s="7">
        <v>0</v>
      </c>
    </row>
    <row r="20" spans="1:13" ht="15.75" customHeight="1">
      <c r="A20" s="65" t="s">
        <v>318</v>
      </c>
      <c r="C20" s="46" t="s">
        <v>15</v>
      </c>
      <c r="D20" s="7">
        <v>295</v>
      </c>
      <c r="E20" s="7">
        <v>197</v>
      </c>
      <c r="F20" s="6">
        <v>100</v>
      </c>
      <c r="G20" s="6">
        <f t="shared" si="0"/>
        <v>29500</v>
      </c>
      <c r="H20" s="6"/>
      <c r="I20" s="7">
        <f t="shared" si="2"/>
        <v>9800</v>
      </c>
      <c r="J20" s="8">
        <f t="shared" si="1"/>
        <v>0.49746192893401009</v>
      </c>
      <c r="K20" s="10" t="s">
        <v>304</v>
      </c>
      <c r="L20" s="53">
        <v>45435</v>
      </c>
      <c r="M20" s="7">
        <v>0</v>
      </c>
    </row>
    <row r="21" spans="1:13" ht="15">
      <c r="A21" s="65" t="s">
        <v>325</v>
      </c>
      <c r="C21" s="45" t="s">
        <v>15</v>
      </c>
      <c r="D21" s="7">
        <v>39.200000000000003</v>
      </c>
      <c r="E21" s="7">
        <v>38.6</v>
      </c>
      <c r="F21" s="6">
        <v>500</v>
      </c>
      <c r="G21" s="6">
        <f>F21*D21</f>
        <v>19600</v>
      </c>
      <c r="H21" s="6"/>
      <c r="I21" s="7">
        <f>(G21-(F21*E21)+H21)</f>
        <v>300</v>
      </c>
      <c r="J21" s="8">
        <f>((D21*F21)+H21)/(E21*F21)-100%</f>
        <v>1.5544041450777257E-2</v>
      </c>
      <c r="K21" s="10" t="s">
        <v>304</v>
      </c>
      <c r="L21" s="40">
        <v>45631</v>
      </c>
      <c r="M21" s="7">
        <f>4*0.4175*F21*0.9</f>
        <v>751.5</v>
      </c>
    </row>
    <row r="22" spans="1:13" ht="15.75" customHeight="1">
      <c r="A22" s="65" t="s">
        <v>267</v>
      </c>
      <c r="B22" s="6"/>
      <c r="C22" s="45" t="s">
        <v>15</v>
      </c>
      <c r="D22" s="7">
        <v>917</v>
      </c>
      <c r="E22" s="7">
        <v>200</v>
      </c>
      <c r="F22" s="6">
        <v>10</v>
      </c>
      <c r="G22" s="6">
        <f>F22*D22</f>
        <v>9170</v>
      </c>
      <c r="H22" s="6"/>
      <c r="I22" s="7">
        <f>(G22-(F22*E22)+H22)</f>
        <v>7170</v>
      </c>
      <c r="J22" s="8">
        <f>((D22*F22)+H22)/(E22*F22)-100%</f>
        <v>3.585</v>
      </c>
      <c r="K22" s="10" t="s">
        <v>304</v>
      </c>
      <c r="L22" s="53">
        <v>43160</v>
      </c>
      <c r="M22" s="7">
        <f>0</f>
        <v>0</v>
      </c>
    </row>
    <row r="23" spans="1:13" ht="15.75" customHeight="1">
      <c r="A23" s="65" t="s">
        <v>269</v>
      </c>
      <c r="B23" s="6"/>
      <c r="C23" s="45" t="s">
        <v>15</v>
      </c>
      <c r="D23" s="7">
        <v>200</v>
      </c>
      <c r="E23" s="7">
        <v>96.555999999999997</v>
      </c>
      <c r="F23" s="6">
        <v>50</v>
      </c>
      <c r="G23" s="6">
        <f>F23*D23</f>
        <v>10000</v>
      </c>
      <c r="H23" s="6"/>
      <c r="I23" s="7">
        <f>(G23-(F23*E23)+H23)</f>
        <v>5172.2</v>
      </c>
      <c r="J23" s="8">
        <f>((D23*F23)+H23)/(E23*F23)-100%</f>
        <v>1.0713368407970503</v>
      </c>
      <c r="K23" s="10" t="s">
        <v>304</v>
      </c>
      <c r="L23" s="53">
        <v>43162</v>
      </c>
      <c r="M23" s="7">
        <f>4*0.58*F23*0.9</f>
        <v>104.39999999999999</v>
      </c>
    </row>
    <row r="24" spans="1:13" ht="15.75" customHeight="1">
      <c r="A24" s="66" t="s">
        <v>255</v>
      </c>
      <c r="B24" s="6"/>
      <c r="C24" s="45" t="s">
        <v>15</v>
      </c>
      <c r="D24" s="7">
        <v>216</v>
      </c>
      <c r="E24" s="7">
        <v>86.9</v>
      </c>
      <c r="F24" s="6">
        <v>20</v>
      </c>
      <c r="G24" s="6">
        <f t="shared" si="0"/>
        <v>4320</v>
      </c>
      <c r="H24" s="6"/>
      <c r="I24" s="7">
        <f t="shared" si="2"/>
        <v>2582</v>
      </c>
      <c r="J24" s="8">
        <f t="shared" si="1"/>
        <v>1.4856156501726123</v>
      </c>
      <c r="K24" s="10" t="s">
        <v>304</v>
      </c>
      <c r="L24" s="53">
        <v>43157</v>
      </c>
      <c r="M24" s="7">
        <f>0</f>
        <v>0</v>
      </c>
    </row>
    <row r="25" spans="1:13" ht="15.75" customHeight="1">
      <c r="A25" s="66" t="s">
        <v>254</v>
      </c>
      <c r="B25" s="6"/>
      <c r="C25" s="45" t="s">
        <v>15</v>
      </c>
      <c r="D25" s="7">
        <v>228</v>
      </c>
      <c r="E25" s="7">
        <v>80.53</v>
      </c>
      <c r="F25" s="6">
        <v>12</v>
      </c>
      <c r="G25" s="6">
        <f t="shared" si="0"/>
        <v>2736</v>
      </c>
      <c r="H25" s="6"/>
      <c r="I25" s="7">
        <f t="shared" si="2"/>
        <v>1769.6399999999999</v>
      </c>
      <c r="J25" s="8">
        <f t="shared" si="1"/>
        <v>1.8312430150254562</v>
      </c>
      <c r="K25" s="10" t="s">
        <v>304</v>
      </c>
      <c r="L25" s="53">
        <v>43158</v>
      </c>
      <c r="M25" s="7">
        <f>4*0.25*F25*0.9</f>
        <v>10.8</v>
      </c>
    </row>
    <row r="26" spans="1:13" ht="15.75" customHeight="1">
      <c r="A26" s="13" t="s">
        <v>302</v>
      </c>
      <c r="B26" s="6"/>
      <c r="C26" s="45" t="s">
        <v>15</v>
      </c>
      <c r="D26" s="7">
        <v>174</v>
      </c>
      <c r="F26" s="6">
        <v>20</v>
      </c>
      <c r="G26" s="6">
        <f>F26*D26</f>
        <v>3480</v>
      </c>
      <c r="H26" s="6"/>
      <c r="I26" s="7">
        <f>(G26-(F26*E26)+H26)</f>
        <v>3480</v>
      </c>
      <c r="J26" s="8" t="e">
        <f>((D26*F26)+H26)/(E26*F26)-100%</f>
        <v>#DIV/0!</v>
      </c>
      <c r="K26" s="10" t="s">
        <v>304</v>
      </c>
      <c r="L26" s="53">
        <v>43154</v>
      </c>
    </row>
    <row r="28" spans="1:13" ht="15.75" customHeight="1">
      <c r="A28" s="66" t="s">
        <v>268</v>
      </c>
      <c r="B28" s="6"/>
      <c r="C28" s="45" t="s">
        <v>15</v>
      </c>
      <c r="D28" s="7">
        <v>1900</v>
      </c>
      <c r="E28" s="7">
        <v>1200</v>
      </c>
      <c r="F28" s="6">
        <v>2</v>
      </c>
      <c r="G28" s="6">
        <f t="shared" si="0"/>
        <v>3800</v>
      </c>
      <c r="H28" s="6"/>
      <c r="I28" s="7">
        <f t="shared" si="2"/>
        <v>1400</v>
      </c>
      <c r="J28" s="8">
        <f t="shared" si="1"/>
        <v>0.58333333333333326</v>
      </c>
      <c r="K28" s="10" t="s">
        <v>304</v>
      </c>
      <c r="L28" s="53">
        <v>43161</v>
      </c>
      <c r="M28" s="7">
        <f>0</f>
        <v>0</v>
      </c>
    </row>
    <row r="30" spans="1:13" ht="15.75" customHeight="1">
      <c r="A30" s="13" t="s">
        <v>277</v>
      </c>
      <c r="B30" s="6"/>
      <c r="C30" s="45" t="s">
        <v>15</v>
      </c>
      <c r="D30" s="7">
        <v>115</v>
      </c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304</v>
      </c>
      <c r="L30" s="53">
        <v>43163</v>
      </c>
      <c r="M30" s="7"/>
    </row>
    <row r="31" spans="1:13" ht="15.75" customHeight="1">
      <c r="A31" s="13" t="s">
        <v>271</v>
      </c>
      <c r="B31" s="35"/>
      <c r="C31" s="45" t="s">
        <v>15</v>
      </c>
      <c r="D31" s="7">
        <v>25</v>
      </c>
      <c r="E31" s="7">
        <v>35</v>
      </c>
      <c r="F31" s="6">
        <v>100</v>
      </c>
      <c r="G31" s="6">
        <f t="shared" si="0"/>
        <v>2500</v>
      </c>
      <c r="H31" s="6"/>
      <c r="I31" s="7">
        <f t="shared" si="2"/>
        <v>-1000</v>
      </c>
      <c r="J31" s="8">
        <f t="shared" si="1"/>
        <v>-0.2857142857142857</v>
      </c>
      <c r="K31" s="10" t="s">
        <v>304</v>
      </c>
      <c r="L31" s="53">
        <v>43164</v>
      </c>
      <c r="M31" s="7">
        <f>4*0.43*F31*0.9</f>
        <v>154.80000000000001</v>
      </c>
    </row>
    <row r="32" spans="1:13" ht="15.75" customHeight="1">
      <c r="A32" s="13" t="s">
        <v>273</v>
      </c>
      <c r="B32" s="35"/>
      <c r="C32" s="45" t="s">
        <v>15</v>
      </c>
      <c r="D32" s="7">
        <v>90</v>
      </c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304</v>
      </c>
      <c r="L32" s="53">
        <v>43165</v>
      </c>
      <c r="M32" s="7"/>
    </row>
    <row r="33" spans="1:13" ht="15.75" customHeight="1">
      <c r="A33" s="13" t="s">
        <v>272</v>
      </c>
      <c r="B33" s="35"/>
      <c r="C33" s="45" t="s">
        <v>15</v>
      </c>
      <c r="D33" s="7">
        <v>237</v>
      </c>
      <c r="E33" s="7">
        <v>181.27</v>
      </c>
      <c r="F33" s="6">
        <v>26</v>
      </c>
      <c r="G33" s="6">
        <f t="shared" si="0"/>
        <v>6162</v>
      </c>
      <c r="H33" s="6"/>
      <c r="I33" s="7">
        <f t="shared" si="2"/>
        <v>1448.9799999999996</v>
      </c>
      <c r="J33" s="8">
        <f t="shared" si="1"/>
        <v>0.3074419374413857</v>
      </c>
      <c r="K33" s="10" t="s">
        <v>304</v>
      </c>
      <c r="L33" s="53">
        <v>43166</v>
      </c>
      <c r="M33" s="7">
        <f>4*1.04*F33*0.9</f>
        <v>97.343999999999994</v>
      </c>
    </row>
    <row r="34" spans="1:13" ht="15.75" customHeight="1">
      <c r="A34" s="13" t="s">
        <v>291</v>
      </c>
      <c r="B34" s="35"/>
      <c r="C34" s="45" t="s">
        <v>15</v>
      </c>
      <c r="D34" s="7">
        <v>49</v>
      </c>
      <c r="E34" s="7">
        <v>39.01</v>
      </c>
      <c r="F34" s="6">
        <v>30</v>
      </c>
      <c r="G34" s="6">
        <f t="shared" si="0"/>
        <v>1470</v>
      </c>
      <c r="H34" s="6"/>
      <c r="I34" s="7">
        <f t="shared" si="2"/>
        <v>299.70000000000005</v>
      </c>
      <c r="J34" s="8">
        <f t="shared" si="1"/>
        <v>0.25608818251730336</v>
      </c>
      <c r="K34" s="10" t="s">
        <v>304</v>
      </c>
      <c r="L34" s="53">
        <v>43167</v>
      </c>
      <c r="M34" s="7">
        <f>4*1.02*F34*0.9</f>
        <v>110.16000000000001</v>
      </c>
    </row>
    <row r="35" spans="1:13" ht="15.75" customHeight="1">
      <c r="A35" s="13" t="s">
        <v>281</v>
      </c>
      <c r="B35" s="35"/>
      <c r="C35" s="45" t="s">
        <v>15</v>
      </c>
      <c r="D35" s="7">
        <v>320</v>
      </c>
      <c r="E35" s="7">
        <v>200</v>
      </c>
      <c r="F35" s="6">
        <v>10</v>
      </c>
      <c r="G35" s="6">
        <f t="shared" si="0"/>
        <v>3200</v>
      </c>
      <c r="H35" s="6"/>
      <c r="I35" s="7">
        <f t="shared" si="2"/>
        <v>1200</v>
      </c>
      <c r="J35" s="8">
        <f t="shared" si="1"/>
        <v>0.60000000000000009</v>
      </c>
      <c r="K35" s="10" t="s">
        <v>304</v>
      </c>
      <c r="L35" s="53">
        <v>43168</v>
      </c>
      <c r="M35" s="7">
        <f>4*0.72*F35*0.9</f>
        <v>25.919999999999998</v>
      </c>
    </row>
    <row r="36" spans="1:13" ht="15.75" customHeight="1">
      <c r="A36" s="13" t="s">
        <v>299</v>
      </c>
      <c r="B36" s="35"/>
      <c r="C36" s="45" t="s">
        <v>15</v>
      </c>
      <c r="D36" s="7">
        <v>165</v>
      </c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427</v>
      </c>
      <c r="L36" s="53">
        <v>43169</v>
      </c>
      <c r="M36" s="7"/>
    </row>
    <row r="37" spans="1:13" ht="15.75" customHeight="1">
      <c r="A37" s="13" t="s">
        <v>305</v>
      </c>
      <c r="B37" s="35"/>
      <c r="C37" s="45" t="s">
        <v>15</v>
      </c>
      <c r="D37" s="7">
        <v>100</v>
      </c>
      <c r="E37" s="6">
        <v>103.74</v>
      </c>
      <c r="F37" s="6">
        <v>10</v>
      </c>
      <c r="G37" s="6">
        <f t="shared" si="0"/>
        <v>1000</v>
      </c>
      <c r="H37" s="6"/>
      <c r="I37" s="7">
        <f t="shared" si="2"/>
        <v>-37.399999999999864</v>
      </c>
      <c r="J37" s="8">
        <f t="shared" si="1"/>
        <v>-3.6051667630614848E-2</v>
      </c>
      <c r="K37" s="10" t="s">
        <v>427</v>
      </c>
      <c r="L37" s="53">
        <v>43170</v>
      </c>
      <c r="M37" s="7"/>
    </row>
    <row r="38" spans="1:13" ht="15">
      <c r="A38" s="13" t="s">
        <v>306</v>
      </c>
      <c r="B38" s="35"/>
      <c r="C38" s="45" t="s">
        <v>15</v>
      </c>
      <c r="D38" s="7">
        <v>140</v>
      </c>
      <c r="E38" s="7">
        <v>67.400000000000006</v>
      </c>
      <c r="F38" s="6">
        <v>15</v>
      </c>
      <c r="G38" s="6">
        <f t="shared" si="0"/>
        <v>2100</v>
      </c>
      <c r="H38" s="6"/>
      <c r="I38" s="7">
        <f t="shared" si="2"/>
        <v>1089</v>
      </c>
      <c r="J38" s="8">
        <f t="shared" si="1"/>
        <v>1.0771513353115725</v>
      </c>
      <c r="K38" s="10" t="s">
        <v>304</v>
      </c>
      <c r="L38" s="53">
        <v>43171</v>
      </c>
      <c r="M38" s="7">
        <f>4*0.25*F38*0.9</f>
        <v>13.5</v>
      </c>
    </row>
    <row r="39" spans="1:13" ht="15">
      <c r="A39" s="13" t="s">
        <v>282</v>
      </c>
      <c r="B39" s="35"/>
      <c r="C39" s="45" t="s">
        <v>15</v>
      </c>
      <c r="D39" s="7">
        <v>60</v>
      </c>
      <c r="E39" s="7"/>
      <c r="F39" s="6"/>
      <c r="G39" s="6">
        <f t="shared" si="0"/>
        <v>0</v>
      </c>
      <c r="H39" s="6"/>
      <c r="I39" s="7">
        <f t="shared" si="2"/>
        <v>0</v>
      </c>
      <c r="J39" s="8" t="e">
        <f t="shared" si="1"/>
        <v>#DIV/0!</v>
      </c>
      <c r="K39" s="10" t="s">
        <v>304</v>
      </c>
      <c r="L39" s="53">
        <v>43172</v>
      </c>
      <c r="M39" s="7"/>
    </row>
    <row r="40" spans="1:13" ht="15">
      <c r="A40" s="13" t="s">
        <v>307</v>
      </c>
      <c r="B40" s="35"/>
      <c r="C40" s="45" t="s">
        <v>15</v>
      </c>
      <c r="D40" s="7">
        <v>210</v>
      </c>
      <c r="E40" s="7">
        <v>156.4</v>
      </c>
      <c r="F40" s="6">
        <v>15</v>
      </c>
      <c r="G40" s="6">
        <f t="shared" si="0"/>
        <v>3150</v>
      </c>
      <c r="H40" s="6"/>
      <c r="I40" s="7">
        <f t="shared" si="2"/>
        <v>804</v>
      </c>
      <c r="J40" s="8">
        <f t="shared" si="1"/>
        <v>0.34271099744245515</v>
      </c>
      <c r="K40" s="10" t="s">
        <v>304</v>
      </c>
      <c r="L40" s="53">
        <v>43173</v>
      </c>
      <c r="M40" s="7"/>
    </row>
    <row r="41" spans="1:13" ht="15">
      <c r="A41" s="13" t="s">
        <v>308</v>
      </c>
      <c r="B41" s="35"/>
      <c r="C41" s="45" t="s">
        <v>15</v>
      </c>
      <c r="D41" s="7">
        <v>380</v>
      </c>
      <c r="E41" s="7">
        <v>104.75</v>
      </c>
      <c r="F41" s="6">
        <v>10</v>
      </c>
      <c r="G41" s="6">
        <f t="shared" si="0"/>
        <v>3800</v>
      </c>
      <c r="H41" s="6"/>
      <c r="I41" s="7">
        <f t="shared" si="2"/>
        <v>2752.5</v>
      </c>
      <c r="J41" s="8">
        <f t="shared" si="1"/>
        <v>2.6276849642004771</v>
      </c>
      <c r="K41" s="10" t="s">
        <v>304</v>
      </c>
      <c r="L41" s="53">
        <v>43174</v>
      </c>
      <c r="M41" s="7"/>
    </row>
    <row r="42" spans="1:13" ht="15">
      <c r="A42" s="13" t="s">
        <v>310</v>
      </c>
      <c r="B42" s="35"/>
      <c r="C42" s="45" t="s">
        <v>15</v>
      </c>
      <c r="D42" s="7">
        <v>74</v>
      </c>
      <c r="E42" s="6">
        <v>79.552000000000007</v>
      </c>
      <c r="F42" s="6">
        <v>62</v>
      </c>
      <c r="G42" s="6">
        <f t="shared" si="0"/>
        <v>4588</v>
      </c>
      <c r="H42" s="6"/>
      <c r="I42" s="7">
        <f t="shared" si="2"/>
        <v>-344.22400000000016</v>
      </c>
      <c r="J42" s="8">
        <f t="shared" si="1"/>
        <v>-6.9790828640386215E-2</v>
      </c>
      <c r="K42" s="10" t="s">
        <v>304</v>
      </c>
      <c r="L42" s="53">
        <v>43175</v>
      </c>
      <c r="M42" s="7">
        <f>F42*1.85</f>
        <v>114.7</v>
      </c>
    </row>
    <row r="43" spans="1:13" ht="15">
      <c r="A43" s="13" t="s">
        <v>292</v>
      </c>
      <c r="B43" s="35"/>
      <c r="C43" s="45" t="s">
        <v>15</v>
      </c>
      <c r="D43" s="7">
        <v>16</v>
      </c>
      <c r="F43" s="6"/>
      <c r="G43" s="6">
        <f t="shared" si="0"/>
        <v>0</v>
      </c>
      <c r="H43" s="6"/>
      <c r="I43" s="7">
        <f t="shared" si="2"/>
        <v>0</v>
      </c>
      <c r="J43" s="8" t="e">
        <f t="shared" si="1"/>
        <v>#DIV/0!</v>
      </c>
      <c r="K43" s="10" t="s">
        <v>427</v>
      </c>
      <c r="L43" s="53">
        <v>43176</v>
      </c>
      <c r="M43" s="7"/>
    </row>
    <row r="44" spans="1:13" ht="15">
      <c r="A44" s="13" t="s">
        <v>287</v>
      </c>
      <c r="B44" s="35"/>
      <c r="C44" s="45" t="s">
        <v>15</v>
      </c>
      <c r="D44" s="7">
        <v>50</v>
      </c>
      <c r="E44" s="7"/>
      <c r="F44" s="6"/>
      <c r="G44" s="6">
        <f t="shared" si="0"/>
        <v>0</v>
      </c>
      <c r="H44" s="6"/>
      <c r="I44" s="7">
        <f t="shared" si="2"/>
        <v>0</v>
      </c>
      <c r="J44" s="8" t="e">
        <f t="shared" si="1"/>
        <v>#DIV/0!</v>
      </c>
      <c r="K44" s="10" t="s">
        <v>427</v>
      </c>
      <c r="L44" s="53">
        <v>43177</v>
      </c>
      <c r="M44" s="7"/>
    </row>
    <row r="45" spans="1:13" ht="15">
      <c r="A45" s="13" t="s">
        <v>284</v>
      </c>
      <c r="B45" s="35"/>
      <c r="C45" s="45" t="s">
        <v>15</v>
      </c>
      <c r="D45" s="7">
        <v>209</v>
      </c>
      <c r="E45" s="7">
        <v>130.65</v>
      </c>
      <c r="F45" s="6">
        <v>15</v>
      </c>
      <c r="G45" s="6">
        <f t="shared" si="0"/>
        <v>3135</v>
      </c>
      <c r="H45" s="6"/>
      <c r="I45" s="7">
        <f t="shared" si="2"/>
        <v>1175.25</v>
      </c>
      <c r="J45" s="8">
        <f t="shared" si="1"/>
        <v>0.59969383849980873</v>
      </c>
      <c r="K45" s="10" t="s">
        <v>304</v>
      </c>
      <c r="L45" s="53">
        <v>43178</v>
      </c>
      <c r="M45" s="7">
        <f>4*1.6*F45*0.9</f>
        <v>86.4</v>
      </c>
    </row>
    <row r="46" spans="1:13" ht="15">
      <c r="A46" s="13" t="s">
        <v>289</v>
      </c>
      <c r="B46" s="35"/>
      <c r="C46" s="45" t="s">
        <v>22</v>
      </c>
      <c r="D46" s="7">
        <v>10.4</v>
      </c>
      <c r="E46" s="7"/>
      <c r="F46" s="6"/>
      <c r="G46" s="6">
        <f t="shared" si="0"/>
        <v>0</v>
      </c>
      <c r="I46" s="7">
        <f t="shared" si="2"/>
        <v>0</v>
      </c>
      <c r="J46" s="8" t="e">
        <f t="shared" si="1"/>
        <v>#DIV/0!</v>
      </c>
      <c r="K46" s="10" t="s">
        <v>304</v>
      </c>
      <c r="L46" s="53">
        <v>43179</v>
      </c>
      <c r="M46" s="7"/>
    </row>
    <row r="47" spans="1:13" ht="15">
      <c r="A47" s="13" t="s">
        <v>296</v>
      </c>
      <c r="B47" s="35"/>
      <c r="C47" s="45" t="s">
        <v>15</v>
      </c>
      <c r="D47" s="7">
        <v>204</v>
      </c>
      <c r="E47" s="7">
        <v>148.04</v>
      </c>
      <c r="F47" s="6">
        <v>15</v>
      </c>
      <c r="G47" s="6">
        <f t="shared" si="0"/>
        <v>3060</v>
      </c>
      <c r="H47" s="6"/>
      <c r="I47" s="7">
        <f t="shared" si="2"/>
        <v>839.40000000000009</v>
      </c>
      <c r="J47" s="8">
        <f t="shared" si="1"/>
        <v>0.37800594433936774</v>
      </c>
      <c r="K47" s="10" t="s">
        <v>304</v>
      </c>
      <c r="L47" s="53">
        <v>43180</v>
      </c>
      <c r="M47" s="7">
        <f>1*4.75*F47</f>
        <v>71.25</v>
      </c>
    </row>
    <row r="48" spans="1:13" ht="15">
      <c r="A48" s="13" t="s">
        <v>297</v>
      </c>
      <c r="B48" s="35"/>
      <c r="C48" s="45" t="s">
        <v>15</v>
      </c>
      <c r="D48" s="7">
        <v>160</v>
      </c>
      <c r="E48" s="7">
        <v>135</v>
      </c>
      <c r="F48" s="6">
        <v>10</v>
      </c>
      <c r="G48" s="6">
        <f t="shared" si="0"/>
        <v>1600</v>
      </c>
      <c r="H48" s="6"/>
      <c r="I48" s="7">
        <f t="shared" si="2"/>
        <v>250</v>
      </c>
      <c r="J48" s="8">
        <f t="shared" si="1"/>
        <v>0.18518518518518512</v>
      </c>
      <c r="K48" s="10" t="s">
        <v>304</v>
      </c>
      <c r="L48" s="53">
        <v>43181</v>
      </c>
      <c r="M48" s="7"/>
    </row>
    <row r="49" spans="1:13" ht="15">
      <c r="A49" s="13" t="s">
        <v>286</v>
      </c>
      <c r="C49" s="45" t="s">
        <v>15</v>
      </c>
      <c r="D49" s="7">
        <v>38</v>
      </c>
      <c r="G49" s="6">
        <f t="shared" si="0"/>
        <v>0</v>
      </c>
      <c r="H49" s="6"/>
      <c r="I49" s="7">
        <f t="shared" si="2"/>
        <v>0</v>
      </c>
      <c r="J49" s="8" t="e">
        <f t="shared" si="1"/>
        <v>#DIV/0!</v>
      </c>
      <c r="K49" s="10" t="s">
        <v>304</v>
      </c>
      <c r="L49" s="53">
        <v>43182</v>
      </c>
      <c r="M49" s="7"/>
    </row>
    <row r="50" spans="1:13" ht="15">
      <c r="A50" s="13" t="s">
        <v>285</v>
      </c>
      <c r="B50" s="35"/>
      <c r="C50" s="45" t="s">
        <v>15</v>
      </c>
      <c r="D50" s="7">
        <v>123</v>
      </c>
      <c r="E50" s="7"/>
      <c r="F50" s="6"/>
      <c r="G50" s="6">
        <f t="shared" si="0"/>
        <v>0</v>
      </c>
      <c r="H50" s="6"/>
      <c r="I50" s="7">
        <f t="shared" si="2"/>
        <v>0</v>
      </c>
      <c r="J50" s="8" t="e">
        <f t="shared" si="1"/>
        <v>#DIV/0!</v>
      </c>
      <c r="K50" s="10" t="s">
        <v>304</v>
      </c>
      <c r="L50" s="53">
        <v>43183</v>
      </c>
      <c r="M50" s="7"/>
    </row>
    <row r="51" spans="1:13" ht="15">
      <c r="A51" s="13" t="s">
        <v>283</v>
      </c>
      <c r="B51" s="35"/>
      <c r="C51" s="45" t="s">
        <v>15</v>
      </c>
      <c r="D51" s="7">
        <v>973</v>
      </c>
      <c r="E51" s="7">
        <v>440.34</v>
      </c>
      <c r="F51" s="6">
        <v>2</v>
      </c>
      <c r="G51" s="6">
        <f t="shared" si="0"/>
        <v>1946</v>
      </c>
      <c r="H51" s="6"/>
      <c r="I51" s="7">
        <f t="shared" si="2"/>
        <v>1065.3200000000002</v>
      </c>
      <c r="J51" s="8">
        <f t="shared" si="1"/>
        <v>1.2096561747740382</v>
      </c>
      <c r="K51" s="10" t="s">
        <v>304</v>
      </c>
      <c r="L51" s="53">
        <v>43184</v>
      </c>
      <c r="M51" s="7"/>
    </row>
    <row r="52" spans="1:13" ht="15">
      <c r="A52" s="13" t="s">
        <v>279</v>
      </c>
      <c r="B52" s="35"/>
      <c r="C52" s="45" t="s">
        <v>15</v>
      </c>
      <c r="D52" s="7">
        <v>136</v>
      </c>
      <c r="E52" s="7"/>
      <c r="F52" s="6"/>
      <c r="G52" s="6">
        <f t="shared" si="0"/>
        <v>0</v>
      </c>
      <c r="I52" s="7">
        <f t="shared" si="2"/>
        <v>0</v>
      </c>
      <c r="J52" s="8" t="e">
        <f t="shared" si="1"/>
        <v>#DIV/0!</v>
      </c>
      <c r="K52" s="10" t="s">
        <v>428</v>
      </c>
      <c r="L52" s="53">
        <v>43185</v>
      </c>
      <c r="M52" s="7"/>
    </row>
    <row r="53" spans="1:13" ht="15">
      <c r="A53" s="13" t="s">
        <v>293</v>
      </c>
      <c r="B53" s="35"/>
      <c r="C53" s="45" t="s">
        <v>15</v>
      </c>
      <c r="D53" s="7">
        <v>9.9</v>
      </c>
      <c r="E53" s="7">
        <v>23</v>
      </c>
      <c r="F53" s="6">
        <v>200</v>
      </c>
      <c r="G53" s="6">
        <f t="shared" si="0"/>
        <v>1980</v>
      </c>
      <c r="H53" s="6"/>
      <c r="I53" s="7">
        <f t="shared" si="2"/>
        <v>-2620</v>
      </c>
      <c r="J53" s="8">
        <f t="shared" si="1"/>
        <v>-0.56956521739130439</v>
      </c>
      <c r="K53" s="10" t="s">
        <v>427</v>
      </c>
      <c r="L53" s="53">
        <v>43186</v>
      </c>
      <c r="M53" s="7"/>
    </row>
    <row r="54" spans="1:13" ht="15.75" customHeight="1">
      <c r="A54" s="13" t="s">
        <v>149</v>
      </c>
      <c r="C54" s="46" t="s">
        <v>22</v>
      </c>
      <c r="D54" s="7">
        <v>710</v>
      </c>
      <c r="E54" s="7">
        <v>570</v>
      </c>
      <c r="F54" s="6">
        <v>10</v>
      </c>
      <c r="G54" s="6">
        <f t="shared" ref="G54:G59" si="3">F54*D54</f>
        <v>7100</v>
      </c>
      <c r="H54" s="6"/>
      <c r="I54" s="7">
        <f t="shared" ref="I54:I59" si="4">(G54-(F54*E54)+H54)</f>
        <v>1400</v>
      </c>
      <c r="J54" s="8">
        <f t="shared" ref="J54:J59" si="5">((D54*F54)+H54)/(E54*F54)-100%</f>
        <v>0.2456140350877194</v>
      </c>
      <c r="K54" s="10" t="s">
        <v>304</v>
      </c>
      <c r="L54" s="40">
        <v>45296</v>
      </c>
      <c r="M54" s="7">
        <f>F54*12</f>
        <v>120</v>
      </c>
    </row>
    <row r="55" spans="1:13" ht="15.75" customHeight="1">
      <c r="A55" s="13" t="s">
        <v>265</v>
      </c>
      <c r="B55" s="6"/>
      <c r="C55" s="45" t="s">
        <v>15</v>
      </c>
      <c r="D55" s="7">
        <v>178</v>
      </c>
      <c r="E55" s="7">
        <v>125</v>
      </c>
      <c r="F55" s="6">
        <v>20</v>
      </c>
      <c r="G55" s="6">
        <f t="shared" si="3"/>
        <v>3560</v>
      </c>
      <c r="H55" s="6"/>
      <c r="I55" s="7">
        <f t="shared" si="4"/>
        <v>1060</v>
      </c>
      <c r="J55" s="8">
        <f t="shared" si="5"/>
        <v>0.42399999999999993</v>
      </c>
      <c r="K55" s="10" t="s">
        <v>304</v>
      </c>
      <c r="L55" s="53">
        <v>43151</v>
      </c>
      <c r="M55" s="7">
        <v>0</v>
      </c>
    </row>
    <row r="56" spans="1:13" ht="15.75" customHeight="1">
      <c r="A56" s="13"/>
      <c r="C56" s="45"/>
      <c r="D56" s="7"/>
      <c r="E56" s="7"/>
      <c r="F56" s="6"/>
      <c r="G56" s="6"/>
      <c r="H56" s="6"/>
      <c r="I56" s="7"/>
      <c r="J56" s="8"/>
      <c r="K56" s="10"/>
      <c r="L56" s="40"/>
      <c r="M56" s="7"/>
    </row>
    <row r="58" spans="1:13" ht="15.75" customHeight="1">
      <c r="A58" s="13" t="s">
        <v>301</v>
      </c>
      <c r="C58" s="45" t="s">
        <v>15</v>
      </c>
      <c r="D58" s="7">
        <v>130</v>
      </c>
      <c r="F58" s="6">
        <v>10</v>
      </c>
      <c r="G58" s="6">
        <f t="shared" si="3"/>
        <v>1300</v>
      </c>
      <c r="H58" s="6"/>
      <c r="I58" s="7">
        <f t="shared" si="4"/>
        <v>1300</v>
      </c>
      <c r="J58" s="8" t="e">
        <f t="shared" si="5"/>
        <v>#DIV/0!</v>
      </c>
      <c r="K58" s="10" t="s">
        <v>304</v>
      </c>
      <c r="L58" s="53">
        <v>43155</v>
      </c>
      <c r="M58" s="7"/>
    </row>
    <row r="59" spans="1:13" ht="15">
      <c r="A59" s="66" t="s">
        <v>266</v>
      </c>
      <c r="B59" s="6"/>
      <c r="C59" s="45" t="s">
        <v>15</v>
      </c>
      <c r="D59" s="7">
        <v>312</v>
      </c>
      <c r="E59" s="7"/>
      <c r="F59" s="6">
        <v>5</v>
      </c>
      <c r="G59" s="6">
        <f t="shared" si="3"/>
        <v>1560</v>
      </c>
      <c r="H59" s="6"/>
      <c r="I59" s="7">
        <f t="shared" si="4"/>
        <v>1560</v>
      </c>
      <c r="J59" s="8" t="e">
        <f t="shared" si="5"/>
        <v>#DIV/0!</v>
      </c>
      <c r="K59" s="10" t="s">
        <v>304</v>
      </c>
      <c r="L59" s="53">
        <v>43156</v>
      </c>
    </row>
    <row r="60" spans="1:13" ht="15">
      <c r="A60" s="66" t="s">
        <v>274</v>
      </c>
      <c r="B60" s="35"/>
      <c r="C60" s="45" t="s">
        <v>22</v>
      </c>
      <c r="D60" s="7">
        <v>97</v>
      </c>
      <c r="E60" s="7">
        <v>100.474</v>
      </c>
      <c r="F60" s="6">
        <v>70</v>
      </c>
      <c r="G60" s="6">
        <f>F60*D60</f>
        <v>6790</v>
      </c>
      <c r="H60" s="6"/>
      <c r="I60" s="7">
        <f>(G60-(F60*E60)+H60)</f>
        <v>-243.18000000000029</v>
      </c>
      <c r="J60" s="8">
        <f>((D60*F60)+H60)/(E60*F60)-100%</f>
        <v>-3.457610924219201E-2</v>
      </c>
      <c r="K60" s="10" t="s">
        <v>304</v>
      </c>
      <c r="L60" s="53">
        <v>43150</v>
      </c>
      <c r="M60" s="7">
        <f>0.7*5.3*F60</f>
        <v>259.7</v>
      </c>
    </row>
    <row r="61" spans="1:13" ht="15">
      <c r="A61" s="13" t="s">
        <v>313</v>
      </c>
      <c r="D61" s="7">
        <v>133</v>
      </c>
      <c r="E61" s="7">
        <v>154</v>
      </c>
      <c r="F61" s="6">
        <v>20</v>
      </c>
      <c r="G61" s="6">
        <f t="shared" si="0"/>
        <v>2660</v>
      </c>
      <c r="H61" s="6"/>
      <c r="I61" s="7">
        <f t="shared" si="2"/>
        <v>-420</v>
      </c>
      <c r="J61" s="8">
        <f t="shared" si="1"/>
        <v>-0.13636363636363635</v>
      </c>
      <c r="K61" s="10"/>
      <c r="L61" s="40"/>
      <c r="M61" s="40"/>
    </row>
    <row r="62" spans="1:13" ht="15">
      <c r="A62" s="13"/>
      <c r="G62" s="6">
        <f t="shared" si="0"/>
        <v>0</v>
      </c>
      <c r="H62" s="6"/>
      <c r="I62" s="7">
        <f t="shared" si="2"/>
        <v>0</v>
      </c>
      <c r="J62" s="8" t="e">
        <f t="shared" si="1"/>
        <v>#DIV/0!</v>
      </c>
      <c r="K62" s="10"/>
      <c r="L62" s="40"/>
      <c r="M62" s="40"/>
    </row>
    <row r="63" spans="1:13" ht="15">
      <c r="A63" s="13"/>
      <c r="G63" s="6">
        <f t="shared" si="0"/>
        <v>0</v>
      </c>
      <c r="H63" s="6"/>
      <c r="I63" s="7">
        <f t="shared" si="2"/>
        <v>0</v>
      </c>
      <c r="J63" s="8" t="e">
        <f t="shared" si="1"/>
        <v>#DIV/0!</v>
      </c>
      <c r="K63" s="10"/>
      <c r="L63" s="40"/>
      <c r="M63" s="40"/>
    </row>
    <row r="64" spans="1:13" ht="15">
      <c r="A64" s="13"/>
      <c r="G64" s="6">
        <f t="shared" si="0"/>
        <v>0</v>
      </c>
      <c r="H64" s="6"/>
      <c r="I64" s="7">
        <f t="shared" si="2"/>
        <v>0</v>
      </c>
      <c r="J64" s="8" t="e">
        <f t="shared" si="1"/>
        <v>#DIV/0!</v>
      </c>
      <c r="K64" s="10"/>
      <c r="L64" s="40"/>
      <c r="M64" s="40"/>
    </row>
    <row r="65" spans="1:13" ht="15">
      <c r="A65" s="13"/>
      <c r="G65" s="6">
        <f t="shared" si="0"/>
        <v>0</v>
      </c>
      <c r="H65" s="6"/>
      <c r="I65" s="7">
        <f t="shared" si="2"/>
        <v>0</v>
      </c>
      <c r="J65" s="8" t="e">
        <f t="shared" si="1"/>
        <v>#DIV/0!</v>
      </c>
      <c r="K65" s="10" t="s">
        <v>317</v>
      </c>
      <c r="L65" s="40"/>
      <c r="M65" s="40"/>
    </row>
    <row r="66" spans="1:13" ht="15">
      <c r="A66" s="13" t="s">
        <v>25</v>
      </c>
      <c r="B66" s="35"/>
      <c r="C66" s="45" t="s">
        <v>15</v>
      </c>
      <c r="D66" s="6">
        <v>50</v>
      </c>
      <c r="E66" s="7">
        <v>66.97</v>
      </c>
      <c r="F66" s="6">
        <v>15</v>
      </c>
      <c r="G66" s="6">
        <f t="shared" ref="G66:G73" si="6">F66*D66</f>
        <v>750</v>
      </c>
      <c r="H66" s="6"/>
      <c r="I66" s="7">
        <f t="shared" si="2"/>
        <v>-254.54999999999995</v>
      </c>
      <c r="J66" s="8">
        <f>((D66*F66)+H66)/(E66*F66)-100%</f>
        <v>-0.25339704345229208</v>
      </c>
      <c r="K66" s="10" t="s">
        <v>317</v>
      </c>
      <c r="L66" s="40"/>
      <c r="M66" s="40"/>
    </row>
    <row r="67" spans="1:13" ht="15">
      <c r="A67" s="13" t="s">
        <v>280</v>
      </c>
      <c r="B67" s="35"/>
      <c r="C67" s="45" t="s">
        <v>15</v>
      </c>
      <c r="G67" s="6">
        <f t="shared" si="6"/>
        <v>0</v>
      </c>
      <c r="H67" s="6"/>
      <c r="I67" s="7">
        <f t="shared" ref="I67:I100" si="7">(G67-(F67*E67)+H67)</f>
        <v>0</v>
      </c>
      <c r="J67" s="8" t="e">
        <f>((D67*F67)+H67)/(E67*F67)-100%</f>
        <v>#DIV/0!</v>
      </c>
      <c r="K67" s="10" t="s">
        <v>317</v>
      </c>
      <c r="L67" s="40"/>
      <c r="M67" s="40"/>
    </row>
    <row r="68" spans="1:13" ht="15">
      <c r="A68" s="13" t="s">
        <v>300</v>
      </c>
      <c r="B68" s="35"/>
      <c r="C68" s="45" t="s">
        <v>15</v>
      </c>
      <c r="D68" s="6"/>
      <c r="E68" s="7"/>
      <c r="F68" s="6"/>
      <c r="G68" s="6">
        <f t="shared" si="6"/>
        <v>0</v>
      </c>
      <c r="H68" s="6"/>
      <c r="I68" s="7">
        <f t="shared" si="7"/>
        <v>0</v>
      </c>
      <c r="J68" s="8" t="e">
        <f t="shared" ref="J68:J100" si="8">((D68*F68)+H68)/(E68*F68)-100%</f>
        <v>#DIV/0!</v>
      </c>
      <c r="K68" s="10" t="s">
        <v>317</v>
      </c>
      <c r="L68" s="40"/>
      <c r="M68" s="40"/>
    </row>
    <row r="69" spans="1:13" ht="15">
      <c r="A69" s="13" t="s">
        <v>294</v>
      </c>
      <c r="B69" s="35"/>
      <c r="C69" s="45" t="s">
        <v>15</v>
      </c>
      <c r="D69" s="6"/>
      <c r="E69" s="7"/>
      <c r="F69" s="6"/>
      <c r="G69" s="6">
        <f t="shared" si="6"/>
        <v>0</v>
      </c>
      <c r="H69" s="6"/>
      <c r="I69" s="7">
        <f t="shared" si="7"/>
        <v>0</v>
      </c>
      <c r="J69" s="8" t="e">
        <f t="shared" si="8"/>
        <v>#DIV/0!</v>
      </c>
      <c r="K69" s="10" t="s">
        <v>317</v>
      </c>
      <c r="L69" s="40"/>
      <c r="M69" s="40"/>
    </row>
    <row r="70" spans="1:13" ht="15">
      <c r="A70" s="13" t="s">
        <v>295</v>
      </c>
      <c r="B70" s="35"/>
      <c r="C70" s="45" t="s">
        <v>15</v>
      </c>
      <c r="D70" s="6"/>
      <c r="E70" s="7"/>
      <c r="F70" s="6"/>
      <c r="G70" s="6">
        <f t="shared" si="6"/>
        <v>0</v>
      </c>
      <c r="H70" s="6"/>
      <c r="I70" s="7">
        <f t="shared" si="7"/>
        <v>0</v>
      </c>
      <c r="J70" s="8" t="e">
        <f t="shared" si="8"/>
        <v>#DIV/0!</v>
      </c>
      <c r="K70" s="10"/>
      <c r="L70" s="40"/>
      <c r="M70" s="40"/>
    </row>
    <row r="71" spans="1:13" ht="15">
      <c r="A71" s="13"/>
      <c r="G71" s="6">
        <f t="shared" si="6"/>
        <v>0</v>
      </c>
      <c r="H71" s="6"/>
      <c r="I71" s="7">
        <f t="shared" si="7"/>
        <v>0</v>
      </c>
      <c r="J71" s="8" t="e">
        <f t="shared" si="8"/>
        <v>#DIV/0!</v>
      </c>
      <c r="K71" s="10"/>
      <c r="L71" s="40"/>
      <c r="M71" s="40"/>
    </row>
    <row r="72" spans="1:13" ht="15">
      <c r="A72" s="13"/>
      <c r="B72" s="35"/>
      <c r="C72" s="45" t="s">
        <v>15</v>
      </c>
      <c r="D72" s="7"/>
      <c r="E72" s="7"/>
      <c r="F72" s="6"/>
      <c r="G72" s="6">
        <f t="shared" si="6"/>
        <v>0</v>
      </c>
      <c r="H72" s="6"/>
      <c r="I72" s="7">
        <f t="shared" si="7"/>
        <v>0</v>
      </c>
      <c r="J72" s="8" t="e">
        <f t="shared" si="8"/>
        <v>#DIV/0!</v>
      </c>
      <c r="K72" s="10"/>
      <c r="L72" s="40"/>
      <c r="M72" s="40"/>
    </row>
    <row r="73" spans="1:13" ht="15">
      <c r="A73" s="13"/>
      <c r="B73" s="35"/>
      <c r="C73" s="45" t="s">
        <v>15</v>
      </c>
      <c r="D73" s="7"/>
      <c r="E73" s="7"/>
      <c r="F73" s="6"/>
      <c r="G73" s="6">
        <f t="shared" si="6"/>
        <v>0</v>
      </c>
      <c r="H73" s="6"/>
      <c r="I73" s="7">
        <f t="shared" si="7"/>
        <v>0</v>
      </c>
      <c r="J73" s="8" t="e">
        <f t="shared" si="8"/>
        <v>#DIV/0!</v>
      </c>
      <c r="K73" s="10"/>
      <c r="L73" s="40"/>
      <c r="M73" s="40"/>
    </row>
    <row r="74" spans="1:13" ht="15">
      <c r="A74" s="13"/>
      <c r="B74" s="35"/>
      <c r="C74" s="45" t="s">
        <v>22</v>
      </c>
      <c r="D74" s="7"/>
      <c r="E74" s="7"/>
      <c r="F74" s="6"/>
      <c r="G74" s="6">
        <f t="shared" ref="G74:G84" si="9">F74*D74</f>
        <v>0</v>
      </c>
      <c r="H74" s="6"/>
      <c r="I74" s="7">
        <f t="shared" si="7"/>
        <v>0</v>
      </c>
      <c r="J74" s="8" t="e">
        <f t="shared" si="8"/>
        <v>#DIV/0!</v>
      </c>
      <c r="K74" s="10"/>
      <c r="L74" s="40"/>
      <c r="M74" s="40"/>
    </row>
    <row r="75" spans="1:13" ht="15">
      <c r="A75" s="13"/>
      <c r="B75" s="35"/>
      <c r="C75" s="45" t="s">
        <v>22</v>
      </c>
      <c r="D75" s="7"/>
      <c r="E75" s="7"/>
      <c r="F75" s="6"/>
      <c r="G75" s="6">
        <f t="shared" si="9"/>
        <v>0</v>
      </c>
      <c r="H75" s="6"/>
      <c r="I75" s="7">
        <f t="shared" si="7"/>
        <v>0</v>
      </c>
      <c r="J75" s="8" t="e">
        <f t="shared" si="8"/>
        <v>#DIV/0!</v>
      </c>
      <c r="K75" s="10"/>
      <c r="L75" s="40"/>
      <c r="M75" s="40"/>
    </row>
    <row r="76" spans="1:13" ht="15">
      <c r="A76" s="13"/>
      <c r="B76" s="35"/>
      <c r="C76" s="45" t="s">
        <v>38</v>
      </c>
      <c r="D76" s="7"/>
      <c r="E76" s="7"/>
      <c r="F76" s="6"/>
      <c r="G76" s="6">
        <f t="shared" si="9"/>
        <v>0</v>
      </c>
      <c r="H76" s="6"/>
      <c r="I76" s="7">
        <f t="shared" si="7"/>
        <v>0</v>
      </c>
      <c r="J76" s="8" t="e">
        <f t="shared" si="8"/>
        <v>#DIV/0!</v>
      </c>
      <c r="K76" s="10"/>
      <c r="L76" s="40"/>
      <c r="M76" s="40"/>
    </row>
    <row r="77" spans="1:13" ht="15">
      <c r="A77" s="13"/>
      <c r="B77" s="35"/>
      <c r="C77" s="45" t="s">
        <v>15</v>
      </c>
      <c r="D77" s="7"/>
      <c r="E77" s="7"/>
      <c r="F77" s="6"/>
      <c r="G77" s="6">
        <f t="shared" si="9"/>
        <v>0</v>
      </c>
      <c r="H77" s="6"/>
      <c r="I77" s="7">
        <f t="shared" si="7"/>
        <v>0</v>
      </c>
      <c r="J77" s="8" t="e">
        <f t="shared" si="8"/>
        <v>#DIV/0!</v>
      </c>
      <c r="K77" s="10"/>
      <c r="L77" s="40"/>
      <c r="M77" s="40"/>
    </row>
    <row r="78" spans="1:13" ht="15">
      <c r="A78" s="13"/>
      <c r="B78" s="35"/>
      <c r="C78" s="45" t="s">
        <v>15</v>
      </c>
      <c r="D78" s="7"/>
      <c r="E78" s="7"/>
      <c r="F78" s="6"/>
      <c r="G78" s="6">
        <f t="shared" si="9"/>
        <v>0</v>
      </c>
      <c r="H78" s="6"/>
      <c r="I78" s="7">
        <f t="shared" si="7"/>
        <v>0</v>
      </c>
      <c r="J78" s="8" t="e">
        <f t="shared" si="8"/>
        <v>#DIV/0!</v>
      </c>
      <c r="K78" s="10"/>
      <c r="L78" s="40"/>
      <c r="M78" s="40"/>
    </row>
    <row r="79" spans="1:13" ht="15">
      <c r="A79" s="13"/>
      <c r="B79" s="35"/>
      <c r="C79" s="45" t="s">
        <v>22</v>
      </c>
      <c r="D79" s="7"/>
      <c r="E79" s="7"/>
      <c r="F79" s="6"/>
      <c r="G79" s="6">
        <f t="shared" si="9"/>
        <v>0</v>
      </c>
      <c r="H79" s="6"/>
      <c r="I79" s="7">
        <f t="shared" si="7"/>
        <v>0</v>
      </c>
      <c r="J79" s="8" t="e">
        <f t="shared" si="8"/>
        <v>#DIV/0!</v>
      </c>
      <c r="K79" s="10"/>
      <c r="L79" s="40"/>
      <c r="M79" s="40"/>
    </row>
    <row r="80" spans="1:13" ht="15">
      <c r="A80" s="13"/>
      <c r="B80" s="35"/>
      <c r="C80" s="45" t="s">
        <v>58</v>
      </c>
      <c r="D80" s="7"/>
      <c r="E80" s="7"/>
      <c r="F80" s="6"/>
      <c r="G80" s="6">
        <f t="shared" si="9"/>
        <v>0</v>
      </c>
      <c r="H80" s="6"/>
      <c r="I80" s="7">
        <f t="shared" si="7"/>
        <v>0</v>
      </c>
      <c r="J80" s="8" t="e">
        <f t="shared" si="8"/>
        <v>#DIV/0!</v>
      </c>
      <c r="K80" s="10"/>
      <c r="L80" s="40"/>
      <c r="M80" s="40"/>
    </row>
    <row r="81" spans="1:13" ht="15">
      <c r="A81" s="13"/>
      <c r="B81" s="35"/>
      <c r="C81" s="45" t="s">
        <v>15</v>
      </c>
      <c r="D81" s="7"/>
      <c r="E81" s="7"/>
      <c r="F81" s="6"/>
      <c r="G81" s="6">
        <f t="shared" si="9"/>
        <v>0</v>
      </c>
      <c r="H81" s="6"/>
      <c r="I81" s="7">
        <f t="shared" si="7"/>
        <v>0</v>
      </c>
      <c r="J81" s="8" t="e">
        <f t="shared" si="8"/>
        <v>#DIV/0!</v>
      </c>
      <c r="K81" s="10"/>
      <c r="L81" s="40"/>
      <c r="M81" s="40"/>
    </row>
    <row r="82" spans="1:13" ht="15">
      <c r="A82" s="13"/>
      <c r="B82" s="35"/>
      <c r="C82" s="45" t="s">
        <v>22</v>
      </c>
      <c r="D82" s="7"/>
      <c r="E82" s="7"/>
      <c r="F82" s="6"/>
      <c r="G82" s="6">
        <f t="shared" si="9"/>
        <v>0</v>
      </c>
      <c r="H82" s="6"/>
      <c r="I82" s="7">
        <f t="shared" si="7"/>
        <v>0</v>
      </c>
      <c r="J82" s="8" t="e">
        <f t="shared" si="8"/>
        <v>#DIV/0!</v>
      </c>
      <c r="K82" s="10"/>
      <c r="L82" s="40"/>
      <c r="M82" s="40"/>
    </row>
    <row r="83" spans="1:13" ht="15">
      <c r="A83" s="13"/>
      <c r="B83" s="35"/>
      <c r="C83" s="45" t="s">
        <v>15</v>
      </c>
      <c r="D83" s="7"/>
      <c r="E83" s="6"/>
      <c r="F83" s="6"/>
      <c r="G83" s="6">
        <f t="shared" si="9"/>
        <v>0</v>
      </c>
      <c r="H83" s="6"/>
      <c r="I83" s="7">
        <f t="shared" si="7"/>
        <v>0</v>
      </c>
      <c r="J83" s="8" t="e">
        <f t="shared" si="8"/>
        <v>#DIV/0!</v>
      </c>
      <c r="K83" s="10"/>
      <c r="L83" s="40"/>
      <c r="M83" s="40"/>
    </row>
    <row r="84" spans="1:13" ht="15">
      <c r="A84" s="13"/>
      <c r="B84" s="35"/>
      <c r="C84" s="45" t="s">
        <v>15</v>
      </c>
      <c r="D84" s="7"/>
      <c r="E84" s="7"/>
      <c r="F84" s="6"/>
      <c r="G84" s="6">
        <f t="shared" si="9"/>
        <v>0</v>
      </c>
      <c r="H84" s="6"/>
      <c r="I84" s="7">
        <f t="shared" si="7"/>
        <v>0</v>
      </c>
      <c r="J84" s="8" t="e">
        <f t="shared" si="8"/>
        <v>#DIV/0!</v>
      </c>
      <c r="K84" s="10"/>
      <c r="L84" s="40"/>
      <c r="M84" s="40"/>
    </row>
    <row r="85" spans="1:13" ht="15">
      <c r="A85" s="13"/>
      <c r="I85" s="7">
        <f t="shared" si="7"/>
        <v>0</v>
      </c>
      <c r="J85" s="8" t="e">
        <f t="shared" si="8"/>
        <v>#DIV/0!</v>
      </c>
    </row>
    <row r="86" spans="1:13" ht="15">
      <c r="A86" s="13"/>
      <c r="B86" s="35"/>
      <c r="C86" s="45" t="s">
        <v>63</v>
      </c>
      <c r="D86" s="6"/>
      <c r="E86" s="7"/>
      <c r="F86" s="6"/>
      <c r="G86" s="6">
        <f>F86*D86</f>
        <v>0</v>
      </c>
      <c r="H86" s="6"/>
      <c r="I86" s="7">
        <f t="shared" si="7"/>
        <v>0</v>
      </c>
      <c r="J86" s="8" t="e">
        <f t="shared" si="8"/>
        <v>#DIV/0!</v>
      </c>
      <c r="K86" s="10"/>
      <c r="L86" s="40"/>
      <c r="M86" s="40"/>
    </row>
    <row r="87" spans="1:13" ht="15">
      <c r="A87" s="13"/>
      <c r="B87" s="35"/>
      <c r="C87" s="45" t="s">
        <v>72</v>
      </c>
      <c r="D87" s="6"/>
      <c r="E87" s="7"/>
      <c r="F87" s="6"/>
      <c r="G87" s="6">
        <f>F87*D87</f>
        <v>0</v>
      </c>
      <c r="H87" s="6"/>
      <c r="I87" s="7">
        <f t="shared" si="7"/>
        <v>0</v>
      </c>
      <c r="J87" s="8" t="e">
        <f t="shared" si="8"/>
        <v>#DIV/0!</v>
      </c>
      <c r="K87" s="10"/>
      <c r="L87" s="40"/>
      <c r="M87" s="40"/>
    </row>
    <row r="88" spans="1:13" ht="15">
      <c r="A88" s="13"/>
      <c r="B88" s="35"/>
      <c r="C88" s="45" t="s">
        <v>22</v>
      </c>
      <c r="D88" s="7"/>
      <c r="E88" s="7"/>
      <c r="F88" s="6"/>
      <c r="G88" s="14">
        <f t="shared" ref="G88:G98" si="10">F88*D88</f>
        <v>0</v>
      </c>
      <c r="H88" s="6"/>
      <c r="I88" s="7">
        <f t="shared" si="7"/>
        <v>0</v>
      </c>
      <c r="J88" s="8" t="e">
        <f t="shared" si="8"/>
        <v>#DIV/0!</v>
      </c>
      <c r="K88" s="10"/>
      <c r="L88" s="40"/>
      <c r="M88" s="40"/>
    </row>
    <row r="89" spans="1:13" ht="15">
      <c r="A89" s="13"/>
      <c r="B89" s="35"/>
      <c r="C89" s="45" t="s">
        <v>15</v>
      </c>
      <c r="D89" s="7"/>
      <c r="E89" s="7"/>
      <c r="F89" s="6"/>
      <c r="G89" s="6">
        <f t="shared" si="10"/>
        <v>0</v>
      </c>
      <c r="H89" s="6"/>
      <c r="I89" s="7">
        <f t="shared" si="7"/>
        <v>0</v>
      </c>
      <c r="J89" s="8" t="e">
        <f t="shared" si="8"/>
        <v>#DIV/0!</v>
      </c>
      <c r="K89" s="10"/>
      <c r="L89" s="40"/>
      <c r="M89" s="40"/>
    </row>
    <row r="90" spans="1:13" ht="15">
      <c r="A90" s="13"/>
      <c r="B90" s="35"/>
      <c r="C90" s="45" t="s">
        <v>15</v>
      </c>
      <c r="D90" s="7"/>
      <c r="E90" s="7"/>
      <c r="F90" s="6"/>
      <c r="G90" s="6">
        <f t="shared" si="10"/>
        <v>0</v>
      </c>
      <c r="H90" s="6"/>
      <c r="I90" s="7">
        <f t="shared" si="7"/>
        <v>0</v>
      </c>
      <c r="J90" s="8" t="e">
        <f t="shared" si="8"/>
        <v>#DIV/0!</v>
      </c>
      <c r="K90" s="10"/>
      <c r="L90" s="40"/>
      <c r="M90" s="40"/>
    </row>
    <row r="91" spans="1:13" ht="15">
      <c r="A91" s="13" t="s">
        <v>313</v>
      </c>
      <c r="B91" s="35"/>
      <c r="C91" s="45" t="s">
        <v>15</v>
      </c>
      <c r="D91" s="7"/>
      <c r="E91" s="7"/>
      <c r="F91" s="6"/>
      <c r="G91" s="6">
        <f t="shared" si="10"/>
        <v>0</v>
      </c>
      <c r="H91" s="6"/>
      <c r="I91" s="7">
        <f t="shared" si="7"/>
        <v>0</v>
      </c>
      <c r="J91" s="8" t="e">
        <f t="shared" si="8"/>
        <v>#DIV/0!</v>
      </c>
      <c r="K91" s="10" t="s">
        <v>304</v>
      </c>
      <c r="L91" s="40"/>
      <c r="M91" s="40"/>
    </row>
    <row r="92" spans="1:13" ht="15">
      <c r="A92" s="13" t="s">
        <v>309</v>
      </c>
      <c r="B92" s="35"/>
      <c r="C92" s="45" t="s">
        <v>15</v>
      </c>
      <c r="D92" s="7"/>
      <c r="E92" s="7"/>
      <c r="F92" s="6"/>
      <c r="G92" s="6">
        <f t="shared" si="10"/>
        <v>0</v>
      </c>
      <c r="H92" s="6"/>
      <c r="I92" s="7">
        <f t="shared" si="7"/>
        <v>0</v>
      </c>
      <c r="J92" s="8" t="e">
        <f t="shared" si="8"/>
        <v>#DIV/0!</v>
      </c>
      <c r="K92" s="10" t="s">
        <v>304</v>
      </c>
      <c r="L92" s="40"/>
      <c r="M92" s="40"/>
    </row>
    <row r="93" spans="1:13" ht="15">
      <c r="A93" s="13" t="s">
        <v>288</v>
      </c>
      <c r="B93" s="35"/>
      <c r="C93" s="45" t="s">
        <v>72</v>
      </c>
      <c r="D93" s="7"/>
      <c r="E93" s="7"/>
      <c r="F93" s="6"/>
      <c r="G93" s="6">
        <f t="shared" si="10"/>
        <v>0</v>
      </c>
      <c r="H93" s="6"/>
      <c r="I93" s="7">
        <f t="shared" si="7"/>
        <v>0</v>
      </c>
      <c r="J93" s="8" t="e">
        <f t="shared" si="8"/>
        <v>#DIV/0!</v>
      </c>
      <c r="K93" s="10" t="s">
        <v>304</v>
      </c>
      <c r="L93" s="40"/>
      <c r="M93" s="40"/>
    </row>
    <row r="94" spans="1:13" ht="15">
      <c r="A94" s="13" t="s">
        <v>298</v>
      </c>
      <c r="B94" s="35"/>
      <c r="C94" s="45" t="s">
        <v>312</v>
      </c>
      <c r="D94" s="7"/>
      <c r="E94" s="7"/>
      <c r="F94" s="6"/>
      <c r="G94" s="6">
        <f t="shared" si="10"/>
        <v>0</v>
      </c>
      <c r="H94" s="6"/>
      <c r="I94" s="7">
        <f t="shared" si="7"/>
        <v>0</v>
      </c>
      <c r="J94" s="8" t="e">
        <f t="shared" si="8"/>
        <v>#DIV/0!</v>
      </c>
      <c r="K94" s="10" t="s">
        <v>304</v>
      </c>
      <c r="L94" s="40"/>
      <c r="M94" s="40"/>
    </row>
    <row r="95" spans="1:13" ht="15">
      <c r="A95" s="13" t="s">
        <v>290</v>
      </c>
      <c r="B95" s="35"/>
      <c r="C95" s="45" t="s">
        <v>72</v>
      </c>
      <c r="D95" s="7"/>
      <c r="E95" s="7"/>
      <c r="F95" s="6"/>
      <c r="G95" s="6">
        <f t="shared" si="10"/>
        <v>0</v>
      </c>
      <c r="H95" s="6"/>
      <c r="I95" s="7">
        <f t="shared" si="7"/>
        <v>0</v>
      </c>
      <c r="J95" s="8" t="e">
        <f t="shared" si="8"/>
        <v>#DIV/0!</v>
      </c>
      <c r="K95" s="10" t="s">
        <v>304</v>
      </c>
      <c r="L95" s="40"/>
      <c r="M95" s="40"/>
    </row>
    <row r="96" spans="1:13" ht="15">
      <c r="A96" s="13" t="s">
        <v>278</v>
      </c>
      <c r="B96" s="35"/>
      <c r="C96" s="45" t="s">
        <v>72</v>
      </c>
      <c r="D96" s="7"/>
      <c r="E96" s="7"/>
      <c r="F96" s="6"/>
      <c r="G96" s="6">
        <f t="shared" si="10"/>
        <v>0</v>
      </c>
      <c r="H96" s="6"/>
      <c r="I96" s="7">
        <f t="shared" si="7"/>
        <v>0</v>
      </c>
      <c r="J96" s="8" t="e">
        <f t="shared" si="8"/>
        <v>#DIV/0!</v>
      </c>
      <c r="K96" s="10" t="s">
        <v>304</v>
      </c>
      <c r="L96" s="40"/>
      <c r="M96" s="40"/>
    </row>
    <row r="97" spans="1:13" ht="15">
      <c r="A97" s="13" t="s">
        <v>275</v>
      </c>
      <c r="B97" s="35"/>
      <c r="C97" s="45" t="s">
        <v>72</v>
      </c>
      <c r="D97" s="7"/>
      <c r="E97" s="7"/>
      <c r="F97" s="6"/>
      <c r="G97" s="6">
        <f t="shared" si="10"/>
        <v>0</v>
      </c>
      <c r="H97" s="6"/>
      <c r="I97" s="7">
        <f t="shared" si="7"/>
        <v>0</v>
      </c>
      <c r="J97" s="8" t="e">
        <f t="shared" si="8"/>
        <v>#DIV/0!</v>
      </c>
      <c r="K97" s="10" t="s">
        <v>304</v>
      </c>
      <c r="L97" s="40"/>
      <c r="M97" s="40"/>
    </row>
    <row r="98" spans="1:13" ht="15">
      <c r="A98" s="13" t="s">
        <v>276</v>
      </c>
      <c r="B98" s="35"/>
      <c r="C98" s="45" t="s">
        <v>72</v>
      </c>
      <c r="D98" s="7"/>
      <c r="E98" s="7"/>
      <c r="F98" s="6"/>
      <c r="G98" s="6">
        <f t="shared" si="10"/>
        <v>0</v>
      </c>
      <c r="H98" s="6"/>
      <c r="I98" s="7">
        <f t="shared" si="7"/>
        <v>0</v>
      </c>
      <c r="J98" s="8" t="e">
        <f t="shared" si="8"/>
        <v>#DIV/0!</v>
      </c>
      <c r="K98" s="10" t="s">
        <v>304</v>
      </c>
      <c r="L98" s="40"/>
      <c r="M98" s="40"/>
    </row>
    <row r="99" spans="1:13" ht="15">
      <c r="A99" s="13"/>
      <c r="B99" s="35"/>
      <c r="C99" s="45" t="s">
        <v>72</v>
      </c>
      <c r="D99" s="6"/>
      <c r="E99" s="7"/>
      <c r="F99" s="6"/>
      <c r="G99" s="6">
        <f>F99*D99</f>
        <v>0</v>
      </c>
      <c r="H99" s="6"/>
      <c r="I99" s="7">
        <f t="shared" si="7"/>
        <v>0</v>
      </c>
      <c r="J99" s="8" t="e">
        <f t="shared" si="8"/>
        <v>#DIV/0!</v>
      </c>
      <c r="K99" s="10"/>
      <c r="L99" s="40"/>
      <c r="M99" s="40"/>
    </row>
    <row r="100" spans="1:13" ht="15">
      <c r="A100" s="13"/>
      <c r="B100" s="35"/>
      <c r="C100" s="45" t="s">
        <v>15</v>
      </c>
      <c r="D100" s="6"/>
      <c r="E100" s="7"/>
      <c r="F100" s="6"/>
      <c r="G100" s="6">
        <f>F100*D100</f>
        <v>0</v>
      </c>
      <c r="H100" s="6"/>
      <c r="I100" s="7">
        <f t="shared" si="7"/>
        <v>0</v>
      </c>
      <c r="J100" s="8" t="e">
        <f t="shared" si="8"/>
        <v>#DIV/0!</v>
      </c>
      <c r="K100" s="10"/>
      <c r="L100" s="40"/>
      <c r="M100" s="40"/>
    </row>
    <row r="101" spans="1:13" ht="15">
      <c r="A101" s="13"/>
      <c r="B101" s="35"/>
      <c r="C101" s="45"/>
      <c r="D101" s="6"/>
      <c r="E101" s="7"/>
      <c r="F101" s="6"/>
      <c r="G101" s="6"/>
      <c r="H101" s="6"/>
      <c r="I101" s="7"/>
      <c r="J101" s="8"/>
      <c r="K101" s="10"/>
      <c r="L101" s="40"/>
      <c r="M101" s="40"/>
    </row>
    <row r="102" spans="1:13" ht="15">
      <c r="A102" s="13"/>
      <c r="B102" s="35"/>
      <c r="C102" s="45"/>
      <c r="E102" s="16"/>
      <c r="H102" s="6"/>
      <c r="I102" s="16"/>
      <c r="J102" s="8"/>
      <c r="L102" s="40"/>
      <c r="M102" s="40"/>
    </row>
    <row r="103" spans="1:13" ht="15">
      <c r="A103" s="13"/>
      <c r="B103" s="35"/>
      <c r="C103" s="45"/>
      <c r="E103" s="16"/>
      <c r="H103" s="6"/>
      <c r="I103" s="16"/>
      <c r="J103" s="8"/>
      <c r="L103" s="40"/>
      <c r="M103" s="40"/>
    </row>
    <row r="104" spans="1:13" ht="15">
      <c r="A104" s="13"/>
      <c r="B104" s="35"/>
      <c r="C104" s="45"/>
      <c r="E104" s="16"/>
      <c r="H104" s="6"/>
      <c r="I104" s="16"/>
      <c r="J104" s="8"/>
      <c r="L104" s="40"/>
      <c r="M104" s="40"/>
    </row>
    <row r="105" spans="1:13" ht="15">
      <c r="A105" s="13" t="s">
        <v>314</v>
      </c>
      <c r="B105" s="35"/>
      <c r="C105" s="45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1">((D105*F105)+H105)/(E105*F105)-100%</f>
        <v>#DIV/0!</v>
      </c>
      <c r="K105" s="10"/>
      <c r="L105" s="40"/>
      <c r="M105" s="40"/>
    </row>
    <row r="106" spans="1:13" ht="15">
      <c r="A106" s="13"/>
      <c r="B106" s="35"/>
      <c r="C106" s="45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1"/>
        <v>#DIV/0!</v>
      </c>
      <c r="K106" s="10"/>
      <c r="L106" s="40"/>
      <c r="M106" s="40"/>
    </row>
    <row r="107" spans="1:13" ht="15">
      <c r="A107" s="13"/>
      <c r="B107" s="35"/>
      <c r="C107" s="45" t="s">
        <v>15</v>
      </c>
      <c r="D107" s="6"/>
      <c r="E107" s="7"/>
      <c r="F107" s="6"/>
      <c r="G107" s="6">
        <f t="shared" ref="G107:G112" si="12">F107*D107</f>
        <v>0</v>
      </c>
      <c r="H107" s="6"/>
      <c r="I107" s="7"/>
      <c r="J107" s="8" t="e">
        <f t="shared" si="11"/>
        <v>#DIV/0!</v>
      </c>
      <c r="K107" s="10"/>
      <c r="L107" s="40"/>
      <c r="M107" s="40"/>
    </row>
    <row r="108" spans="1:13" ht="15">
      <c r="A108" s="13"/>
      <c r="B108" s="35"/>
      <c r="C108" s="45" t="s">
        <v>15</v>
      </c>
      <c r="D108" s="6"/>
      <c r="E108" s="7"/>
      <c r="F108" s="6"/>
      <c r="G108" s="6">
        <f t="shared" si="12"/>
        <v>0</v>
      </c>
      <c r="H108" s="6"/>
      <c r="I108" s="7"/>
      <c r="J108" s="8" t="e">
        <f t="shared" si="11"/>
        <v>#DIV/0!</v>
      </c>
      <c r="K108" s="10"/>
      <c r="L108" s="40"/>
      <c r="M108" s="40"/>
    </row>
    <row r="109" spans="1:13" ht="15">
      <c r="A109" s="13"/>
      <c r="B109" s="35"/>
      <c r="C109" s="45" t="s">
        <v>15</v>
      </c>
      <c r="D109" s="6"/>
      <c r="E109" s="7"/>
      <c r="F109" s="6"/>
      <c r="G109" s="6">
        <f t="shared" si="12"/>
        <v>0</v>
      </c>
      <c r="H109" s="6"/>
      <c r="I109" s="7"/>
      <c r="J109" s="8" t="e">
        <f t="shared" si="11"/>
        <v>#DIV/0!</v>
      </c>
      <c r="K109" s="10"/>
      <c r="L109" s="40"/>
      <c r="M109" s="40"/>
    </row>
    <row r="110" spans="1:13" ht="15">
      <c r="A110" s="13"/>
      <c r="B110" s="35"/>
      <c r="C110" s="45" t="s">
        <v>15</v>
      </c>
      <c r="D110" s="6"/>
      <c r="E110" s="7"/>
      <c r="F110" s="6"/>
      <c r="G110" s="6">
        <f t="shared" si="12"/>
        <v>0</v>
      </c>
      <c r="H110" s="6"/>
      <c r="I110" s="7"/>
      <c r="J110" s="8" t="e">
        <f t="shared" si="11"/>
        <v>#DIV/0!</v>
      </c>
      <c r="K110" s="10"/>
      <c r="L110" s="40"/>
      <c r="M110" s="40"/>
    </row>
    <row r="111" spans="1:13" ht="15">
      <c r="A111" s="13"/>
      <c r="B111" s="35"/>
      <c r="C111" s="45" t="s">
        <v>15</v>
      </c>
      <c r="D111" s="6"/>
      <c r="E111" s="7"/>
      <c r="F111" s="6"/>
      <c r="G111" s="6">
        <f t="shared" si="12"/>
        <v>0</v>
      </c>
      <c r="H111" s="6"/>
      <c r="I111" s="7"/>
      <c r="J111" s="8" t="e">
        <f t="shared" si="11"/>
        <v>#DIV/0!</v>
      </c>
      <c r="K111" s="10"/>
      <c r="L111" s="40"/>
      <c r="M111" s="40"/>
    </row>
    <row r="112" spans="1:13" ht="15">
      <c r="A112" s="13"/>
      <c r="B112" s="35"/>
      <c r="C112" s="45" t="s">
        <v>15</v>
      </c>
      <c r="D112" s="6"/>
      <c r="E112" s="7"/>
      <c r="F112" s="6"/>
      <c r="G112" s="6">
        <f t="shared" si="12"/>
        <v>0</v>
      </c>
      <c r="H112" s="6"/>
      <c r="I112" s="7"/>
      <c r="J112" s="8" t="e">
        <f t="shared" si="11"/>
        <v>#DIV/0!</v>
      </c>
      <c r="K112" s="10"/>
      <c r="L112" s="40"/>
      <c r="M112" s="40"/>
    </row>
    <row r="113" spans="1:40" ht="15">
      <c r="A113" s="13"/>
      <c r="B113" s="35"/>
      <c r="C113" s="45"/>
      <c r="D113" s="6"/>
      <c r="E113" s="7"/>
      <c r="G113" s="6"/>
      <c r="H113" s="6"/>
      <c r="I113" s="7"/>
      <c r="J113" s="8"/>
      <c r="K113" s="10"/>
      <c r="L113" s="40"/>
      <c r="M113" s="40"/>
    </row>
    <row r="114" spans="1:40" ht="15">
      <c r="A114" s="13"/>
      <c r="B114" s="35"/>
      <c r="C114" s="45"/>
      <c r="D114" s="6"/>
      <c r="E114" s="7"/>
      <c r="G114" s="6"/>
      <c r="H114" s="6"/>
      <c r="I114" s="7"/>
      <c r="J114" s="8"/>
      <c r="K114" s="10"/>
      <c r="L114" s="40"/>
      <c r="M114" s="40"/>
    </row>
    <row r="115" spans="1:40" ht="15">
      <c r="A115" s="15"/>
      <c r="B115" s="35"/>
      <c r="C115" s="45"/>
      <c r="D115" s="6"/>
      <c r="E115" s="7"/>
      <c r="G115" s="6"/>
      <c r="H115" s="6"/>
      <c r="I115" s="7"/>
      <c r="J115" s="8"/>
      <c r="L115" s="40"/>
      <c r="M115" s="40"/>
    </row>
    <row r="116" spans="1:40" ht="15">
      <c r="A116" s="15"/>
      <c r="B116" s="35"/>
      <c r="C116" s="45"/>
      <c r="E116" s="7"/>
      <c r="G116" s="6"/>
      <c r="H116" s="6"/>
      <c r="I116" s="7"/>
      <c r="J116" s="8"/>
      <c r="L116" s="40"/>
      <c r="M116" s="40"/>
    </row>
    <row r="117" spans="1:40" ht="15">
      <c r="A117" s="15"/>
      <c r="B117" s="35"/>
      <c r="C117" s="45"/>
      <c r="E117" s="7"/>
      <c r="I117" s="16"/>
      <c r="J117" s="9"/>
      <c r="L117" s="40"/>
      <c r="M117" s="40"/>
    </row>
    <row r="118" spans="1:40" ht="12.75">
      <c r="A118" s="15"/>
      <c r="B118" s="35"/>
      <c r="C118" s="45"/>
      <c r="E118" s="16"/>
      <c r="I118" s="16"/>
      <c r="J118" s="9"/>
      <c r="L118" s="40"/>
      <c r="M118" s="40"/>
    </row>
    <row r="119" spans="1:40" ht="12.75">
      <c r="A119" s="15"/>
      <c r="B119" s="35"/>
      <c r="C119" s="45"/>
      <c r="E119" s="16"/>
      <c r="I119" s="16"/>
      <c r="J119" s="9"/>
      <c r="L119" s="40"/>
      <c r="M119" s="40"/>
    </row>
    <row r="120" spans="1:40" ht="15.75" customHeight="1">
      <c r="B120" s="49" t="s">
        <v>213</v>
      </c>
      <c r="C120" s="49" t="s">
        <v>212</v>
      </c>
      <c r="D120" s="49">
        <v>2024</v>
      </c>
      <c r="E120" s="49">
        <v>2025</v>
      </c>
      <c r="F120" s="49">
        <v>2026</v>
      </c>
      <c r="G120" s="49">
        <v>2027</v>
      </c>
      <c r="H120" s="49">
        <v>2028</v>
      </c>
      <c r="I120" s="49">
        <v>2029</v>
      </c>
      <c r="J120" s="49">
        <v>2030</v>
      </c>
      <c r="K120" s="49">
        <v>2031</v>
      </c>
      <c r="L120" s="49">
        <v>2032</v>
      </c>
      <c r="M120" s="49">
        <v>2033</v>
      </c>
      <c r="N120" s="49">
        <v>2034</v>
      </c>
      <c r="O120" s="49">
        <v>2035</v>
      </c>
      <c r="P120" s="49">
        <v>2036</v>
      </c>
      <c r="Q120" s="49">
        <v>2037</v>
      </c>
      <c r="R120" s="49">
        <v>2038</v>
      </c>
      <c r="S120" s="49">
        <v>2039</v>
      </c>
      <c r="T120" s="49">
        <v>2040</v>
      </c>
      <c r="U120" s="49">
        <v>2041</v>
      </c>
      <c r="V120" s="49">
        <v>2042</v>
      </c>
      <c r="W120" s="49">
        <v>2043</v>
      </c>
      <c r="X120" s="49">
        <v>2044</v>
      </c>
      <c r="Y120" s="49">
        <v>2045</v>
      </c>
      <c r="Z120" s="49">
        <v>2046</v>
      </c>
      <c r="AA120" s="49">
        <v>2047</v>
      </c>
      <c r="AB120" s="49">
        <v>2048</v>
      </c>
      <c r="AC120" s="49">
        <v>2049</v>
      </c>
      <c r="AD120" s="49">
        <v>2050</v>
      </c>
      <c r="AE120" s="49">
        <v>2051</v>
      </c>
      <c r="AF120" s="49">
        <v>2052</v>
      </c>
      <c r="AG120" s="49">
        <v>2053</v>
      </c>
      <c r="AH120" s="49">
        <v>2054</v>
      </c>
      <c r="AI120" s="49">
        <v>2055</v>
      </c>
      <c r="AJ120" s="49">
        <v>2056</v>
      </c>
      <c r="AK120" s="49">
        <v>2057</v>
      </c>
      <c r="AL120" s="49">
        <v>2058</v>
      </c>
      <c r="AM120" s="49">
        <v>2059</v>
      </c>
      <c r="AN120" s="49">
        <v>2060</v>
      </c>
    </row>
    <row r="121" spans="1:40" ht="15.75" customHeight="1">
      <c r="B121" s="51" t="s">
        <v>333</v>
      </c>
      <c r="C121" s="75">
        <v>0</v>
      </c>
      <c r="D121" s="75">
        <v>8000</v>
      </c>
      <c r="E121" s="75">
        <v>1000</v>
      </c>
      <c r="F121" s="75">
        <f>E121*1.05</f>
        <v>1050</v>
      </c>
      <c r="G121" s="75">
        <f t="shared" ref="G121:AN121" si="13">F121*1.08</f>
        <v>1134</v>
      </c>
      <c r="H121" s="75">
        <f t="shared" si="13"/>
        <v>1224.72</v>
      </c>
      <c r="I121" s="75">
        <f t="shared" si="13"/>
        <v>1322.6976000000002</v>
      </c>
      <c r="J121" s="75">
        <f t="shared" si="13"/>
        <v>1428.5134080000003</v>
      </c>
      <c r="K121" s="75">
        <f t="shared" si="13"/>
        <v>1542.7944806400003</v>
      </c>
      <c r="L121" s="75">
        <f t="shared" si="13"/>
        <v>1666.2180390912004</v>
      </c>
      <c r="M121" s="75">
        <f t="shared" si="13"/>
        <v>1799.5154822184966</v>
      </c>
      <c r="N121" s="75">
        <f t="shared" si="13"/>
        <v>1943.4767207959765</v>
      </c>
      <c r="O121" s="75">
        <f t="shared" si="13"/>
        <v>2098.9548584596546</v>
      </c>
      <c r="P121" s="75">
        <f t="shared" si="13"/>
        <v>2266.871247136427</v>
      </c>
      <c r="Q121" s="75">
        <f t="shared" si="13"/>
        <v>2448.2209469073414</v>
      </c>
      <c r="R121" s="75">
        <f t="shared" si="13"/>
        <v>2644.0786226599289</v>
      </c>
      <c r="S121" s="75">
        <f t="shared" si="13"/>
        <v>2855.6049124727233</v>
      </c>
      <c r="T121" s="75">
        <f t="shared" si="13"/>
        <v>3084.0533054705415</v>
      </c>
      <c r="U121" s="75">
        <f t="shared" si="13"/>
        <v>3330.7775699081849</v>
      </c>
      <c r="V121" s="75">
        <f t="shared" si="13"/>
        <v>3597.2397755008401</v>
      </c>
      <c r="W121" s="75">
        <f t="shared" si="13"/>
        <v>3885.0189575409076</v>
      </c>
      <c r="X121" s="75">
        <f t="shared" si="13"/>
        <v>4195.8204741441805</v>
      </c>
      <c r="Y121" s="75">
        <f t="shared" si="13"/>
        <v>4531.486112075715</v>
      </c>
      <c r="Z121" s="75">
        <f t="shared" si="13"/>
        <v>4894.0050010417726</v>
      </c>
      <c r="AA121" s="75">
        <f t="shared" si="13"/>
        <v>5285.5254011251145</v>
      </c>
      <c r="AB121" s="75">
        <f t="shared" si="13"/>
        <v>5708.367433215124</v>
      </c>
      <c r="AC121" s="75">
        <f t="shared" si="13"/>
        <v>6165.0368278723345</v>
      </c>
      <c r="AD121" s="75">
        <f t="shared" si="13"/>
        <v>6658.2397741021214</v>
      </c>
      <c r="AE121" s="75">
        <f t="shared" si="13"/>
        <v>7190.8989560302916</v>
      </c>
      <c r="AF121" s="75">
        <f t="shared" si="13"/>
        <v>7766.1708725127155</v>
      </c>
      <c r="AG121" s="75">
        <f t="shared" si="13"/>
        <v>8387.4645423137335</v>
      </c>
      <c r="AH121" s="75">
        <f t="shared" si="13"/>
        <v>9058.4617056988336</v>
      </c>
      <c r="AI121" s="75">
        <f t="shared" si="13"/>
        <v>9783.1386421547413</v>
      </c>
      <c r="AJ121" s="75">
        <f t="shared" si="13"/>
        <v>10565.789733527121</v>
      </c>
      <c r="AK121" s="75">
        <f t="shared" si="13"/>
        <v>11411.052912209292</v>
      </c>
      <c r="AL121" s="75">
        <f t="shared" si="13"/>
        <v>12323.937145186037</v>
      </c>
      <c r="AM121" s="75">
        <f t="shared" si="13"/>
        <v>13309.852116800921</v>
      </c>
      <c r="AN121" s="75">
        <f t="shared" si="13"/>
        <v>14374.640286144995</v>
      </c>
    </row>
    <row r="122" spans="1:40" ht="15.75" customHeight="1">
      <c r="B122" s="51" t="s">
        <v>334</v>
      </c>
      <c r="C122" s="51">
        <v>0</v>
      </c>
      <c r="D122" s="51">
        <v>8000</v>
      </c>
      <c r="E122" s="75">
        <v>1100</v>
      </c>
      <c r="F122" s="75">
        <f>E122*1.12</f>
        <v>1232.0000000000002</v>
      </c>
      <c r="G122" s="75">
        <f t="shared" ref="G122:AN122" si="14">F122*1.12</f>
        <v>1379.8400000000004</v>
      </c>
      <c r="H122" s="75">
        <f t="shared" si="14"/>
        <v>1545.4208000000006</v>
      </c>
      <c r="I122" s="75">
        <f t="shared" si="14"/>
        <v>1730.8712960000007</v>
      </c>
      <c r="J122" s="75">
        <f t="shared" si="14"/>
        <v>1938.5758515200009</v>
      </c>
      <c r="K122" s="75">
        <f t="shared" si="14"/>
        <v>2171.2049537024013</v>
      </c>
      <c r="L122" s="75">
        <f t="shared" si="14"/>
        <v>2431.7495481466899</v>
      </c>
      <c r="M122" s="75">
        <f t="shared" si="14"/>
        <v>2723.5594939242928</v>
      </c>
      <c r="N122" s="75">
        <f t="shared" si="14"/>
        <v>3050.3866331952081</v>
      </c>
      <c r="O122" s="75">
        <f t="shared" si="14"/>
        <v>3416.4330291786332</v>
      </c>
      <c r="P122" s="75">
        <f t="shared" si="14"/>
        <v>3826.4049926800694</v>
      </c>
      <c r="Q122" s="75">
        <f t="shared" si="14"/>
        <v>4285.573591801678</v>
      </c>
      <c r="R122" s="75">
        <f t="shared" si="14"/>
        <v>4799.8424228178801</v>
      </c>
      <c r="S122" s="75">
        <f t="shared" si="14"/>
        <v>5375.8235135560262</v>
      </c>
      <c r="T122" s="75">
        <f t="shared" si="14"/>
        <v>6020.9223351827495</v>
      </c>
      <c r="U122" s="75">
        <f t="shared" si="14"/>
        <v>6743.4330154046802</v>
      </c>
      <c r="V122" s="75">
        <f t="shared" si="14"/>
        <v>7552.6449772532424</v>
      </c>
      <c r="W122" s="75">
        <f t="shared" si="14"/>
        <v>8458.9623745236331</v>
      </c>
      <c r="X122" s="75">
        <f t="shared" si="14"/>
        <v>9474.0378594664708</v>
      </c>
      <c r="Y122" s="75">
        <f t="shared" si="14"/>
        <v>10610.922402602448</v>
      </c>
      <c r="Z122" s="75">
        <f t="shared" si="14"/>
        <v>11884.233090914742</v>
      </c>
      <c r="AA122" s="75">
        <f t="shared" si="14"/>
        <v>13310.341061824513</v>
      </c>
      <c r="AB122" s="75">
        <f t="shared" si="14"/>
        <v>14907.581989243456</v>
      </c>
      <c r="AC122" s="75">
        <f t="shared" si="14"/>
        <v>16696.491827952672</v>
      </c>
      <c r="AD122" s="75">
        <f t="shared" si="14"/>
        <v>18700.070847306994</v>
      </c>
      <c r="AE122" s="75">
        <f t="shared" si="14"/>
        <v>20944.079348983836</v>
      </c>
      <c r="AF122" s="75">
        <f t="shared" si="14"/>
        <v>23457.368870861897</v>
      </c>
      <c r="AG122" s="75">
        <f t="shared" si="14"/>
        <v>26272.253135365328</v>
      </c>
      <c r="AH122" s="75">
        <f t="shared" si="14"/>
        <v>29424.92351160917</v>
      </c>
      <c r="AI122" s="75">
        <f t="shared" si="14"/>
        <v>32955.914333002271</v>
      </c>
      <c r="AJ122" s="75">
        <f t="shared" si="14"/>
        <v>36910.62405296255</v>
      </c>
      <c r="AK122" s="75">
        <f t="shared" si="14"/>
        <v>41339.89893931806</v>
      </c>
      <c r="AL122" s="75">
        <f t="shared" si="14"/>
        <v>46300.686812036234</v>
      </c>
      <c r="AM122" s="75">
        <f t="shared" si="14"/>
        <v>51856.769229480589</v>
      </c>
      <c r="AN122" s="75">
        <f t="shared" si="14"/>
        <v>58079.581537018268</v>
      </c>
    </row>
    <row r="123" spans="1:40" ht="15.75" customHeight="1">
      <c r="B123" s="51" t="s">
        <v>332</v>
      </c>
      <c r="C123" s="51">
        <v>0</v>
      </c>
      <c r="D123" s="51">
        <v>300</v>
      </c>
      <c r="E123" s="51">
        <v>1000</v>
      </c>
      <c r="F123" s="51"/>
      <c r="G123" s="51"/>
      <c r="H123" s="51"/>
      <c r="I123" s="51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</row>
    <row r="124" spans="1:40" ht="15.75" customHeight="1">
      <c r="B124" s="51" t="s">
        <v>440</v>
      </c>
      <c r="C124" s="51" t="s">
        <v>441</v>
      </c>
      <c r="D124" s="100" t="s">
        <v>441</v>
      </c>
      <c r="E124" s="100">
        <f>E123/D123-1</f>
        <v>2.3333333333333335</v>
      </c>
      <c r="F124" s="51"/>
      <c r="G124" s="51"/>
      <c r="H124" s="51"/>
      <c r="I124" s="51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</row>
    <row r="125" spans="1:40" ht="15.75" customHeight="1">
      <c r="B125" s="52" t="s">
        <v>417</v>
      </c>
      <c r="C125" s="50">
        <v>0</v>
      </c>
      <c r="D125" s="50">
        <v>500</v>
      </c>
      <c r="E125" s="50">
        <v>5000</v>
      </c>
      <c r="F125" s="50">
        <f t="shared" ref="F125:AN125" si="15">E125*1.06+10</f>
        <v>5310</v>
      </c>
      <c r="G125" s="50">
        <f t="shared" si="15"/>
        <v>5638.6</v>
      </c>
      <c r="H125" s="50">
        <f t="shared" si="15"/>
        <v>5986.9160000000011</v>
      </c>
      <c r="I125" s="50">
        <f t="shared" si="15"/>
        <v>6356.1309600000013</v>
      </c>
      <c r="J125" s="50">
        <f t="shared" si="15"/>
        <v>6747.4988176000015</v>
      </c>
      <c r="K125" s="50">
        <f t="shared" si="15"/>
        <v>7162.3487466560018</v>
      </c>
      <c r="L125" s="50">
        <f t="shared" si="15"/>
        <v>7602.0896714553619</v>
      </c>
      <c r="M125" s="50">
        <f t="shared" si="15"/>
        <v>8068.2150517426844</v>
      </c>
      <c r="N125" s="50">
        <f t="shared" si="15"/>
        <v>8562.3079548472451</v>
      </c>
      <c r="O125" s="50">
        <f t="shared" si="15"/>
        <v>9086.0464321380805</v>
      </c>
      <c r="P125" s="50">
        <f t="shared" si="15"/>
        <v>9641.2092180663658</v>
      </c>
      <c r="Q125" s="50">
        <f t="shared" si="15"/>
        <v>10229.681771150348</v>
      </c>
      <c r="R125" s="50">
        <f t="shared" si="15"/>
        <v>10853.462677419369</v>
      </c>
      <c r="S125" s="50">
        <f t="shared" si="15"/>
        <v>11514.670438064531</v>
      </c>
      <c r="T125" s="50">
        <f t="shared" si="15"/>
        <v>12215.550664348404</v>
      </c>
      <c r="U125" s="50">
        <f t="shared" si="15"/>
        <v>12958.48370420931</v>
      </c>
      <c r="V125" s="50">
        <f t="shared" si="15"/>
        <v>13745.992726461869</v>
      </c>
      <c r="W125" s="50">
        <f t="shared" si="15"/>
        <v>14580.752290049582</v>
      </c>
      <c r="X125" s="50">
        <f t="shared" si="15"/>
        <v>15465.597427452558</v>
      </c>
      <c r="Y125" s="50">
        <f t="shared" si="15"/>
        <v>16403.533273099711</v>
      </c>
      <c r="Z125" s="50">
        <f t="shared" si="15"/>
        <v>17397.745269485695</v>
      </c>
      <c r="AA125" s="50">
        <f t="shared" si="15"/>
        <v>18451.609985654839</v>
      </c>
      <c r="AB125" s="50">
        <f t="shared" si="15"/>
        <v>19568.70658479413</v>
      </c>
      <c r="AC125" s="50">
        <f t="shared" si="15"/>
        <v>20752.828979881779</v>
      </c>
      <c r="AD125" s="50">
        <f t="shared" si="15"/>
        <v>22007.998718674688</v>
      </c>
      <c r="AE125" s="50">
        <f t="shared" si="15"/>
        <v>23338.478641795169</v>
      </c>
      <c r="AF125" s="50">
        <f t="shared" si="15"/>
        <v>24748.787360302882</v>
      </c>
      <c r="AG125" s="50">
        <f t="shared" si="15"/>
        <v>26243.714601921056</v>
      </c>
      <c r="AH125" s="50">
        <f t="shared" si="15"/>
        <v>27828.337478036319</v>
      </c>
      <c r="AI125" s="50">
        <f t="shared" si="15"/>
        <v>29508.037726718499</v>
      </c>
      <c r="AJ125" s="50">
        <f t="shared" si="15"/>
        <v>31288.519990321613</v>
      </c>
      <c r="AK125" s="50">
        <f t="shared" si="15"/>
        <v>33175.831189740908</v>
      </c>
      <c r="AL125" s="50">
        <f t="shared" si="15"/>
        <v>35176.381061125365</v>
      </c>
      <c r="AM125" s="50">
        <f t="shared" si="15"/>
        <v>37296.963924792886</v>
      </c>
      <c r="AN125" s="50">
        <f t="shared" si="15"/>
        <v>39544.781760280464</v>
      </c>
    </row>
    <row r="126" spans="1:40" ht="15.75" customHeight="1">
      <c r="B126" s="52" t="s">
        <v>416</v>
      </c>
      <c r="C126" s="50">
        <v>0</v>
      </c>
      <c r="D126" s="50">
        <v>500</v>
      </c>
      <c r="E126" s="50">
        <v>5000</v>
      </c>
      <c r="F126" s="50">
        <f t="shared" ref="F126:AN126" si="16">E126*1.08+20</f>
        <v>5420</v>
      </c>
      <c r="G126" s="50">
        <f t="shared" si="16"/>
        <v>5873.6</v>
      </c>
      <c r="H126" s="50">
        <f t="shared" si="16"/>
        <v>6363.4880000000012</v>
      </c>
      <c r="I126" s="50">
        <f t="shared" si="16"/>
        <v>6892.5670400000017</v>
      </c>
      <c r="J126" s="50">
        <f t="shared" si="16"/>
        <v>7463.9724032000022</v>
      </c>
      <c r="K126" s="50">
        <f t="shared" si="16"/>
        <v>8081.0901954560031</v>
      </c>
      <c r="L126" s="50">
        <f t="shared" si="16"/>
        <v>8747.5774110924831</v>
      </c>
      <c r="M126" s="50">
        <f t="shared" si="16"/>
        <v>9467.3836039798825</v>
      </c>
      <c r="N126" s="50">
        <f t="shared" si="16"/>
        <v>10244.774292298274</v>
      </c>
      <c r="O126" s="50">
        <f t="shared" si="16"/>
        <v>11084.356235682137</v>
      </c>
      <c r="P126" s="50">
        <f t="shared" si="16"/>
        <v>11991.104734536708</v>
      </c>
      <c r="Q126" s="50">
        <f t="shared" si="16"/>
        <v>12970.393113299646</v>
      </c>
      <c r="R126" s="50">
        <f t="shared" si="16"/>
        <v>14028.024562363618</v>
      </c>
      <c r="S126" s="50">
        <f t="shared" si="16"/>
        <v>15170.266527352709</v>
      </c>
      <c r="T126" s="50">
        <f t="shared" si="16"/>
        <v>16403.887849540926</v>
      </c>
      <c r="U126" s="50">
        <f t="shared" si="16"/>
        <v>17736.198877504201</v>
      </c>
      <c r="V126" s="50">
        <f t="shared" si="16"/>
        <v>19175.09478770454</v>
      </c>
      <c r="W126" s="50">
        <f t="shared" si="16"/>
        <v>20729.102370720906</v>
      </c>
      <c r="X126" s="50">
        <f t="shared" si="16"/>
        <v>22407.43056037858</v>
      </c>
      <c r="Y126" s="50">
        <f t="shared" si="16"/>
        <v>24220.025005208867</v>
      </c>
      <c r="Z126" s="50">
        <f t="shared" si="16"/>
        <v>26177.627005625578</v>
      </c>
      <c r="AA126" s="50">
        <f t="shared" si="16"/>
        <v>28291.837166075627</v>
      </c>
      <c r="AB126" s="50">
        <f t="shared" si="16"/>
        <v>30575.184139361681</v>
      </c>
      <c r="AC126" s="50">
        <f t="shared" si="16"/>
        <v>33041.19887051062</v>
      </c>
      <c r="AD126" s="50">
        <f t="shared" si="16"/>
        <v>35704.494780151472</v>
      </c>
      <c r="AE126" s="50">
        <f t="shared" si="16"/>
        <v>38580.854362563594</v>
      </c>
      <c r="AF126" s="50">
        <f t="shared" si="16"/>
        <v>41687.322711568682</v>
      </c>
      <c r="AG126" s="50">
        <f t="shared" si="16"/>
        <v>45042.308528494177</v>
      </c>
      <c r="AH126" s="50">
        <f t="shared" si="16"/>
        <v>48665.693210773716</v>
      </c>
      <c r="AI126" s="50">
        <f t="shared" si="16"/>
        <v>52578.948667635617</v>
      </c>
      <c r="AJ126" s="50">
        <f t="shared" si="16"/>
        <v>56805.264561046468</v>
      </c>
      <c r="AK126" s="50">
        <f t="shared" si="16"/>
        <v>61369.685725930191</v>
      </c>
      <c r="AL126" s="50">
        <f t="shared" si="16"/>
        <v>66299.260584004616</v>
      </c>
      <c r="AM126" s="50">
        <f t="shared" si="16"/>
        <v>71623.201430724992</v>
      </c>
      <c r="AN126" s="50">
        <f t="shared" si="16"/>
        <v>77373.057545182994</v>
      </c>
    </row>
    <row r="127" spans="1:40" ht="15.75" customHeight="1">
      <c r="L127" s="40"/>
      <c r="M127" s="40"/>
    </row>
    <row r="128" spans="1:40" ht="15.75" customHeight="1">
      <c r="L128" s="40"/>
      <c r="M128" s="40"/>
    </row>
    <row r="129" spans="1:13" ht="15.75" customHeight="1">
      <c r="L129" s="40"/>
      <c r="M129" s="40"/>
    </row>
    <row r="130" spans="1:13" ht="15.75" customHeight="1">
      <c r="L130" s="40"/>
      <c r="M130" s="40"/>
    </row>
    <row r="131" spans="1:13" ht="12.75">
      <c r="A131" s="15"/>
      <c r="B131" s="34"/>
      <c r="C131" s="47"/>
      <c r="E131" s="16"/>
      <c r="I131" s="16"/>
      <c r="J131" s="9"/>
      <c r="L131" s="40"/>
      <c r="M131" s="40"/>
    </row>
    <row r="132" spans="1:13" ht="12.75">
      <c r="A132" s="15"/>
      <c r="B132" s="34"/>
      <c r="C132" s="47"/>
      <c r="E132" s="16"/>
      <c r="I132" s="16"/>
      <c r="J132" s="9"/>
      <c r="L132" s="40"/>
      <c r="M132" s="40"/>
    </row>
    <row r="133" spans="1:13" ht="12.75">
      <c r="A133" s="15"/>
      <c r="B133" s="34"/>
      <c r="C133" s="47"/>
      <c r="E133" s="16"/>
      <c r="I133" s="16"/>
      <c r="J133" s="9"/>
      <c r="L133" s="40"/>
      <c r="M133" s="40"/>
    </row>
    <row r="134" spans="1:13" ht="12.75">
      <c r="A134" s="15"/>
      <c r="B134" s="34"/>
      <c r="C134" s="47"/>
      <c r="E134" s="16"/>
      <c r="I134" s="16"/>
      <c r="J134" s="9"/>
      <c r="L134" s="40"/>
      <c r="M134" s="40"/>
    </row>
    <row r="135" spans="1:13" ht="12.75">
      <c r="A135" s="15"/>
      <c r="B135" s="34"/>
      <c r="C135" s="47"/>
      <c r="E135" s="16"/>
      <c r="I135" s="16"/>
      <c r="J135" s="9"/>
      <c r="L135" s="40"/>
      <c r="M135" s="40"/>
    </row>
    <row r="136" spans="1:13" ht="12.75">
      <c r="A136" s="15"/>
      <c r="B136" s="34"/>
      <c r="C136" s="47"/>
      <c r="E136" s="16"/>
      <c r="I136" s="16"/>
      <c r="J136" s="9"/>
      <c r="L136" s="40"/>
      <c r="M136" s="40"/>
    </row>
    <row r="137" spans="1:13" ht="12.75">
      <c r="A137" s="15"/>
      <c r="B137" s="34"/>
      <c r="C137" s="47"/>
      <c r="E137" s="16"/>
      <c r="I137" s="16"/>
      <c r="J137" s="9"/>
      <c r="L137" s="40"/>
      <c r="M137" s="40"/>
    </row>
    <row r="138" spans="1:13" ht="12.75">
      <c r="A138" s="15"/>
      <c r="B138" s="34"/>
      <c r="C138" s="47"/>
      <c r="E138" s="16"/>
      <c r="I138" s="16"/>
      <c r="J138" s="9"/>
      <c r="L138" s="40"/>
      <c r="M138" s="40"/>
    </row>
    <row r="139" spans="1:13" ht="12.75">
      <c r="A139" s="15"/>
      <c r="B139" s="34"/>
      <c r="C139" s="47"/>
      <c r="E139" s="16"/>
      <c r="I139" s="16"/>
      <c r="J139" s="9"/>
      <c r="L139" s="40"/>
      <c r="M139" s="40"/>
    </row>
    <row r="140" spans="1:13" ht="12.75">
      <c r="A140" s="15"/>
      <c r="B140" s="34"/>
      <c r="C140" s="47"/>
      <c r="E140" s="16"/>
      <c r="I140" s="16"/>
      <c r="J140" s="9"/>
      <c r="L140" s="40"/>
      <c r="M140" s="40"/>
    </row>
    <row r="141" spans="1:13" ht="12.75">
      <c r="A141" s="15"/>
      <c r="B141" s="34"/>
      <c r="C141" s="47"/>
      <c r="E141" s="16"/>
      <c r="I141" s="16"/>
      <c r="J141" s="9"/>
      <c r="L141" s="40"/>
      <c r="M141" s="40"/>
    </row>
    <row r="142" spans="1:13" ht="12.75">
      <c r="A142" s="15"/>
      <c r="B142" s="34"/>
      <c r="C142" s="47"/>
      <c r="E142" s="16"/>
      <c r="I142" s="16"/>
      <c r="J142" s="9"/>
      <c r="L142" s="40"/>
      <c r="M142" s="40"/>
    </row>
    <row r="143" spans="1:13" ht="12.75">
      <c r="A143" s="15"/>
      <c r="B143" s="34"/>
      <c r="C143" s="47"/>
      <c r="E143" s="16"/>
      <c r="I143" s="16"/>
      <c r="J143" s="9"/>
      <c r="L143" s="40"/>
      <c r="M143" s="40"/>
    </row>
    <row r="144" spans="1:13" ht="12.75">
      <c r="A144" s="15"/>
      <c r="B144" s="34"/>
      <c r="C144" s="47"/>
      <c r="E144" s="16"/>
      <c r="I144" s="16"/>
      <c r="J144" s="9"/>
      <c r="L144" s="40"/>
      <c r="M144" s="40"/>
    </row>
    <row r="145" spans="1:13" ht="12.75">
      <c r="A145" s="15"/>
      <c r="B145" s="34"/>
      <c r="C145" s="47"/>
      <c r="E145" s="16"/>
      <c r="I145" s="16"/>
      <c r="J145" s="9"/>
      <c r="L145" s="40"/>
      <c r="M145" s="40"/>
    </row>
    <row r="146" spans="1:13" ht="12.75">
      <c r="A146" s="15"/>
      <c r="B146" s="34"/>
      <c r="C146" s="47"/>
      <c r="E146" s="16"/>
      <c r="I146" s="16"/>
      <c r="J146" s="9"/>
      <c r="L146" s="40"/>
      <c r="M146" s="40"/>
    </row>
    <row r="147" spans="1:13" ht="12.75">
      <c r="A147" s="15"/>
      <c r="B147" s="34"/>
      <c r="C147" s="47"/>
      <c r="E147" s="16"/>
      <c r="I147" s="16"/>
      <c r="J147" s="9"/>
      <c r="L147" s="40"/>
      <c r="M147" s="40"/>
    </row>
    <row r="148" spans="1:13" ht="12.75">
      <c r="A148" s="15"/>
      <c r="B148" s="34"/>
      <c r="C148" s="47"/>
      <c r="E148" s="16"/>
      <c r="I148" s="16"/>
      <c r="J148" s="9"/>
      <c r="L148" s="40"/>
      <c r="M148" s="40"/>
    </row>
    <row r="149" spans="1:13" ht="12.75">
      <c r="A149" s="15"/>
      <c r="B149" s="34"/>
      <c r="C149" s="47"/>
      <c r="E149" s="16"/>
      <c r="I149" s="16"/>
      <c r="J149" s="9"/>
      <c r="L149" s="40"/>
      <c r="M149" s="40"/>
    </row>
    <row r="150" spans="1:13" ht="12.75">
      <c r="A150" s="15"/>
      <c r="B150" s="34"/>
      <c r="C150" s="47"/>
      <c r="E150" s="16"/>
      <c r="I150" s="16"/>
      <c r="J150" s="9"/>
      <c r="L150" s="40"/>
      <c r="M150" s="40"/>
    </row>
    <row r="151" spans="1:13" ht="12.75">
      <c r="A151" s="15"/>
      <c r="B151" s="34"/>
      <c r="C151" s="47"/>
      <c r="E151" s="16"/>
      <c r="I151" s="16"/>
      <c r="J151" s="9"/>
      <c r="L151" s="40"/>
      <c r="M151" s="40"/>
    </row>
    <row r="152" spans="1:13" ht="12.75">
      <c r="A152" s="15"/>
      <c r="B152" s="34"/>
      <c r="C152" s="47"/>
      <c r="E152" s="16"/>
      <c r="I152" s="16"/>
      <c r="J152" s="9"/>
      <c r="L152" s="40"/>
      <c r="M152" s="40"/>
    </row>
    <row r="153" spans="1:13" ht="12.75">
      <c r="A153" s="15"/>
      <c r="B153" s="34"/>
      <c r="C153" s="47"/>
      <c r="E153" s="16"/>
      <c r="I153" s="16"/>
      <c r="J153" s="9"/>
      <c r="L153" s="40"/>
      <c r="M153" s="40"/>
    </row>
    <row r="154" spans="1:13" ht="12.75">
      <c r="A154" s="15"/>
      <c r="B154" s="34"/>
      <c r="C154" s="47"/>
      <c r="E154" s="16"/>
      <c r="I154" s="16"/>
      <c r="J154" s="9"/>
      <c r="L154" s="40"/>
      <c r="M154" s="40"/>
    </row>
    <row r="155" spans="1:13" ht="12.75">
      <c r="A155" s="15"/>
      <c r="B155" s="34"/>
      <c r="C155" s="47"/>
      <c r="E155" s="16"/>
      <c r="I155" s="16"/>
      <c r="J155" s="9"/>
      <c r="L155" s="40"/>
      <c r="M155" s="40"/>
    </row>
    <row r="156" spans="1:13" ht="12.75">
      <c r="A156" s="15"/>
      <c r="B156" s="34"/>
      <c r="C156" s="47"/>
      <c r="E156" s="16"/>
      <c r="I156" s="16"/>
      <c r="J156" s="9"/>
      <c r="L156" s="40"/>
      <c r="M156" s="40"/>
    </row>
    <row r="157" spans="1:13" ht="12.75">
      <c r="A157" s="15"/>
      <c r="B157" s="34"/>
      <c r="C157" s="47"/>
      <c r="E157" s="16"/>
      <c r="I157" s="16"/>
      <c r="J157" s="9"/>
      <c r="L157" s="40"/>
      <c r="M157" s="40"/>
    </row>
    <row r="158" spans="1:13" ht="12.75">
      <c r="A158" s="15"/>
      <c r="B158" s="34"/>
      <c r="C158" s="47"/>
      <c r="E158" s="16"/>
      <c r="I158" s="16"/>
      <c r="J158" s="9"/>
      <c r="L158" s="40"/>
      <c r="M158" s="40"/>
    </row>
    <row r="159" spans="1:13" ht="12.75">
      <c r="A159" s="15"/>
      <c r="B159" s="34"/>
      <c r="C159" s="47"/>
      <c r="E159" s="16"/>
      <c r="I159" s="16"/>
      <c r="J159" s="9"/>
      <c r="L159" s="40"/>
      <c r="M159" s="40"/>
    </row>
    <row r="160" spans="1:13" ht="12.75">
      <c r="A160" s="15"/>
      <c r="B160" s="34"/>
      <c r="C160" s="47"/>
      <c r="E160" s="16"/>
      <c r="I160" s="16"/>
      <c r="J160" s="9"/>
      <c r="L160" s="40"/>
      <c r="M160" s="40"/>
    </row>
    <row r="161" spans="1:13" ht="12.75">
      <c r="A161" s="15"/>
      <c r="B161" s="34"/>
      <c r="C161" s="47"/>
      <c r="E161" s="16"/>
      <c r="I161" s="16"/>
      <c r="J161" s="9"/>
      <c r="L161" s="40"/>
      <c r="M161" s="40"/>
    </row>
    <row r="162" spans="1:13" ht="12.75">
      <c r="A162" s="15"/>
      <c r="B162" s="34"/>
      <c r="C162" s="47"/>
      <c r="E162" s="16"/>
      <c r="I162" s="16"/>
      <c r="J162" s="9"/>
      <c r="L162" s="40"/>
      <c r="M162" s="40"/>
    </row>
    <row r="163" spans="1:13" ht="12.75">
      <c r="A163" s="15"/>
      <c r="B163" s="34"/>
      <c r="C163" s="47"/>
      <c r="E163" s="16"/>
      <c r="I163" s="16"/>
      <c r="J163" s="9"/>
      <c r="L163" s="40"/>
      <c r="M163" s="40"/>
    </row>
    <row r="164" spans="1:13" ht="12.75">
      <c r="A164" s="15"/>
      <c r="B164" s="34"/>
      <c r="C164" s="47"/>
      <c r="E164" s="16"/>
      <c r="I164" s="16"/>
      <c r="J164" s="9"/>
      <c r="L164" s="40"/>
      <c r="M164" s="40"/>
    </row>
    <row r="165" spans="1:13" ht="12.75">
      <c r="A165" s="15"/>
      <c r="B165" s="34"/>
      <c r="C165" s="47"/>
      <c r="E165" s="16"/>
      <c r="I165" s="16"/>
      <c r="J165" s="9"/>
      <c r="L165" s="40"/>
      <c r="M165" s="40"/>
    </row>
    <row r="166" spans="1:13" ht="12.75">
      <c r="A166" s="15"/>
      <c r="B166" s="34"/>
      <c r="C166" s="47"/>
      <c r="E166" s="16"/>
      <c r="I166" s="16"/>
      <c r="J166" s="9"/>
      <c r="L166" s="40"/>
      <c r="M166" s="40"/>
    </row>
    <row r="167" spans="1:13" ht="12.75">
      <c r="A167" s="15"/>
      <c r="B167" s="34"/>
      <c r="C167" s="47"/>
      <c r="E167" s="16"/>
      <c r="I167" s="16"/>
      <c r="J167" s="9"/>
      <c r="L167" s="40"/>
      <c r="M167" s="40"/>
    </row>
    <row r="168" spans="1:13" ht="12.75">
      <c r="A168" s="15"/>
      <c r="B168" s="34"/>
      <c r="C168" s="47"/>
      <c r="E168" s="16"/>
      <c r="I168" s="16"/>
      <c r="J168" s="9"/>
      <c r="L168" s="40"/>
      <c r="M168" s="40"/>
    </row>
    <row r="169" spans="1:13" ht="12.75">
      <c r="A169" s="15"/>
      <c r="B169" s="34"/>
      <c r="C169" s="47"/>
      <c r="E169" s="16"/>
      <c r="I169" s="16"/>
      <c r="J169" s="9"/>
      <c r="L169" s="40"/>
      <c r="M169" s="40"/>
    </row>
    <row r="170" spans="1:13" ht="12.75">
      <c r="A170" s="15"/>
      <c r="B170" s="34"/>
      <c r="C170" s="47"/>
      <c r="E170" s="16"/>
      <c r="I170" s="16"/>
      <c r="J170" s="9"/>
      <c r="L170" s="40"/>
      <c r="M170" s="40"/>
    </row>
    <row r="171" spans="1:13" ht="12.75">
      <c r="A171" s="15"/>
      <c r="B171" s="34"/>
      <c r="C171" s="47"/>
      <c r="E171" s="16"/>
      <c r="I171" s="16"/>
      <c r="J171" s="9"/>
      <c r="L171" s="40"/>
      <c r="M171" s="40"/>
    </row>
    <row r="172" spans="1:13" ht="12.75">
      <c r="A172" s="15"/>
      <c r="B172" s="34"/>
      <c r="C172" s="47"/>
      <c r="E172" s="16"/>
      <c r="I172" s="16"/>
      <c r="J172" s="9"/>
      <c r="L172" s="40"/>
      <c r="M172" s="40"/>
    </row>
    <row r="173" spans="1:13" ht="12.75">
      <c r="A173" s="15"/>
      <c r="B173" s="34"/>
      <c r="C173" s="47"/>
      <c r="E173" s="16"/>
      <c r="I173" s="16"/>
      <c r="J173" s="9"/>
      <c r="L173" s="40"/>
      <c r="M173" s="40"/>
    </row>
    <row r="174" spans="1:13" ht="12.75">
      <c r="A174" s="15"/>
      <c r="B174" s="34"/>
      <c r="C174" s="47"/>
      <c r="E174" s="16"/>
      <c r="I174" s="16"/>
      <c r="J174" s="9"/>
      <c r="L174" s="40"/>
      <c r="M174" s="40"/>
    </row>
    <row r="175" spans="1:13" ht="12.75">
      <c r="A175" s="15"/>
      <c r="B175" s="34"/>
      <c r="C175" s="47"/>
      <c r="E175" s="16"/>
      <c r="I175" s="16"/>
      <c r="J175" s="9"/>
      <c r="L175" s="40"/>
      <c r="M175" s="40"/>
    </row>
    <row r="176" spans="1:13" ht="12.75">
      <c r="A176" s="15"/>
      <c r="B176" s="34"/>
      <c r="C176" s="47"/>
      <c r="E176" s="16"/>
      <c r="I176" s="16"/>
      <c r="J176" s="9"/>
      <c r="L176" s="40"/>
      <c r="M176" s="40"/>
    </row>
    <row r="177" spans="1:13" ht="12.75">
      <c r="A177" s="15"/>
      <c r="B177" s="34"/>
      <c r="C177" s="47"/>
      <c r="E177" s="16"/>
      <c r="I177" s="16"/>
      <c r="J177" s="9"/>
      <c r="L177" s="40"/>
      <c r="M177" s="40"/>
    </row>
    <row r="178" spans="1:13" ht="12.75">
      <c r="A178" s="15"/>
      <c r="B178" s="34"/>
      <c r="C178" s="47"/>
      <c r="E178" s="16"/>
      <c r="I178" s="16"/>
      <c r="J178" s="9"/>
      <c r="L178" s="40"/>
      <c r="M178" s="40"/>
    </row>
    <row r="179" spans="1:13" ht="12.75">
      <c r="A179" s="15"/>
      <c r="B179" s="34"/>
      <c r="C179" s="47"/>
      <c r="E179" s="16"/>
      <c r="I179" s="16"/>
      <c r="J179" s="9"/>
      <c r="L179" s="40"/>
      <c r="M179" s="40"/>
    </row>
    <row r="180" spans="1:13" ht="12.75">
      <c r="A180" s="15"/>
      <c r="B180" s="34"/>
      <c r="C180" s="47"/>
      <c r="E180" s="16"/>
      <c r="I180" s="16"/>
      <c r="J180" s="9"/>
      <c r="L180" s="40"/>
      <c r="M180" s="40"/>
    </row>
    <row r="181" spans="1:13" ht="12.75">
      <c r="A181" s="15"/>
      <c r="B181" s="34"/>
      <c r="C181" s="47"/>
      <c r="E181" s="16"/>
      <c r="I181" s="16"/>
      <c r="J181" s="9"/>
      <c r="L181" s="40"/>
      <c r="M181" s="40"/>
    </row>
    <row r="182" spans="1:13" ht="12.75">
      <c r="A182" s="15"/>
      <c r="B182" s="34"/>
      <c r="C182" s="47"/>
      <c r="E182" s="16"/>
      <c r="I182" s="16"/>
      <c r="J182" s="9"/>
      <c r="L182" s="40"/>
      <c r="M182" s="40"/>
    </row>
    <row r="183" spans="1:13" ht="12.75">
      <c r="A183" s="15"/>
      <c r="B183" s="34"/>
      <c r="C183" s="47"/>
      <c r="E183" s="16"/>
      <c r="I183" s="16"/>
      <c r="J183" s="9"/>
      <c r="L183" s="40"/>
      <c r="M183" s="40"/>
    </row>
    <row r="184" spans="1:13" ht="12.75">
      <c r="A184" s="15"/>
      <c r="B184" s="34"/>
      <c r="C184" s="47"/>
      <c r="E184" s="16"/>
      <c r="I184" s="16"/>
      <c r="J184" s="9"/>
      <c r="L184" s="40"/>
      <c r="M184" s="40"/>
    </row>
    <row r="185" spans="1:13" ht="12.75">
      <c r="A185" s="15"/>
      <c r="B185" s="34"/>
      <c r="C185" s="47"/>
      <c r="E185" s="16"/>
      <c r="I185" s="16"/>
      <c r="J185" s="9"/>
      <c r="L185" s="40"/>
      <c r="M185" s="40"/>
    </row>
    <row r="186" spans="1:13" ht="12.75">
      <c r="A186" s="15"/>
      <c r="B186" s="34"/>
      <c r="C186" s="47"/>
      <c r="E186" s="16"/>
      <c r="I186" s="16"/>
      <c r="J186" s="9"/>
      <c r="L186" s="40"/>
      <c r="M186" s="40"/>
    </row>
    <row r="187" spans="1:13" ht="12.75">
      <c r="A187" s="15"/>
      <c r="B187" s="34"/>
      <c r="C187" s="47"/>
      <c r="E187" s="16"/>
      <c r="I187" s="16"/>
      <c r="J187" s="9"/>
      <c r="L187" s="40"/>
      <c r="M187" s="40"/>
    </row>
    <row r="188" spans="1:13" ht="12.75">
      <c r="A188" s="15"/>
      <c r="B188" s="34"/>
      <c r="C188" s="47"/>
      <c r="E188" s="16"/>
      <c r="I188" s="16"/>
      <c r="J188" s="9"/>
      <c r="L188" s="40"/>
      <c r="M188" s="40"/>
    </row>
    <row r="189" spans="1:13" ht="12.75">
      <c r="A189" s="15"/>
      <c r="B189" s="34"/>
      <c r="C189" s="47"/>
      <c r="E189" s="16"/>
      <c r="I189" s="16"/>
      <c r="J189" s="9"/>
      <c r="L189" s="40"/>
      <c r="M189" s="40"/>
    </row>
    <row r="190" spans="1:13" ht="12.75">
      <c r="A190" s="15"/>
      <c r="B190" s="34"/>
      <c r="C190" s="47"/>
      <c r="E190" s="16"/>
      <c r="I190" s="16"/>
      <c r="J190" s="9"/>
      <c r="L190" s="40"/>
      <c r="M190" s="40"/>
    </row>
    <row r="191" spans="1:13" ht="12.75">
      <c r="A191" s="15"/>
      <c r="B191" s="34"/>
      <c r="C191" s="47"/>
      <c r="E191" s="16"/>
      <c r="I191" s="16"/>
      <c r="J191" s="9"/>
      <c r="L191" s="40"/>
      <c r="M191" s="40"/>
    </row>
    <row r="192" spans="1:13" ht="12.75">
      <c r="A192" s="15"/>
      <c r="B192" s="34"/>
      <c r="C192" s="47"/>
      <c r="E192" s="16"/>
      <c r="I192" s="16"/>
      <c r="J192" s="9"/>
      <c r="L192" s="40"/>
      <c r="M192" s="40"/>
    </row>
    <row r="193" spans="1:13" ht="12.75">
      <c r="A193" s="15"/>
      <c r="B193" s="34"/>
      <c r="C193" s="47"/>
      <c r="E193" s="16"/>
      <c r="I193" s="16"/>
      <c r="J193" s="9"/>
      <c r="L193" s="40"/>
      <c r="M193" s="40"/>
    </row>
    <row r="194" spans="1:13" ht="12.75">
      <c r="A194" s="15"/>
      <c r="B194" s="34"/>
      <c r="C194" s="47"/>
      <c r="E194" s="16"/>
      <c r="I194" s="16"/>
      <c r="J194" s="9"/>
      <c r="L194" s="40"/>
      <c r="M194" s="40"/>
    </row>
    <row r="195" spans="1:13" ht="12.75">
      <c r="A195" s="15"/>
      <c r="B195" s="34"/>
      <c r="C195" s="47"/>
      <c r="E195" s="16"/>
      <c r="I195" s="16"/>
      <c r="J195" s="9"/>
      <c r="L195" s="40"/>
      <c r="M195" s="40"/>
    </row>
    <row r="196" spans="1:13" ht="12.75">
      <c r="A196" s="15"/>
      <c r="B196" s="34"/>
      <c r="C196" s="47"/>
      <c r="E196" s="16"/>
      <c r="I196" s="16"/>
      <c r="J196" s="9"/>
      <c r="L196" s="40"/>
      <c r="M196" s="40"/>
    </row>
    <row r="197" spans="1:13" ht="12.75">
      <c r="A197" s="15"/>
      <c r="B197" s="34"/>
      <c r="C197" s="47"/>
      <c r="E197" s="16"/>
      <c r="I197" s="16"/>
      <c r="J197" s="9"/>
      <c r="L197" s="40"/>
      <c r="M197" s="40"/>
    </row>
    <row r="198" spans="1:13" ht="12.75">
      <c r="A198" s="15"/>
      <c r="B198" s="34"/>
      <c r="C198" s="47"/>
      <c r="E198" s="16"/>
      <c r="I198" s="16"/>
      <c r="J198" s="9"/>
      <c r="L198" s="40"/>
      <c r="M198" s="40"/>
    </row>
    <row r="199" spans="1:13" ht="12.75">
      <c r="A199" s="15"/>
      <c r="B199" s="34"/>
      <c r="C199" s="47"/>
      <c r="E199" s="16"/>
      <c r="I199" s="16"/>
      <c r="J199" s="9"/>
      <c r="L199" s="40"/>
      <c r="M199" s="40"/>
    </row>
    <row r="200" spans="1:13" ht="12.75">
      <c r="A200" s="15"/>
      <c r="B200" s="34"/>
      <c r="C200" s="47"/>
      <c r="E200" s="16"/>
      <c r="I200" s="16"/>
      <c r="J200" s="9"/>
      <c r="L200" s="40"/>
      <c r="M200" s="40"/>
    </row>
    <row r="201" spans="1:13" ht="12.75">
      <c r="A201" s="15"/>
      <c r="B201" s="34"/>
      <c r="C201" s="47"/>
      <c r="E201" s="16"/>
      <c r="I201" s="16"/>
      <c r="J201" s="9"/>
      <c r="L201" s="40"/>
      <c r="M201" s="40"/>
    </row>
    <row r="202" spans="1:13" ht="12.75">
      <c r="A202" s="15"/>
      <c r="B202" s="34"/>
      <c r="C202" s="47"/>
      <c r="E202" s="16"/>
      <c r="I202" s="16"/>
      <c r="J202" s="9"/>
      <c r="L202" s="40"/>
      <c r="M202" s="40"/>
    </row>
    <row r="203" spans="1:13" ht="12.75">
      <c r="A203" s="15"/>
      <c r="B203" s="34"/>
      <c r="C203" s="47"/>
      <c r="E203" s="16"/>
      <c r="I203" s="16"/>
      <c r="J203" s="9"/>
      <c r="L203" s="40"/>
      <c r="M203" s="40"/>
    </row>
    <row r="204" spans="1:13" ht="12.75">
      <c r="A204" s="15"/>
      <c r="B204" s="34"/>
      <c r="C204" s="47"/>
      <c r="E204" s="16"/>
      <c r="I204" s="16"/>
      <c r="J204" s="9"/>
      <c r="L204" s="40"/>
      <c r="M204" s="40"/>
    </row>
    <row r="205" spans="1:13" ht="12.75">
      <c r="A205" s="15"/>
      <c r="B205" s="34"/>
      <c r="C205" s="47"/>
      <c r="E205" s="16"/>
      <c r="I205" s="16"/>
      <c r="J205" s="9"/>
      <c r="L205" s="40"/>
      <c r="M205" s="40"/>
    </row>
    <row r="206" spans="1:13" ht="12.75">
      <c r="A206" s="15"/>
      <c r="B206" s="34"/>
      <c r="C206" s="47"/>
      <c r="E206" s="16"/>
      <c r="I206" s="16"/>
      <c r="J206" s="9"/>
      <c r="L206" s="40"/>
      <c r="M206" s="40"/>
    </row>
    <row r="207" spans="1:13" ht="12.75">
      <c r="A207" s="15"/>
      <c r="B207" s="34"/>
      <c r="C207" s="47"/>
      <c r="E207" s="16"/>
      <c r="I207" s="16"/>
      <c r="J207" s="9"/>
      <c r="L207" s="40"/>
      <c r="M207" s="40"/>
    </row>
    <row r="208" spans="1:13" ht="12.75">
      <c r="A208" s="15"/>
      <c r="B208" s="34"/>
      <c r="C208" s="47"/>
      <c r="E208" s="16"/>
      <c r="I208" s="16"/>
      <c r="J208" s="9"/>
      <c r="L208" s="40"/>
      <c r="M208" s="40"/>
    </row>
    <row r="209" spans="1:13" ht="12.75">
      <c r="A209" s="15"/>
      <c r="B209" s="34"/>
      <c r="C209" s="47"/>
      <c r="E209" s="16"/>
      <c r="I209" s="16"/>
      <c r="J209" s="9"/>
      <c r="L209" s="40"/>
      <c r="M209" s="40"/>
    </row>
    <row r="210" spans="1:13" ht="12.75">
      <c r="A210" s="15"/>
      <c r="B210" s="34"/>
      <c r="C210" s="47"/>
      <c r="E210" s="16"/>
      <c r="I210" s="16"/>
      <c r="J210" s="9"/>
      <c r="L210" s="40"/>
      <c r="M210" s="40"/>
    </row>
    <row r="211" spans="1:13" ht="12.75">
      <c r="A211" s="15"/>
      <c r="B211" s="34"/>
      <c r="C211" s="47"/>
      <c r="E211" s="16"/>
      <c r="I211" s="16"/>
      <c r="J211" s="9"/>
      <c r="L211" s="40"/>
      <c r="M211" s="40"/>
    </row>
    <row r="212" spans="1:13" ht="12.75">
      <c r="A212" s="15"/>
      <c r="B212" s="34"/>
      <c r="C212" s="47"/>
      <c r="E212" s="16"/>
      <c r="I212" s="16"/>
      <c r="J212" s="9"/>
      <c r="L212" s="40"/>
      <c r="M212" s="40"/>
    </row>
    <row r="213" spans="1:13" ht="12.75">
      <c r="A213" s="15"/>
      <c r="B213" s="34"/>
      <c r="C213" s="47"/>
      <c r="E213" s="16"/>
      <c r="I213" s="16"/>
      <c r="J213" s="9"/>
      <c r="L213" s="40"/>
      <c r="M213" s="40"/>
    </row>
    <row r="214" spans="1:13" ht="12.75">
      <c r="A214" s="15"/>
      <c r="B214" s="34"/>
      <c r="C214" s="47"/>
      <c r="E214" s="16"/>
      <c r="I214" s="16"/>
      <c r="J214" s="9"/>
      <c r="L214" s="40"/>
      <c r="M214" s="40"/>
    </row>
    <row r="215" spans="1:13" ht="12.75">
      <c r="A215" s="15"/>
      <c r="B215" s="34"/>
      <c r="C215" s="47"/>
      <c r="E215" s="16"/>
      <c r="I215" s="16"/>
      <c r="J215" s="9"/>
      <c r="L215" s="40"/>
      <c r="M215" s="40"/>
    </row>
    <row r="216" spans="1:13" ht="12.75">
      <c r="A216" s="15"/>
      <c r="B216" s="34"/>
      <c r="C216" s="47"/>
      <c r="E216" s="16"/>
      <c r="I216" s="16"/>
      <c r="J216" s="9"/>
      <c r="L216" s="40"/>
      <c r="M216" s="40"/>
    </row>
    <row r="217" spans="1:13" ht="12.75">
      <c r="A217" s="15"/>
      <c r="B217" s="34"/>
      <c r="C217" s="47"/>
      <c r="E217" s="16"/>
      <c r="I217" s="16"/>
      <c r="J217" s="9"/>
      <c r="L217" s="40"/>
      <c r="M217" s="40"/>
    </row>
    <row r="218" spans="1:13" ht="12.75">
      <c r="A218" s="15"/>
      <c r="B218" s="34"/>
      <c r="C218" s="47"/>
      <c r="E218" s="16"/>
      <c r="I218" s="16"/>
      <c r="J218" s="9"/>
      <c r="L218" s="40"/>
      <c r="M218" s="40"/>
    </row>
    <row r="219" spans="1:13" ht="12.75">
      <c r="A219" s="15"/>
      <c r="B219" s="34"/>
      <c r="C219" s="47"/>
      <c r="E219" s="16"/>
      <c r="I219" s="16"/>
      <c r="J219" s="9"/>
      <c r="L219" s="40"/>
      <c r="M219" s="40"/>
    </row>
    <row r="220" spans="1:13" ht="12.75">
      <c r="A220" s="15"/>
      <c r="B220" s="34"/>
      <c r="C220" s="47"/>
      <c r="E220" s="16"/>
      <c r="I220" s="16"/>
      <c r="J220" s="9"/>
      <c r="L220" s="40"/>
      <c r="M220" s="40"/>
    </row>
    <row r="221" spans="1:13" ht="12.75">
      <c r="A221" s="15"/>
      <c r="B221" s="34"/>
      <c r="C221" s="47"/>
      <c r="E221" s="16"/>
      <c r="I221" s="16"/>
      <c r="J221" s="9"/>
      <c r="L221" s="40"/>
      <c r="M221" s="40"/>
    </row>
    <row r="222" spans="1:13" ht="12.75">
      <c r="A222" s="15"/>
      <c r="B222" s="34"/>
      <c r="C222" s="47"/>
      <c r="E222" s="16"/>
      <c r="I222" s="16"/>
      <c r="J222" s="9"/>
      <c r="L222" s="40"/>
      <c r="M222" s="40"/>
    </row>
    <row r="223" spans="1:13" ht="12.75">
      <c r="A223" s="15"/>
      <c r="B223" s="34"/>
      <c r="C223" s="47"/>
      <c r="E223" s="16"/>
      <c r="I223" s="16"/>
      <c r="J223" s="9"/>
      <c r="L223" s="40"/>
      <c r="M223" s="40"/>
    </row>
    <row r="224" spans="1:13" ht="12.75">
      <c r="A224" s="15"/>
      <c r="B224" s="34"/>
      <c r="C224" s="47"/>
      <c r="E224" s="16"/>
      <c r="I224" s="16"/>
      <c r="J224" s="9"/>
      <c r="L224" s="40"/>
      <c r="M224" s="40"/>
    </row>
    <row r="225" spans="1:13" ht="12.75">
      <c r="A225" s="15"/>
      <c r="B225" s="34"/>
      <c r="C225" s="47"/>
      <c r="E225" s="16"/>
      <c r="I225" s="16"/>
      <c r="J225" s="9"/>
      <c r="L225" s="40"/>
      <c r="M225" s="40"/>
    </row>
    <row r="226" spans="1:13" ht="12.75">
      <c r="A226" s="15"/>
      <c r="B226" s="34"/>
      <c r="C226" s="47"/>
      <c r="E226" s="16"/>
      <c r="I226" s="16"/>
      <c r="J226" s="9"/>
      <c r="L226" s="40"/>
      <c r="M226" s="40"/>
    </row>
    <row r="227" spans="1:13" ht="12.75">
      <c r="A227" s="15"/>
      <c r="B227" s="34"/>
      <c r="C227" s="47"/>
      <c r="E227" s="16"/>
      <c r="I227" s="16"/>
      <c r="J227" s="9"/>
      <c r="L227" s="40"/>
      <c r="M227" s="40"/>
    </row>
    <row r="228" spans="1:13" ht="12.75">
      <c r="A228" s="15"/>
      <c r="B228" s="34"/>
      <c r="C228" s="47"/>
      <c r="E228" s="16"/>
      <c r="I228" s="16"/>
      <c r="J228" s="9"/>
      <c r="L228" s="40"/>
      <c r="M228" s="40"/>
    </row>
    <row r="229" spans="1:13" ht="12.75">
      <c r="A229" s="15"/>
      <c r="B229" s="34"/>
      <c r="C229" s="47"/>
      <c r="E229" s="16"/>
      <c r="I229" s="16"/>
      <c r="J229" s="9"/>
      <c r="L229" s="40"/>
      <c r="M229" s="40"/>
    </row>
    <row r="230" spans="1:13" ht="12.75">
      <c r="A230" s="15"/>
      <c r="B230" s="34"/>
      <c r="C230" s="47"/>
      <c r="E230" s="16"/>
      <c r="I230" s="16"/>
      <c r="J230" s="9"/>
      <c r="L230" s="40"/>
      <c r="M230" s="40"/>
    </row>
    <row r="231" spans="1:13" ht="12.75">
      <c r="A231" s="15"/>
      <c r="B231" s="34"/>
      <c r="C231" s="47"/>
      <c r="E231" s="16"/>
      <c r="I231" s="16"/>
      <c r="J231" s="9"/>
      <c r="L231" s="40"/>
      <c r="M231" s="40"/>
    </row>
    <row r="232" spans="1:13" ht="12.75">
      <c r="A232" s="15"/>
      <c r="B232" s="34"/>
      <c r="C232" s="47"/>
      <c r="E232" s="16"/>
      <c r="I232" s="16"/>
      <c r="J232" s="9"/>
      <c r="L232" s="40"/>
      <c r="M232" s="40"/>
    </row>
    <row r="233" spans="1:13" ht="12.75">
      <c r="A233" s="15"/>
      <c r="B233" s="34"/>
      <c r="C233" s="47"/>
      <c r="E233" s="16"/>
      <c r="I233" s="16"/>
      <c r="J233" s="9"/>
      <c r="L233" s="40"/>
      <c r="M233" s="40"/>
    </row>
    <row r="234" spans="1:13" ht="12.75">
      <c r="A234" s="15"/>
      <c r="B234" s="34"/>
      <c r="C234" s="47"/>
      <c r="E234" s="16"/>
      <c r="I234" s="16"/>
      <c r="J234" s="9"/>
      <c r="L234" s="40"/>
      <c r="M234" s="40"/>
    </row>
    <row r="235" spans="1:13" ht="12.75">
      <c r="A235" s="15"/>
      <c r="B235" s="34"/>
      <c r="C235" s="47"/>
      <c r="E235" s="16"/>
      <c r="I235" s="16"/>
      <c r="J235" s="9"/>
      <c r="L235" s="40"/>
      <c r="M235" s="40"/>
    </row>
    <row r="236" spans="1:13" ht="12.75">
      <c r="A236" s="15"/>
      <c r="B236" s="34"/>
      <c r="C236" s="47"/>
      <c r="E236" s="16"/>
      <c r="I236" s="16"/>
      <c r="J236" s="9"/>
      <c r="L236" s="40"/>
      <c r="M236" s="40"/>
    </row>
    <row r="237" spans="1:13" ht="12.75">
      <c r="A237" s="15"/>
      <c r="B237" s="34"/>
      <c r="C237" s="47"/>
      <c r="E237" s="16"/>
      <c r="I237" s="16"/>
      <c r="J237" s="9"/>
      <c r="L237" s="40"/>
      <c r="M237" s="40"/>
    </row>
    <row r="238" spans="1:13" ht="12.75">
      <c r="A238" s="15"/>
      <c r="B238" s="34"/>
      <c r="C238" s="47"/>
      <c r="E238" s="16"/>
      <c r="I238" s="16"/>
      <c r="J238" s="9"/>
      <c r="L238" s="40"/>
      <c r="M238" s="40"/>
    </row>
    <row r="239" spans="1:13" ht="12.75">
      <c r="A239" s="15"/>
      <c r="B239" s="34"/>
      <c r="C239" s="47"/>
      <c r="E239" s="16"/>
      <c r="I239" s="16"/>
      <c r="J239" s="9"/>
      <c r="L239" s="40"/>
      <c r="M239" s="40"/>
    </row>
    <row r="240" spans="1:13" ht="12.75">
      <c r="A240" s="15"/>
      <c r="B240" s="34"/>
      <c r="C240" s="47"/>
      <c r="E240" s="16"/>
      <c r="I240" s="16"/>
      <c r="J240" s="9"/>
      <c r="L240" s="40"/>
      <c r="M240" s="40"/>
    </row>
    <row r="241" spans="1:13" ht="12.75">
      <c r="A241" s="15"/>
      <c r="B241" s="34"/>
      <c r="C241" s="47"/>
      <c r="E241" s="16"/>
      <c r="I241" s="16"/>
      <c r="J241" s="9"/>
      <c r="L241" s="40"/>
      <c r="M241" s="40"/>
    </row>
    <row r="242" spans="1:13" ht="12.75">
      <c r="A242" s="15"/>
      <c r="B242" s="34"/>
      <c r="C242" s="47"/>
      <c r="E242" s="16"/>
      <c r="I242" s="16"/>
      <c r="J242" s="9"/>
      <c r="L242" s="40"/>
      <c r="M242" s="40"/>
    </row>
    <row r="243" spans="1:13" ht="12.75">
      <c r="A243" s="15"/>
      <c r="B243" s="34"/>
      <c r="C243" s="47"/>
      <c r="E243" s="16"/>
      <c r="I243" s="16"/>
      <c r="J243" s="9"/>
      <c r="L243" s="40"/>
      <c r="M243" s="40"/>
    </row>
    <row r="244" spans="1:13" ht="12.75">
      <c r="A244" s="15"/>
      <c r="B244" s="34"/>
      <c r="C244" s="47"/>
      <c r="E244" s="16"/>
      <c r="I244" s="16"/>
      <c r="J244" s="9"/>
      <c r="L244" s="40"/>
      <c r="M244" s="40"/>
    </row>
    <row r="245" spans="1:13" ht="12.75">
      <c r="A245" s="15"/>
      <c r="B245" s="34"/>
      <c r="C245" s="47"/>
      <c r="E245" s="16"/>
      <c r="I245" s="16"/>
      <c r="J245" s="9"/>
      <c r="L245" s="40"/>
      <c r="M245" s="40"/>
    </row>
    <row r="246" spans="1:13" ht="12.75">
      <c r="A246" s="15"/>
      <c r="B246" s="34"/>
      <c r="C246" s="47"/>
      <c r="E246" s="16"/>
      <c r="I246" s="16"/>
      <c r="J246" s="9"/>
      <c r="L246" s="40"/>
      <c r="M246" s="40"/>
    </row>
    <row r="247" spans="1:13" ht="12.75">
      <c r="A247" s="15"/>
      <c r="B247" s="34"/>
      <c r="C247" s="47"/>
      <c r="E247" s="16"/>
      <c r="I247" s="16"/>
      <c r="J247" s="9"/>
      <c r="L247" s="40"/>
      <c r="M247" s="40"/>
    </row>
    <row r="248" spans="1:13" ht="12.75">
      <c r="A248" s="15"/>
      <c r="B248" s="34"/>
      <c r="C248" s="47"/>
      <c r="E248" s="16"/>
      <c r="I248" s="16"/>
      <c r="J248" s="9"/>
      <c r="L248" s="40"/>
      <c r="M248" s="40"/>
    </row>
    <row r="249" spans="1:13" ht="12.75">
      <c r="A249" s="15"/>
      <c r="B249" s="34"/>
      <c r="C249" s="47"/>
      <c r="E249" s="16"/>
      <c r="I249" s="16"/>
      <c r="J249" s="9"/>
      <c r="L249" s="40"/>
      <c r="M249" s="40"/>
    </row>
    <row r="250" spans="1:13" ht="12.75">
      <c r="A250" s="15"/>
      <c r="B250" s="34"/>
      <c r="C250" s="47"/>
      <c r="E250" s="16"/>
      <c r="I250" s="16"/>
      <c r="J250" s="9"/>
      <c r="L250" s="40"/>
      <c r="M250" s="40"/>
    </row>
    <row r="251" spans="1:13" ht="12.75">
      <c r="A251" s="15"/>
      <c r="B251" s="34"/>
      <c r="C251" s="47"/>
      <c r="E251" s="16"/>
      <c r="I251" s="16"/>
      <c r="J251" s="9"/>
      <c r="L251" s="40"/>
      <c r="M251" s="40"/>
    </row>
    <row r="252" spans="1:13" ht="12.75">
      <c r="A252" s="15"/>
      <c r="B252" s="34"/>
      <c r="C252" s="47"/>
      <c r="E252" s="16"/>
      <c r="I252" s="16"/>
      <c r="J252" s="9"/>
      <c r="L252" s="40"/>
      <c r="M252" s="40"/>
    </row>
    <row r="253" spans="1:13" ht="12.75">
      <c r="A253" s="15"/>
      <c r="B253" s="34"/>
      <c r="C253" s="47"/>
      <c r="E253" s="16"/>
      <c r="I253" s="16"/>
      <c r="J253" s="9"/>
      <c r="L253" s="40"/>
      <c r="M253" s="40"/>
    </row>
    <row r="254" spans="1:13" ht="12.75">
      <c r="A254" s="15"/>
      <c r="B254" s="34"/>
      <c r="C254" s="47"/>
      <c r="E254" s="16"/>
      <c r="I254" s="16"/>
      <c r="J254" s="9"/>
      <c r="L254" s="40"/>
      <c r="M254" s="40"/>
    </row>
    <row r="255" spans="1:13" ht="12.75">
      <c r="A255" s="15"/>
      <c r="B255" s="34"/>
      <c r="C255" s="47"/>
      <c r="E255" s="16"/>
      <c r="I255" s="16"/>
      <c r="J255" s="9"/>
      <c r="L255" s="40"/>
      <c r="M255" s="40"/>
    </row>
    <row r="256" spans="1:13" ht="12.75">
      <c r="A256" s="15"/>
      <c r="B256" s="34"/>
      <c r="C256" s="47"/>
      <c r="E256" s="16"/>
      <c r="I256" s="16"/>
      <c r="J256" s="9"/>
      <c r="L256" s="40"/>
      <c r="M256" s="40"/>
    </row>
    <row r="257" spans="1:13" ht="12.75">
      <c r="A257" s="15"/>
      <c r="B257" s="34"/>
      <c r="C257" s="47"/>
      <c r="E257" s="16"/>
      <c r="I257" s="16"/>
      <c r="J257" s="9"/>
      <c r="L257" s="40"/>
      <c r="M257" s="40"/>
    </row>
    <row r="258" spans="1:13" ht="12.75">
      <c r="A258" s="15"/>
      <c r="B258" s="34"/>
      <c r="C258" s="47"/>
      <c r="E258" s="16"/>
      <c r="I258" s="16"/>
      <c r="J258" s="9"/>
      <c r="L258" s="40"/>
      <c r="M258" s="40"/>
    </row>
    <row r="259" spans="1:13" ht="12.75">
      <c r="A259" s="15"/>
      <c r="B259" s="34"/>
      <c r="C259" s="47"/>
      <c r="E259" s="16"/>
      <c r="I259" s="16"/>
      <c r="J259" s="9"/>
      <c r="L259" s="40"/>
      <c r="M259" s="40"/>
    </row>
    <row r="260" spans="1:13" ht="12.75">
      <c r="A260" s="15"/>
      <c r="B260" s="34"/>
      <c r="C260" s="47"/>
      <c r="E260" s="16"/>
      <c r="I260" s="16"/>
      <c r="J260" s="9"/>
      <c r="L260" s="40"/>
      <c r="M260" s="40"/>
    </row>
    <row r="261" spans="1:13" ht="12.75">
      <c r="A261" s="15"/>
      <c r="B261" s="34"/>
      <c r="C261" s="47"/>
      <c r="E261" s="16"/>
      <c r="I261" s="16"/>
      <c r="J261" s="9"/>
      <c r="L261" s="40"/>
      <c r="M261" s="40"/>
    </row>
    <row r="262" spans="1:13" ht="12.75">
      <c r="A262" s="15"/>
      <c r="B262" s="34"/>
      <c r="C262" s="47"/>
      <c r="E262" s="16"/>
      <c r="I262" s="16"/>
      <c r="J262" s="9"/>
      <c r="L262" s="40"/>
      <c r="M262" s="40"/>
    </row>
    <row r="263" spans="1:13" ht="12.75">
      <c r="A263" s="15"/>
      <c r="B263" s="34"/>
      <c r="C263" s="47"/>
      <c r="E263" s="16"/>
      <c r="I263" s="16"/>
      <c r="J263" s="9"/>
      <c r="L263" s="40"/>
      <c r="M263" s="40"/>
    </row>
    <row r="264" spans="1:13" ht="12.75">
      <c r="A264" s="15"/>
      <c r="B264" s="34"/>
      <c r="C264" s="47"/>
      <c r="E264" s="16"/>
      <c r="I264" s="16"/>
      <c r="J264" s="9"/>
      <c r="L264" s="40"/>
      <c r="M264" s="40"/>
    </row>
    <row r="265" spans="1:13" ht="12.75">
      <c r="A265" s="15"/>
      <c r="B265" s="34"/>
      <c r="C265" s="47"/>
      <c r="E265" s="16"/>
      <c r="I265" s="16"/>
      <c r="J265" s="9"/>
      <c r="L265" s="40"/>
      <c r="M265" s="40"/>
    </row>
    <row r="266" spans="1:13" ht="12.75">
      <c r="A266" s="15"/>
      <c r="B266" s="34"/>
      <c r="C266" s="47"/>
      <c r="E266" s="16"/>
      <c r="I266" s="16"/>
      <c r="J266" s="9"/>
      <c r="L266" s="40"/>
      <c r="M266" s="40"/>
    </row>
    <row r="267" spans="1:13" ht="12.75">
      <c r="A267" s="15"/>
      <c r="B267" s="34"/>
      <c r="C267" s="47"/>
      <c r="E267" s="16"/>
      <c r="I267" s="16"/>
      <c r="J267" s="9"/>
      <c r="L267" s="40"/>
      <c r="M267" s="40"/>
    </row>
    <row r="268" spans="1:13" ht="12.75">
      <c r="A268" s="15"/>
      <c r="B268" s="34"/>
      <c r="C268" s="47"/>
      <c r="E268" s="16"/>
      <c r="I268" s="16"/>
      <c r="J268" s="9"/>
      <c r="L268" s="40"/>
      <c r="M268" s="40"/>
    </row>
    <row r="269" spans="1:13" ht="12.75">
      <c r="A269" s="15"/>
      <c r="B269" s="34"/>
      <c r="C269" s="47"/>
      <c r="E269" s="16"/>
      <c r="I269" s="16"/>
      <c r="J269" s="9"/>
      <c r="L269" s="40"/>
      <c r="M269" s="40"/>
    </row>
    <row r="270" spans="1:13" ht="12.75">
      <c r="A270" s="15"/>
      <c r="B270" s="34"/>
      <c r="C270" s="47"/>
      <c r="E270" s="16"/>
      <c r="I270" s="16"/>
      <c r="J270" s="9"/>
      <c r="L270" s="40"/>
      <c r="M270" s="40"/>
    </row>
    <row r="271" spans="1:13" ht="12.75">
      <c r="A271" s="15"/>
      <c r="B271" s="34"/>
      <c r="C271" s="47"/>
      <c r="E271" s="16"/>
      <c r="I271" s="16"/>
      <c r="J271" s="9"/>
      <c r="L271" s="40"/>
      <c r="M271" s="40"/>
    </row>
    <row r="272" spans="1:13" ht="12.75">
      <c r="A272" s="15"/>
      <c r="B272" s="34"/>
      <c r="C272" s="47"/>
      <c r="E272" s="16"/>
      <c r="I272" s="16"/>
      <c r="J272" s="9"/>
      <c r="L272" s="40"/>
      <c r="M272" s="40"/>
    </row>
    <row r="273" spans="1:13" ht="12.75">
      <c r="A273" s="15"/>
      <c r="B273" s="34"/>
      <c r="C273" s="47"/>
      <c r="E273" s="16"/>
      <c r="I273" s="16"/>
      <c r="J273" s="9"/>
      <c r="L273" s="40"/>
      <c r="M273" s="40"/>
    </row>
    <row r="274" spans="1:13" ht="12.75">
      <c r="A274" s="15"/>
      <c r="B274" s="34"/>
      <c r="C274" s="47"/>
      <c r="E274" s="16"/>
      <c r="I274" s="16"/>
      <c r="J274" s="9"/>
      <c r="L274" s="40"/>
      <c r="M274" s="40"/>
    </row>
    <row r="275" spans="1:13" ht="12.75">
      <c r="A275" s="15"/>
      <c r="B275" s="34"/>
      <c r="C275" s="47"/>
      <c r="E275" s="16"/>
      <c r="I275" s="16"/>
      <c r="J275" s="9"/>
      <c r="L275" s="40"/>
      <c r="M275" s="40"/>
    </row>
    <row r="276" spans="1:13" ht="12.75">
      <c r="A276" s="15"/>
      <c r="B276" s="34"/>
      <c r="C276" s="47"/>
      <c r="E276" s="16"/>
      <c r="I276" s="16"/>
      <c r="J276" s="9"/>
      <c r="L276" s="40"/>
      <c r="M276" s="40"/>
    </row>
    <row r="277" spans="1:13" ht="12.75">
      <c r="A277" s="15"/>
      <c r="B277" s="34"/>
      <c r="C277" s="47"/>
      <c r="E277" s="16"/>
      <c r="I277" s="16"/>
      <c r="J277" s="9"/>
      <c r="L277" s="40"/>
      <c r="M277" s="40"/>
    </row>
    <row r="278" spans="1:13" ht="12.75">
      <c r="A278" s="15"/>
      <c r="B278" s="34"/>
      <c r="C278" s="47"/>
      <c r="E278" s="16"/>
      <c r="I278" s="16"/>
      <c r="J278" s="9"/>
      <c r="L278" s="40"/>
      <c r="M278" s="40"/>
    </row>
    <row r="279" spans="1:13" ht="12.75">
      <c r="A279" s="15"/>
      <c r="B279" s="34"/>
      <c r="C279" s="47"/>
      <c r="E279" s="16"/>
      <c r="I279" s="16"/>
      <c r="J279" s="9"/>
      <c r="L279" s="40"/>
      <c r="M279" s="40"/>
    </row>
    <row r="280" spans="1:13" ht="12.75">
      <c r="A280" s="15"/>
      <c r="B280" s="34"/>
      <c r="C280" s="47"/>
      <c r="E280" s="16"/>
      <c r="I280" s="16"/>
      <c r="J280" s="9"/>
      <c r="L280" s="40"/>
      <c r="M280" s="40"/>
    </row>
    <row r="281" spans="1:13" ht="12.75">
      <c r="A281" s="15"/>
      <c r="B281" s="34"/>
      <c r="C281" s="47"/>
      <c r="E281" s="16"/>
      <c r="I281" s="16"/>
      <c r="J281" s="9"/>
      <c r="L281" s="40"/>
      <c r="M281" s="40"/>
    </row>
    <row r="282" spans="1:13" ht="12.75">
      <c r="A282" s="15"/>
      <c r="B282" s="34"/>
      <c r="C282" s="47"/>
      <c r="E282" s="16"/>
      <c r="I282" s="16"/>
      <c r="J282" s="9"/>
      <c r="L282" s="40"/>
      <c r="M282" s="40"/>
    </row>
    <row r="283" spans="1:13" ht="12.75">
      <c r="A283" s="15"/>
      <c r="B283" s="34"/>
      <c r="C283" s="47"/>
      <c r="E283" s="16"/>
      <c r="I283" s="16"/>
      <c r="J283" s="9"/>
      <c r="L283" s="40"/>
      <c r="M283" s="40"/>
    </row>
    <row r="284" spans="1:13" ht="12.75">
      <c r="A284" s="15"/>
      <c r="B284" s="34"/>
      <c r="C284" s="47"/>
      <c r="E284" s="16"/>
      <c r="I284" s="16"/>
      <c r="J284" s="9"/>
      <c r="L284" s="40"/>
      <c r="M284" s="40"/>
    </row>
    <row r="285" spans="1:13" ht="12.75">
      <c r="A285" s="15"/>
      <c r="B285" s="34"/>
      <c r="C285" s="47"/>
      <c r="E285" s="16"/>
      <c r="I285" s="16"/>
      <c r="J285" s="9"/>
      <c r="L285" s="40"/>
      <c r="M285" s="40"/>
    </row>
    <row r="286" spans="1:13" ht="12.75">
      <c r="A286" s="15"/>
      <c r="B286" s="34"/>
      <c r="C286" s="47"/>
      <c r="E286" s="16"/>
      <c r="I286" s="16"/>
      <c r="J286" s="9"/>
      <c r="L286" s="40"/>
      <c r="M286" s="40"/>
    </row>
    <row r="287" spans="1:13" ht="12.75">
      <c r="A287" s="15"/>
      <c r="B287" s="34"/>
      <c r="C287" s="47"/>
      <c r="E287" s="16"/>
      <c r="I287" s="16"/>
      <c r="J287" s="9"/>
      <c r="L287" s="40"/>
      <c r="M287" s="40"/>
    </row>
    <row r="288" spans="1:13" ht="12.75">
      <c r="A288" s="15"/>
      <c r="B288" s="34"/>
      <c r="C288" s="47"/>
      <c r="E288" s="16"/>
      <c r="I288" s="16"/>
      <c r="J288" s="9"/>
      <c r="L288" s="40"/>
      <c r="M288" s="40"/>
    </row>
    <row r="289" spans="1:13" ht="12.75">
      <c r="A289" s="15"/>
      <c r="B289" s="34"/>
      <c r="C289" s="47"/>
      <c r="E289" s="16"/>
      <c r="I289" s="16"/>
      <c r="J289" s="9"/>
      <c r="L289" s="40"/>
      <c r="M289" s="40"/>
    </row>
    <row r="290" spans="1:13" ht="12.75">
      <c r="A290" s="15"/>
      <c r="B290" s="34"/>
      <c r="C290" s="47"/>
      <c r="E290" s="16"/>
      <c r="I290" s="16"/>
      <c r="J290" s="9"/>
      <c r="L290" s="40"/>
      <c r="M290" s="40"/>
    </row>
    <row r="291" spans="1:13" ht="12.75">
      <c r="A291" s="15"/>
      <c r="B291" s="34"/>
      <c r="C291" s="47"/>
      <c r="E291" s="16"/>
      <c r="I291" s="16"/>
      <c r="J291" s="9"/>
      <c r="L291" s="40"/>
      <c r="M291" s="40"/>
    </row>
    <row r="292" spans="1:13" ht="12.75">
      <c r="A292" s="15"/>
      <c r="B292" s="34"/>
      <c r="C292" s="47"/>
      <c r="E292" s="16"/>
      <c r="I292" s="16"/>
      <c r="J292" s="9"/>
      <c r="L292" s="40"/>
      <c r="M292" s="40"/>
    </row>
    <row r="293" spans="1:13" ht="12.75">
      <c r="A293" s="15"/>
      <c r="B293" s="34"/>
      <c r="C293" s="47"/>
      <c r="E293" s="16"/>
      <c r="I293" s="16"/>
      <c r="J293" s="9"/>
      <c r="L293" s="40"/>
      <c r="M293" s="40"/>
    </row>
    <row r="294" spans="1:13" ht="12.75">
      <c r="A294" s="15"/>
      <c r="B294" s="34"/>
      <c r="C294" s="47"/>
      <c r="E294" s="16"/>
      <c r="I294" s="16"/>
      <c r="J294" s="9"/>
      <c r="L294" s="40"/>
      <c r="M294" s="40"/>
    </row>
    <row r="295" spans="1:13" ht="12.75">
      <c r="A295" s="15"/>
      <c r="B295" s="34"/>
      <c r="C295" s="47"/>
      <c r="E295" s="16"/>
      <c r="I295" s="16"/>
      <c r="J295" s="9"/>
      <c r="L295" s="40"/>
      <c r="M295" s="40"/>
    </row>
    <row r="296" spans="1:13" ht="12.75">
      <c r="A296" s="15"/>
      <c r="B296" s="34"/>
      <c r="C296" s="47"/>
      <c r="E296" s="16"/>
      <c r="I296" s="16"/>
      <c r="J296" s="9"/>
      <c r="L296" s="40"/>
      <c r="M296" s="40"/>
    </row>
    <row r="297" spans="1:13" ht="12.75">
      <c r="A297" s="15"/>
      <c r="B297" s="34"/>
      <c r="C297" s="47"/>
      <c r="E297" s="16"/>
      <c r="I297" s="16"/>
      <c r="J297" s="9"/>
      <c r="L297" s="40"/>
      <c r="M297" s="40"/>
    </row>
    <row r="298" spans="1:13" ht="12.75">
      <c r="A298" s="15"/>
      <c r="B298" s="34"/>
      <c r="C298" s="47"/>
      <c r="E298" s="16"/>
      <c r="I298" s="16"/>
      <c r="J298" s="9"/>
      <c r="L298" s="40"/>
      <c r="M298" s="40"/>
    </row>
    <row r="299" spans="1:13" ht="12.75">
      <c r="A299" s="15"/>
      <c r="B299" s="34"/>
      <c r="C299" s="47"/>
      <c r="E299" s="16"/>
      <c r="I299" s="16"/>
      <c r="J299" s="9"/>
      <c r="L299" s="40"/>
      <c r="M299" s="40"/>
    </row>
    <row r="300" spans="1:13" ht="12.75">
      <c r="A300" s="15"/>
      <c r="B300" s="34"/>
      <c r="C300" s="47"/>
      <c r="E300" s="16"/>
      <c r="I300" s="16"/>
      <c r="J300" s="9"/>
      <c r="L300" s="40"/>
      <c r="M300" s="40"/>
    </row>
    <row r="301" spans="1:13" ht="12.75">
      <c r="A301" s="15"/>
      <c r="B301" s="34"/>
      <c r="C301" s="47"/>
      <c r="E301" s="16"/>
      <c r="I301" s="16"/>
      <c r="J301" s="9"/>
      <c r="L301" s="40"/>
      <c r="M301" s="40"/>
    </row>
    <row r="302" spans="1:13" ht="12.75">
      <c r="A302" s="15"/>
      <c r="B302" s="34"/>
      <c r="C302" s="47"/>
      <c r="E302" s="16"/>
      <c r="I302" s="16"/>
      <c r="J302" s="9"/>
      <c r="L302" s="40"/>
      <c r="M302" s="40"/>
    </row>
    <row r="303" spans="1:13" ht="12.75">
      <c r="A303" s="15"/>
      <c r="B303" s="34"/>
      <c r="C303" s="47"/>
      <c r="E303" s="16"/>
      <c r="I303" s="16"/>
      <c r="J303" s="9"/>
      <c r="L303" s="40"/>
      <c r="M303" s="40"/>
    </row>
    <row r="304" spans="1:13" ht="12.75">
      <c r="A304" s="15"/>
      <c r="B304" s="34"/>
      <c r="C304" s="47"/>
      <c r="E304" s="16"/>
      <c r="I304" s="16"/>
      <c r="J304" s="9"/>
      <c r="L304" s="40"/>
      <c r="M304" s="40"/>
    </row>
    <row r="305" spans="1:13" ht="12.75">
      <c r="A305" s="15"/>
      <c r="B305" s="34"/>
      <c r="C305" s="47"/>
      <c r="E305" s="16"/>
      <c r="I305" s="16"/>
      <c r="J305" s="9"/>
      <c r="L305" s="40"/>
      <c r="M305" s="40"/>
    </row>
    <row r="306" spans="1:13" ht="12.75">
      <c r="A306" s="15"/>
      <c r="B306" s="34"/>
      <c r="C306" s="47"/>
      <c r="E306" s="16"/>
      <c r="I306" s="16"/>
      <c r="J306" s="9"/>
      <c r="L306" s="40"/>
      <c r="M306" s="40"/>
    </row>
    <row r="307" spans="1:13" ht="12.75">
      <c r="A307" s="15"/>
      <c r="B307" s="34"/>
      <c r="C307" s="47"/>
      <c r="E307" s="16"/>
      <c r="I307" s="16"/>
      <c r="J307" s="9"/>
      <c r="L307" s="40"/>
      <c r="M307" s="40"/>
    </row>
    <row r="308" spans="1:13" ht="12.75">
      <c r="A308" s="15"/>
      <c r="B308" s="34"/>
      <c r="C308" s="47"/>
      <c r="E308" s="16"/>
      <c r="I308" s="16"/>
      <c r="J308" s="9"/>
      <c r="L308" s="40"/>
      <c r="M308" s="40"/>
    </row>
    <row r="309" spans="1:13" ht="12.75">
      <c r="A309" s="15"/>
      <c r="B309" s="34"/>
      <c r="C309" s="47"/>
      <c r="E309" s="16"/>
      <c r="I309" s="16"/>
      <c r="J309" s="9"/>
      <c r="L309" s="40"/>
      <c r="M309" s="40"/>
    </row>
    <row r="310" spans="1:13" ht="12.75">
      <c r="A310" s="15"/>
      <c r="B310" s="34"/>
      <c r="C310" s="47"/>
      <c r="E310" s="16"/>
      <c r="I310" s="16"/>
      <c r="J310" s="9"/>
      <c r="L310" s="40"/>
      <c r="M310" s="40"/>
    </row>
    <row r="311" spans="1:13" ht="12.75">
      <c r="A311" s="15"/>
      <c r="B311" s="34"/>
      <c r="C311" s="47"/>
      <c r="E311" s="16"/>
      <c r="I311" s="16"/>
      <c r="J311" s="9"/>
      <c r="L311" s="40"/>
      <c r="M311" s="40"/>
    </row>
    <row r="312" spans="1:13" ht="12.75">
      <c r="A312" s="15"/>
      <c r="B312" s="34"/>
      <c r="C312" s="47"/>
      <c r="E312" s="16"/>
      <c r="I312" s="16"/>
      <c r="J312" s="9"/>
      <c r="L312" s="40"/>
      <c r="M312" s="40"/>
    </row>
    <row r="313" spans="1:13" ht="12.75">
      <c r="A313" s="15"/>
      <c r="B313" s="34"/>
      <c r="C313" s="47"/>
      <c r="E313" s="16"/>
      <c r="I313" s="16"/>
      <c r="J313" s="9"/>
      <c r="L313" s="40"/>
      <c r="M313" s="40"/>
    </row>
    <row r="314" spans="1:13" ht="12.75">
      <c r="A314" s="15"/>
      <c r="B314" s="34"/>
      <c r="C314" s="47"/>
      <c r="E314" s="16"/>
      <c r="I314" s="16"/>
      <c r="J314" s="9"/>
      <c r="L314" s="40"/>
      <c r="M314" s="40"/>
    </row>
    <row r="315" spans="1:13" ht="12.75">
      <c r="A315" s="15"/>
      <c r="B315" s="34"/>
      <c r="C315" s="47"/>
      <c r="E315" s="16"/>
      <c r="I315" s="16"/>
      <c r="J315" s="9"/>
      <c r="L315" s="40"/>
      <c r="M315" s="40"/>
    </row>
    <row r="316" spans="1:13" ht="12.75">
      <c r="A316" s="15"/>
      <c r="B316" s="34"/>
      <c r="C316" s="47"/>
      <c r="E316" s="16"/>
      <c r="I316" s="16"/>
      <c r="J316" s="9"/>
      <c r="L316" s="40"/>
      <c r="M316" s="40"/>
    </row>
    <row r="317" spans="1:13" ht="12.75">
      <c r="A317" s="15"/>
      <c r="B317" s="34"/>
      <c r="C317" s="47"/>
      <c r="E317" s="16"/>
      <c r="I317" s="16"/>
      <c r="J317" s="9"/>
      <c r="L317" s="40"/>
      <c r="M317" s="40"/>
    </row>
    <row r="318" spans="1:13" ht="12.75">
      <c r="A318" s="15"/>
      <c r="B318" s="34"/>
      <c r="C318" s="47"/>
      <c r="E318" s="16"/>
      <c r="I318" s="16"/>
      <c r="J318" s="9"/>
      <c r="L318" s="40"/>
      <c r="M318" s="40"/>
    </row>
    <row r="319" spans="1:13" ht="12.75">
      <c r="A319" s="15"/>
      <c r="B319" s="34"/>
      <c r="C319" s="47"/>
      <c r="E319" s="16"/>
      <c r="I319" s="16"/>
      <c r="J319" s="9"/>
      <c r="L319" s="40"/>
      <c r="M319" s="40"/>
    </row>
    <row r="320" spans="1:13" ht="12.75">
      <c r="A320" s="15"/>
      <c r="B320" s="34"/>
      <c r="C320" s="47"/>
      <c r="E320" s="16"/>
      <c r="I320" s="16"/>
      <c r="J320" s="9"/>
      <c r="L320" s="40"/>
      <c r="M320" s="40"/>
    </row>
    <row r="321" spans="1:13" ht="12.75">
      <c r="A321" s="15"/>
      <c r="B321" s="34"/>
      <c r="C321" s="47"/>
      <c r="E321" s="16"/>
      <c r="I321" s="16"/>
      <c r="J321" s="9"/>
      <c r="L321" s="40"/>
      <c r="M321" s="40"/>
    </row>
    <row r="322" spans="1:13" ht="12.75">
      <c r="A322" s="15"/>
      <c r="B322" s="34"/>
      <c r="C322" s="47"/>
      <c r="E322" s="16"/>
      <c r="I322" s="16"/>
      <c r="J322" s="9"/>
      <c r="L322" s="40"/>
      <c r="M322" s="40"/>
    </row>
    <row r="323" spans="1:13" ht="12.75">
      <c r="A323" s="15"/>
      <c r="B323" s="34"/>
      <c r="C323" s="47"/>
      <c r="E323" s="16"/>
      <c r="I323" s="16"/>
      <c r="J323" s="9"/>
      <c r="L323" s="40"/>
      <c r="M323" s="40"/>
    </row>
    <row r="324" spans="1:13" ht="12.75">
      <c r="A324" s="15"/>
      <c r="B324" s="34"/>
      <c r="C324" s="47"/>
      <c r="E324" s="16"/>
      <c r="I324" s="16"/>
      <c r="J324" s="9"/>
      <c r="L324" s="40"/>
      <c r="M324" s="40"/>
    </row>
    <row r="325" spans="1:13" ht="12.75">
      <c r="A325" s="15"/>
      <c r="B325" s="34"/>
      <c r="C325" s="47"/>
      <c r="E325" s="16"/>
      <c r="I325" s="16"/>
      <c r="J325" s="9"/>
      <c r="L325" s="40"/>
      <c r="M325" s="40"/>
    </row>
    <row r="326" spans="1:13" ht="12.75">
      <c r="A326" s="15"/>
      <c r="B326" s="34"/>
      <c r="C326" s="47"/>
      <c r="E326" s="16"/>
      <c r="I326" s="16"/>
      <c r="J326" s="9"/>
      <c r="L326" s="40"/>
      <c r="M326" s="40"/>
    </row>
    <row r="327" spans="1:13" ht="12.75">
      <c r="A327" s="15"/>
      <c r="B327" s="34"/>
      <c r="C327" s="47"/>
      <c r="E327" s="16"/>
      <c r="I327" s="16"/>
      <c r="J327" s="9"/>
      <c r="L327" s="40"/>
      <c r="M327" s="40"/>
    </row>
    <row r="328" spans="1:13" ht="12.75">
      <c r="A328" s="15"/>
      <c r="B328" s="34"/>
      <c r="C328" s="47"/>
      <c r="E328" s="16"/>
      <c r="I328" s="16"/>
      <c r="J328" s="9"/>
      <c r="L328" s="40"/>
      <c r="M328" s="40"/>
    </row>
    <row r="329" spans="1:13" ht="12.75">
      <c r="A329" s="15"/>
      <c r="B329" s="34"/>
      <c r="C329" s="47"/>
      <c r="E329" s="16"/>
      <c r="I329" s="16"/>
      <c r="J329" s="9"/>
      <c r="L329" s="40"/>
      <c r="M329" s="40"/>
    </row>
    <row r="330" spans="1:13" ht="12.75">
      <c r="A330" s="15"/>
      <c r="B330" s="34"/>
      <c r="C330" s="47"/>
      <c r="E330" s="16"/>
      <c r="I330" s="16"/>
      <c r="J330" s="9"/>
      <c r="L330" s="40"/>
      <c r="M330" s="40"/>
    </row>
    <row r="331" spans="1:13" ht="12.75">
      <c r="A331" s="15"/>
      <c r="B331" s="34"/>
      <c r="C331" s="47"/>
      <c r="E331" s="16"/>
      <c r="I331" s="16"/>
      <c r="J331" s="9"/>
      <c r="L331" s="40"/>
      <c r="M331" s="40"/>
    </row>
    <row r="332" spans="1:13" ht="12.75">
      <c r="A332" s="15"/>
      <c r="B332" s="34"/>
      <c r="C332" s="47"/>
      <c r="E332" s="16"/>
      <c r="I332" s="16"/>
      <c r="J332" s="9"/>
      <c r="L332" s="40"/>
      <c r="M332" s="40"/>
    </row>
    <row r="333" spans="1:13" ht="12.75">
      <c r="A333" s="15"/>
      <c r="B333" s="34"/>
      <c r="C333" s="47"/>
      <c r="E333" s="16"/>
      <c r="I333" s="16"/>
      <c r="J333" s="9"/>
      <c r="L333" s="40"/>
      <c r="M333" s="40"/>
    </row>
    <row r="334" spans="1:13" ht="12.75">
      <c r="A334" s="15"/>
      <c r="B334" s="34"/>
      <c r="C334" s="47"/>
      <c r="E334" s="16"/>
      <c r="I334" s="16"/>
      <c r="J334" s="9"/>
      <c r="L334" s="40"/>
      <c r="M334" s="40"/>
    </row>
    <row r="335" spans="1:13" ht="12.75">
      <c r="A335" s="15"/>
      <c r="B335" s="34"/>
      <c r="C335" s="47"/>
      <c r="E335" s="16"/>
      <c r="I335" s="16"/>
      <c r="J335" s="9"/>
      <c r="L335" s="40"/>
      <c r="M335" s="40"/>
    </row>
    <row r="336" spans="1:13" ht="12.75">
      <c r="A336" s="15"/>
      <c r="B336" s="34"/>
      <c r="C336" s="47"/>
      <c r="E336" s="16"/>
      <c r="I336" s="16"/>
      <c r="J336" s="9"/>
      <c r="L336" s="40"/>
      <c r="M336" s="40"/>
    </row>
    <row r="337" spans="1:13" ht="12.75">
      <c r="A337" s="15"/>
      <c r="B337" s="34"/>
      <c r="C337" s="47"/>
      <c r="E337" s="16"/>
      <c r="I337" s="16"/>
      <c r="J337" s="9"/>
      <c r="L337" s="40"/>
      <c r="M337" s="40"/>
    </row>
    <row r="338" spans="1:13" ht="12.75">
      <c r="A338" s="15"/>
      <c r="B338" s="34"/>
      <c r="C338" s="47"/>
      <c r="E338" s="16"/>
      <c r="I338" s="16"/>
      <c r="J338" s="9"/>
      <c r="L338" s="40"/>
      <c r="M338" s="40"/>
    </row>
    <row r="339" spans="1:13" ht="12.75">
      <c r="A339" s="15"/>
      <c r="B339" s="34"/>
      <c r="C339" s="47"/>
      <c r="E339" s="16"/>
      <c r="I339" s="16"/>
      <c r="J339" s="9"/>
      <c r="L339" s="40"/>
      <c r="M339" s="40"/>
    </row>
    <row r="340" spans="1:13" ht="12.75">
      <c r="A340" s="15"/>
      <c r="B340" s="34"/>
      <c r="C340" s="47"/>
      <c r="E340" s="16"/>
      <c r="I340" s="16"/>
      <c r="J340" s="9"/>
      <c r="L340" s="40"/>
      <c r="M340" s="40"/>
    </row>
    <row r="341" spans="1:13" ht="12.75">
      <c r="A341" s="15"/>
      <c r="B341" s="34"/>
      <c r="C341" s="47"/>
      <c r="E341" s="16"/>
      <c r="I341" s="16"/>
      <c r="J341" s="9"/>
      <c r="L341" s="40"/>
      <c r="M341" s="40"/>
    </row>
    <row r="342" spans="1:13" ht="12.75">
      <c r="A342" s="15"/>
      <c r="B342" s="34"/>
      <c r="C342" s="47"/>
      <c r="E342" s="16"/>
      <c r="I342" s="16"/>
      <c r="J342" s="9"/>
      <c r="L342" s="40"/>
      <c r="M342" s="40"/>
    </row>
    <row r="343" spans="1:13" ht="12.75">
      <c r="A343" s="15"/>
      <c r="B343" s="34"/>
      <c r="C343" s="47"/>
      <c r="E343" s="16"/>
      <c r="I343" s="16"/>
      <c r="J343" s="9"/>
      <c r="L343" s="40"/>
      <c r="M343" s="40"/>
    </row>
    <row r="344" spans="1:13" ht="12.75">
      <c r="A344" s="15"/>
      <c r="B344" s="34"/>
      <c r="C344" s="47"/>
      <c r="E344" s="16"/>
      <c r="I344" s="16"/>
      <c r="J344" s="9"/>
      <c r="L344" s="40"/>
      <c r="M344" s="40"/>
    </row>
    <row r="345" spans="1:13" ht="12.75">
      <c r="A345" s="15"/>
      <c r="B345" s="34"/>
      <c r="C345" s="47"/>
      <c r="E345" s="16"/>
      <c r="I345" s="16"/>
      <c r="J345" s="9"/>
      <c r="L345" s="40"/>
      <c r="M345" s="40"/>
    </row>
    <row r="346" spans="1:13" ht="12.75">
      <c r="A346" s="15"/>
      <c r="B346" s="34"/>
      <c r="C346" s="47"/>
      <c r="E346" s="16"/>
      <c r="I346" s="16"/>
      <c r="J346" s="9"/>
      <c r="L346" s="40"/>
      <c r="M346" s="40"/>
    </row>
    <row r="347" spans="1:13" ht="12.75">
      <c r="A347" s="15"/>
      <c r="B347" s="34"/>
      <c r="C347" s="47"/>
      <c r="E347" s="16"/>
      <c r="I347" s="16"/>
      <c r="J347" s="9"/>
      <c r="L347" s="40"/>
      <c r="M347" s="40"/>
    </row>
    <row r="348" spans="1:13" ht="12.75">
      <c r="A348" s="15"/>
      <c r="B348" s="34"/>
      <c r="C348" s="47"/>
      <c r="E348" s="16"/>
      <c r="I348" s="16"/>
      <c r="J348" s="9"/>
      <c r="L348" s="40"/>
      <c r="M348" s="40"/>
    </row>
    <row r="349" spans="1:13" ht="12.75">
      <c r="A349" s="15"/>
      <c r="B349" s="34"/>
      <c r="C349" s="47"/>
      <c r="E349" s="16"/>
      <c r="I349" s="16"/>
      <c r="J349" s="9"/>
      <c r="L349" s="40"/>
      <c r="M349" s="40"/>
    </row>
    <row r="350" spans="1:13" ht="12.75">
      <c r="A350" s="15"/>
      <c r="B350" s="34"/>
      <c r="C350" s="47"/>
      <c r="E350" s="16"/>
      <c r="I350" s="16"/>
      <c r="J350" s="9"/>
      <c r="L350" s="40"/>
      <c r="M350" s="40"/>
    </row>
    <row r="351" spans="1:13" ht="12.75">
      <c r="A351" s="15"/>
      <c r="B351" s="34"/>
      <c r="C351" s="47"/>
      <c r="E351" s="16"/>
      <c r="I351" s="16"/>
      <c r="J351" s="9"/>
      <c r="L351" s="40"/>
      <c r="M351" s="40"/>
    </row>
    <row r="352" spans="1:13" ht="12.75">
      <c r="A352" s="15"/>
      <c r="B352" s="34"/>
      <c r="C352" s="47"/>
      <c r="E352" s="16"/>
      <c r="I352" s="16"/>
      <c r="J352" s="9"/>
      <c r="L352" s="40"/>
      <c r="M352" s="40"/>
    </row>
    <row r="353" spans="1:13" ht="12.75">
      <c r="A353" s="15"/>
      <c r="B353" s="34"/>
      <c r="C353" s="47"/>
      <c r="E353" s="16"/>
      <c r="I353" s="16"/>
      <c r="J353" s="9"/>
      <c r="L353" s="40"/>
      <c r="M353" s="40"/>
    </row>
    <row r="354" spans="1:13" ht="12.75">
      <c r="A354" s="15"/>
      <c r="B354" s="34"/>
      <c r="C354" s="47"/>
      <c r="E354" s="16"/>
      <c r="I354" s="16"/>
      <c r="J354" s="9"/>
      <c r="L354" s="40"/>
      <c r="M354" s="40"/>
    </row>
    <row r="355" spans="1:13" ht="12.75">
      <c r="A355" s="15"/>
      <c r="B355" s="34"/>
      <c r="C355" s="47"/>
      <c r="E355" s="16"/>
      <c r="I355" s="16"/>
      <c r="J355" s="9"/>
      <c r="L355" s="40"/>
      <c r="M355" s="40"/>
    </row>
    <row r="356" spans="1:13" ht="12.75">
      <c r="A356" s="15"/>
      <c r="B356" s="34"/>
      <c r="C356" s="47"/>
      <c r="E356" s="16"/>
      <c r="I356" s="16"/>
      <c r="J356" s="9"/>
      <c r="L356" s="40"/>
      <c r="M356" s="40"/>
    </row>
    <row r="357" spans="1:13" ht="12.75">
      <c r="A357" s="15"/>
      <c r="B357" s="34"/>
      <c r="C357" s="47"/>
      <c r="E357" s="16"/>
      <c r="I357" s="16"/>
      <c r="J357" s="9"/>
      <c r="L357" s="40"/>
      <c r="M357" s="40"/>
    </row>
    <row r="358" spans="1:13" ht="12.75">
      <c r="A358" s="15"/>
      <c r="B358" s="34"/>
      <c r="C358" s="47"/>
      <c r="E358" s="16"/>
      <c r="I358" s="16"/>
      <c r="J358" s="9"/>
      <c r="L358" s="40"/>
      <c r="M358" s="40"/>
    </row>
    <row r="359" spans="1:13" ht="12.75">
      <c r="A359" s="15"/>
      <c r="B359" s="34"/>
      <c r="C359" s="47"/>
      <c r="E359" s="16"/>
      <c r="I359" s="16"/>
      <c r="J359" s="9"/>
      <c r="L359" s="40"/>
      <c r="M359" s="40"/>
    </row>
    <row r="360" spans="1:13" ht="12.75">
      <c r="A360" s="15"/>
      <c r="B360" s="34"/>
      <c r="C360" s="47"/>
      <c r="E360" s="16"/>
      <c r="I360" s="16"/>
      <c r="J360" s="9"/>
      <c r="L360" s="40"/>
      <c r="M360" s="40"/>
    </row>
    <row r="361" spans="1:13" ht="12.75">
      <c r="A361" s="15"/>
      <c r="B361" s="34"/>
      <c r="C361" s="47"/>
      <c r="E361" s="16"/>
      <c r="I361" s="16"/>
      <c r="J361" s="9"/>
      <c r="L361" s="40"/>
      <c r="M361" s="40"/>
    </row>
    <row r="362" spans="1:13" ht="12.75">
      <c r="A362" s="15"/>
      <c r="B362" s="34"/>
      <c r="C362" s="47"/>
      <c r="E362" s="16"/>
      <c r="I362" s="16"/>
      <c r="J362" s="9"/>
      <c r="L362" s="40"/>
      <c r="M362" s="40"/>
    </row>
    <row r="363" spans="1:13" ht="12.75">
      <c r="A363" s="15"/>
      <c r="B363" s="34"/>
      <c r="C363" s="47"/>
      <c r="E363" s="16"/>
      <c r="I363" s="16"/>
      <c r="J363" s="9"/>
      <c r="L363" s="40"/>
      <c r="M363" s="40"/>
    </row>
    <row r="364" spans="1:13" ht="12.75">
      <c r="A364" s="15"/>
      <c r="B364" s="34"/>
      <c r="C364" s="47"/>
      <c r="E364" s="16"/>
      <c r="I364" s="16"/>
      <c r="J364" s="9"/>
      <c r="L364" s="40"/>
      <c r="M364" s="40"/>
    </row>
    <row r="365" spans="1:13" ht="12.75">
      <c r="A365" s="15"/>
      <c r="B365" s="34"/>
      <c r="C365" s="47"/>
      <c r="E365" s="16"/>
      <c r="I365" s="16"/>
      <c r="J365" s="9"/>
      <c r="L365" s="40"/>
      <c r="M365" s="40"/>
    </row>
    <row r="366" spans="1:13" ht="12.75">
      <c r="A366" s="15"/>
      <c r="B366" s="34"/>
      <c r="C366" s="47"/>
      <c r="E366" s="16"/>
      <c r="I366" s="16"/>
      <c r="J366" s="9"/>
      <c r="L366" s="40"/>
      <c r="M366" s="40"/>
    </row>
    <row r="367" spans="1:13" ht="12.75">
      <c r="A367" s="15"/>
      <c r="B367" s="34"/>
      <c r="C367" s="47"/>
      <c r="E367" s="16"/>
      <c r="I367" s="16"/>
      <c r="J367" s="9"/>
      <c r="L367" s="40"/>
      <c r="M367" s="40"/>
    </row>
    <row r="368" spans="1:13" ht="12.75">
      <c r="A368" s="15"/>
      <c r="B368" s="34"/>
      <c r="C368" s="47"/>
      <c r="E368" s="16"/>
      <c r="I368" s="16"/>
      <c r="J368" s="9"/>
      <c r="L368" s="40"/>
      <c r="M368" s="40"/>
    </row>
    <row r="369" spans="1:13" ht="12.75">
      <c r="A369" s="15"/>
      <c r="B369" s="34"/>
      <c r="C369" s="47"/>
      <c r="E369" s="16"/>
      <c r="I369" s="16"/>
      <c r="J369" s="9"/>
      <c r="L369" s="40"/>
      <c r="M369" s="40"/>
    </row>
    <row r="370" spans="1:13" ht="12.75">
      <c r="A370" s="15"/>
      <c r="B370" s="34"/>
      <c r="C370" s="47"/>
      <c r="E370" s="16"/>
      <c r="I370" s="16"/>
      <c r="J370" s="9"/>
      <c r="L370" s="40"/>
      <c r="M370" s="40"/>
    </row>
    <row r="371" spans="1:13" ht="12.75">
      <c r="A371" s="15"/>
      <c r="B371" s="34"/>
      <c r="C371" s="47"/>
      <c r="E371" s="16"/>
      <c r="I371" s="16"/>
      <c r="J371" s="9"/>
      <c r="L371" s="40"/>
      <c r="M371" s="40"/>
    </row>
    <row r="372" spans="1:13" ht="12.75">
      <c r="A372" s="15"/>
      <c r="B372" s="34"/>
      <c r="C372" s="47"/>
      <c r="E372" s="16"/>
      <c r="I372" s="16"/>
      <c r="J372" s="9"/>
      <c r="L372" s="40"/>
      <c r="M372" s="40"/>
    </row>
    <row r="373" spans="1:13" ht="12.75">
      <c r="A373" s="15"/>
      <c r="B373" s="34"/>
      <c r="C373" s="47"/>
      <c r="E373" s="16"/>
      <c r="I373" s="16"/>
      <c r="J373" s="9"/>
      <c r="L373" s="40"/>
      <c r="M373" s="40"/>
    </row>
    <row r="374" spans="1:13" ht="12.75">
      <c r="A374" s="15"/>
      <c r="B374" s="34"/>
      <c r="C374" s="47"/>
      <c r="E374" s="16"/>
      <c r="I374" s="16"/>
      <c r="J374" s="9"/>
      <c r="L374" s="40"/>
      <c r="M374" s="40"/>
    </row>
    <row r="375" spans="1:13" ht="12.75">
      <c r="A375" s="15"/>
      <c r="B375" s="34"/>
      <c r="C375" s="47"/>
      <c r="E375" s="16"/>
      <c r="I375" s="16"/>
      <c r="J375" s="9"/>
      <c r="L375" s="40"/>
      <c r="M375" s="40"/>
    </row>
    <row r="376" spans="1:13" ht="12.75">
      <c r="A376" s="15"/>
      <c r="B376" s="34"/>
      <c r="C376" s="47"/>
      <c r="E376" s="16"/>
      <c r="I376" s="16"/>
      <c r="J376" s="9"/>
      <c r="L376" s="40"/>
      <c r="M376" s="40"/>
    </row>
    <row r="377" spans="1:13" ht="12.75">
      <c r="A377" s="15"/>
      <c r="B377" s="34"/>
      <c r="C377" s="47"/>
      <c r="E377" s="16"/>
      <c r="I377" s="16"/>
      <c r="J377" s="9"/>
      <c r="L377" s="40"/>
      <c r="M377" s="40"/>
    </row>
    <row r="378" spans="1:13" ht="12.75">
      <c r="A378" s="15"/>
      <c r="B378" s="34"/>
      <c r="C378" s="47"/>
      <c r="E378" s="16"/>
      <c r="I378" s="16"/>
      <c r="J378" s="9"/>
      <c r="L378" s="40"/>
      <c r="M378" s="40"/>
    </row>
    <row r="379" spans="1:13" ht="12.75">
      <c r="A379" s="15"/>
      <c r="B379" s="34"/>
      <c r="C379" s="47"/>
      <c r="E379" s="16"/>
      <c r="I379" s="16"/>
      <c r="J379" s="9"/>
      <c r="L379" s="40"/>
      <c r="M379" s="40"/>
    </row>
    <row r="380" spans="1:13" ht="12.75">
      <c r="A380" s="15"/>
      <c r="B380" s="34"/>
      <c r="C380" s="47"/>
      <c r="E380" s="16"/>
      <c r="I380" s="16"/>
      <c r="J380" s="9"/>
      <c r="L380" s="40"/>
      <c r="M380" s="40"/>
    </row>
    <row r="381" spans="1:13" ht="12.75">
      <c r="A381" s="15"/>
      <c r="B381" s="34"/>
      <c r="C381" s="47"/>
      <c r="E381" s="16"/>
      <c r="I381" s="16"/>
      <c r="J381" s="9"/>
      <c r="L381" s="40"/>
      <c r="M381" s="40"/>
    </row>
    <row r="382" spans="1:13" ht="12.75">
      <c r="A382" s="15"/>
      <c r="B382" s="34"/>
      <c r="C382" s="47"/>
      <c r="E382" s="16"/>
      <c r="I382" s="16"/>
      <c r="J382" s="9"/>
      <c r="L382" s="40"/>
      <c r="M382" s="40"/>
    </row>
    <row r="383" spans="1:13" ht="12.75">
      <c r="A383" s="15"/>
      <c r="B383" s="34"/>
      <c r="C383" s="47"/>
      <c r="E383" s="16"/>
      <c r="I383" s="16"/>
      <c r="J383" s="9"/>
      <c r="L383" s="40"/>
      <c r="M383" s="40"/>
    </row>
    <row r="384" spans="1:13" ht="12.75">
      <c r="A384" s="15"/>
      <c r="B384" s="34"/>
      <c r="C384" s="47"/>
      <c r="E384" s="16"/>
      <c r="I384" s="16"/>
      <c r="J384" s="9"/>
      <c r="L384" s="40"/>
      <c r="M384" s="40"/>
    </row>
    <row r="385" spans="1:13" ht="12.75">
      <c r="A385" s="15"/>
      <c r="B385" s="34"/>
      <c r="C385" s="47"/>
      <c r="E385" s="16"/>
      <c r="I385" s="16"/>
      <c r="J385" s="9"/>
      <c r="L385" s="40"/>
      <c r="M385" s="40"/>
    </row>
    <row r="386" spans="1:13" ht="12.75">
      <c r="A386" s="15"/>
      <c r="B386" s="34"/>
      <c r="C386" s="47"/>
      <c r="E386" s="16"/>
      <c r="I386" s="16"/>
      <c r="J386" s="9"/>
      <c r="L386" s="40"/>
      <c r="M386" s="40"/>
    </row>
    <row r="387" spans="1:13" ht="12.75">
      <c r="A387" s="15"/>
      <c r="B387" s="34"/>
      <c r="C387" s="47"/>
      <c r="E387" s="16"/>
      <c r="I387" s="16"/>
      <c r="J387" s="9"/>
      <c r="L387" s="40"/>
      <c r="M387" s="40"/>
    </row>
    <row r="388" spans="1:13" ht="12.75">
      <c r="A388" s="15"/>
      <c r="B388" s="34"/>
      <c r="C388" s="47"/>
      <c r="E388" s="16"/>
      <c r="I388" s="16"/>
      <c r="J388" s="9"/>
      <c r="L388" s="40"/>
      <c r="M388" s="40"/>
    </row>
    <row r="389" spans="1:13" ht="12.75">
      <c r="A389" s="15"/>
      <c r="B389" s="34"/>
      <c r="C389" s="47"/>
      <c r="E389" s="16"/>
      <c r="I389" s="16"/>
      <c r="J389" s="9"/>
      <c r="L389" s="40"/>
      <c r="M389" s="40"/>
    </row>
    <row r="390" spans="1:13" ht="12.75">
      <c r="A390" s="15"/>
      <c r="B390" s="34"/>
      <c r="C390" s="47"/>
      <c r="E390" s="16"/>
      <c r="I390" s="16"/>
      <c r="J390" s="9"/>
      <c r="L390" s="40"/>
      <c r="M390" s="40"/>
    </row>
    <row r="391" spans="1:13" ht="12.75">
      <c r="A391" s="15"/>
      <c r="B391" s="34"/>
      <c r="C391" s="47"/>
      <c r="E391" s="16"/>
      <c r="I391" s="16"/>
      <c r="J391" s="9"/>
      <c r="L391" s="40"/>
      <c r="M391" s="40"/>
    </row>
    <row r="392" spans="1:13" ht="12.75">
      <c r="A392" s="15"/>
      <c r="B392" s="34"/>
      <c r="C392" s="47"/>
      <c r="E392" s="16"/>
      <c r="I392" s="16"/>
      <c r="J392" s="9"/>
      <c r="L392" s="40"/>
      <c r="M392" s="40"/>
    </row>
    <row r="393" spans="1:13" ht="12.75">
      <c r="A393" s="15"/>
      <c r="B393" s="34"/>
      <c r="C393" s="47"/>
      <c r="E393" s="16"/>
      <c r="I393" s="16"/>
      <c r="J393" s="9"/>
      <c r="L393" s="40"/>
      <c r="M393" s="40"/>
    </row>
    <row r="394" spans="1:13" ht="12.75">
      <c r="A394" s="15"/>
      <c r="B394" s="34"/>
      <c r="C394" s="47"/>
      <c r="E394" s="16"/>
      <c r="I394" s="16"/>
      <c r="J394" s="9"/>
      <c r="L394" s="40"/>
      <c r="M394" s="40"/>
    </row>
    <row r="395" spans="1:13" ht="12.75">
      <c r="A395" s="15"/>
      <c r="B395" s="34"/>
      <c r="C395" s="47"/>
      <c r="E395" s="16"/>
      <c r="I395" s="16"/>
      <c r="J395" s="9"/>
      <c r="L395" s="40"/>
      <c r="M395" s="40"/>
    </row>
    <row r="396" spans="1:13" ht="12.75">
      <c r="A396" s="15"/>
      <c r="B396" s="34"/>
      <c r="C396" s="47"/>
      <c r="E396" s="16"/>
      <c r="I396" s="16"/>
      <c r="J396" s="9"/>
      <c r="L396" s="40"/>
      <c r="M396" s="40"/>
    </row>
    <row r="397" spans="1:13" ht="12.75">
      <c r="A397" s="15"/>
      <c r="B397" s="34"/>
      <c r="C397" s="47"/>
      <c r="E397" s="16"/>
      <c r="I397" s="16"/>
      <c r="J397" s="9"/>
      <c r="L397" s="40"/>
      <c r="M397" s="40"/>
    </row>
    <row r="398" spans="1:13" ht="12.75">
      <c r="A398" s="15"/>
      <c r="B398" s="34"/>
      <c r="C398" s="47"/>
      <c r="E398" s="16"/>
      <c r="I398" s="16"/>
      <c r="J398" s="9"/>
      <c r="L398" s="40"/>
      <c r="M398" s="40"/>
    </row>
    <row r="399" spans="1:13" ht="12.75">
      <c r="A399" s="15"/>
      <c r="B399" s="34"/>
      <c r="C399" s="47"/>
      <c r="E399" s="16"/>
      <c r="I399" s="16"/>
      <c r="J399" s="9"/>
      <c r="L399" s="40"/>
      <c r="M399" s="40"/>
    </row>
    <row r="400" spans="1:13" ht="12.75">
      <c r="A400" s="15"/>
      <c r="B400" s="34"/>
      <c r="C400" s="47"/>
      <c r="E400" s="16"/>
      <c r="I400" s="16"/>
      <c r="J400" s="9"/>
      <c r="L400" s="40"/>
      <c r="M400" s="40"/>
    </row>
    <row r="401" spans="1:13" ht="12.75">
      <c r="A401" s="15"/>
      <c r="B401" s="34"/>
      <c r="C401" s="47"/>
      <c r="E401" s="16"/>
      <c r="I401" s="16"/>
      <c r="J401" s="9"/>
      <c r="L401" s="40"/>
      <c r="M401" s="40"/>
    </row>
    <row r="402" spans="1:13" ht="12.75">
      <c r="A402" s="15"/>
      <c r="B402" s="34"/>
      <c r="C402" s="47"/>
      <c r="E402" s="16"/>
      <c r="I402" s="16"/>
      <c r="J402" s="9"/>
      <c r="L402" s="40"/>
      <c r="M402" s="40"/>
    </row>
    <row r="403" spans="1:13" ht="12.75">
      <c r="A403" s="15"/>
      <c r="B403" s="34"/>
      <c r="C403" s="47"/>
      <c r="E403" s="16"/>
      <c r="I403" s="16"/>
      <c r="J403" s="9"/>
      <c r="L403" s="40"/>
      <c r="M403" s="40"/>
    </row>
    <row r="404" spans="1:13" ht="12.75">
      <c r="A404" s="15"/>
      <c r="B404" s="34"/>
      <c r="C404" s="47"/>
      <c r="E404" s="16"/>
      <c r="I404" s="16"/>
      <c r="J404" s="9"/>
      <c r="L404" s="40"/>
      <c r="M404" s="40"/>
    </row>
    <row r="405" spans="1:13" ht="12.75">
      <c r="A405" s="15"/>
      <c r="B405" s="34"/>
      <c r="C405" s="47"/>
      <c r="E405" s="16"/>
      <c r="I405" s="16"/>
      <c r="J405" s="9"/>
      <c r="L405" s="40"/>
      <c r="M405" s="40"/>
    </row>
    <row r="406" spans="1:13" ht="12.75">
      <c r="A406" s="15"/>
      <c r="B406" s="34"/>
      <c r="C406" s="47"/>
      <c r="E406" s="16"/>
      <c r="I406" s="16"/>
      <c r="J406" s="9"/>
      <c r="L406" s="40"/>
      <c r="M406" s="40"/>
    </row>
    <row r="407" spans="1:13" ht="12.75">
      <c r="A407" s="15"/>
      <c r="B407" s="34"/>
      <c r="C407" s="47"/>
      <c r="E407" s="16"/>
      <c r="I407" s="16"/>
      <c r="J407" s="9"/>
      <c r="L407" s="40"/>
      <c r="M407" s="40"/>
    </row>
    <row r="408" spans="1:13" ht="12.75">
      <c r="A408" s="15"/>
      <c r="B408" s="34"/>
      <c r="C408" s="47"/>
      <c r="E408" s="16"/>
      <c r="I408" s="16"/>
      <c r="J408" s="9"/>
      <c r="L408" s="40"/>
      <c r="M408" s="40"/>
    </row>
    <row r="409" spans="1:13" ht="12.75">
      <c r="A409" s="15"/>
      <c r="B409" s="34"/>
      <c r="C409" s="47"/>
      <c r="E409" s="16"/>
      <c r="I409" s="16"/>
      <c r="J409" s="9"/>
      <c r="L409" s="40"/>
      <c r="M409" s="40"/>
    </row>
    <row r="410" spans="1:13" ht="12.75">
      <c r="A410" s="15"/>
      <c r="B410" s="34"/>
      <c r="C410" s="47"/>
      <c r="E410" s="16"/>
      <c r="I410" s="16"/>
      <c r="J410" s="9"/>
      <c r="L410" s="40"/>
      <c r="M410" s="40"/>
    </row>
    <row r="411" spans="1:13" ht="12.75">
      <c r="A411" s="15"/>
      <c r="B411" s="34"/>
      <c r="C411" s="47"/>
      <c r="E411" s="16"/>
      <c r="I411" s="16"/>
      <c r="J411" s="9"/>
      <c r="L411" s="40"/>
      <c r="M411" s="40"/>
    </row>
    <row r="412" spans="1:13" ht="12.75">
      <c r="A412" s="15"/>
      <c r="B412" s="34"/>
      <c r="C412" s="47"/>
      <c r="E412" s="16"/>
      <c r="I412" s="16"/>
      <c r="J412" s="9"/>
      <c r="L412" s="40"/>
      <c r="M412" s="40"/>
    </row>
    <row r="413" spans="1:13" ht="12.75">
      <c r="A413" s="15"/>
      <c r="B413" s="34"/>
      <c r="C413" s="47"/>
      <c r="E413" s="16"/>
      <c r="I413" s="16"/>
      <c r="J413" s="9"/>
      <c r="L413" s="40"/>
      <c r="M413" s="40"/>
    </row>
    <row r="414" spans="1:13" ht="12.75">
      <c r="A414" s="15"/>
      <c r="B414" s="34"/>
      <c r="C414" s="47"/>
      <c r="E414" s="16"/>
      <c r="I414" s="16"/>
      <c r="J414" s="9"/>
      <c r="L414" s="40"/>
      <c r="M414" s="40"/>
    </row>
    <row r="415" spans="1:13" ht="12.75">
      <c r="A415" s="15"/>
      <c r="B415" s="34"/>
      <c r="C415" s="47"/>
      <c r="E415" s="16"/>
      <c r="I415" s="16"/>
      <c r="J415" s="9"/>
      <c r="L415" s="40"/>
      <c r="M415" s="40"/>
    </row>
    <row r="416" spans="1:13" ht="12.75">
      <c r="A416" s="15"/>
      <c r="B416" s="34"/>
      <c r="C416" s="47"/>
      <c r="E416" s="16"/>
      <c r="I416" s="16"/>
      <c r="J416" s="9"/>
      <c r="L416" s="40"/>
      <c r="M416" s="40"/>
    </row>
    <row r="417" spans="1:13" ht="12.75">
      <c r="A417" s="15"/>
      <c r="B417" s="34"/>
      <c r="C417" s="47"/>
      <c r="E417" s="16"/>
      <c r="I417" s="16"/>
      <c r="J417" s="9"/>
      <c r="L417" s="40"/>
      <c r="M417" s="40"/>
    </row>
    <row r="418" spans="1:13" ht="12.75">
      <c r="A418" s="15"/>
      <c r="B418" s="34"/>
      <c r="C418" s="47"/>
      <c r="E418" s="16"/>
      <c r="I418" s="16"/>
      <c r="J418" s="9"/>
      <c r="L418" s="40"/>
      <c r="M418" s="40"/>
    </row>
    <row r="419" spans="1:13" ht="12.75">
      <c r="A419" s="15"/>
      <c r="B419" s="34"/>
      <c r="C419" s="47"/>
      <c r="E419" s="16"/>
      <c r="I419" s="16"/>
      <c r="J419" s="9"/>
      <c r="L419" s="40"/>
      <c r="M419" s="40"/>
    </row>
    <row r="420" spans="1:13" ht="12.75">
      <c r="A420" s="15"/>
      <c r="B420" s="34"/>
      <c r="C420" s="47"/>
      <c r="E420" s="16"/>
      <c r="I420" s="16"/>
      <c r="J420" s="9"/>
      <c r="L420" s="40"/>
      <c r="M420" s="40"/>
    </row>
    <row r="421" spans="1:13" ht="12.75">
      <c r="A421" s="15"/>
      <c r="B421" s="34"/>
      <c r="C421" s="47"/>
      <c r="E421" s="16"/>
      <c r="I421" s="16"/>
      <c r="J421" s="9"/>
      <c r="L421" s="40"/>
      <c r="M421" s="40"/>
    </row>
    <row r="422" spans="1:13" ht="12.75">
      <c r="A422" s="15"/>
      <c r="B422" s="34"/>
      <c r="C422" s="47"/>
      <c r="E422" s="16"/>
      <c r="I422" s="16"/>
      <c r="J422" s="9"/>
      <c r="L422" s="40"/>
      <c r="M422" s="40"/>
    </row>
    <row r="423" spans="1:13" ht="12.75">
      <c r="A423" s="15"/>
      <c r="B423" s="34"/>
      <c r="C423" s="47"/>
      <c r="E423" s="16"/>
      <c r="I423" s="16"/>
      <c r="J423" s="9"/>
      <c r="L423" s="40"/>
      <c r="M423" s="40"/>
    </row>
    <row r="424" spans="1:13" ht="12.75">
      <c r="A424" s="15"/>
      <c r="B424" s="34"/>
      <c r="C424" s="47"/>
      <c r="E424" s="16"/>
      <c r="I424" s="16"/>
      <c r="J424" s="9"/>
      <c r="L424" s="40"/>
      <c r="M424" s="40"/>
    </row>
    <row r="425" spans="1:13" ht="12.75">
      <c r="A425" s="15"/>
      <c r="B425" s="34"/>
      <c r="C425" s="47"/>
      <c r="E425" s="16"/>
      <c r="I425" s="16"/>
      <c r="J425" s="9"/>
      <c r="L425" s="40"/>
      <c r="M425" s="40"/>
    </row>
    <row r="426" spans="1:13" ht="12.75">
      <c r="A426" s="15"/>
      <c r="B426" s="34"/>
      <c r="C426" s="47"/>
      <c r="E426" s="16"/>
      <c r="I426" s="16"/>
      <c r="J426" s="9"/>
      <c r="L426" s="40"/>
      <c r="M426" s="40"/>
    </row>
    <row r="427" spans="1:13" ht="12.75">
      <c r="A427" s="15"/>
      <c r="B427" s="34"/>
      <c r="C427" s="47"/>
      <c r="E427" s="16"/>
      <c r="I427" s="16"/>
      <c r="J427" s="9"/>
      <c r="L427" s="40"/>
      <c r="M427" s="40"/>
    </row>
    <row r="428" spans="1:13" ht="12.75">
      <c r="A428" s="15"/>
      <c r="B428" s="34"/>
      <c r="C428" s="47"/>
      <c r="E428" s="16"/>
      <c r="I428" s="16"/>
      <c r="J428" s="9"/>
      <c r="L428" s="40"/>
      <c r="M428" s="40"/>
    </row>
    <row r="429" spans="1:13" ht="12.75">
      <c r="A429" s="15"/>
      <c r="B429" s="34"/>
      <c r="C429" s="47"/>
      <c r="E429" s="16"/>
      <c r="I429" s="16"/>
      <c r="J429" s="9"/>
      <c r="L429" s="40"/>
      <c r="M429" s="40"/>
    </row>
    <row r="430" spans="1:13" ht="12.75">
      <c r="A430" s="15"/>
      <c r="B430" s="34"/>
      <c r="C430" s="47"/>
      <c r="E430" s="16"/>
      <c r="I430" s="16"/>
      <c r="J430" s="9"/>
      <c r="L430" s="40"/>
      <c r="M430" s="40"/>
    </row>
    <row r="431" spans="1:13" ht="12.75">
      <c r="A431" s="15"/>
      <c r="B431" s="34"/>
      <c r="C431" s="47"/>
      <c r="E431" s="16"/>
      <c r="I431" s="16"/>
      <c r="J431" s="9"/>
      <c r="L431" s="40"/>
      <c r="M431" s="40"/>
    </row>
    <row r="432" spans="1:13" ht="12.75">
      <c r="A432" s="15"/>
      <c r="B432" s="34"/>
      <c r="C432" s="47"/>
      <c r="E432" s="16"/>
      <c r="I432" s="16"/>
      <c r="J432" s="9"/>
      <c r="L432" s="40"/>
      <c r="M432" s="40"/>
    </row>
    <row r="433" spans="1:13" ht="12.75">
      <c r="A433" s="15"/>
      <c r="B433" s="34"/>
      <c r="C433" s="47"/>
      <c r="E433" s="16"/>
      <c r="I433" s="16"/>
      <c r="J433" s="9"/>
      <c r="L433" s="40"/>
      <c r="M433" s="40"/>
    </row>
    <row r="434" spans="1:13" ht="12.75">
      <c r="A434" s="15"/>
      <c r="B434" s="34"/>
      <c r="C434" s="47"/>
      <c r="E434" s="16"/>
      <c r="I434" s="16"/>
      <c r="J434" s="9"/>
      <c r="L434" s="40"/>
      <c r="M434" s="40"/>
    </row>
    <row r="435" spans="1:13" ht="12.75">
      <c r="A435" s="15"/>
      <c r="B435" s="34"/>
      <c r="C435" s="47"/>
      <c r="E435" s="16"/>
      <c r="I435" s="16"/>
      <c r="J435" s="9"/>
      <c r="L435" s="40"/>
      <c r="M435" s="40"/>
    </row>
    <row r="436" spans="1:13" ht="12.75">
      <c r="A436" s="15"/>
      <c r="B436" s="34"/>
      <c r="C436" s="47"/>
      <c r="E436" s="16"/>
      <c r="I436" s="16"/>
      <c r="J436" s="9"/>
      <c r="L436" s="40"/>
      <c r="M436" s="40"/>
    </row>
    <row r="437" spans="1:13" ht="12.75">
      <c r="A437" s="15"/>
      <c r="B437" s="34"/>
      <c r="C437" s="47"/>
      <c r="E437" s="16"/>
      <c r="I437" s="16"/>
      <c r="J437" s="9"/>
      <c r="L437" s="40"/>
      <c r="M437" s="40"/>
    </row>
    <row r="438" spans="1:13" ht="12.75">
      <c r="A438" s="15"/>
      <c r="B438" s="34"/>
      <c r="C438" s="47"/>
      <c r="E438" s="16"/>
      <c r="I438" s="16"/>
      <c r="J438" s="9"/>
      <c r="L438" s="40"/>
      <c r="M438" s="40"/>
    </row>
    <row r="439" spans="1:13" ht="12.75">
      <c r="A439" s="15"/>
      <c r="B439" s="34"/>
      <c r="C439" s="47"/>
      <c r="E439" s="16"/>
      <c r="I439" s="16"/>
      <c r="J439" s="9"/>
      <c r="L439" s="40"/>
      <c r="M439" s="40"/>
    </row>
    <row r="440" spans="1:13" ht="12.75">
      <c r="A440" s="15"/>
      <c r="B440" s="34"/>
      <c r="C440" s="47"/>
      <c r="E440" s="16"/>
      <c r="I440" s="16"/>
      <c r="J440" s="9"/>
      <c r="L440" s="40"/>
      <c r="M440" s="40"/>
    </row>
    <row r="441" spans="1:13" ht="12.75">
      <c r="A441" s="15"/>
      <c r="B441" s="34"/>
      <c r="C441" s="47"/>
      <c r="E441" s="16"/>
      <c r="I441" s="16"/>
      <c r="J441" s="9"/>
      <c r="L441" s="40"/>
      <c r="M441" s="40"/>
    </row>
    <row r="442" spans="1:13" ht="12.75">
      <c r="A442" s="15"/>
      <c r="B442" s="34"/>
      <c r="C442" s="47"/>
      <c r="E442" s="16"/>
      <c r="I442" s="16"/>
      <c r="J442" s="9"/>
      <c r="L442" s="40"/>
      <c r="M442" s="40"/>
    </row>
    <row r="443" spans="1:13" ht="12.75">
      <c r="A443" s="15"/>
      <c r="B443" s="34"/>
      <c r="C443" s="47"/>
      <c r="E443" s="16"/>
      <c r="I443" s="16"/>
      <c r="J443" s="9"/>
      <c r="L443" s="40"/>
      <c r="M443" s="40"/>
    </row>
    <row r="444" spans="1:13" ht="12.75">
      <c r="A444" s="15"/>
      <c r="B444" s="34"/>
      <c r="C444" s="47"/>
      <c r="E444" s="16"/>
      <c r="I444" s="16"/>
      <c r="J444" s="9"/>
      <c r="L444" s="40"/>
      <c r="M444" s="40"/>
    </row>
    <row r="445" spans="1:13" ht="12.75">
      <c r="A445" s="15"/>
      <c r="B445" s="34"/>
      <c r="C445" s="47"/>
      <c r="E445" s="16"/>
      <c r="I445" s="16"/>
      <c r="J445" s="9"/>
      <c r="L445" s="40"/>
      <c r="M445" s="40"/>
    </row>
    <row r="446" spans="1:13" ht="12.75">
      <c r="A446" s="15"/>
      <c r="B446" s="34"/>
      <c r="C446" s="47"/>
      <c r="E446" s="16"/>
      <c r="I446" s="16"/>
      <c r="J446" s="9"/>
      <c r="L446" s="40"/>
      <c r="M446" s="40"/>
    </row>
    <row r="447" spans="1:13" ht="12.75">
      <c r="A447" s="15"/>
      <c r="B447" s="34"/>
      <c r="C447" s="47"/>
      <c r="E447" s="16"/>
      <c r="I447" s="16"/>
      <c r="J447" s="9"/>
      <c r="L447" s="40"/>
      <c r="M447" s="40"/>
    </row>
    <row r="448" spans="1:13" ht="12.75">
      <c r="A448" s="15"/>
      <c r="B448" s="34"/>
      <c r="C448" s="47"/>
      <c r="E448" s="16"/>
      <c r="I448" s="16"/>
      <c r="J448" s="9"/>
      <c r="L448" s="40"/>
      <c r="M448" s="40"/>
    </row>
    <row r="449" spans="1:13" ht="12.75">
      <c r="A449" s="15"/>
      <c r="B449" s="34"/>
      <c r="C449" s="47"/>
      <c r="E449" s="16"/>
      <c r="I449" s="16"/>
      <c r="J449" s="9"/>
      <c r="L449" s="40"/>
      <c r="M449" s="40"/>
    </row>
    <row r="450" spans="1:13" ht="12.75">
      <c r="A450" s="15"/>
      <c r="B450" s="34"/>
      <c r="C450" s="47"/>
      <c r="E450" s="16"/>
      <c r="I450" s="16"/>
      <c r="J450" s="9"/>
      <c r="L450" s="40"/>
      <c r="M450" s="40"/>
    </row>
    <row r="451" spans="1:13" ht="12.75">
      <c r="A451" s="15"/>
      <c r="B451" s="34"/>
      <c r="C451" s="47"/>
      <c r="E451" s="16"/>
      <c r="I451" s="16"/>
      <c r="J451" s="9"/>
      <c r="L451" s="40"/>
      <c r="M451" s="40"/>
    </row>
    <row r="452" spans="1:13" ht="12.75">
      <c r="A452" s="15"/>
      <c r="B452" s="34"/>
      <c r="C452" s="47"/>
      <c r="E452" s="16"/>
      <c r="I452" s="16"/>
      <c r="J452" s="9"/>
      <c r="L452" s="40"/>
      <c r="M452" s="40"/>
    </row>
    <row r="453" spans="1:13" ht="12.75">
      <c r="A453" s="15"/>
      <c r="B453" s="34"/>
      <c r="C453" s="47"/>
      <c r="E453" s="16"/>
      <c r="I453" s="16"/>
      <c r="J453" s="9"/>
      <c r="L453" s="40"/>
      <c r="M453" s="40"/>
    </row>
    <row r="454" spans="1:13" ht="12.75">
      <c r="A454" s="15"/>
      <c r="B454" s="34"/>
      <c r="C454" s="47"/>
      <c r="E454" s="16"/>
      <c r="I454" s="16"/>
      <c r="J454" s="9"/>
      <c r="L454" s="40"/>
      <c r="M454" s="40"/>
    </row>
    <row r="455" spans="1:13" ht="12.75">
      <c r="A455" s="15"/>
      <c r="B455" s="34"/>
      <c r="C455" s="47"/>
      <c r="E455" s="16"/>
      <c r="I455" s="16"/>
      <c r="J455" s="9"/>
      <c r="L455" s="40"/>
      <c r="M455" s="40"/>
    </row>
    <row r="456" spans="1:13" ht="12.75">
      <c r="A456" s="15"/>
      <c r="B456" s="34"/>
      <c r="C456" s="47"/>
      <c r="E456" s="16"/>
      <c r="I456" s="16"/>
      <c r="J456" s="9"/>
      <c r="L456" s="40"/>
      <c r="M456" s="40"/>
    </row>
    <row r="457" spans="1:13" ht="12.75">
      <c r="A457" s="15"/>
      <c r="B457" s="34"/>
      <c r="C457" s="47"/>
      <c r="E457" s="16"/>
      <c r="I457" s="16"/>
      <c r="J457" s="9"/>
      <c r="L457" s="40"/>
      <c r="M457" s="40"/>
    </row>
    <row r="458" spans="1:13" ht="12.75">
      <c r="A458" s="15"/>
      <c r="B458" s="34"/>
      <c r="C458" s="47"/>
      <c r="E458" s="16"/>
      <c r="I458" s="16"/>
      <c r="J458" s="9"/>
      <c r="L458" s="40"/>
      <c r="M458" s="40"/>
    </row>
    <row r="459" spans="1:13" ht="12.75">
      <c r="A459" s="15"/>
      <c r="B459" s="34"/>
      <c r="C459" s="47"/>
      <c r="E459" s="16"/>
      <c r="I459" s="16"/>
      <c r="J459" s="9"/>
      <c r="L459" s="40"/>
      <c r="M459" s="40"/>
    </row>
    <row r="460" spans="1:13" ht="12.75">
      <c r="A460" s="15"/>
      <c r="B460" s="34"/>
      <c r="C460" s="47"/>
      <c r="E460" s="16"/>
      <c r="I460" s="16"/>
      <c r="J460" s="9"/>
      <c r="L460" s="40"/>
      <c r="M460" s="40"/>
    </row>
    <row r="461" spans="1:13" ht="12.75">
      <c r="A461" s="15"/>
      <c r="B461" s="34"/>
      <c r="C461" s="47"/>
      <c r="E461" s="16"/>
      <c r="I461" s="16"/>
      <c r="J461" s="9"/>
      <c r="L461" s="40"/>
      <c r="M461" s="40"/>
    </row>
    <row r="462" spans="1:13" ht="12.75">
      <c r="A462" s="15"/>
      <c r="B462" s="34"/>
      <c r="C462" s="47"/>
      <c r="E462" s="16"/>
      <c r="I462" s="16"/>
      <c r="J462" s="9"/>
      <c r="L462" s="40"/>
      <c r="M462" s="40"/>
    </row>
    <row r="463" spans="1:13" ht="12.75">
      <c r="A463" s="15"/>
      <c r="B463" s="34"/>
      <c r="C463" s="47"/>
      <c r="E463" s="16"/>
      <c r="I463" s="16"/>
      <c r="J463" s="9"/>
      <c r="L463" s="40"/>
      <c r="M463" s="40"/>
    </row>
    <row r="464" spans="1:13" ht="12.75">
      <c r="A464" s="15"/>
      <c r="B464" s="34"/>
      <c r="C464" s="47"/>
      <c r="E464" s="16"/>
      <c r="I464" s="16"/>
      <c r="J464" s="9"/>
      <c r="L464" s="40"/>
      <c r="M464" s="40"/>
    </row>
    <row r="465" spans="1:13" ht="12.75">
      <c r="A465" s="15"/>
      <c r="B465" s="34"/>
      <c r="C465" s="47"/>
      <c r="E465" s="16"/>
      <c r="I465" s="16"/>
      <c r="J465" s="9"/>
      <c r="L465" s="40"/>
      <c r="M465" s="40"/>
    </row>
    <row r="466" spans="1:13" ht="12.75">
      <c r="A466" s="15"/>
      <c r="B466" s="34"/>
      <c r="C466" s="47"/>
      <c r="E466" s="16"/>
      <c r="I466" s="16"/>
      <c r="J466" s="9"/>
      <c r="L466" s="40"/>
      <c r="M466" s="40"/>
    </row>
    <row r="467" spans="1:13" ht="12.75">
      <c r="A467" s="15"/>
      <c r="B467" s="34"/>
      <c r="C467" s="47"/>
      <c r="E467" s="16"/>
      <c r="I467" s="16"/>
      <c r="J467" s="9"/>
      <c r="L467" s="40"/>
      <c r="M467" s="40"/>
    </row>
    <row r="468" spans="1:13" ht="12.75">
      <c r="A468" s="15"/>
      <c r="B468" s="34"/>
      <c r="C468" s="47"/>
      <c r="E468" s="16"/>
      <c r="I468" s="16"/>
      <c r="J468" s="9"/>
      <c r="L468" s="40"/>
      <c r="M468" s="40"/>
    </row>
    <row r="469" spans="1:13" ht="12.75">
      <c r="A469" s="15"/>
      <c r="B469" s="34"/>
      <c r="C469" s="47"/>
      <c r="E469" s="16"/>
      <c r="I469" s="16"/>
      <c r="J469" s="9"/>
      <c r="L469" s="40"/>
      <c r="M469" s="40"/>
    </row>
    <row r="470" spans="1:13" ht="12.75">
      <c r="A470" s="15"/>
      <c r="B470" s="34"/>
      <c r="C470" s="47"/>
      <c r="E470" s="16"/>
      <c r="I470" s="16"/>
      <c r="J470" s="9"/>
      <c r="L470" s="40"/>
      <c r="M470" s="40"/>
    </row>
    <row r="471" spans="1:13" ht="12.75">
      <c r="A471" s="15"/>
      <c r="B471" s="34"/>
      <c r="C471" s="47"/>
      <c r="E471" s="16"/>
      <c r="I471" s="16"/>
      <c r="J471" s="9"/>
      <c r="L471" s="40"/>
      <c r="M471" s="40"/>
    </row>
    <row r="472" spans="1:13" ht="12.75">
      <c r="A472" s="15"/>
      <c r="B472" s="34"/>
      <c r="C472" s="47"/>
      <c r="E472" s="16"/>
      <c r="I472" s="16"/>
      <c r="J472" s="9"/>
      <c r="L472" s="40"/>
      <c r="M472" s="40"/>
    </row>
    <row r="473" spans="1:13" ht="12.75">
      <c r="A473" s="15"/>
      <c r="B473" s="34"/>
      <c r="C473" s="47"/>
      <c r="E473" s="16"/>
      <c r="I473" s="16"/>
      <c r="J473" s="9"/>
      <c r="L473" s="40"/>
      <c r="M473" s="40"/>
    </row>
    <row r="474" spans="1:13" ht="12.75">
      <c r="A474" s="15"/>
      <c r="B474" s="34"/>
      <c r="C474" s="47"/>
      <c r="E474" s="16"/>
      <c r="I474" s="16"/>
      <c r="J474" s="9"/>
      <c r="L474" s="40"/>
      <c r="M474" s="40"/>
    </row>
    <row r="475" spans="1:13" ht="12.75">
      <c r="A475" s="15"/>
      <c r="B475" s="34"/>
      <c r="C475" s="47"/>
      <c r="E475" s="16"/>
      <c r="I475" s="16"/>
      <c r="J475" s="9"/>
      <c r="L475" s="40"/>
      <c r="M475" s="40"/>
    </row>
    <row r="476" spans="1:13" ht="12.75">
      <c r="A476" s="15"/>
      <c r="B476" s="34"/>
      <c r="C476" s="47"/>
      <c r="E476" s="16"/>
      <c r="I476" s="16"/>
      <c r="J476" s="9"/>
      <c r="L476" s="40"/>
      <c r="M476" s="40"/>
    </row>
    <row r="477" spans="1:13" ht="12.75">
      <c r="A477" s="15"/>
      <c r="B477" s="34"/>
      <c r="C477" s="47"/>
      <c r="E477" s="16"/>
      <c r="I477" s="16"/>
      <c r="J477" s="9"/>
      <c r="L477" s="40"/>
      <c r="M477" s="40"/>
    </row>
    <row r="478" spans="1:13" ht="12.75">
      <c r="A478" s="15"/>
      <c r="B478" s="34"/>
      <c r="C478" s="47"/>
      <c r="E478" s="16"/>
      <c r="I478" s="16"/>
      <c r="J478" s="9"/>
      <c r="L478" s="40"/>
      <c r="M478" s="40"/>
    </row>
    <row r="479" spans="1:13" ht="12.75">
      <c r="A479" s="15"/>
      <c r="B479" s="34"/>
      <c r="C479" s="47"/>
      <c r="E479" s="16"/>
      <c r="I479" s="16"/>
      <c r="J479" s="9"/>
      <c r="L479" s="40"/>
      <c r="M479" s="40"/>
    </row>
    <row r="480" spans="1:13" ht="12.75">
      <c r="A480" s="15"/>
      <c r="B480" s="34"/>
      <c r="C480" s="47"/>
      <c r="E480" s="16"/>
      <c r="I480" s="16"/>
      <c r="J480" s="9"/>
      <c r="L480" s="40"/>
      <c r="M480" s="40"/>
    </row>
    <row r="481" spans="1:13" ht="12.75">
      <c r="A481" s="15"/>
      <c r="B481" s="34"/>
      <c r="C481" s="47"/>
      <c r="E481" s="16"/>
      <c r="I481" s="16"/>
      <c r="J481" s="9"/>
      <c r="L481" s="40"/>
      <c r="M481" s="40"/>
    </row>
    <row r="482" spans="1:13" ht="12.75">
      <c r="A482" s="15"/>
      <c r="B482" s="34"/>
      <c r="C482" s="47"/>
      <c r="E482" s="16"/>
      <c r="I482" s="16"/>
      <c r="J482" s="9"/>
      <c r="L482" s="40"/>
      <c r="M482" s="40"/>
    </row>
    <row r="483" spans="1:13" ht="12.75">
      <c r="A483" s="15"/>
      <c r="B483" s="34"/>
      <c r="C483" s="47"/>
      <c r="E483" s="16"/>
      <c r="I483" s="16"/>
      <c r="J483" s="9"/>
      <c r="L483" s="40"/>
      <c r="M483" s="40"/>
    </row>
    <row r="484" spans="1:13" ht="12.75">
      <c r="A484" s="15"/>
      <c r="B484" s="34"/>
      <c r="C484" s="47"/>
      <c r="E484" s="16"/>
      <c r="I484" s="16"/>
      <c r="J484" s="9"/>
      <c r="L484" s="40"/>
      <c r="M484" s="40"/>
    </row>
    <row r="485" spans="1:13" ht="12.75">
      <c r="A485" s="15"/>
      <c r="B485" s="34"/>
      <c r="C485" s="47"/>
      <c r="E485" s="16"/>
      <c r="I485" s="16"/>
      <c r="J485" s="9"/>
      <c r="L485" s="40"/>
      <c r="M485" s="40"/>
    </row>
    <row r="486" spans="1:13" ht="12.75">
      <c r="A486" s="15"/>
      <c r="B486" s="34"/>
      <c r="C486" s="47"/>
      <c r="E486" s="16"/>
      <c r="I486" s="16"/>
      <c r="J486" s="9"/>
      <c r="L486" s="40"/>
      <c r="M486" s="40"/>
    </row>
    <row r="487" spans="1:13" ht="12.75">
      <c r="A487" s="15"/>
      <c r="B487" s="34"/>
      <c r="C487" s="47"/>
      <c r="E487" s="16"/>
      <c r="I487" s="16"/>
      <c r="J487" s="9"/>
      <c r="L487" s="40"/>
      <c r="M487" s="40"/>
    </row>
    <row r="488" spans="1:13" ht="12.75">
      <c r="A488" s="15"/>
      <c r="B488" s="34"/>
      <c r="C488" s="47"/>
      <c r="E488" s="16"/>
      <c r="I488" s="16"/>
      <c r="J488" s="9"/>
      <c r="L488" s="40"/>
      <c r="M488" s="40"/>
    </row>
    <row r="489" spans="1:13" ht="12.75">
      <c r="A489" s="15"/>
      <c r="B489" s="34"/>
      <c r="C489" s="47"/>
      <c r="E489" s="16"/>
      <c r="I489" s="16"/>
      <c r="J489" s="9"/>
      <c r="L489" s="40"/>
      <c r="M489" s="40"/>
    </row>
    <row r="490" spans="1:13" ht="12.75">
      <c r="A490" s="15"/>
      <c r="B490" s="34"/>
      <c r="C490" s="47"/>
      <c r="E490" s="16"/>
      <c r="I490" s="16"/>
      <c r="J490" s="9"/>
      <c r="L490" s="40"/>
      <c r="M490" s="40"/>
    </row>
    <row r="491" spans="1:13" ht="12.75">
      <c r="A491" s="15"/>
      <c r="B491" s="34"/>
      <c r="C491" s="47"/>
      <c r="E491" s="16"/>
      <c r="I491" s="16"/>
      <c r="J491" s="9"/>
      <c r="L491" s="40"/>
      <c r="M491" s="40"/>
    </row>
    <row r="492" spans="1:13" ht="12.75">
      <c r="A492" s="15"/>
      <c r="B492" s="34"/>
      <c r="C492" s="47"/>
      <c r="E492" s="16"/>
      <c r="I492" s="16"/>
      <c r="J492" s="9"/>
      <c r="L492" s="40"/>
      <c r="M492" s="40"/>
    </row>
    <row r="493" spans="1:13" ht="12.75">
      <c r="A493" s="15"/>
      <c r="B493" s="34"/>
      <c r="C493" s="47"/>
      <c r="E493" s="16"/>
      <c r="I493" s="16"/>
      <c r="J493" s="9"/>
      <c r="L493" s="40"/>
      <c r="M493" s="40"/>
    </row>
    <row r="494" spans="1:13" ht="12.75">
      <c r="A494" s="15"/>
      <c r="B494" s="34"/>
      <c r="C494" s="47"/>
      <c r="E494" s="16"/>
      <c r="I494" s="16"/>
      <c r="J494" s="9"/>
      <c r="L494" s="40"/>
      <c r="M494" s="40"/>
    </row>
    <row r="495" spans="1:13" ht="12.75">
      <c r="A495" s="15"/>
      <c r="B495" s="34"/>
      <c r="C495" s="47"/>
      <c r="E495" s="16"/>
      <c r="I495" s="16"/>
      <c r="J495" s="9"/>
      <c r="L495" s="40"/>
      <c r="M495" s="40"/>
    </row>
    <row r="496" spans="1:13" ht="12.75">
      <c r="A496" s="15"/>
      <c r="B496" s="34"/>
      <c r="C496" s="47"/>
      <c r="E496" s="16"/>
      <c r="I496" s="16"/>
      <c r="J496" s="9"/>
      <c r="L496" s="40"/>
      <c r="M496" s="40"/>
    </row>
    <row r="497" spans="1:13" ht="12.75">
      <c r="A497" s="15"/>
      <c r="B497" s="34"/>
      <c r="C497" s="47"/>
      <c r="E497" s="16"/>
      <c r="I497" s="16"/>
      <c r="J497" s="9"/>
      <c r="L497" s="40"/>
      <c r="M497" s="40"/>
    </row>
    <row r="498" spans="1:13" ht="12.75">
      <c r="A498" s="15"/>
      <c r="B498" s="34"/>
      <c r="C498" s="47"/>
      <c r="E498" s="16"/>
      <c r="I498" s="16"/>
      <c r="J498" s="9"/>
      <c r="L498" s="40"/>
      <c r="M498" s="40"/>
    </row>
    <row r="499" spans="1:13" ht="12.75">
      <c r="A499" s="15"/>
      <c r="B499" s="34"/>
      <c r="C499" s="47"/>
      <c r="E499" s="16"/>
      <c r="I499" s="16"/>
      <c r="J499" s="9"/>
      <c r="L499" s="40"/>
      <c r="M499" s="40"/>
    </row>
    <row r="500" spans="1:13" ht="12.75">
      <c r="A500" s="15"/>
      <c r="B500" s="34"/>
      <c r="C500" s="47"/>
      <c r="E500" s="16"/>
      <c r="I500" s="16"/>
      <c r="J500" s="9"/>
      <c r="L500" s="40"/>
      <c r="M500" s="40"/>
    </row>
    <row r="501" spans="1:13" ht="12.75">
      <c r="A501" s="15"/>
      <c r="B501" s="34"/>
      <c r="C501" s="47"/>
      <c r="E501" s="16"/>
      <c r="I501" s="16"/>
      <c r="J501" s="9"/>
      <c r="L501" s="40"/>
      <c r="M501" s="40"/>
    </row>
    <row r="502" spans="1:13" ht="12.75">
      <c r="A502" s="15"/>
      <c r="B502" s="34"/>
      <c r="C502" s="47"/>
      <c r="E502" s="16"/>
      <c r="I502" s="16"/>
      <c r="J502" s="9"/>
      <c r="L502" s="40"/>
      <c r="M502" s="40"/>
    </row>
    <row r="503" spans="1:13" ht="12.75">
      <c r="A503" s="15"/>
      <c r="B503" s="34"/>
      <c r="C503" s="47"/>
      <c r="E503" s="16"/>
      <c r="I503" s="16"/>
      <c r="J503" s="9"/>
    </row>
    <row r="504" spans="1:13" ht="12.75">
      <c r="A504" s="15"/>
      <c r="B504" s="34"/>
      <c r="C504" s="47"/>
      <c r="E504" s="16"/>
      <c r="I504" s="16"/>
      <c r="J504" s="9"/>
    </row>
    <row r="505" spans="1:13" ht="12.75">
      <c r="A505" s="15"/>
      <c r="B505" s="34"/>
      <c r="C505" s="47"/>
      <c r="E505" s="16"/>
      <c r="I505" s="16"/>
      <c r="J505" s="9"/>
    </row>
    <row r="506" spans="1:13" ht="12.75">
      <c r="A506" s="15"/>
      <c r="B506" s="34"/>
      <c r="C506" s="47"/>
      <c r="E506" s="16"/>
      <c r="I506" s="16"/>
      <c r="J506" s="9"/>
    </row>
    <row r="507" spans="1:13" ht="12.75">
      <c r="A507" s="15"/>
      <c r="B507" s="34"/>
      <c r="C507" s="47"/>
      <c r="E507" s="16"/>
      <c r="I507" s="16"/>
      <c r="J507" s="9"/>
    </row>
    <row r="508" spans="1:13" ht="12.75">
      <c r="A508" s="15"/>
      <c r="B508" s="34"/>
      <c r="C508" s="47"/>
      <c r="E508" s="16"/>
      <c r="I508" s="16"/>
      <c r="J508" s="9"/>
    </row>
    <row r="509" spans="1:13" ht="12.75">
      <c r="A509" s="15"/>
      <c r="B509" s="34"/>
      <c r="C509" s="47"/>
      <c r="E509" s="16"/>
      <c r="I509" s="16"/>
      <c r="J509" s="9"/>
    </row>
    <row r="510" spans="1:13" ht="12.75">
      <c r="A510" s="15"/>
      <c r="B510" s="34"/>
      <c r="C510" s="47"/>
      <c r="E510" s="16"/>
      <c r="I510" s="16"/>
      <c r="J510" s="9"/>
    </row>
    <row r="511" spans="1:13" ht="12.75">
      <c r="A511" s="15"/>
      <c r="B511" s="34"/>
      <c r="C511" s="47"/>
      <c r="E511" s="16"/>
      <c r="I511" s="16"/>
      <c r="J511" s="9"/>
    </row>
    <row r="512" spans="1:13" ht="12.75">
      <c r="A512" s="15"/>
      <c r="B512" s="34"/>
      <c r="C512" s="47"/>
      <c r="E512" s="16"/>
      <c r="I512" s="16"/>
      <c r="J512" s="9"/>
    </row>
    <row r="513" spans="1:10" ht="12.75">
      <c r="A513" s="15"/>
      <c r="B513" s="34"/>
      <c r="C513" s="47"/>
      <c r="E513" s="16"/>
      <c r="I513" s="16"/>
      <c r="J513" s="9"/>
    </row>
    <row r="514" spans="1:10" ht="12.75">
      <c r="A514" s="15"/>
      <c r="B514" s="34"/>
      <c r="C514" s="47"/>
      <c r="E514" s="16"/>
      <c r="I514" s="16"/>
      <c r="J514" s="9"/>
    </row>
    <row r="515" spans="1:10" ht="12.75">
      <c r="A515" s="15"/>
      <c r="B515" s="34"/>
      <c r="C515" s="47"/>
      <c r="E515" s="16"/>
      <c r="I515" s="16"/>
      <c r="J515" s="9"/>
    </row>
    <row r="516" spans="1:10" ht="12.75">
      <c r="A516" s="15"/>
      <c r="B516" s="34"/>
      <c r="C516" s="47"/>
      <c r="E516" s="16"/>
      <c r="I516" s="16"/>
      <c r="J516" s="9"/>
    </row>
    <row r="517" spans="1:10" ht="12.75">
      <c r="A517" s="15"/>
      <c r="B517" s="34"/>
      <c r="C517" s="47"/>
      <c r="E517" s="16"/>
      <c r="I517" s="16"/>
      <c r="J517" s="9"/>
    </row>
    <row r="518" spans="1:10" ht="12.75">
      <c r="A518" s="15"/>
      <c r="B518" s="34"/>
      <c r="C518" s="47"/>
      <c r="E518" s="16"/>
      <c r="I518" s="16"/>
      <c r="J518" s="9"/>
    </row>
    <row r="519" spans="1:10" ht="12.75">
      <c r="A519" s="15"/>
      <c r="B519" s="34"/>
      <c r="C519" s="47"/>
      <c r="E519" s="16"/>
      <c r="I519" s="16"/>
      <c r="J519" s="9"/>
    </row>
    <row r="520" spans="1:10" ht="12.75">
      <c r="A520" s="15"/>
      <c r="B520" s="34"/>
      <c r="C520" s="47"/>
      <c r="E520" s="16"/>
      <c r="I520" s="16"/>
      <c r="J520" s="9"/>
    </row>
    <row r="521" spans="1:10" ht="12.75">
      <c r="A521" s="15"/>
      <c r="B521" s="34"/>
      <c r="C521" s="47"/>
      <c r="E521" s="16"/>
      <c r="I521" s="16"/>
      <c r="J521" s="9"/>
    </row>
    <row r="522" spans="1:10" ht="12.75">
      <c r="A522" s="15"/>
      <c r="B522" s="34"/>
      <c r="C522" s="47"/>
      <c r="E522" s="16"/>
      <c r="I522" s="16"/>
      <c r="J522" s="9"/>
    </row>
    <row r="523" spans="1:10" ht="12.75">
      <c r="A523" s="15"/>
      <c r="B523" s="34"/>
      <c r="C523" s="47"/>
      <c r="E523" s="16"/>
      <c r="I523" s="16"/>
      <c r="J523" s="9"/>
    </row>
    <row r="524" spans="1:10" ht="12.75">
      <c r="A524" s="15"/>
      <c r="B524" s="34"/>
      <c r="C524" s="47"/>
      <c r="E524" s="16"/>
      <c r="I524" s="16"/>
      <c r="J524" s="9"/>
    </row>
    <row r="525" spans="1:10" ht="12.75">
      <c r="A525" s="15"/>
      <c r="B525" s="34"/>
      <c r="C525" s="47"/>
      <c r="E525" s="16"/>
      <c r="I525" s="16"/>
      <c r="J525" s="9"/>
    </row>
    <row r="526" spans="1:10" ht="12.75">
      <c r="A526" s="15"/>
      <c r="B526" s="34"/>
      <c r="C526" s="47"/>
      <c r="E526" s="16"/>
      <c r="I526" s="16"/>
      <c r="J526" s="9"/>
    </row>
    <row r="527" spans="1:10" ht="12.75">
      <c r="A527" s="15"/>
      <c r="B527" s="34"/>
      <c r="C527" s="47"/>
      <c r="E527" s="16"/>
      <c r="I527" s="16"/>
      <c r="J527" s="9"/>
    </row>
    <row r="528" spans="1:10" ht="12.75">
      <c r="A528" s="15"/>
      <c r="B528" s="34"/>
      <c r="C528" s="47"/>
      <c r="E528" s="16"/>
      <c r="I528" s="16"/>
      <c r="J528" s="9"/>
    </row>
    <row r="529" spans="1:10" ht="12.75">
      <c r="A529" s="15"/>
      <c r="B529" s="34"/>
      <c r="C529" s="47"/>
      <c r="E529" s="16"/>
      <c r="I529" s="16"/>
      <c r="J529" s="9"/>
    </row>
    <row r="530" spans="1:10" ht="12.75">
      <c r="A530" s="15"/>
      <c r="B530" s="34"/>
      <c r="C530" s="47"/>
      <c r="E530" s="16"/>
      <c r="I530" s="16"/>
      <c r="J530" s="9"/>
    </row>
    <row r="531" spans="1:10" ht="12.75">
      <c r="A531" s="15"/>
      <c r="B531" s="34"/>
      <c r="C531" s="47"/>
      <c r="E531" s="16"/>
      <c r="I531" s="16"/>
      <c r="J531" s="9"/>
    </row>
    <row r="532" spans="1:10" ht="12.75">
      <c r="A532" s="15"/>
      <c r="B532" s="34"/>
      <c r="C532" s="47"/>
      <c r="E532" s="16"/>
      <c r="I532" s="16"/>
      <c r="J532" s="9"/>
    </row>
    <row r="533" spans="1:10" ht="12.75">
      <c r="A533" s="15"/>
      <c r="B533" s="34"/>
      <c r="C533" s="47"/>
      <c r="E533" s="16"/>
      <c r="I533" s="16"/>
      <c r="J533" s="9"/>
    </row>
    <row r="534" spans="1:10" ht="12.75">
      <c r="A534" s="15"/>
      <c r="B534" s="34"/>
      <c r="C534" s="47"/>
      <c r="E534" s="16"/>
      <c r="I534" s="16"/>
      <c r="J534" s="9"/>
    </row>
    <row r="535" spans="1:10" ht="12.75">
      <c r="A535" s="15"/>
      <c r="B535" s="34"/>
      <c r="C535" s="47"/>
      <c r="E535" s="16"/>
      <c r="I535" s="16"/>
      <c r="J535" s="9"/>
    </row>
    <row r="536" spans="1:10" ht="12.75">
      <c r="A536" s="15"/>
      <c r="B536" s="34"/>
      <c r="C536" s="47"/>
      <c r="E536" s="16"/>
      <c r="I536" s="16"/>
      <c r="J536" s="9"/>
    </row>
    <row r="537" spans="1:10" ht="12.75">
      <c r="A537" s="15"/>
      <c r="B537" s="34"/>
      <c r="C537" s="47"/>
      <c r="E537" s="16"/>
      <c r="I537" s="16"/>
      <c r="J537" s="9"/>
    </row>
    <row r="538" spans="1:10" ht="12.75">
      <c r="A538" s="15"/>
      <c r="B538" s="34"/>
      <c r="C538" s="47"/>
      <c r="E538" s="16"/>
      <c r="I538" s="16"/>
      <c r="J538" s="9"/>
    </row>
    <row r="539" spans="1:10" ht="12.75">
      <c r="A539" s="15"/>
      <c r="B539" s="34"/>
      <c r="C539" s="47"/>
      <c r="E539" s="16"/>
      <c r="I539" s="16"/>
      <c r="J539" s="9"/>
    </row>
    <row r="540" spans="1:10" ht="12.75">
      <c r="A540" s="15"/>
      <c r="B540" s="34"/>
      <c r="C540" s="47"/>
      <c r="E540" s="16"/>
      <c r="I540" s="16"/>
      <c r="J540" s="9"/>
    </row>
    <row r="541" spans="1:10" ht="12.75">
      <c r="A541" s="15"/>
      <c r="B541" s="34"/>
      <c r="C541" s="47"/>
      <c r="E541" s="16"/>
      <c r="I541" s="16"/>
      <c r="J541" s="9"/>
    </row>
    <row r="542" spans="1:10" ht="12.75">
      <c r="A542" s="15"/>
      <c r="B542" s="34"/>
      <c r="C542" s="47"/>
      <c r="E542" s="16"/>
      <c r="I542" s="16"/>
      <c r="J542" s="9"/>
    </row>
    <row r="543" spans="1:10" ht="12.75">
      <c r="A543" s="15"/>
      <c r="B543" s="34"/>
      <c r="C543" s="47"/>
      <c r="E543" s="16"/>
      <c r="I543" s="16"/>
      <c r="J543" s="9"/>
    </row>
    <row r="544" spans="1:10" ht="12.75">
      <c r="A544" s="15"/>
      <c r="B544" s="34"/>
      <c r="C544" s="47"/>
      <c r="E544" s="16"/>
      <c r="I544" s="16"/>
      <c r="J544" s="9"/>
    </row>
    <row r="545" spans="1:10" ht="12.75">
      <c r="A545" s="15"/>
      <c r="B545" s="34"/>
      <c r="C545" s="47"/>
      <c r="E545" s="16"/>
      <c r="I545" s="16"/>
      <c r="J545" s="9"/>
    </row>
    <row r="546" spans="1:10" ht="12.75">
      <c r="A546" s="15"/>
      <c r="B546" s="34"/>
      <c r="C546" s="47"/>
      <c r="E546" s="16"/>
      <c r="I546" s="16"/>
      <c r="J546" s="9"/>
    </row>
    <row r="547" spans="1:10" ht="12.75">
      <c r="A547" s="15"/>
      <c r="B547" s="34"/>
      <c r="C547" s="47"/>
      <c r="E547" s="16"/>
      <c r="I547" s="16"/>
      <c r="J547" s="9"/>
    </row>
    <row r="548" spans="1:10" ht="12.75">
      <c r="A548" s="15"/>
      <c r="B548" s="34"/>
      <c r="C548" s="47"/>
      <c r="E548" s="16"/>
      <c r="I548" s="16"/>
      <c r="J548" s="9"/>
    </row>
    <row r="549" spans="1:10" ht="12.75">
      <c r="A549" s="15"/>
      <c r="B549" s="34"/>
      <c r="C549" s="47"/>
      <c r="E549" s="16"/>
      <c r="I549" s="16"/>
      <c r="J549" s="9"/>
    </row>
    <row r="550" spans="1:10" ht="12.75">
      <c r="A550" s="15"/>
      <c r="B550" s="34"/>
      <c r="C550" s="47"/>
      <c r="E550" s="16"/>
      <c r="I550" s="16"/>
      <c r="J550" s="9"/>
    </row>
    <row r="551" spans="1:10" ht="12.75">
      <c r="A551" s="15"/>
      <c r="B551" s="34"/>
      <c r="C551" s="47"/>
      <c r="E551" s="16"/>
      <c r="I551" s="16"/>
      <c r="J551" s="9"/>
    </row>
    <row r="552" spans="1:10" ht="12.75">
      <c r="A552" s="15"/>
      <c r="B552" s="34"/>
      <c r="C552" s="47"/>
      <c r="E552" s="16"/>
      <c r="I552" s="16"/>
      <c r="J552" s="9"/>
    </row>
    <row r="553" spans="1:10" ht="12.75">
      <c r="A553" s="15"/>
      <c r="B553" s="34"/>
      <c r="C553" s="47"/>
      <c r="E553" s="16"/>
      <c r="I553" s="16"/>
      <c r="J553" s="9"/>
    </row>
    <row r="554" spans="1:10" ht="12.75">
      <c r="A554" s="15"/>
      <c r="B554" s="34"/>
      <c r="C554" s="47"/>
      <c r="E554" s="16"/>
      <c r="I554" s="16"/>
      <c r="J554" s="9"/>
    </row>
    <row r="555" spans="1:10" ht="12.75">
      <c r="A555" s="15"/>
      <c r="B555" s="34"/>
      <c r="C555" s="47"/>
      <c r="E555" s="16"/>
      <c r="I555" s="16"/>
      <c r="J555" s="9"/>
    </row>
    <row r="556" spans="1:10" ht="12.75">
      <c r="A556" s="15"/>
      <c r="B556" s="34"/>
      <c r="C556" s="47"/>
      <c r="E556" s="16"/>
      <c r="I556" s="16"/>
      <c r="J556" s="9"/>
    </row>
    <row r="557" spans="1:10" ht="12.75">
      <c r="A557" s="15"/>
      <c r="B557" s="34"/>
      <c r="C557" s="47"/>
      <c r="E557" s="16"/>
      <c r="I557" s="16"/>
      <c r="J557" s="9"/>
    </row>
    <row r="558" spans="1:10" ht="12.75">
      <c r="A558" s="15"/>
      <c r="B558" s="34"/>
      <c r="C558" s="47"/>
      <c r="E558" s="16"/>
      <c r="I558" s="16"/>
      <c r="J558" s="9"/>
    </row>
    <row r="559" spans="1:10" ht="12.75">
      <c r="A559" s="15"/>
      <c r="B559" s="34"/>
      <c r="C559" s="47"/>
      <c r="E559" s="16"/>
      <c r="I559" s="16"/>
      <c r="J559" s="9"/>
    </row>
    <row r="560" spans="1:10" ht="12.75">
      <c r="A560" s="15"/>
      <c r="B560" s="34"/>
      <c r="C560" s="47"/>
      <c r="E560" s="16"/>
      <c r="I560" s="16"/>
      <c r="J560" s="9"/>
    </row>
    <row r="561" spans="1:10" ht="12.75">
      <c r="A561" s="15"/>
      <c r="B561" s="34"/>
      <c r="C561" s="47"/>
      <c r="E561" s="16"/>
      <c r="I561" s="16"/>
      <c r="J561" s="9"/>
    </row>
    <row r="562" spans="1:10" ht="12.75">
      <c r="A562" s="15"/>
      <c r="B562" s="34"/>
      <c r="C562" s="47"/>
      <c r="E562" s="16"/>
      <c r="I562" s="16"/>
      <c r="J562" s="9"/>
    </row>
    <row r="563" spans="1:10" ht="12.75">
      <c r="A563" s="15"/>
      <c r="B563" s="34"/>
      <c r="C563" s="47"/>
      <c r="E563" s="16"/>
      <c r="I563" s="16"/>
      <c r="J563" s="9"/>
    </row>
    <row r="564" spans="1:10" ht="12.75">
      <c r="A564" s="15"/>
      <c r="B564" s="34"/>
      <c r="C564" s="47"/>
      <c r="E564" s="16"/>
      <c r="I564" s="16"/>
      <c r="J564" s="9"/>
    </row>
    <row r="565" spans="1:10" ht="12.75">
      <c r="A565" s="15"/>
      <c r="B565" s="34"/>
      <c r="C565" s="47"/>
      <c r="E565" s="16"/>
      <c r="I565" s="16"/>
      <c r="J565" s="9"/>
    </row>
    <row r="566" spans="1:10" ht="12.75">
      <c r="A566" s="15"/>
      <c r="B566" s="34"/>
      <c r="C566" s="47"/>
      <c r="E566" s="16"/>
      <c r="I566" s="16"/>
      <c r="J566" s="9"/>
    </row>
    <row r="567" spans="1:10" ht="12.75">
      <c r="A567" s="15"/>
      <c r="B567" s="34"/>
      <c r="C567" s="47"/>
      <c r="E567" s="16"/>
      <c r="I567" s="16"/>
      <c r="J567" s="9"/>
    </row>
    <row r="568" spans="1:10" ht="12.75">
      <c r="A568" s="15"/>
      <c r="B568" s="34"/>
      <c r="C568" s="47"/>
      <c r="E568" s="16"/>
      <c r="I568" s="16"/>
      <c r="J568" s="9"/>
    </row>
    <row r="569" spans="1:10" ht="12.75">
      <c r="A569" s="15"/>
      <c r="B569" s="34"/>
      <c r="C569" s="47"/>
      <c r="E569" s="16"/>
      <c r="I569" s="16"/>
      <c r="J569" s="9"/>
    </row>
    <row r="570" spans="1:10" ht="12.75">
      <c r="A570" s="15"/>
      <c r="B570" s="34"/>
      <c r="C570" s="47"/>
      <c r="E570" s="16"/>
      <c r="I570" s="16"/>
      <c r="J570" s="9"/>
    </row>
    <row r="571" spans="1:10" ht="12.75">
      <c r="A571" s="15"/>
      <c r="B571" s="34"/>
      <c r="C571" s="47"/>
      <c r="E571" s="16"/>
      <c r="I571" s="16"/>
      <c r="J571" s="9"/>
    </row>
    <row r="572" spans="1:10" ht="12.75">
      <c r="A572" s="15"/>
      <c r="B572" s="34"/>
      <c r="C572" s="47"/>
      <c r="E572" s="16"/>
      <c r="I572" s="16"/>
      <c r="J572" s="9"/>
    </row>
    <row r="573" spans="1:10" ht="12.75">
      <c r="A573" s="15"/>
      <c r="B573" s="34"/>
      <c r="C573" s="47"/>
      <c r="E573" s="16"/>
      <c r="I573" s="16"/>
      <c r="J573" s="9"/>
    </row>
    <row r="574" spans="1:10" ht="12.75">
      <c r="A574" s="15"/>
      <c r="B574" s="34"/>
      <c r="C574" s="47"/>
      <c r="E574" s="16"/>
      <c r="I574" s="16"/>
      <c r="J574" s="9"/>
    </row>
    <row r="575" spans="1:10" ht="12.75">
      <c r="A575" s="15"/>
      <c r="B575" s="34"/>
      <c r="C575" s="47"/>
      <c r="E575" s="16"/>
      <c r="I575" s="16"/>
      <c r="J575" s="9"/>
    </row>
    <row r="576" spans="1:10" ht="12.75">
      <c r="A576" s="15"/>
      <c r="B576" s="34"/>
      <c r="C576" s="47"/>
      <c r="E576" s="16"/>
      <c r="I576" s="16"/>
      <c r="J576" s="9"/>
    </row>
    <row r="577" spans="1:10" ht="12.75">
      <c r="A577" s="15"/>
      <c r="B577" s="34"/>
      <c r="C577" s="47"/>
      <c r="E577" s="16"/>
      <c r="I577" s="16"/>
      <c r="J577" s="9"/>
    </row>
    <row r="578" spans="1:10" ht="12.75">
      <c r="A578" s="15"/>
      <c r="B578" s="34"/>
      <c r="C578" s="47"/>
      <c r="E578" s="16"/>
      <c r="I578" s="16"/>
      <c r="J578" s="9"/>
    </row>
    <row r="579" spans="1:10" ht="12.75">
      <c r="A579" s="15"/>
      <c r="B579" s="34"/>
      <c r="C579" s="47"/>
      <c r="E579" s="16"/>
      <c r="I579" s="16"/>
      <c r="J579" s="9"/>
    </row>
    <row r="580" spans="1:10" ht="12.75">
      <c r="A580" s="15"/>
      <c r="B580" s="34"/>
      <c r="C580" s="47"/>
      <c r="E580" s="16"/>
      <c r="I580" s="16"/>
      <c r="J580" s="9"/>
    </row>
    <row r="581" spans="1:10" ht="12.75">
      <c r="A581" s="15"/>
      <c r="B581" s="34"/>
      <c r="C581" s="47"/>
      <c r="E581" s="16"/>
      <c r="I581" s="16"/>
      <c r="J581" s="9"/>
    </row>
    <row r="582" spans="1:10" ht="12.75">
      <c r="A582" s="15"/>
      <c r="B582" s="34"/>
      <c r="C582" s="47"/>
      <c r="E582" s="16"/>
      <c r="I582" s="16"/>
      <c r="J582" s="9"/>
    </row>
    <row r="583" spans="1:10" ht="12.75">
      <c r="A583" s="15"/>
      <c r="B583" s="34"/>
      <c r="C583" s="47"/>
      <c r="E583" s="16"/>
      <c r="I583" s="16"/>
      <c r="J583" s="9"/>
    </row>
    <row r="584" spans="1:10" ht="12.75">
      <c r="A584" s="15"/>
      <c r="B584" s="34"/>
      <c r="C584" s="47"/>
      <c r="E584" s="16"/>
      <c r="I584" s="16"/>
      <c r="J584" s="9"/>
    </row>
    <row r="585" spans="1:10" ht="12.75">
      <c r="A585" s="15"/>
      <c r="B585" s="34"/>
      <c r="C585" s="47"/>
      <c r="E585" s="16"/>
      <c r="I585" s="16"/>
      <c r="J585" s="9"/>
    </row>
    <row r="586" spans="1:10" ht="12.75">
      <c r="A586" s="15"/>
      <c r="B586" s="34"/>
      <c r="C586" s="47"/>
      <c r="E586" s="16"/>
      <c r="I586" s="16"/>
      <c r="J586" s="9"/>
    </row>
    <row r="587" spans="1:10" ht="12.75">
      <c r="A587" s="15"/>
      <c r="B587" s="34"/>
      <c r="C587" s="47"/>
      <c r="E587" s="16"/>
      <c r="I587" s="16"/>
      <c r="J587" s="9"/>
    </row>
    <row r="588" spans="1:10" ht="12.75">
      <c r="A588" s="15"/>
      <c r="B588" s="34"/>
      <c r="C588" s="47"/>
      <c r="E588" s="16"/>
      <c r="I588" s="16"/>
      <c r="J588" s="9"/>
    </row>
    <row r="589" spans="1:10" ht="12.75">
      <c r="A589" s="15"/>
      <c r="B589" s="34"/>
      <c r="C589" s="47"/>
      <c r="E589" s="16"/>
      <c r="I589" s="16"/>
      <c r="J589" s="9"/>
    </row>
    <row r="590" spans="1:10" ht="12.75">
      <c r="A590" s="15"/>
      <c r="B590" s="34"/>
      <c r="C590" s="47"/>
      <c r="E590" s="16"/>
      <c r="I590" s="16"/>
      <c r="J590" s="9"/>
    </row>
    <row r="591" spans="1:10" ht="12.75">
      <c r="A591" s="15"/>
      <c r="B591" s="34"/>
      <c r="C591" s="47"/>
      <c r="E591" s="16"/>
      <c r="I591" s="16"/>
      <c r="J591" s="9"/>
    </row>
    <row r="592" spans="1:10" ht="12.75">
      <c r="A592" s="15"/>
      <c r="B592" s="34"/>
      <c r="C592" s="47"/>
      <c r="E592" s="16"/>
      <c r="I592" s="16"/>
      <c r="J592" s="9"/>
    </row>
    <row r="593" spans="1:10" ht="12.75">
      <c r="A593" s="15"/>
      <c r="B593" s="34"/>
      <c r="C593" s="47"/>
      <c r="E593" s="16"/>
      <c r="I593" s="16"/>
      <c r="J593" s="9"/>
    </row>
    <row r="594" spans="1:10" ht="12.75">
      <c r="A594" s="15"/>
      <c r="B594" s="34"/>
      <c r="C594" s="47"/>
      <c r="E594" s="16"/>
      <c r="I594" s="16"/>
      <c r="J594" s="9"/>
    </row>
    <row r="595" spans="1:10" ht="12.75">
      <c r="A595" s="15"/>
      <c r="B595" s="34"/>
      <c r="C595" s="47"/>
      <c r="E595" s="16"/>
      <c r="I595" s="16"/>
      <c r="J595" s="9"/>
    </row>
    <row r="596" spans="1:10" ht="12.75">
      <c r="A596" s="15"/>
      <c r="B596" s="34"/>
      <c r="C596" s="47"/>
      <c r="E596" s="16"/>
      <c r="I596" s="16"/>
      <c r="J596" s="9"/>
    </row>
    <row r="597" spans="1:10" ht="12.75">
      <c r="A597" s="15"/>
      <c r="B597" s="34"/>
      <c r="C597" s="47"/>
      <c r="E597" s="16"/>
      <c r="I597" s="16"/>
      <c r="J597" s="9"/>
    </row>
    <row r="598" spans="1:10" ht="12.75">
      <c r="A598" s="15"/>
      <c r="B598" s="34"/>
      <c r="C598" s="47"/>
      <c r="E598" s="16"/>
      <c r="I598" s="16"/>
      <c r="J598" s="9"/>
    </row>
    <row r="599" spans="1:10" ht="12.75">
      <c r="A599" s="15"/>
      <c r="B599" s="34"/>
      <c r="C599" s="47"/>
      <c r="E599" s="16"/>
      <c r="I599" s="16"/>
      <c r="J599" s="9"/>
    </row>
    <row r="600" spans="1:10" ht="12.75">
      <c r="A600" s="15"/>
      <c r="B600" s="34"/>
      <c r="C600" s="47"/>
      <c r="E600" s="16"/>
      <c r="I600" s="16"/>
      <c r="J600" s="9"/>
    </row>
    <row r="601" spans="1:10" ht="12.75">
      <c r="A601" s="15"/>
      <c r="B601" s="34"/>
      <c r="C601" s="47"/>
      <c r="E601" s="16"/>
      <c r="I601" s="16"/>
      <c r="J601" s="9"/>
    </row>
    <row r="602" spans="1:10" ht="12.75">
      <c r="A602" s="15"/>
      <c r="B602" s="34"/>
      <c r="C602" s="47"/>
      <c r="E602" s="16"/>
      <c r="I602" s="16"/>
      <c r="J602" s="9"/>
    </row>
    <row r="603" spans="1:10" ht="12.75">
      <c r="A603" s="15"/>
      <c r="B603" s="34"/>
      <c r="C603" s="47"/>
      <c r="E603" s="16"/>
      <c r="I603" s="16"/>
      <c r="J603" s="9"/>
    </row>
    <row r="604" spans="1:10" ht="12.75">
      <c r="A604" s="15"/>
      <c r="B604" s="34"/>
      <c r="C604" s="47"/>
      <c r="E604" s="16"/>
      <c r="I604" s="16"/>
      <c r="J604" s="9"/>
    </row>
    <row r="605" spans="1:10" ht="12.75">
      <c r="A605" s="15"/>
      <c r="B605" s="34"/>
      <c r="C605" s="47"/>
      <c r="E605" s="16"/>
      <c r="I605" s="16"/>
      <c r="J605" s="9"/>
    </row>
    <row r="606" spans="1:10" ht="12.75">
      <c r="A606" s="15"/>
      <c r="B606" s="34"/>
      <c r="C606" s="47"/>
      <c r="E606" s="16"/>
      <c r="I606" s="16"/>
      <c r="J606" s="9"/>
    </row>
    <row r="607" spans="1:10" ht="12.75">
      <c r="A607" s="15"/>
      <c r="B607" s="34"/>
      <c r="C607" s="47"/>
      <c r="E607" s="16"/>
      <c r="I607" s="16"/>
      <c r="J607" s="9"/>
    </row>
    <row r="608" spans="1:10" ht="12.75">
      <c r="A608" s="15"/>
      <c r="B608" s="34"/>
      <c r="C608" s="47"/>
      <c r="E608" s="16"/>
      <c r="I608" s="16"/>
      <c r="J608" s="9"/>
    </row>
    <row r="609" spans="1:10" ht="12.75">
      <c r="A609" s="15"/>
      <c r="B609" s="34"/>
      <c r="C609" s="47"/>
      <c r="E609" s="16"/>
      <c r="I609" s="16"/>
      <c r="J609" s="9"/>
    </row>
    <row r="610" spans="1:10" ht="12.75">
      <c r="A610" s="15"/>
      <c r="B610" s="34"/>
      <c r="C610" s="47"/>
      <c r="E610" s="16"/>
      <c r="I610" s="16"/>
      <c r="J610" s="9"/>
    </row>
    <row r="611" spans="1:10" ht="12.75">
      <c r="A611" s="15"/>
      <c r="B611" s="34"/>
      <c r="C611" s="47"/>
      <c r="E611" s="16"/>
      <c r="I611" s="16"/>
      <c r="J611" s="9"/>
    </row>
    <row r="612" spans="1:10" ht="12.75">
      <c r="A612" s="15"/>
      <c r="B612" s="34"/>
      <c r="C612" s="47"/>
      <c r="E612" s="16"/>
      <c r="I612" s="16"/>
      <c r="J612" s="9"/>
    </row>
    <row r="613" spans="1:10" ht="12.75">
      <c r="A613" s="15"/>
      <c r="B613" s="34"/>
      <c r="C613" s="47"/>
      <c r="E613" s="16"/>
      <c r="I613" s="16"/>
      <c r="J613" s="9"/>
    </row>
    <row r="614" spans="1:10" ht="12.75">
      <c r="A614" s="15"/>
      <c r="B614" s="34"/>
      <c r="C614" s="47"/>
      <c r="E614" s="16"/>
      <c r="I614" s="16"/>
      <c r="J614" s="9"/>
    </row>
    <row r="615" spans="1:10" ht="12.75">
      <c r="A615" s="15"/>
      <c r="B615" s="34"/>
      <c r="C615" s="47"/>
      <c r="E615" s="16"/>
      <c r="I615" s="16"/>
      <c r="J615" s="9"/>
    </row>
    <row r="616" spans="1:10" ht="12.75">
      <c r="A616" s="15"/>
      <c r="B616" s="34"/>
      <c r="C616" s="47"/>
      <c r="E616" s="16"/>
      <c r="I616" s="16"/>
      <c r="J616" s="9"/>
    </row>
    <row r="617" spans="1:10" ht="12.75">
      <c r="A617" s="15"/>
      <c r="B617" s="34"/>
      <c r="C617" s="47"/>
      <c r="E617" s="16"/>
      <c r="I617" s="16"/>
      <c r="J617" s="9"/>
    </row>
    <row r="618" spans="1:10" ht="12.75">
      <c r="A618" s="15"/>
      <c r="B618" s="34"/>
      <c r="C618" s="47"/>
      <c r="E618" s="16"/>
      <c r="I618" s="16"/>
      <c r="J618" s="9"/>
    </row>
    <row r="619" spans="1:10" ht="12.75">
      <c r="A619" s="15"/>
      <c r="B619" s="34"/>
      <c r="C619" s="47"/>
      <c r="E619" s="16"/>
      <c r="I619" s="16"/>
      <c r="J619" s="9"/>
    </row>
    <row r="620" spans="1:10" ht="12.75">
      <c r="A620" s="15"/>
      <c r="B620" s="34"/>
      <c r="C620" s="47"/>
      <c r="E620" s="16"/>
      <c r="I620" s="16"/>
      <c r="J620" s="9"/>
    </row>
    <row r="621" spans="1:10" ht="12.75">
      <c r="A621" s="15"/>
      <c r="B621" s="34"/>
      <c r="C621" s="47"/>
      <c r="E621" s="16"/>
      <c r="I621" s="16"/>
      <c r="J621" s="9"/>
    </row>
    <row r="622" spans="1:10" ht="12.75">
      <c r="A622" s="15"/>
      <c r="B622" s="34"/>
      <c r="C622" s="47"/>
      <c r="E622" s="16"/>
      <c r="I622" s="16"/>
      <c r="J622" s="9"/>
    </row>
    <row r="623" spans="1:10" ht="12.75">
      <c r="A623" s="15"/>
      <c r="B623" s="34"/>
      <c r="C623" s="47"/>
      <c r="E623" s="16"/>
      <c r="I623" s="16"/>
      <c r="J623" s="9"/>
    </row>
    <row r="624" spans="1:10" ht="12.75">
      <c r="A624" s="15"/>
      <c r="B624" s="34"/>
      <c r="C624" s="47"/>
      <c r="E624" s="16"/>
      <c r="I624" s="16"/>
      <c r="J624" s="9"/>
    </row>
    <row r="625" spans="1:10" ht="12.75">
      <c r="A625" s="15"/>
      <c r="B625" s="34"/>
      <c r="C625" s="47"/>
      <c r="E625" s="16"/>
      <c r="I625" s="16"/>
      <c r="J625" s="9"/>
    </row>
    <row r="626" spans="1:10" ht="12.75">
      <c r="A626" s="15"/>
      <c r="B626" s="34"/>
      <c r="C626" s="47"/>
      <c r="E626" s="16"/>
      <c r="I626" s="16"/>
      <c r="J626" s="9"/>
    </row>
    <row r="627" spans="1:10" ht="12.75">
      <c r="A627" s="15"/>
      <c r="B627" s="34"/>
      <c r="C627" s="47"/>
      <c r="E627" s="16"/>
      <c r="I627" s="16"/>
      <c r="J627" s="9"/>
    </row>
    <row r="628" spans="1:10" ht="12.75">
      <c r="A628" s="15"/>
      <c r="B628" s="34"/>
      <c r="C628" s="47"/>
      <c r="E628" s="16"/>
      <c r="I628" s="16"/>
      <c r="J628" s="9"/>
    </row>
    <row r="629" spans="1:10" ht="12.75">
      <c r="A629" s="15"/>
      <c r="B629" s="34"/>
      <c r="C629" s="47"/>
      <c r="E629" s="16"/>
      <c r="I629" s="16"/>
      <c r="J629" s="9"/>
    </row>
    <row r="630" spans="1:10" ht="12.75">
      <c r="A630" s="15"/>
      <c r="B630" s="34"/>
      <c r="C630" s="47"/>
      <c r="E630" s="16"/>
      <c r="I630" s="16"/>
      <c r="J630" s="9"/>
    </row>
    <row r="631" spans="1:10" ht="12.75">
      <c r="A631" s="15"/>
      <c r="B631" s="34"/>
      <c r="C631" s="47"/>
      <c r="E631" s="16"/>
      <c r="I631" s="16"/>
      <c r="J631" s="9"/>
    </row>
    <row r="632" spans="1:10" ht="12.75">
      <c r="A632" s="15"/>
      <c r="B632" s="34"/>
      <c r="C632" s="47"/>
      <c r="E632" s="16"/>
      <c r="I632" s="16"/>
      <c r="J632" s="9"/>
    </row>
    <row r="633" spans="1:10" ht="12.75">
      <c r="A633" s="15"/>
      <c r="B633" s="34"/>
      <c r="C633" s="47"/>
      <c r="E633" s="16"/>
      <c r="I633" s="16"/>
      <c r="J633" s="9"/>
    </row>
    <row r="634" spans="1:10" ht="12.75">
      <c r="A634" s="15"/>
      <c r="B634" s="34"/>
      <c r="C634" s="47"/>
      <c r="E634" s="16"/>
      <c r="I634" s="16"/>
      <c r="J634" s="9"/>
    </row>
    <row r="635" spans="1:10" ht="12.75">
      <c r="A635" s="15"/>
      <c r="B635" s="34"/>
      <c r="C635" s="47"/>
      <c r="E635" s="16"/>
      <c r="I635" s="16"/>
      <c r="J635" s="9"/>
    </row>
    <row r="636" spans="1:10" ht="12.75">
      <c r="A636" s="15"/>
      <c r="B636" s="34"/>
      <c r="C636" s="47"/>
      <c r="E636" s="16"/>
      <c r="I636" s="16"/>
      <c r="J636" s="9"/>
    </row>
    <row r="637" spans="1:10" ht="12.75">
      <c r="A637" s="15"/>
      <c r="B637" s="34"/>
      <c r="C637" s="47"/>
      <c r="E637" s="16"/>
      <c r="I637" s="16"/>
      <c r="J637" s="9"/>
    </row>
    <row r="638" spans="1:10" ht="12.75">
      <c r="A638" s="15"/>
      <c r="B638" s="34"/>
      <c r="C638" s="47"/>
      <c r="E638" s="16"/>
      <c r="I638" s="16"/>
      <c r="J638" s="9"/>
    </row>
    <row r="639" spans="1:10" ht="12.75">
      <c r="A639" s="15"/>
      <c r="B639" s="34"/>
      <c r="C639" s="47"/>
      <c r="E639" s="16"/>
      <c r="I639" s="16"/>
      <c r="J639" s="9"/>
    </row>
    <row r="640" spans="1:10" ht="12.75">
      <c r="A640" s="15"/>
      <c r="B640" s="34"/>
      <c r="C640" s="47"/>
      <c r="E640" s="16"/>
      <c r="I640" s="16"/>
      <c r="J640" s="9"/>
    </row>
    <row r="641" spans="1:10" ht="12.75">
      <c r="A641" s="15"/>
      <c r="B641" s="34"/>
      <c r="C641" s="47"/>
      <c r="E641" s="16"/>
      <c r="I641" s="16"/>
      <c r="J641" s="9"/>
    </row>
    <row r="642" spans="1:10" ht="12.75">
      <c r="A642" s="15"/>
      <c r="B642" s="34"/>
      <c r="C642" s="47"/>
      <c r="E642" s="16"/>
      <c r="I642" s="16"/>
      <c r="J642" s="9"/>
    </row>
    <row r="643" spans="1:10" ht="12.75">
      <c r="A643" s="15"/>
      <c r="B643" s="34"/>
      <c r="C643" s="47"/>
      <c r="E643" s="16"/>
      <c r="I643" s="16"/>
      <c r="J643" s="9"/>
    </row>
    <row r="644" spans="1:10" ht="12.75">
      <c r="A644" s="15"/>
      <c r="B644" s="34"/>
      <c r="C644" s="47"/>
      <c r="E644" s="16"/>
      <c r="I644" s="16"/>
      <c r="J644" s="9"/>
    </row>
    <row r="645" spans="1:10" ht="12.75">
      <c r="A645" s="15"/>
      <c r="B645" s="34"/>
      <c r="C645" s="47"/>
      <c r="E645" s="16"/>
      <c r="I645" s="16"/>
      <c r="J645" s="9"/>
    </row>
    <row r="646" spans="1:10" ht="12.75">
      <c r="A646" s="15"/>
      <c r="B646" s="34"/>
      <c r="C646" s="47"/>
      <c r="E646" s="16"/>
      <c r="I646" s="16"/>
      <c r="J646" s="9"/>
    </row>
    <row r="647" spans="1:10" ht="12.75">
      <c r="A647" s="15"/>
      <c r="B647" s="34"/>
      <c r="C647" s="47"/>
      <c r="E647" s="16"/>
      <c r="I647" s="16"/>
      <c r="J647" s="9"/>
    </row>
    <row r="648" spans="1:10" ht="12.75">
      <c r="A648" s="15"/>
      <c r="B648" s="34"/>
      <c r="C648" s="47"/>
      <c r="E648" s="16"/>
      <c r="I648" s="16"/>
      <c r="J648" s="9"/>
    </row>
    <row r="649" spans="1:10" ht="12.75">
      <c r="A649" s="15"/>
      <c r="B649" s="34"/>
      <c r="C649" s="47"/>
      <c r="E649" s="16"/>
      <c r="I649" s="16"/>
      <c r="J649" s="9"/>
    </row>
    <row r="650" spans="1:10" ht="12.75">
      <c r="A650" s="15"/>
      <c r="B650" s="34"/>
      <c r="C650" s="47"/>
      <c r="E650" s="16"/>
      <c r="I650" s="16"/>
      <c r="J650" s="9"/>
    </row>
    <row r="651" spans="1:10" ht="12.75">
      <c r="A651" s="15"/>
      <c r="B651" s="34"/>
      <c r="C651" s="47"/>
      <c r="E651" s="16"/>
      <c r="I651" s="16"/>
      <c r="J651" s="9"/>
    </row>
    <row r="652" spans="1:10" ht="12.75">
      <c r="A652" s="15"/>
      <c r="B652" s="34"/>
      <c r="C652" s="47"/>
      <c r="E652" s="16"/>
      <c r="I652" s="16"/>
      <c r="J652" s="9"/>
    </row>
    <row r="653" spans="1:10" ht="12.75">
      <c r="A653" s="15"/>
      <c r="B653" s="34"/>
      <c r="C653" s="47"/>
      <c r="E653" s="16"/>
      <c r="I653" s="16"/>
      <c r="J653" s="9"/>
    </row>
    <row r="654" spans="1:10" ht="12.75">
      <c r="A654" s="15"/>
      <c r="B654" s="34"/>
      <c r="C654" s="47"/>
      <c r="E654" s="16"/>
      <c r="I654" s="16"/>
      <c r="J654" s="9"/>
    </row>
    <row r="655" spans="1:10" ht="12.75">
      <c r="A655" s="15"/>
      <c r="B655" s="34"/>
      <c r="C655" s="47"/>
      <c r="E655" s="16"/>
      <c r="I655" s="16"/>
      <c r="J655" s="9"/>
    </row>
    <row r="656" spans="1:10" ht="12.75">
      <c r="A656" s="15"/>
      <c r="B656" s="34"/>
      <c r="C656" s="47"/>
      <c r="E656" s="16"/>
      <c r="I656" s="16"/>
      <c r="J656" s="9"/>
    </row>
    <row r="657" spans="1:10" ht="12.75">
      <c r="A657" s="15"/>
      <c r="B657" s="34"/>
      <c r="C657" s="47"/>
      <c r="E657" s="16"/>
      <c r="I657" s="16"/>
      <c r="J657" s="9"/>
    </row>
    <row r="658" spans="1:10" ht="12.75">
      <c r="A658" s="15"/>
      <c r="B658" s="34"/>
      <c r="C658" s="47"/>
      <c r="E658" s="16"/>
      <c r="I658" s="16"/>
      <c r="J658" s="9"/>
    </row>
    <row r="659" spans="1:10" ht="12.75">
      <c r="A659" s="15"/>
      <c r="B659" s="34"/>
      <c r="C659" s="47"/>
      <c r="E659" s="16"/>
      <c r="I659" s="16"/>
      <c r="J659" s="9"/>
    </row>
    <row r="660" spans="1:10" ht="12.75">
      <c r="A660" s="15"/>
      <c r="B660" s="34"/>
      <c r="C660" s="47"/>
      <c r="E660" s="16"/>
      <c r="I660" s="16"/>
      <c r="J660" s="9"/>
    </row>
    <row r="661" spans="1:10" ht="12.75">
      <c r="A661" s="15"/>
      <c r="B661" s="34"/>
      <c r="C661" s="47"/>
      <c r="E661" s="16"/>
      <c r="I661" s="16"/>
      <c r="J661" s="9"/>
    </row>
    <row r="662" spans="1:10" ht="12.75">
      <c r="A662" s="15"/>
      <c r="B662" s="34"/>
      <c r="C662" s="47"/>
      <c r="E662" s="16"/>
      <c r="I662" s="16"/>
      <c r="J662" s="9"/>
    </row>
    <row r="663" spans="1:10" ht="12.75">
      <c r="A663" s="15"/>
      <c r="B663" s="34"/>
      <c r="C663" s="47"/>
      <c r="E663" s="16"/>
      <c r="I663" s="16"/>
      <c r="J663" s="9"/>
    </row>
    <row r="664" spans="1:10" ht="12.75">
      <c r="A664" s="15"/>
      <c r="B664" s="34"/>
      <c r="C664" s="47"/>
      <c r="E664" s="16"/>
      <c r="I664" s="16"/>
      <c r="J664" s="9"/>
    </row>
    <row r="665" spans="1:10" ht="12.75">
      <c r="A665" s="15"/>
      <c r="B665" s="34"/>
      <c r="C665" s="47"/>
      <c r="E665" s="16"/>
      <c r="I665" s="16"/>
      <c r="J665" s="9"/>
    </row>
    <row r="666" spans="1:10" ht="12.75">
      <c r="A666" s="15"/>
      <c r="B666" s="34"/>
      <c r="C666" s="47"/>
      <c r="E666" s="16"/>
      <c r="I666" s="16"/>
      <c r="J666" s="9"/>
    </row>
    <row r="667" spans="1:10" ht="12.75">
      <c r="A667" s="15"/>
      <c r="B667" s="34"/>
      <c r="C667" s="47"/>
      <c r="E667" s="16"/>
      <c r="I667" s="16"/>
      <c r="J667" s="9"/>
    </row>
    <row r="668" spans="1:10" ht="12.75">
      <c r="A668" s="15"/>
      <c r="B668" s="34"/>
      <c r="C668" s="47"/>
      <c r="E668" s="16"/>
      <c r="I668" s="16"/>
      <c r="J668" s="9"/>
    </row>
    <row r="669" spans="1:10" ht="12.75">
      <c r="A669" s="15"/>
      <c r="B669" s="34"/>
      <c r="C669" s="47"/>
      <c r="E669" s="16"/>
      <c r="I669" s="16"/>
      <c r="J669" s="9"/>
    </row>
    <row r="670" spans="1:10" ht="12.75">
      <c r="A670" s="15"/>
      <c r="B670" s="34"/>
      <c r="C670" s="47"/>
      <c r="E670" s="16"/>
      <c r="I670" s="16"/>
      <c r="J670" s="9"/>
    </row>
    <row r="671" spans="1:10" ht="12.75">
      <c r="A671" s="15"/>
      <c r="B671" s="34"/>
      <c r="C671" s="47"/>
      <c r="E671" s="16"/>
      <c r="I671" s="16"/>
      <c r="J671" s="9"/>
    </row>
    <row r="672" spans="1:10" ht="12.75">
      <c r="A672" s="15"/>
      <c r="B672" s="34"/>
      <c r="C672" s="47"/>
      <c r="E672" s="16"/>
      <c r="I672" s="16"/>
      <c r="J672" s="9"/>
    </row>
    <row r="673" spans="1:10" ht="12.75">
      <c r="A673" s="15"/>
      <c r="B673" s="34"/>
      <c r="C673" s="47"/>
      <c r="E673" s="16"/>
      <c r="I673" s="16"/>
      <c r="J673" s="9"/>
    </row>
    <row r="674" spans="1:10" ht="12.75">
      <c r="A674" s="15"/>
      <c r="B674" s="34"/>
      <c r="C674" s="47"/>
      <c r="E674" s="16"/>
      <c r="I674" s="16"/>
      <c r="J674" s="9"/>
    </row>
    <row r="675" spans="1:10" ht="12.75">
      <c r="A675" s="15"/>
      <c r="B675" s="34"/>
      <c r="C675" s="47"/>
      <c r="E675" s="16"/>
      <c r="I675" s="16"/>
      <c r="J675" s="9"/>
    </row>
    <row r="676" spans="1:10" ht="12.75">
      <c r="A676" s="15"/>
      <c r="B676" s="34"/>
      <c r="C676" s="47"/>
      <c r="E676" s="16"/>
      <c r="I676" s="16"/>
      <c r="J676" s="9"/>
    </row>
    <row r="677" spans="1:10" ht="12.75">
      <c r="A677" s="15"/>
      <c r="B677" s="34"/>
      <c r="C677" s="47"/>
      <c r="E677" s="16"/>
      <c r="I677" s="16"/>
      <c r="J677" s="9"/>
    </row>
    <row r="678" spans="1:10" ht="12.75">
      <c r="A678" s="15"/>
      <c r="B678" s="34"/>
      <c r="C678" s="47"/>
      <c r="E678" s="16"/>
      <c r="I678" s="16"/>
      <c r="J678" s="9"/>
    </row>
    <row r="679" spans="1:10" ht="12.75">
      <c r="A679" s="15"/>
      <c r="B679" s="34"/>
      <c r="C679" s="47"/>
      <c r="E679" s="16"/>
      <c r="I679" s="16"/>
      <c r="J679" s="9"/>
    </row>
    <row r="680" spans="1:10" ht="12.75">
      <c r="A680" s="15"/>
      <c r="B680" s="34"/>
      <c r="C680" s="47"/>
      <c r="E680" s="16"/>
      <c r="I680" s="16"/>
      <c r="J680" s="9"/>
    </row>
    <row r="681" spans="1:10" ht="12.75">
      <c r="A681" s="15"/>
      <c r="B681" s="34"/>
      <c r="C681" s="47"/>
      <c r="E681" s="16"/>
      <c r="I681" s="16"/>
      <c r="J681" s="9"/>
    </row>
    <row r="682" spans="1:10" ht="12.75">
      <c r="A682" s="15"/>
      <c r="B682" s="34"/>
      <c r="C682" s="47"/>
      <c r="E682" s="16"/>
      <c r="I682" s="16"/>
      <c r="J682" s="9"/>
    </row>
    <row r="683" spans="1:10" ht="12.75">
      <c r="A683" s="15"/>
      <c r="B683" s="34"/>
      <c r="C683" s="47"/>
      <c r="E683" s="16"/>
      <c r="I683" s="16"/>
      <c r="J683" s="9"/>
    </row>
    <row r="684" spans="1:10" ht="12.75">
      <c r="A684" s="15"/>
      <c r="B684" s="34"/>
      <c r="C684" s="47"/>
      <c r="E684" s="16"/>
      <c r="I684" s="16"/>
      <c r="J684" s="9"/>
    </row>
    <row r="685" spans="1:10" ht="12.75">
      <c r="A685" s="15"/>
      <c r="B685" s="34"/>
      <c r="C685" s="47"/>
      <c r="E685" s="16"/>
      <c r="I685" s="16"/>
      <c r="J685" s="9"/>
    </row>
    <row r="686" spans="1:10" ht="12.75">
      <c r="A686" s="15"/>
      <c r="B686" s="34"/>
      <c r="C686" s="47"/>
      <c r="E686" s="16"/>
      <c r="I686" s="16"/>
      <c r="J686" s="9"/>
    </row>
    <row r="687" spans="1:10" ht="12.75">
      <c r="A687" s="15"/>
      <c r="B687" s="34"/>
      <c r="C687" s="47"/>
      <c r="E687" s="16"/>
      <c r="I687" s="16"/>
      <c r="J687" s="9"/>
    </row>
    <row r="688" spans="1:10" ht="12.75">
      <c r="A688" s="15"/>
      <c r="B688" s="34"/>
      <c r="C688" s="47"/>
      <c r="E688" s="16"/>
      <c r="I688" s="16"/>
      <c r="J688" s="9"/>
    </row>
    <row r="689" spans="1:10" ht="12.75">
      <c r="A689" s="15"/>
      <c r="B689" s="34"/>
      <c r="C689" s="47"/>
      <c r="E689" s="16"/>
      <c r="I689" s="16"/>
      <c r="J689" s="9"/>
    </row>
    <row r="690" spans="1:10" ht="12.75">
      <c r="A690" s="15"/>
      <c r="B690" s="34"/>
      <c r="C690" s="47"/>
      <c r="E690" s="16"/>
      <c r="I690" s="16"/>
      <c r="J690" s="9"/>
    </row>
    <row r="691" spans="1:10" ht="12.75">
      <c r="A691" s="15"/>
      <c r="B691" s="34"/>
      <c r="C691" s="47"/>
      <c r="E691" s="16"/>
      <c r="I691" s="16"/>
      <c r="J691" s="9"/>
    </row>
    <row r="692" spans="1:10" ht="12.75">
      <c r="A692" s="15"/>
      <c r="B692" s="34"/>
      <c r="C692" s="47"/>
      <c r="E692" s="16"/>
      <c r="I692" s="16"/>
      <c r="J692" s="9"/>
    </row>
    <row r="693" spans="1:10" ht="12.75">
      <c r="A693" s="15"/>
      <c r="B693" s="34"/>
      <c r="C693" s="47"/>
      <c r="E693" s="16"/>
      <c r="I693" s="16"/>
      <c r="J693" s="9"/>
    </row>
    <row r="694" spans="1:10" ht="12.75">
      <c r="A694" s="15"/>
      <c r="B694" s="34"/>
      <c r="C694" s="47"/>
      <c r="E694" s="16"/>
      <c r="I694" s="16"/>
      <c r="J694" s="9"/>
    </row>
    <row r="695" spans="1:10" ht="12.75">
      <c r="A695" s="15"/>
      <c r="B695" s="34"/>
      <c r="C695" s="47"/>
      <c r="E695" s="16"/>
      <c r="I695" s="16"/>
      <c r="J695" s="9"/>
    </row>
    <row r="696" spans="1:10" ht="12.75">
      <c r="A696" s="15"/>
      <c r="B696" s="34"/>
      <c r="C696" s="47"/>
      <c r="E696" s="16"/>
      <c r="I696" s="16"/>
      <c r="J696" s="9"/>
    </row>
    <row r="697" spans="1:10" ht="12.75">
      <c r="A697" s="15"/>
      <c r="B697" s="34"/>
      <c r="C697" s="47"/>
      <c r="E697" s="16"/>
      <c r="I697" s="16"/>
      <c r="J697" s="9"/>
    </row>
    <row r="698" spans="1:10" ht="12.75">
      <c r="A698" s="15"/>
      <c r="B698" s="34"/>
      <c r="C698" s="47"/>
      <c r="E698" s="16"/>
      <c r="I698" s="16"/>
      <c r="J698" s="9"/>
    </row>
    <row r="699" spans="1:10" ht="12.75">
      <c r="A699" s="15"/>
      <c r="B699" s="34"/>
      <c r="C699" s="47"/>
      <c r="E699" s="16"/>
      <c r="I699" s="16"/>
      <c r="J699" s="9"/>
    </row>
    <row r="700" spans="1:10" ht="12.75">
      <c r="A700" s="15"/>
      <c r="B700" s="34"/>
      <c r="C700" s="47"/>
      <c r="E700" s="16"/>
      <c r="I700" s="16"/>
      <c r="J700" s="9"/>
    </row>
    <row r="701" spans="1:10" ht="12.75">
      <c r="A701" s="15"/>
      <c r="B701" s="34"/>
      <c r="C701" s="47"/>
      <c r="E701" s="16"/>
      <c r="I701" s="16"/>
      <c r="J701" s="9"/>
    </row>
    <row r="702" spans="1:10" ht="12.75">
      <c r="A702" s="15"/>
      <c r="B702" s="34"/>
      <c r="C702" s="47"/>
      <c r="E702" s="16"/>
      <c r="I702" s="16"/>
      <c r="J702" s="9"/>
    </row>
    <row r="703" spans="1:10" ht="12.75">
      <c r="A703" s="15"/>
      <c r="B703" s="34"/>
      <c r="C703" s="47"/>
      <c r="E703" s="16"/>
      <c r="I703" s="16"/>
      <c r="J703" s="9"/>
    </row>
    <row r="704" spans="1:10" ht="12.75">
      <c r="A704" s="15"/>
      <c r="B704" s="34"/>
      <c r="C704" s="47"/>
      <c r="E704" s="16"/>
      <c r="I704" s="16"/>
      <c r="J704" s="9"/>
    </row>
    <row r="705" spans="1:10" ht="12.75">
      <c r="A705" s="15"/>
      <c r="B705" s="34"/>
      <c r="C705" s="47"/>
      <c r="E705" s="16"/>
      <c r="I705" s="16"/>
      <c r="J705" s="9"/>
    </row>
    <row r="706" spans="1:10" ht="12.75">
      <c r="A706" s="15"/>
      <c r="B706" s="34"/>
      <c r="C706" s="47"/>
      <c r="E706" s="16"/>
      <c r="I706" s="16"/>
      <c r="J706" s="9"/>
    </row>
    <row r="707" spans="1:10" ht="12.75">
      <c r="A707" s="15"/>
      <c r="B707" s="34"/>
      <c r="C707" s="47"/>
      <c r="E707" s="16"/>
      <c r="I707" s="16"/>
      <c r="J707" s="9"/>
    </row>
    <row r="708" spans="1:10" ht="12.75">
      <c r="A708" s="15"/>
      <c r="B708" s="34"/>
      <c r="C708" s="47"/>
      <c r="E708" s="16"/>
      <c r="I708" s="16"/>
      <c r="J708" s="9"/>
    </row>
    <row r="709" spans="1:10" ht="12.75">
      <c r="A709" s="15"/>
      <c r="B709" s="34"/>
      <c r="C709" s="47"/>
      <c r="E709" s="16"/>
      <c r="I709" s="16"/>
      <c r="J709" s="9"/>
    </row>
    <row r="710" spans="1:10" ht="12.75">
      <c r="A710" s="15"/>
      <c r="B710" s="34"/>
      <c r="C710" s="47"/>
      <c r="E710" s="16"/>
      <c r="I710" s="16"/>
      <c r="J710" s="9"/>
    </row>
    <row r="711" spans="1:10" ht="12.75">
      <c r="A711" s="15"/>
      <c r="B711" s="34"/>
      <c r="C711" s="47"/>
      <c r="E711" s="16"/>
      <c r="I711" s="16"/>
      <c r="J711" s="9"/>
    </row>
    <row r="712" spans="1:10" ht="12.75">
      <c r="A712" s="15"/>
      <c r="B712" s="34"/>
      <c r="C712" s="47"/>
      <c r="E712" s="16"/>
      <c r="I712" s="16"/>
      <c r="J712" s="9"/>
    </row>
    <row r="713" spans="1:10" ht="12.75">
      <c r="A713" s="15"/>
      <c r="B713" s="34"/>
      <c r="C713" s="47"/>
      <c r="E713" s="16"/>
      <c r="I713" s="16"/>
      <c r="J713" s="9"/>
    </row>
    <row r="714" spans="1:10" ht="12.75">
      <c r="A714" s="15"/>
      <c r="B714" s="34"/>
      <c r="C714" s="47"/>
      <c r="E714" s="16"/>
      <c r="I714" s="16"/>
      <c r="J714" s="9"/>
    </row>
    <row r="715" spans="1:10" ht="12.75">
      <c r="A715" s="15"/>
      <c r="B715" s="34"/>
      <c r="C715" s="47"/>
      <c r="E715" s="16"/>
      <c r="I715" s="16"/>
      <c r="J715" s="9"/>
    </row>
    <row r="716" spans="1:10" ht="12.75">
      <c r="A716" s="15"/>
      <c r="B716" s="34"/>
      <c r="C716" s="47"/>
      <c r="E716" s="16"/>
      <c r="I716" s="16"/>
      <c r="J716" s="9"/>
    </row>
    <row r="717" spans="1:10" ht="12.75">
      <c r="A717" s="15"/>
      <c r="B717" s="34"/>
      <c r="C717" s="47"/>
      <c r="E717" s="16"/>
      <c r="I717" s="16"/>
      <c r="J717" s="9"/>
    </row>
    <row r="718" spans="1:10" ht="12.75">
      <c r="A718" s="15"/>
      <c r="B718" s="34"/>
      <c r="C718" s="47"/>
      <c r="E718" s="16"/>
      <c r="I718" s="16"/>
      <c r="J718" s="9"/>
    </row>
    <row r="719" spans="1:10" ht="12.75">
      <c r="A719" s="15"/>
      <c r="B719" s="34"/>
      <c r="C719" s="47"/>
      <c r="E719" s="16"/>
      <c r="I719" s="16"/>
      <c r="J719" s="9"/>
    </row>
    <row r="720" spans="1:10" ht="12.75">
      <c r="A720" s="15"/>
      <c r="B720" s="34"/>
      <c r="C720" s="47"/>
      <c r="E720" s="16"/>
      <c r="I720" s="16"/>
      <c r="J720" s="9"/>
    </row>
    <row r="721" spans="1:10" ht="12.75">
      <c r="A721" s="15"/>
      <c r="B721" s="34"/>
      <c r="C721" s="47"/>
      <c r="E721" s="16"/>
      <c r="I721" s="16"/>
      <c r="J721" s="9"/>
    </row>
    <row r="722" spans="1:10" ht="12.75">
      <c r="A722" s="15"/>
      <c r="B722" s="34"/>
      <c r="C722" s="47"/>
      <c r="E722" s="16"/>
      <c r="I722" s="16"/>
      <c r="J722" s="9"/>
    </row>
    <row r="723" spans="1:10" ht="12.75">
      <c r="A723" s="15"/>
      <c r="B723" s="34"/>
      <c r="C723" s="47"/>
      <c r="E723" s="16"/>
      <c r="I723" s="16"/>
      <c r="J723" s="9"/>
    </row>
    <row r="724" spans="1:10" ht="12.75">
      <c r="A724" s="15"/>
      <c r="B724" s="34"/>
      <c r="C724" s="47"/>
      <c r="E724" s="16"/>
      <c r="I724" s="16"/>
      <c r="J724" s="9"/>
    </row>
    <row r="725" spans="1:10" ht="12.75">
      <c r="A725" s="15"/>
      <c r="B725" s="34"/>
      <c r="C725" s="47"/>
      <c r="E725" s="16"/>
      <c r="I725" s="16"/>
      <c r="J725" s="9"/>
    </row>
    <row r="726" spans="1:10" ht="12.75">
      <c r="A726" s="15"/>
      <c r="B726" s="34"/>
      <c r="C726" s="47"/>
      <c r="E726" s="16"/>
      <c r="I726" s="16"/>
      <c r="J726" s="9"/>
    </row>
    <row r="727" spans="1:10" ht="12.75">
      <c r="A727" s="15"/>
      <c r="B727" s="34"/>
      <c r="C727" s="47"/>
      <c r="E727" s="16"/>
      <c r="I727" s="16"/>
      <c r="J727" s="9"/>
    </row>
    <row r="728" spans="1:10" ht="12.75">
      <c r="A728" s="15"/>
      <c r="B728" s="34"/>
      <c r="C728" s="47"/>
      <c r="E728" s="16"/>
      <c r="I728" s="16"/>
      <c r="J728" s="9"/>
    </row>
    <row r="729" spans="1:10" ht="12.75">
      <c r="A729" s="15"/>
      <c r="B729" s="34"/>
      <c r="C729" s="47"/>
      <c r="E729" s="16"/>
      <c r="I729" s="16"/>
      <c r="J729" s="9"/>
    </row>
    <row r="730" spans="1:10" ht="12.75">
      <c r="A730" s="15"/>
      <c r="B730" s="34"/>
      <c r="C730" s="47"/>
      <c r="E730" s="16"/>
      <c r="I730" s="16"/>
      <c r="J730" s="9"/>
    </row>
    <row r="731" spans="1:10" ht="12.75">
      <c r="A731" s="15"/>
      <c r="B731" s="34"/>
      <c r="C731" s="47"/>
      <c r="E731" s="16"/>
      <c r="I731" s="16"/>
      <c r="J731" s="9"/>
    </row>
    <row r="732" spans="1:10" ht="12.75">
      <c r="A732" s="15"/>
      <c r="B732" s="34"/>
      <c r="C732" s="47"/>
      <c r="E732" s="16"/>
      <c r="I732" s="16"/>
      <c r="J732" s="9"/>
    </row>
    <row r="733" spans="1:10" ht="12.75">
      <c r="A733" s="15"/>
      <c r="B733" s="34"/>
      <c r="C733" s="47"/>
      <c r="E733" s="16"/>
      <c r="I733" s="16"/>
      <c r="J733" s="9"/>
    </row>
    <row r="734" spans="1:10" ht="12.75">
      <c r="A734" s="15"/>
      <c r="B734" s="34"/>
      <c r="C734" s="47"/>
      <c r="E734" s="16"/>
      <c r="I734" s="16"/>
      <c r="J734" s="9"/>
    </row>
    <row r="735" spans="1:10" ht="12.75">
      <c r="A735" s="15"/>
      <c r="B735" s="34"/>
      <c r="C735" s="47"/>
      <c r="E735" s="16"/>
      <c r="I735" s="16"/>
      <c r="J735" s="9"/>
    </row>
    <row r="736" spans="1:10" ht="12.75">
      <c r="A736" s="15"/>
      <c r="B736" s="34"/>
      <c r="C736" s="47"/>
      <c r="E736" s="16"/>
      <c r="I736" s="16"/>
      <c r="J736" s="9"/>
    </row>
    <row r="737" spans="1:10" ht="12.75">
      <c r="A737" s="15"/>
      <c r="B737" s="34"/>
      <c r="C737" s="47"/>
      <c r="E737" s="16"/>
      <c r="I737" s="16"/>
      <c r="J737" s="9"/>
    </row>
    <row r="738" spans="1:10" ht="12.75">
      <c r="A738" s="15"/>
      <c r="B738" s="34"/>
      <c r="C738" s="47"/>
      <c r="E738" s="16"/>
      <c r="I738" s="16"/>
      <c r="J738" s="9"/>
    </row>
    <row r="739" spans="1:10" ht="12.75">
      <c r="A739" s="15"/>
      <c r="B739" s="34"/>
      <c r="C739" s="47"/>
      <c r="E739" s="16"/>
      <c r="I739" s="16"/>
      <c r="J739" s="9"/>
    </row>
    <row r="740" spans="1:10" ht="12.75">
      <c r="A740" s="15"/>
      <c r="B740" s="34"/>
      <c r="C740" s="47"/>
      <c r="E740" s="16"/>
      <c r="I740" s="16"/>
      <c r="J740" s="9"/>
    </row>
    <row r="741" spans="1:10" ht="12.75">
      <c r="A741" s="15"/>
      <c r="B741" s="34"/>
      <c r="C741" s="47"/>
      <c r="E741" s="16"/>
      <c r="I741" s="16"/>
      <c r="J741" s="9"/>
    </row>
    <row r="742" spans="1:10" ht="12.75">
      <c r="A742" s="15"/>
      <c r="B742" s="34"/>
      <c r="C742" s="47"/>
      <c r="E742" s="16"/>
      <c r="I742" s="16"/>
      <c r="J742" s="9"/>
    </row>
    <row r="743" spans="1:10" ht="12.75">
      <c r="A743" s="15"/>
      <c r="B743" s="34"/>
      <c r="C743" s="47"/>
      <c r="E743" s="16"/>
      <c r="I743" s="16"/>
      <c r="J743" s="9"/>
    </row>
    <row r="744" spans="1:10" ht="12.75">
      <c r="A744" s="15"/>
      <c r="B744" s="34"/>
      <c r="C744" s="47"/>
      <c r="E744" s="16"/>
      <c r="I744" s="16"/>
      <c r="J744" s="9"/>
    </row>
    <row r="745" spans="1:10" ht="12.75">
      <c r="A745" s="15"/>
      <c r="B745" s="34"/>
      <c r="C745" s="47"/>
      <c r="E745" s="16"/>
      <c r="I745" s="16"/>
      <c r="J745" s="9"/>
    </row>
    <row r="746" spans="1:10" ht="12.75">
      <c r="A746" s="15"/>
      <c r="B746" s="34"/>
      <c r="C746" s="47"/>
      <c r="E746" s="16"/>
      <c r="I746" s="16"/>
      <c r="J746" s="9"/>
    </row>
    <row r="747" spans="1:10" ht="12.75">
      <c r="A747" s="15"/>
      <c r="B747" s="34"/>
      <c r="C747" s="47"/>
      <c r="E747" s="16"/>
      <c r="I747" s="16"/>
      <c r="J747" s="9"/>
    </row>
    <row r="748" spans="1:10" ht="12.75">
      <c r="A748" s="15"/>
      <c r="B748" s="34"/>
      <c r="C748" s="47"/>
      <c r="E748" s="16"/>
      <c r="I748" s="16"/>
      <c r="J748" s="9"/>
    </row>
    <row r="749" spans="1:10" ht="12.75">
      <c r="A749" s="15"/>
      <c r="B749" s="34"/>
      <c r="C749" s="47"/>
      <c r="E749" s="16"/>
      <c r="I749" s="16"/>
      <c r="J749" s="9"/>
    </row>
    <row r="750" spans="1:10" ht="12.75">
      <c r="A750" s="15"/>
      <c r="B750" s="34"/>
      <c r="C750" s="47"/>
      <c r="E750" s="16"/>
      <c r="I750" s="16"/>
      <c r="J750" s="9"/>
    </row>
    <row r="751" spans="1:10" ht="12.75">
      <c r="A751" s="15"/>
      <c r="B751" s="34"/>
      <c r="C751" s="47"/>
      <c r="E751" s="16"/>
      <c r="I751" s="16"/>
      <c r="J751" s="9"/>
    </row>
    <row r="752" spans="1:10" ht="12.75">
      <c r="A752" s="15"/>
      <c r="B752" s="34"/>
      <c r="C752" s="47"/>
      <c r="E752" s="16"/>
      <c r="I752" s="16"/>
      <c r="J752" s="9"/>
    </row>
    <row r="753" spans="1:10" ht="12.75">
      <c r="A753" s="15"/>
      <c r="B753" s="34"/>
      <c r="C753" s="47"/>
      <c r="E753" s="16"/>
      <c r="I753" s="16"/>
      <c r="J753" s="9"/>
    </row>
    <row r="754" spans="1:10" ht="12.75">
      <c r="A754" s="15"/>
      <c r="B754" s="34"/>
      <c r="C754" s="47"/>
      <c r="E754" s="16"/>
      <c r="I754" s="16"/>
      <c r="J754" s="9"/>
    </row>
    <row r="755" spans="1:10" ht="12.75">
      <c r="A755" s="15"/>
      <c r="B755" s="34"/>
      <c r="C755" s="47"/>
      <c r="E755" s="16"/>
      <c r="I755" s="16"/>
      <c r="J755" s="9"/>
    </row>
    <row r="756" spans="1:10" ht="12.75">
      <c r="A756" s="15"/>
      <c r="B756" s="34"/>
      <c r="C756" s="47"/>
      <c r="E756" s="16"/>
      <c r="I756" s="16"/>
      <c r="J756" s="9"/>
    </row>
    <row r="757" spans="1:10" ht="12.75">
      <c r="A757" s="15"/>
      <c r="B757" s="34"/>
      <c r="C757" s="47"/>
      <c r="E757" s="16"/>
      <c r="I757" s="16"/>
      <c r="J757" s="9"/>
    </row>
    <row r="758" spans="1:10" ht="12.75">
      <c r="A758" s="15"/>
      <c r="B758" s="34"/>
      <c r="C758" s="47"/>
      <c r="E758" s="16"/>
      <c r="I758" s="16"/>
      <c r="J758" s="9"/>
    </row>
    <row r="759" spans="1:10" ht="12.75">
      <c r="A759" s="15"/>
      <c r="B759" s="34"/>
      <c r="C759" s="47"/>
      <c r="E759" s="16"/>
      <c r="I759" s="16"/>
      <c r="J759" s="9"/>
    </row>
    <row r="760" spans="1:10" ht="12.75">
      <c r="A760" s="15"/>
      <c r="B760" s="34"/>
      <c r="C760" s="47"/>
      <c r="E760" s="16"/>
      <c r="I760" s="16"/>
      <c r="J760" s="9"/>
    </row>
    <row r="761" spans="1:10" ht="12.75">
      <c r="A761" s="15"/>
      <c r="B761" s="34"/>
      <c r="C761" s="47"/>
      <c r="E761" s="16"/>
      <c r="I761" s="16"/>
      <c r="J761" s="9"/>
    </row>
    <row r="762" spans="1:10" ht="12.75">
      <c r="A762" s="15"/>
      <c r="B762" s="34"/>
      <c r="C762" s="47"/>
      <c r="E762" s="16"/>
      <c r="I762" s="16"/>
      <c r="J762" s="9"/>
    </row>
    <row r="763" spans="1:10" ht="12.75">
      <c r="A763" s="15"/>
      <c r="B763" s="34"/>
      <c r="C763" s="47"/>
      <c r="E763" s="16"/>
      <c r="I763" s="16"/>
      <c r="J763" s="9"/>
    </row>
    <row r="764" spans="1:10" ht="12.75">
      <c r="A764" s="15"/>
      <c r="B764" s="34"/>
      <c r="C764" s="47"/>
      <c r="E764" s="16"/>
      <c r="I764" s="16"/>
      <c r="J764" s="9"/>
    </row>
    <row r="765" spans="1:10" ht="12.75">
      <c r="A765" s="15"/>
      <c r="B765" s="34"/>
      <c r="C765" s="47"/>
      <c r="E765" s="16"/>
      <c r="I765" s="16"/>
      <c r="J765" s="9"/>
    </row>
    <row r="766" spans="1:10" ht="12.75">
      <c r="A766" s="15"/>
      <c r="B766" s="34"/>
      <c r="C766" s="47"/>
      <c r="E766" s="16"/>
      <c r="I766" s="16"/>
      <c r="J766" s="9"/>
    </row>
    <row r="767" spans="1:10" ht="12.75">
      <c r="A767" s="15"/>
      <c r="B767" s="34"/>
      <c r="C767" s="47"/>
      <c r="E767" s="16"/>
      <c r="I767" s="16"/>
      <c r="J767" s="9"/>
    </row>
    <row r="768" spans="1:10" ht="12.75">
      <c r="A768" s="15"/>
      <c r="B768" s="34"/>
      <c r="C768" s="47"/>
      <c r="E768" s="16"/>
      <c r="I768" s="16"/>
      <c r="J768" s="9"/>
    </row>
    <row r="769" spans="1:10" ht="12.75">
      <c r="A769" s="15"/>
      <c r="B769" s="34"/>
      <c r="C769" s="47"/>
      <c r="E769" s="16"/>
      <c r="I769" s="16"/>
      <c r="J769" s="9"/>
    </row>
    <row r="770" spans="1:10" ht="12.75">
      <c r="A770" s="15"/>
      <c r="B770" s="34"/>
      <c r="C770" s="47"/>
      <c r="E770" s="16"/>
      <c r="I770" s="16"/>
      <c r="J770" s="9"/>
    </row>
    <row r="771" spans="1:10" ht="12.75">
      <c r="A771" s="15"/>
      <c r="B771" s="34"/>
      <c r="C771" s="47"/>
      <c r="E771" s="16"/>
      <c r="I771" s="16"/>
      <c r="J771" s="9"/>
    </row>
    <row r="772" spans="1:10" ht="12.75">
      <c r="A772" s="15"/>
      <c r="B772" s="34"/>
      <c r="C772" s="47"/>
      <c r="E772" s="16"/>
      <c r="I772" s="16"/>
      <c r="J772" s="9"/>
    </row>
    <row r="773" spans="1:10" ht="12.75">
      <c r="A773" s="15"/>
      <c r="B773" s="34"/>
      <c r="C773" s="47"/>
      <c r="E773" s="16"/>
      <c r="I773" s="16"/>
      <c r="J773" s="9"/>
    </row>
    <row r="774" spans="1:10" ht="12.75">
      <c r="A774" s="15"/>
      <c r="B774" s="34"/>
      <c r="C774" s="47"/>
      <c r="E774" s="16"/>
      <c r="I774" s="16"/>
      <c r="J774" s="9"/>
    </row>
    <row r="775" spans="1:10" ht="12.75">
      <c r="A775" s="15"/>
      <c r="B775" s="34"/>
      <c r="C775" s="47"/>
      <c r="E775" s="16"/>
      <c r="I775" s="16"/>
      <c r="J775" s="9"/>
    </row>
    <row r="776" spans="1:10" ht="12.75">
      <c r="A776" s="15"/>
      <c r="B776" s="34"/>
      <c r="C776" s="47"/>
      <c r="E776" s="16"/>
      <c r="I776" s="16"/>
      <c r="J776" s="9"/>
    </row>
    <row r="777" spans="1:10" ht="12.75">
      <c r="A777" s="15"/>
      <c r="B777" s="34"/>
      <c r="C777" s="47"/>
      <c r="E777" s="16"/>
      <c r="I777" s="16"/>
      <c r="J777" s="9"/>
    </row>
    <row r="778" spans="1:10" ht="12.75">
      <c r="A778" s="15"/>
      <c r="B778" s="34"/>
      <c r="C778" s="47"/>
      <c r="E778" s="16"/>
      <c r="I778" s="16"/>
      <c r="J778" s="9"/>
    </row>
    <row r="779" spans="1:10" ht="12.75">
      <c r="A779" s="15"/>
      <c r="B779" s="34"/>
      <c r="C779" s="47"/>
      <c r="E779" s="16"/>
      <c r="I779" s="16"/>
      <c r="J779" s="9"/>
    </row>
    <row r="780" spans="1:10" ht="12.75">
      <c r="A780" s="15"/>
      <c r="B780" s="34"/>
      <c r="C780" s="47"/>
      <c r="E780" s="16"/>
      <c r="I780" s="16"/>
      <c r="J780" s="9"/>
    </row>
    <row r="781" spans="1:10" ht="12.75">
      <c r="A781" s="15"/>
      <c r="B781" s="34"/>
      <c r="C781" s="47"/>
      <c r="E781" s="16"/>
      <c r="I781" s="16"/>
      <c r="J781" s="9"/>
    </row>
    <row r="782" spans="1:10" ht="12.75">
      <c r="A782" s="15"/>
      <c r="B782" s="34"/>
      <c r="C782" s="47"/>
      <c r="E782" s="16"/>
      <c r="I782" s="16"/>
      <c r="J782" s="9"/>
    </row>
    <row r="783" spans="1:10" ht="12.75">
      <c r="A783" s="15"/>
      <c r="B783" s="34"/>
      <c r="C783" s="47"/>
      <c r="E783" s="16"/>
      <c r="I783" s="16"/>
      <c r="J783" s="9"/>
    </row>
    <row r="784" spans="1:10" ht="12.75">
      <c r="A784" s="15"/>
      <c r="B784" s="34"/>
      <c r="C784" s="47"/>
      <c r="E784" s="16"/>
      <c r="I784" s="16"/>
      <c r="J784" s="9"/>
    </row>
    <row r="785" spans="1:10" ht="12.75">
      <c r="A785" s="15"/>
      <c r="B785" s="34"/>
      <c r="C785" s="47"/>
      <c r="E785" s="16"/>
      <c r="I785" s="16"/>
      <c r="J785" s="9"/>
    </row>
    <row r="786" spans="1:10" ht="12.75">
      <c r="A786" s="15"/>
      <c r="B786" s="34"/>
      <c r="C786" s="47"/>
      <c r="E786" s="16"/>
      <c r="I786" s="16"/>
      <c r="J786" s="9"/>
    </row>
    <row r="787" spans="1:10" ht="12.75">
      <c r="A787" s="15"/>
      <c r="B787" s="34"/>
      <c r="C787" s="47"/>
      <c r="E787" s="16"/>
      <c r="I787" s="16"/>
      <c r="J787" s="9"/>
    </row>
    <row r="788" spans="1:10" ht="12.75">
      <c r="A788" s="15"/>
      <c r="B788" s="34"/>
      <c r="C788" s="47"/>
      <c r="E788" s="16"/>
      <c r="I788" s="16"/>
      <c r="J788" s="9"/>
    </row>
    <row r="789" spans="1:10" ht="12.75">
      <c r="A789" s="15"/>
      <c r="B789" s="34"/>
      <c r="C789" s="47"/>
      <c r="E789" s="16"/>
      <c r="I789" s="16"/>
      <c r="J789" s="9"/>
    </row>
    <row r="790" spans="1:10" ht="12.75">
      <c r="A790" s="15"/>
      <c r="B790" s="34"/>
      <c r="C790" s="47"/>
      <c r="E790" s="16"/>
      <c r="I790" s="16"/>
      <c r="J790" s="9"/>
    </row>
    <row r="791" spans="1:10" ht="12.75">
      <c r="A791" s="15"/>
      <c r="B791" s="34"/>
      <c r="C791" s="47"/>
      <c r="E791" s="16"/>
      <c r="I791" s="16"/>
      <c r="J791" s="9"/>
    </row>
    <row r="792" spans="1:10" ht="12.75">
      <c r="A792" s="15"/>
      <c r="B792" s="34"/>
      <c r="C792" s="47"/>
      <c r="E792" s="16"/>
      <c r="I792" s="16"/>
      <c r="J792" s="9"/>
    </row>
    <row r="793" spans="1:10" ht="12.75">
      <c r="A793" s="15"/>
      <c r="B793" s="34"/>
      <c r="C793" s="47"/>
      <c r="E793" s="16"/>
      <c r="I793" s="16"/>
      <c r="J793" s="9"/>
    </row>
    <row r="794" spans="1:10" ht="12.75">
      <c r="A794" s="15"/>
      <c r="B794" s="34"/>
      <c r="C794" s="47"/>
      <c r="E794" s="16"/>
      <c r="I794" s="16"/>
      <c r="J794" s="9"/>
    </row>
    <row r="795" spans="1:10" ht="12.75">
      <c r="A795" s="15"/>
      <c r="B795" s="34"/>
      <c r="C795" s="47"/>
      <c r="E795" s="16"/>
      <c r="I795" s="16"/>
      <c r="J795" s="9"/>
    </row>
    <row r="796" spans="1:10" ht="12.75">
      <c r="A796" s="15"/>
      <c r="B796" s="34"/>
      <c r="C796" s="47"/>
      <c r="E796" s="16"/>
      <c r="I796" s="16"/>
      <c r="J796" s="9"/>
    </row>
    <row r="797" spans="1:10" ht="12.75">
      <c r="A797" s="15"/>
      <c r="B797" s="34"/>
      <c r="C797" s="47"/>
      <c r="E797" s="16"/>
      <c r="I797" s="16"/>
      <c r="J797" s="9"/>
    </row>
    <row r="798" spans="1:10" ht="12.75">
      <c r="A798" s="15"/>
      <c r="B798" s="34"/>
      <c r="C798" s="47"/>
      <c r="E798" s="16"/>
      <c r="I798" s="16"/>
      <c r="J798" s="9"/>
    </row>
    <row r="799" spans="1:10" ht="12.75">
      <c r="A799" s="15"/>
      <c r="B799" s="34"/>
      <c r="C799" s="47"/>
      <c r="E799" s="16"/>
      <c r="I799" s="16"/>
      <c r="J799" s="9"/>
    </row>
    <row r="800" spans="1:10" ht="12.75">
      <c r="A800" s="15"/>
      <c r="B800" s="34"/>
      <c r="C800" s="47"/>
      <c r="E800" s="16"/>
      <c r="I800" s="16"/>
      <c r="J800" s="9"/>
    </row>
    <row r="801" spans="1:10" ht="12.75">
      <c r="A801" s="15"/>
      <c r="B801" s="34"/>
      <c r="C801" s="47"/>
      <c r="E801" s="16"/>
      <c r="I801" s="16"/>
      <c r="J801" s="9"/>
    </row>
    <row r="802" spans="1:10" ht="12.75">
      <c r="A802" s="15"/>
      <c r="B802" s="34"/>
      <c r="C802" s="47"/>
      <c r="E802" s="16"/>
      <c r="I802" s="16"/>
      <c r="J802" s="9"/>
    </row>
    <row r="803" spans="1:10" ht="12.75">
      <c r="A803" s="15"/>
      <c r="B803" s="34"/>
      <c r="C803" s="47"/>
      <c r="E803" s="16"/>
      <c r="I803" s="16"/>
      <c r="J803" s="9"/>
    </row>
    <row r="804" spans="1:10" ht="12.75">
      <c r="A804" s="15"/>
      <c r="B804" s="34"/>
      <c r="C804" s="47"/>
      <c r="E804" s="16"/>
      <c r="I804" s="16"/>
      <c r="J804" s="9"/>
    </row>
    <row r="805" spans="1:10" ht="12.75">
      <c r="A805" s="15"/>
      <c r="B805" s="34"/>
      <c r="C805" s="47"/>
      <c r="E805" s="16"/>
      <c r="I805" s="16"/>
      <c r="J805" s="9"/>
    </row>
    <row r="806" spans="1:10" ht="12.75">
      <c r="A806" s="15"/>
      <c r="B806" s="34"/>
      <c r="C806" s="47"/>
      <c r="E806" s="16"/>
      <c r="I806" s="16"/>
      <c r="J806" s="9"/>
    </row>
    <row r="807" spans="1:10" ht="12.75">
      <c r="A807" s="15"/>
      <c r="B807" s="34"/>
      <c r="C807" s="47"/>
      <c r="E807" s="16"/>
      <c r="I807" s="16"/>
      <c r="J807" s="9"/>
    </row>
    <row r="808" spans="1:10" ht="12.75">
      <c r="A808" s="15"/>
      <c r="B808" s="34"/>
      <c r="C808" s="47"/>
      <c r="E808" s="16"/>
      <c r="I808" s="16"/>
      <c r="J808" s="9"/>
    </row>
    <row r="809" spans="1:10" ht="12.75">
      <c r="A809" s="15"/>
      <c r="B809" s="34"/>
      <c r="C809" s="47"/>
      <c r="E809" s="16"/>
      <c r="I809" s="16"/>
      <c r="J809" s="9"/>
    </row>
    <row r="810" spans="1:10" ht="12.75">
      <c r="A810" s="15"/>
      <c r="B810" s="34"/>
      <c r="C810" s="47"/>
      <c r="E810" s="16"/>
      <c r="I810" s="16"/>
      <c r="J810" s="9"/>
    </row>
    <row r="811" spans="1:10" ht="12.75">
      <c r="A811" s="15"/>
      <c r="B811" s="34"/>
      <c r="C811" s="47"/>
      <c r="E811" s="16"/>
      <c r="I811" s="16"/>
      <c r="J811" s="9"/>
    </row>
    <row r="812" spans="1:10" ht="12.75">
      <c r="A812" s="15"/>
      <c r="B812" s="34"/>
      <c r="C812" s="47"/>
      <c r="E812" s="16"/>
      <c r="I812" s="16"/>
      <c r="J812" s="9"/>
    </row>
    <row r="813" spans="1:10" ht="12.75">
      <c r="A813" s="15"/>
      <c r="B813" s="34"/>
      <c r="C813" s="47"/>
      <c r="E813" s="16"/>
      <c r="I813" s="16"/>
      <c r="J813" s="9"/>
    </row>
    <row r="814" spans="1:10" ht="12.75">
      <c r="A814" s="15"/>
      <c r="B814" s="34"/>
      <c r="C814" s="47"/>
      <c r="E814" s="16"/>
      <c r="I814" s="16"/>
      <c r="J814" s="9"/>
    </row>
    <row r="815" spans="1:10" ht="12.75">
      <c r="A815" s="15"/>
      <c r="B815" s="34"/>
      <c r="C815" s="47"/>
      <c r="E815" s="16"/>
      <c r="I815" s="16"/>
      <c r="J815" s="9"/>
    </row>
    <row r="816" spans="1:10" ht="12.75">
      <c r="A816" s="15"/>
      <c r="B816" s="34"/>
      <c r="C816" s="47"/>
      <c r="E816" s="16"/>
      <c r="I816" s="16"/>
      <c r="J816" s="9"/>
    </row>
    <row r="817" spans="1:10" ht="12.75">
      <c r="A817" s="15"/>
      <c r="B817" s="34"/>
      <c r="C817" s="47"/>
      <c r="E817" s="16"/>
      <c r="I817" s="16"/>
      <c r="J817" s="9"/>
    </row>
    <row r="818" spans="1:10" ht="12.75">
      <c r="A818" s="15"/>
      <c r="B818" s="34"/>
      <c r="C818" s="47"/>
      <c r="E818" s="16"/>
      <c r="I818" s="16"/>
      <c r="J818" s="9"/>
    </row>
    <row r="819" spans="1:10" ht="12.75">
      <c r="A819" s="15"/>
      <c r="B819" s="34"/>
      <c r="C819" s="47"/>
      <c r="E819" s="16"/>
      <c r="I819" s="16"/>
      <c r="J819" s="9"/>
    </row>
    <row r="820" spans="1:10" ht="12.75">
      <c r="A820" s="15"/>
      <c r="B820" s="34"/>
      <c r="C820" s="47"/>
      <c r="E820" s="16"/>
      <c r="I820" s="16"/>
      <c r="J820" s="9"/>
    </row>
    <row r="821" spans="1:10" ht="12.75">
      <c r="A821" s="15"/>
      <c r="B821" s="34"/>
      <c r="C821" s="47"/>
      <c r="E821" s="16"/>
      <c r="I821" s="16"/>
      <c r="J821" s="9"/>
    </row>
    <row r="822" spans="1:10" ht="12.75">
      <c r="A822" s="15"/>
      <c r="B822" s="34"/>
      <c r="C822" s="47"/>
      <c r="E822" s="16"/>
      <c r="I822" s="16"/>
      <c r="J822" s="9"/>
    </row>
    <row r="823" spans="1:10" ht="12.75">
      <c r="A823" s="15"/>
      <c r="B823" s="34"/>
      <c r="C823" s="47"/>
      <c r="E823" s="16"/>
      <c r="I823" s="16"/>
      <c r="J823" s="9"/>
    </row>
    <row r="824" spans="1:10" ht="12.75">
      <c r="A824" s="15"/>
      <c r="B824" s="34"/>
      <c r="C824" s="47"/>
      <c r="E824" s="16"/>
      <c r="I824" s="16"/>
      <c r="J824" s="9"/>
    </row>
    <row r="825" spans="1:10" ht="12.75">
      <c r="A825" s="15"/>
      <c r="B825" s="34"/>
      <c r="C825" s="47"/>
      <c r="E825" s="16"/>
      <c r="I825" s="16"/>
      <c r="J825" s="9"/>
    </row>
    <row r="826" spans="1:10" ht="12.75">
      <c r="A826" s="15"/>
      <c r="B826" s="34"/>
      <c r="C826" s="47"/>
      <c r="E826" s="16"/>
      <c r="I826" s="16"/>
      <c r="J826" s="9"/>
    </row>
    <row r="827" spans="1:10" ht="12.75">
      <c r="A827" s="15"/>
      <c r="B827" s="34"/>
      <c r="C827" s="47"/>
      <c r="E827" s="16"/>
      <c r="I827" s="16"/>
      <c r="J827" s="9"/>
    </row>
    <row r="828" spans="1:10" ht="12.75">
      <c r="A828" s="15"/>
      <c r="B828" s="34"/>
      <c r="C828" s="47"/>
      <c r="E828" s="16"/>
      <c r="I828" s="16"/>
      <c r="J828" s="9"/>
    </row>
    <row r="829" spans="1:10" ht="12.75">
      <c r="A829" s="15"/>
      <c r="B829" s="34"/>
      <c r="C829" s="47"/>
      <c r="E829" s="16"/>
      <c r="I829" s="16"/>
      <c r="J829" s="9"/>
    </row>
    <row r="830" spans="1:10" ht="12.75">
      <c r="A830" s="15"/>
      <c r="B830" s="34"/>
      <c r="C830" s="47"/>
      <c r="E830" s="16"/>
      <c r="I830" s="16"/>
      <c r="J830" s="9"/>
    </row>
    <row r="831" spans="1:10" ht="12.75">
      <c r="A831" s="15"/>
      <c r="B831" s="34"/>
      <c r="C831" s="47"/>
      <c r="E831" s="16"/>
      <c r="I831" s="16"/>
      <c r="J831" s="9"/>
    </row>
    <row r="832" spans="1:10" ht="12.75">
      <c r="A832" s="15"/>
      <c r="B832" s="34"/>
      <c r="C832" s="47"/>
      <c r="E832" s="16"/>
      <c r="I832" s="16"/>
      <c r="J832" s="9"/>
    </row>
    <row r="833" spans="1:10" ht="12.75">
      <c r="A833" s="15"/>
      <c r="B833" s="34"/>
      <c r="C833" s="47"/>
      <c r="E833" s="16"/>
      <c r="I833" s="16"/>
      <c r="J833" s="9"/>
    </row>
    <row r="834" spans="1:10" ht="12.75">
      <c r="A834" s="15"/>
      <c r="B834" s="34"/>
      <c r="C834" s="47"/>
      <c r="E834" s="16"/>
      <c r="I834" s="16"/>
      <c r="J834" s="9"/>
    </row>
    <row r="835" spans="1:10" ht="12.75">
      <c r="A835" s="15"/>
      <c r="B835" s="34"/>
      <c r="C835" s="47"/>
      <c r="E835" s="16"/>
      <c r="I835" s="16"/>
      <c r="J835" s="9"/>
    </row>
    <row r="836" spans="1:10" ht="12.75">
      <c r="A836" s="15"/>
      <c r="B836" s="34"/>
      <c r="C836" s="47"/>
      <c r="E836" s="16"/>
      <c r="I836" s="16"/>
      <c r="J836" s="9"/>
    </row>
    <row r="837" spans="1:10" ht="12.75">
      <c r="A837" s="15"/>
      <c r="B837" s="34"/>
      <c r="C837" s="47"/>
      <c r="E837" s="16"/>
      <c r="I837" s="16"/>
      <c r="J837" s="9"/>
    </row>
    <row r="838" spans="1:10" ht="12.75">
      <c r="A838" s="15"/>
      <c r="B838" s="34"/>
      <c r="C838" s="47"/>
      <c r="E838" s="16"/>
      <c r="I838" s="16"/>
      <c r="J838" s="9"/>
    </row>
    <row r="839" spans="1:10" ht="12.75">
      <c r="A839" s="15"/>
      <c r="B839" s="34"/>
      <c r="C839" s="47"/>
      <c r="E839" s="16"/>
      <c r="I839" s="16"/>
      <c r="J839" s="9"/>
    </row>
    <row r="840" spans="1:10" ht="12.75">
      <c r="A840" s="15"/>
      <c r="B840" s="34"/>
      <c r="C840" s="47"/>
      <c r="E840" s="16"/>
      <c r="I840" s="16"/>
      <c r="J840" s="9"/>
    </row>
    <row r="841" spans="1:10" ht="12.75">
      <c r="A841" s="15"/>
      <c r="B841" s="34"/>
      <c r="C841" s="47"/>
      <c r="E841" s="16"/>
      <c r="I841" s="16"/>
      <c r="J841" s="9"/>
    </row>
    <row r="842" spans="1:10" ht="12.75">
      <c r="A842" s="15"/>
      <c r="B842" s="34"/>
      <c r="C842" s="47"/>
      <c r="E842" s="16"/>
      <c r="I842" s="16"/>
      <c r="J842" s="9"/>
    </row>
    <row r="843" spans="1:10" ht="12.75">
      <c r="A843" s="15"/>
      <c r="B843" s="34"/>
      <c r="C843" s="47"/>
      <c r="E843" s="16"/>
      <c r="I843" s="16"/>
      <c r="J843" s="9"/>
    </row>
    <row r="844" spans="1:10" ht="12.75">
      <c r="A844" s="15"/>
      <c r="B844" s="34"/>
      <c r="C844" s="47"/>
      <c r="E844" s="16"/>
      <c r="I844" s="16"/>
      <c r="J844" s="9"/>
    </row>
    <row r="845" spans="1:10" ht="12.75">
      <c r="A845" s="15"/>
      <c r="B845" s="34"/>
      <c r="C845" s="47"/>
      <c r="E845" s="16"/>
      <c r="I845" s="16"/>
      <c r="J845" s="9"/>
    </row>
    <row r="846" spans="1:10" ht="12.75">
      <c r="A846" s="15"/>
      <c r="B846" s="34"/>
      <c r="C846" s="47"/>
      <c r="E846" s="16"/>
      <c r="I846" s="16"/>
      <c r="J846" s="9"/>
    </row>
    <row r="847" spans="1:10" ht="12.75">
      <c r="A847" s="15"/>
      <c r="B847" s="34"/>
      <c r="C847" s="47"/>
      <c r="E847" s="16"/>
      <c r="I847" s="16"/>
      <c r="J847" s="9"/>
    </row>
    <row r="848" spans="1:10" ht="12.75">
      <c r="A848" s="15"/>
      <c r="B848" s="34"/>
      <c r="C848" s="47"/>
      <c r="E848" s="16"/>
      <c r="I848" s="16"/>
      <c r="J848" s="9"/>
    </row>
    <row r="849" spans="1:10" ht="12.75">
      <c r="A849" s="15"/>
      <c r="B849" s="34"/>
      <c r="C849" s="47"/>
      <c r="E849" s="16"/>
      <c r="I849" s="16"/>
      <c r="J849" s="9"/>
    </row>
    <row r="850" spans="1:10" ht="12.75">
      <c r="A850" s="15"/>
      <c r="B850" s="34"/>
      <c r="C850" s="47"/>
      <c r="E850" s="16"/>
      <c r="I850" s="16"/>
      <c r="J850" s="9"/>
    </row>
    <row r="851" spans="1:10" ht="12.75">
      <c r="A851" s="15"/>
      <c r="B851" s="34"/>
      <c r="C851" s="47"/>
      <c r="E851" s="16"/>
      <c r="I851" s="16"/>
      <c r="J851" s="9"/>
    </row>
    <row r="852" spans="1:10" ht="12.75">
      <c r="A852" s="15"/>
      <c r="B852" s="34"/>
      <c r="C852" s="47"/>
      <c r="E852" s="16"/>
      <c r="I852" s="16"/>
      <c r="J852" s="9"/>
    </row>
    <row r="853" spans="1:10" ht="12.75">
      <c r="A853" s="15"/>
      <c r="B853" s="34"/>
      <c r="C853" s="47"/>
      <c r="E853" s="16"/>
      <c r="I853" s="16"/>
      <c r="J853" s="9"/>
    </row>
    <row r="854" spans="1:10" ht="12.75">
      <c r="A854" s="15"/>
      <c r="B854" s="34"/>
      <c r="C854" s="47"/>
      <c r="E854" s="16"/>
      <c r="I854" s="16"/>
      <c r="J854" s="9"/>
    </row>
    <row r="855" spans="1:10" ht="12.75">
      <c r="A855" s="15"/>
      <c r="B855" s="34"/>
      <c r="C855" s="47"/>
      <c r="E855" s="16"/>
      <c r="I855" s="16"/>
      <c r="J855" s="9"/>
    </row>
    <row r="856" spans="1:10" ht="12.75">
      <c r="A856" s="15"/>
      <c r="B856" s="34"/>
      <c r="C856" s="47"/>
      <c r="E856" s="16"/>
      <c r="I856" s="16"/>
      <c r="J856" s="9"/>
    </row>
    <row r="857" spans="1:10" ht="12.75">
      <c r="A857" s="15"/>
      <c r="B857" s="34"/>
      <c r="C857" s="47"/>
      <c r="E857" s="16"/>
      <c r="I857" s="16"/>
      <c r="J857" s="9"/>
    </row>
    <row r="858" spans="1:10" ht="12.75">
      <c r="A858" s="15"/>
      <c r="B858" s="34"/>
      <c r="C858" s="47"/>
      <c r="E858" s="16"/>
      <c r="I858" s="16"/>
      <c r="J858" s="9"/>
    </row>
    <row r="859" spans="1:10" ht="12.75">
      <c r="A859" s="15"/>
      <c r="B859" s="34"/>
      <c r="C859" s="47"/>
      <c r="E859" s="16"/>
      <c r="I859" s="16"/>
      <c r="J859" s="9"/>
    </row>
    <row r="860" spans="1:10" ht="12.75">
      <c r="A860" s="15"/>
      <c r="B860" s="34"/>
      <c r="C860" s="47"/>
      <c r="E860" s="16"/>
      <c r="I860" s="16"/>
      <c r="J860" s="9"/>
    </row>
    <row r="861" spans="1:10" ht="12.75">
      <c r="A861" s="15"/>
      <c r="B861" s="34"/>
      <c r="C861" s="47"/>
      <c r="E861" s="16"/>
      <c r="I861" s="16"/>
      <c r="J861" s="9"/>
    </row>
    <row r="862" spans="1:10" ht="12.75">
      <c r="A862" s="15"/>
      <c r="B862" s="34"/>
      <c r="C862" s="47"/>
      <c r="E862" s="16"/>
      <c r="I862" s="16"/>
      <c r="J862" s="9"/>
    </row>
    <row r="863" spans="1:10" ht="12.75">
      <c r="A863" s="15"/>
      <c r="B863" s="34"/>
      <c r="C863" s="47"/>
      <c r="E863" s="16"/>
      <c r="I863" s="16"/>
      <c r="J863" s="9"/>
    </row>
    <row r="864" spans="1:10" ht="12.75">
      <c r="A864" s="15"/>
      <c r="B864" s="34"/>
      <c r="C864" s="47"/>
      <c r="E864" s="16"/>
      <c r="I864" s="16"/>
      <c r="J864" s="9"/>
    </row>
    <row r="865" spans="1:10" ht="12.75">
      <c r="A865" s="15"/>
      <c r="B865" s="34"/>
      <c r="C865" s="47"/>
      <c r="E865" s="16"/>
      <c r="I865" s="16"/>
      <c r="J865" s="9"/>
    </row>
    <row r="866" spans="1:10" ht="12.75">
      <c r="A866" s="15"/>
      <c r="B866" s="34"/>
      <c r="C866" s="47"/>
      <c r="E866" s="16"/>
      <c r="I866" s="16"/>
      <c r="J866" s="9"/>
    </row>
    <row r="867" spans="1:10" ht="12.75">
      <c r="A867" s="15"/>
      <c r="B867" s="34"/>
      <c r="C867" s="47"/>
      <c r="E867" s="16"/>
      <c r="I867" s="16"/>
      <c r="J867" s="9"/>
    </row>
    <row r="868" spans="1:10" ht="12.75">
      <c r="A868" s="15"/>
      <c r="B868" s="34"/>
      <c r="C868" s="47"/>
      <c r="E868" s="16"/>
      <c r="I868" s="16"/>
      <c r="J868" s="9"/>
    </row>
    <row r="869" spans="1:10" ht="12.75">
      <c r="A869" s="15"/>
      <c r="B869" s="34"/>
      <c r="C869" s="47"/>
      <c r="E869" s="16"/>
      <c r="I869" s="16"/>
      <c r="J869" s="9"/>
    </row>
    <row r="870" spans="1:10" ht="12.75">
      <c r="A870" s="15"/>
      <c r="B870" s="34"/>
      <c r="C870" s="47"/>
      <c r="E870" s="16"/>
      <c r="I870" s="16"/>
      <c r="J870" s="9"/>
    </row>
    <row r="871" spans="1:10" ht="12.75">
      <c r="A871" s="15"/>
      <c r="B871" s="34"/>
      <c r="C871" s="47"/>
      <c r="E871" s="16"/>
      <c r="I871" s="16"/>
      <c r="J871" s="9"/>
    </row>
    <row r="872" spans="1:10" ht="12.75">
      <c r="A872" s="15"/>
      <c r="B872" s="34"/>
      <c r="C872" s="47"/>
      <c r="E872" s="16"/>
      <c r="I872" s="16"/>
      <c r="J872" s="9"/>
    </row>
    <row r="873" spans="1:10" ht="12.75">
      <c r="A873" s="15"/>
      <c r="B873" s="34"/>
      <c r="C873" s="47"/>
      <c r="E873" s="16"/>
      <c r="I873" s="16"/>
      <c r="J873" s="9"/>
    </row>
    <row r="874" spans="1:10" ht="12.75">
      <c r="A874" s="15"/>
      <c r="B874" s="34"/>
      <c r="C874" s="47"/>
      <c r="E874" s="16"/>
      <c r="I874" s="16"/>
      <c r="J874" s="9"/>
    </row>
    <row r="875" spans="1:10" ht="12.75">
      <c r="A875" s="15"/>
      <c r="B875" s="34"/>
      <c r="C875" s="47"/>
      <c r="E875" s="16"/>
      <c r="I875" s="16"/>
      <c r="J875" s="9"/>
    </row>
    <row r="876" spans="1:10" ht="12.75">
      <c r="A876" s="15"/>
      <c r="B876" s="34"/>
      <c r="C876" s="47"/>
      <c r="E876" s="16"/>
      <c r="I876" s="16"/>
      <c r="J876" s="9"/>
    </row>
    <row r="877" spans="1:10" ht="12.75">
      <c r="A877" s="15"/>
      <c r="B877" s="34"/>
      <c r="C877" s="47"/>
      <c r="E877" s="16"/>
      <c r="I877" s="16"/>
      <c r="J877" s="9"/>
    </row>
    <row r="878" spans="1:10" ht="12.75">
      <c r="A878" s="15"/>
      <c r="B878" s="34"/>
      <c r="C878" s="47"/>
      <c r="E878" s="16"/>
      <c r="I878" s="16"/>
      <c r="J878" s="9"/>
    </row>
    <row r="879" spans="1:10" ht="12.75">
      <c r="A879" s="15"/>
      <c r="B879" s="34"/>
      <c r="C879" s="47"/>
      <c r="E879" s="16"/>
      <c r="I879" s="16"/>
      <c r="J879" s="9"/>
    </row>
    <row r="880" spans="1:10" ht="12.75">
      <c r="A880" s="15"/>
      <c r="B880" s="34"/>
      <c r="C880" s="47"/>
      <c r="E880" s="16"/>
      <c r="I880" s="16"/>
      <c r="J880" s="9"/>
    </row>
    <row r="881" spans="1:10" ht="12.75">
      <c r="A881" s="15"/>
      <c r="B881" s="34"/>
      <c r="C881" s="47"/>
      <c r="E881" s="16"/>
      <c r="I881" s="16"/>
      <c r="J881" s="9"/>
    </row>
    <row r="882" spans="1:10" ht="12.75">
      <c r="A882" s="15"/>
      <c r="B882" s="34"/>
      <c r="C882" s="47"/>
      <c r="E882" s="16"/>
      <c r="I882" s="16"/>
      <c r="J882" s="9"/>
    </row>
    <row r="883" spans="1:10" ht="12.75">
      <c r="A883" s="15"/>
      <c r="B883" s="34"/>
      <c r="C883" s="47"/>
      <c r="E883" s="16"/>
      <c r="I883" s="16"/>
      <c r="J883" s="9"/>
    </row>
    <row r="884" spans="1:10" ht="12.75">
      <c r="A884" s="15"/>
      <c r="B884" s="34"/>
      <c r="C884" s="47"/>
      <c r="E884" s="16"/>
      <c r="I884" s="16"/>
      <c r="J884" s="9"/>
    </row>
    <row r="885" spans="1:10" ht="12.75">
      <c r="A885" s="15"/>
      <c r="B885" s="34"/>
      <c r="C885" s="47"/>
      <c r="E885" s="16"/>
      <c r="I885" s="16"/>
      <c r="J885" s="9"/>
    </row>
    <row r="886" spans="1:10" ht="12.75">
      <c r="A886" s="15"/>
      <c r="B886" s="34"/>
      <c r="C886" s="47"/>
      <c r="E886" s="16"/>
      <c r="I886" s="16"/>
      <c r="J886" s="9"/>
    </row>
    <row r="887" spans="1:10" ht="12.75">
      <c r="A887" s="15"/>
      <c r="B887" s="34"/>
      <c r="C887" s="47"/>
      <c r="E887" s="16"/>
      <c r="I887" s="16"/>
      <c r="J887" s="9"/>
    </row>
    <row r="888" spans="1:10" ht="12.75">
      <c r="A888" s="15"/>
      <c r="B888" s="34"/>
      <c r="C888" s="47"/>
      <c r="E888" s="16"/>
      <c r="I888" s="16"/>
      <c r="J888" s="9"/>
    </row>
    <row r="889" spans="1:10" ht="12.75">
      <c r="A889" s="15"/>
      <c r="B889" s="34"/>
      <c r="C889" s="47"/>
      <c r="E889" s="16"/>
      <c r="I889" s="16"/>
      <c r="J889" s="9"/>
    </row>
    <row r="890" spans="1:10" ht="12.75">
      <c r="A890" s="15"/>
      <c r="B890" s="34"/>
      <c r="C890" s="47"/>
      <c r="E890" s="16"/>
      <c r="I890" s="16"/>
      <c r="J890" s="9"/>
    </row>
    <row r="891" spans="1:10" ht="12.75">
      <c r="A891" s="15"/>
      <c r="B891" s="34"/>
      <c r="C891" s="47"/>
      <c r="E891" s="16"/>
      <c r="I891" s="16"/>
      <c r="J891" s="9"/>
    </row>
    <row r="892" spans="1:10" ht="12.75">
      <c r="A892" s="15"/>
      <c r="B892" s="34"/>
      <c r="C892" s="47"/>
      <c r="E892" s="16"/>
      <c r="I892" s="16"/>
      <c r="J892" s="9"/>
    </row>
    <row r="893" spans="1:10" ht="12.75">
      <c r="A893" s="15"/>
      <c r="B893" s="34"/>
      <c r="C893" s="47"/>
      <c r="E893" s="16"/>
      <c r="I893" s="16"/>
      <c r="J893" s="9"/>
    </row>
    <row r="894" spans="1:10" ht="12.75">
      <c r="A894" s="15"/>
      <c r="B894" s="34"/>
      <c r="C894" s="47"/>
      <c r="E894" s="16"/>
      <c r="I894" s="16"/>
      <c r="J894" s="9"/>
    </row>
    <row r="895" spans="1:10" ht="12.75">
      <c r="A895" s="15"/>
      <c r="B895" s="34"/>
      <c r="C895" s="47"/>
      <c r="E895" s="16"/>
      <c r="I895" s="16"/>
      <c r="J895" s="9"/>
    </row>
    <row r="896" spans="1:10" ht="12.75">
      <c r="A896" s="15"/>
      <c r="B896" s="34"/>
      <c r="C896" s="47"/>
      <c r="E896" s="16"/>
      <c r="I896" s="16"/>
      <c r="J896" s="9"/>
    </row>
    <row r="897" spans="1:10" ht="12.75">
      <c r="A897" s="15"/>
      <c r="B897" s="34"/>
      <c r="C897" s="47"/>
      <c r="E897" s="16"/>
      <c r="I897" s="16"/>
      <c r="J897" s="9"/>
    </row>
    <row r="898" spans="1:10" ht="12.75">
      <c r="A898" s="15"/>
      <c r="B898" s="34"/>
      <c r="C898" s="47"/>
      <c r="E898" s="16"/>
      <c r="I898" s="16"/>
      <c r="J898" s="9"/>
    </row>
    <row r="899" spans="1:10" ht="12.75">
      <c r="A899" s="15"/>
      <c r="B899" s="34"/>
      <c r="C899" s="47"/>
      <c r="E899" s="16"/>
      <c r="I899" s="16"/>
      <c r="J899" s="9"/>
    </row>
    <row r="900" spans="1:10" ht="12.75">
      <c r="A900" s="15"/>
      <c r="B900" s="34"/>
      <c r="C900" s="47"/>
      <c r="E900" s="16"/>
      <c r="I900" s="16"/>
      <c r="J900" s="9"/>
    </row>
    <row r="901" spans="1:10" ht="12.75">
      <c r="A901" s="15"/>
      <c r="B901" s="34"/>
      <c r="C901" s="47"/>
      <c r="E901" s="16"/>
      <c r="I901" s="16"/>
      <c r="J901" s="9"/>
    </row>
    <row r="902" spans="1:10" ht="12.75">
      <c r="A902" s="15"/>
      <c r="B902" s="34"/>
      <c r="C902" s="47"/>
      <c r="E902" s="16"/>
      <c r="I902" s="16"/>
      <c r="J902" s="9"/>
    </row>
    <row r="903" spans="1:10" ht="12.75">
      <c r="A903" s="15"/>
      <c r="B903" s="34"/>
      <c r="C903" s="47"/>
      <c r="E903" s="16"/>
      <c r="I903" s="16"/>
      <c r="J903" s="9"/>
    </row>
    <row r="904" spans="1:10" ht="12.75">
      <c r="A904" s="15"/>
      <c r="B904" s="34"/>
      <c r="C904" s="47"/>
      <c r="E904" s="16"/>
      <c r="I904" s="16"/>
      <c r="J904" s="9"/>
    </row>
    <row r="905" spans="1:10" ht="12.75">
      <c r="A905" s="15"/>
      <c r="B905" s="34"/>
      <c r="C905" s="47"/>
      <c r="E905" s="16"/>
      <c r="I905" s="16"/>
      <c r="J905" s="9"/>
    </row>
    <row r="906" spans="1:10" ht="12.75">
      <c r="A906" s="15"/>
      <c r="B906" s="34"/>
      <c r="C906" s="47"/>
      <c r="E906" s="16"/>
      <c r="I906" s="16"/>
      <c r="J906" s="9"/>
    </row>
    <row r="907" spans="1:10" ht="12.75">
      <c r="A907" s="15"/>
      <c r="B907" s="34"/>
      <c r="C907" s="47"/>
      <c r="E907" s="16"/>
      <c r="I907" s="16"/>
      <c r="J907" s="9"/>
    </row>
    <row r="908" spans="1:10" ht="12.75">
      <c r="A908" s="15"/>
      <c r="B908" s="34"/>
      <c r="C908" s="47"/>
      <c r="E908" s="16"/>
      <c r="I908" s="16"/>
      <c r="J908" s="9"/>
    </row>
    <row r="909" spans="1:10" ht="12.75">
      <c r="A909" s="15"/>
      <c r="B909" s="34"/>
      <c r="C909" s="47"/>
      <c r="E909" s="16"/>
      <c r="I909" s="16"/>
      <c r="J909" s="9"/>
    </row>
    <row r="910" spans="1:10" ht="12.75">
      <c r="A910" s="15"/>
      <c r="B910" s="34"/>
      <c r="C910" s="47"/>
      <c r="E910" s="16"/>
      <c r="I910" s="16"/>
      <c r="J910" s="9"/>
    </row>
    <row r="911" spans="1:10" ht="12.75">
      <c r="A911" s="15"/>
      <c r="B911" s="34"/>
      <c r="C911" s="47"/>
      <c r="E911" s="16"/>
      <c r="I911" s="16"/>
      <c r="J911" s="9"/>
    </row>
    <row r="912" spans="1:10" ht="12.75">
      <c r="A912" s="15"/>
      <c r="B912" s="34"/>
      <c r="C912" s="47"/>
      <c r="E912" s="16"/>
      <c r="I912" s="16"/>
      <c r="J912" s="9"/>
    </row>
    <row r="913" spans="1:10" ht="12.75">
      <c r="A913" s="15"/>
      <c r="B913" s="34"/>
      <c r="C913" s="47"/>
      <c r="E913" s="16"/>
      <c r="I913" s="16"/>
      <c r="J913" s="9"/>
    </row>
    <row r="914" spans="1:10" ht="12.75">
      <c r="A914" s="15"/>
      <c r="B914" s="34"/>
      <c r="C914" s="47"/>
      <c r="E914" s="16"/>
      <c r="I914" s="16"/>
      <c r="J914" s="9"/>
    </row>
    <row r="915" spans="1:10" ht="12.75">
      <c r="A915" s="15"/>
      <c r="B915" s="34"/>
      <c r="C915" s="47"/>
      <c r="E915" s="16"/>
      <c r="I915" s="16"/>
      <c r="J915" s="9"/>
    </row>
    <row r="916" spans="1:10" ht="12.75">
      <c r="A916" s="15"/>
      <c r="B916" s="34"/>
      <c r="C916" s="47"/>
      <c r="E916" s="16"/>
      <c r="I916" s="16"/>
      <c r="J916" s="9"/>
    </row>
    <row r="917" spans="1:10" ht="12.75">
      <c r="A917" s="15"/>
      <c r="B917" s="34"/>
      <c r="C917" s="47"/>
      <c r="E917" s="16"/>
      <c r="I917" s="16"/>
      <c r="J917" s="9"/>
    </row>
    <row r="918" spans="1:10" ht="12.75">
      <c r="A918" s="15"/>
      <c r="B918" s="34"/>
      <c r="C918" s="47"/>
      <c r="E918" s="16"/>
      <c r="I918" s="16"/>
      <c r="J918" s="9"/>
    </row>
    <row r="919" spans="1:10" ht="12.75">
      <c r="A919" s="15"/>
      <c r="B919" s="34"/>
      <c r="C919" s="47"/>
      <c r="E919" s="16"/>
      <c r="I919" s="16"/>
      <c r="J919" s="9"/>
    </row>
    <row r="920" spans="1:10" ht="12.75">
      <c r="A920" s="15"/>
      <c r="B920" s="34"/>
      <c r="C920" s="47"/>
      <c r="E920" s="16"/>
      <c r="I920" s="16"/>
      <c r="J920" s="9"/>
    </row>
    <row r="921" spans="1:10" ht="12.75">
      <c r="A921" s="15"/>
      <c r="B921" s="34"/>
      <c r="C921" s="47"/>
      <c r="E921" s="16"/>
      <c r="I921" s="16"/>
      <c r="J921" s="9"/>
    </row>
    <row r="922" spans="1:10" ht="12.75">
      <c r="A922" s="15"/>
      <c r="B922" s="34"/>
      <c r="C922" s="47"/>
      <c r="E922" s="16"/>
      <c r="I922" s="16"/>
      <c r="J922" s="9"/>
    </row>
    <row r="923" spans="1:10" ht="12.75">
      <c r="A923" s="15"/>
      <c r="B923" s="34"/>
      <c r="C923" s="47"/>
      <c r="E923" s="16"/>
      <c r="I923" s="16"/>
      <c r="J923" s="9"/>
    </row>
    <row r="924" spans="1:10" ht="12.75">
      <c r="A924" s="15"/>
      <c r="B924" s="34"/>
      <c r="C924" s="47"/>
      <c r="E924" s="16"/>
      <c r="I924" s="16"/>
      <c r="J924" s="9"/>
    </row>
    <row r="925" spans="1:10" ht="12.75">
      <c r="A925" s="15"/>
      <c r="B925" s="34"/>
      <c r="C925" s="47"/>
      <c r="E925" s="16"/>
      <c r="I925" s="16"/>
      <c r="J925" s="9"/>
    </row>
    <row r="926" spans="1:10" ht="12.75">
      <c r="A926" s="15"/>
      <c r="B926" s="34"/>
      <c r="C926" s="47"/>
      <c r="E926" s="16"/>
      <c r="I926" s="16"/>
      <c r="J926" s="9"/>
    </row>
    <row r="927" spans="1:10" ht="12.75">
      <c r="A927" s="15"/>
      <c r="B927" s="34"/>
      <c r="C927" s="47"/>
      <c r="E927" s="16"/>
      <c r="I927" s="16"/>
      <c r="J927" s="9"/>
    </row>
    <row r="928" spans="1:10" ht="12.75">
      <c r="A928" s="15"/>
      <c r="B928" s="34"/>
      <c r="C928" s="47"/>
      <c r="E928" s="16"/>
      <c r="I928" s="16"/>
      <c r="J928" s="9"/>
    </row>
    <row r="929" spans="1:10" ht="12.75">
      <c r="A929" s="15"/>
      <c r="B929" s="34"/>
      <c r="C929" s="47"/>
      <c r="E929" s="16"/>
      <c r="I929" s="16"/>
      <c r="J929" s="9"/>
    </row>
    <row r="930" spans="1:10" ht="12.75">
      <c r="A930" s="15"/>
      <c r="B930" s="34"/>
      <c r="C930" s="47"/>
      <c r="E930" s="16"/>
      <c r="I930" s="16"/>
      <c r="J930" s="9"/>
    </row>
    <row r="931" spans="1:10" ht="12.75">
      <c r="A931" s="15"/>
      <c r="B931" s="34"/>
      <c r="C931" s="47"/>
      <c r="E931" s="16"/>
      <c r="I931" s="16"/>
      <c r="J931" s="9"/>
    </row>
    <row r="932" spans="1:10" ht="12.75">
      <c r="A932" s="15"/>
      <c r="B932" s="34"/>
      <c r="C932" s="47"/>
      <c r="E932" s="16"/>
      <c r="I932" s="16"/>
      <c r="J932" s="9"/>
    </row>
    <row r="933" spans="1:10" ht="12.75">
      <c r="A933" s="15"/>
      <c r="B933" s="34"/>
      <c r="C933" s="47"/>
      <c r="E933" s="16"/>
      <c r="I933" s="16"/>
      <c r="J933" s="9"/>
    </row>
    <row r="934" spans="1:10" ht="12.75">
      <c r="A934" s="15"/>
      <c r="B934" s="34"/>
      <c r="C934" s="47"/>
      <c r="E934" s="16"/>
      <c r="I934" s="16"/>
      <c r="J934" s="9"/>
    </row>
    <row r="935" spans="1:10" ht="12.75">
      <c r="A935" s="15"/>
      <c r="B935" s="34"/>
      <c r="C935" s="47"/>
      <c r="E935" s="16"/>
      <c r="I935" s="16"/>
      <c r="J935" s="9"/>
    </row>
    <row r="936" spans="1:10" ht="12.75">
      <c r="A936" s="15"/>
      <c r="B936" s="34"/>
      <c r="C936" s="47"/>
      <c r="E936" s="16"/>
      <c r="I936" s="16"/>
      <c r="J936" s="9"/>
    </row>
    <row r="937" spans="1:10" ht="12.75">
      <c r="A937" s="15"/>
      <c r="B937" s="34"/>
      <c r="C937" s="47"/>
      <c r="E937" s="16"/>
      <c r="I937" s="16"/>
      <c r="J937" s="9"/>
    </row>
    <row r="938" spans="1:10" ht="12.75">
      <c r="A938" s="15"/>
      <c r="B938" s="34"/>
      <c r="C938" s="47"/>
      <c r="E938" s="16"/>
      <c r="I938" s="16"/>
      <c r="J938" s="9"/>
    </row>
    <row r="939" spans="1:10" ht="12.75">
      <c r="A939" s="15"/>
      <c r="B939" s="34"/>
      <c r="C939" s="47"/>
      <c r="E939" s="16"/>
      <c r="I939" s="16"/>
      <c r="J939" s="9"/>
    </row>
    <row r="940" spans="1:10" ht="12.75">
      <c r="A940" s="15"/>
      <c r="B940" s="34"/>
      <c r="C940" s="47"/>
      <c r="E940" s="16"/>
      <c r="I940" s="16"/>
      <c r="J940" s="9"/>
    </row>
    <row r="941" spans="1:10" ht="12.75">
      <c r="A941" s="15"/>
      <c r="B941" s="34"/>
      <c r="C941" s="47"/>
      <c r="E941" s="16"/>
      <c r="I941" s="16"/>
      <c r="J941" s="9"/>
    </row>
    <row r="942" spans="1:10" ht="12.75">
      <c r="A942" s="15"/>
      <c r="B942" s="34"/>
      <c r="C942" s="47"/>
      <c r="E942" s="16"/>
      <c r="I942" s="16"/>
      <c r="J942" s="9"/>
    </row>
    <row r="943" spans="1:10" ht="12.75">
      <c r="A943" s="15"/>
      <c r="B943" s="34"/>
      <c r="C943" s="47"/>
      <c r="E943" s="16"/>
      <c r="I943" s="16"/>
      <c r="J943" s="9"/>
    </row>
    <row r="944" spans="1:10" ht="12.75">
      <c r="A944" s="15"/>
      <c r="B944" s="34"/>
      <c r="C944" s="47"/>
      <c r="E944" s="16"/>
      <c r="I944" s="16"/>
      <c r="J944" s="9"/>
    </row>
    <row r="945" spans="1:10" ht="12.75">
      <c r="A945" s="15"/>
      <c r="B945" s="34"/>
      <c r="C945" s="47"/>
      <c r="E945" s="16"/>
      <c r="I945" s="16"/>
      <c r="J945" s="9"/>
    </row>
    <row r="946" spans="1:10" ht="12.75">
      <c r="A946" s="15"/>
      <c r="B946" s="34"/>
      <c r="C946" s="47"/>
      <c r="E946" s="16"/>
      <c r="I946" s="16"/>
      <c r="J946" s="9"/>
    </row>
    <row r="947" spans="1:10" ht="12.75">
      <c r="A947" s="15"/>
      <c r="B947" s="34"/>
      <c r="C947" s="47"/>
      <c r="E947" s="16"/>
      <c r="I947" s="16"/>
      <c r="J947" s="9"/>
    </row>
    <row r="948" spans="1:10" ht="12.75">
      <c r="A948" s="15"/>
      <c r="B948" s="34"/>
      <c r="C948" s="47"/>
      <c r="E948" s="16"/>
      <c r="I948" s="16"/>
      <c r="J948" s="9"/>
    </row>
    <row r="949" spans="1:10" ht="12.75">
      <c r="A949" s="15"/>
      <c r="B949" s="34"/>
      <c r="C949" s="47"/>
      <c r="E949" s="16"/>
      <c r="I949" s="16"/>
      <c r="J949" s="9"/>
    </row>
    <row r="950" spans="1:10" ht="12.75">
      <c r="A950" s="15"/>
      <c r="B950" s="34"/>
      <c r="C950" s="47"/>
      <c r="E950" s="16"/>
      <c r="I950" s="16"/>
      <c r="J950" s="9"/>
    </row>
    <row r="951" spans="1:10" ht="12.75">
      <c r="A951" s="15"/>
      <c r="B951" s="34"/>
      <c r="C951" s="47"/>
      <c r="E951" s="16"/>
      <c r="I951" s="16"/>
      <c r="J951" s="9"/>
    </row>
    <row r="952" spans="1:10" ht="12.75">
      <c r="A952" s="15"/>
      <c r="B952" s="34"/>
      <c r="C952" s="47"/>
      <c r="E952" s="16"/>
      <c r="I952" s="16"/>
      <c r="J952" s="9"/>
    </row>
    <row r="953" spans="1:10" ht="12.75">
      <c r="A953" s="15"/>
      <c r="B953" s="34"/>
      <c r="C953" s="47"/>
      <c r="E953" s="16"/>
      <c r="I953" s="16"/>
      <c r="J953" s="9"/>
    </row>
    <row r="954" spans="1:10" ht="12.75">
      <c r="A954" s="15"/>
      <c r="B954" s="34"/>
      <c r="C954" s="47"/>
      <c r="E954" s="16"/>
      <c r="I954" s="16"/>
      <c r="J954" s="9"/>
    </row>
    <row r="955" spans="1:10" ht="12.75">
      <c r="A955" s="15"/>
      <c r="B955" s="34"/>
      <c r="C955" s="47"/>
      <c r="E955" s="16"/>
      <c r="I955" s="16"/>
      <c r="J955" s="9"/>
    </row>
    <row r="956" spans="1:10" ht="12.75">
      <c r="A956" s="15"/>
      <c r="B956" s="34"/>
      <c r="C956" s="47"/>
      <c r="E956" s="16"/>
      <c r="I956" s="16"/>
      <c r="J956" s="9"/>
    </row>
    <row r="957" spans="1:10" ht="12.75">
      <c r="A957" s="15"/>
      <c r="B957" s="34"/>
      <c r="C957" s="47"/>
      <c r="E957" s="16"/>
      <c r="I957" s="16"/>
      <c r="J957" s="9"/>
    </row>
    <row r="958" spans="1:10" ht="12.75">
      <c r="A958" s="15"/>
      <c r="B958" s="34"/>
      <c r="C958" s="47"/>
      <c r="E958" s="16"/>
      <c r="I958" s="16"/>
      <c r="J958" s="9"/>
    </row>
    <row r="959" spans="1:10" ht="12.75">
      <c r="A959" s="15"/>
      <c r="B959" s="34"/>
      <c r="C959" s="47"/>
      <c r="E959" s="16"/>
      <c r="I959" s="16"/>
      <c r="J959" s="9"/>
    </row>
    <row r="960" spans="1:10" ht="12.75">
      <c r="A960" s="15"/>
      <c r="B960" s="34"/>
      <c r="C960" s="47"/>
      <c r="E960" s="16"/>
      <c r="I960" s="16"/>
      <c r="J960" s="9"/>
    </row>
    <row r="961" spans="1:10" ht="12.75">
      <c r="A961" s="15"/>
      <c r="B961" s="34"/>
      <c r="C961" s="47"/>
      <c r="E961" s="16"/>
      <c r="I961" s="16"/>
      <c r="J961" s="9"/>
    </row>
    <row r="962" spans="1:10" ht="12.75">
      <c r="A962" s="15"/>
      <c r="B962" s="34"/>
      <c r="C962" s="47"/>
      <c r="E962" s="16"/>
      <c r="I962" s="16"/>
      <c r="J962" s="9"/>
    </row>
    <row r="963" spans="1:10" ht="12.75">
      <c r="A963" s="15"/>
      <c r="B963" s="34"/>
      <c r="C963" s="47"/>
      <c r="E963" s="16"/>
      <c r="I963" s="16"/>
      <c r="J963" s="9"/>
    </row>
    <row r="964" spans="1:10" ht="12.75">
      <c r="A964" s="15"/>
      <c r="B964" s="34"/>
      <c r="C964" s="47"/>
      <c r="E964" s="16"/>
      <c r="I964" s="16"/>
      <c r="J964" s="9"/>
    </row>
    <row r="965" spans="1:10" ht="12.75">
      <c r="A965" s="15"/>
      <c r="B965" s="34"/>
      <c r="C965" s="47"/>
      <c r="E965" s="16"/>
      <c r="I965" s="16"/>
      <c r="J965" s="9"/>
    </row>
    <row r="966" spans="1:10" ht="12.75">
      <c r="A966" s="15"/>
      <c r="B966" s="34"/>
      <c r="C966" s="47"/>
      <c r="E966" s="16"/>
      <c r="I966" s="16"/>
      <c r="J966" s="9"/>
    </row>
    <row r="967" spans="1:10" ht="12.75">
      <c r="A967" s="15"/>
      <c r="B967" s="34"/>
      <c r="C967" s="47"/>
      <c r="E967" s="16"/>
      <c r="I967" s="16"/>
      <c r="J967" s="9"/>
    </row>
    <row r="968" spans="1:10" ht="12.75">
      <c r="A968" s="15"/>
      <c r="B968" s="34"/>
      <c r="C968" s="47"/>
      <c r="E968" s="16"/>
      <c r="I968" s="16"/>
      <c r="J968" s="9"/>
    </row>
    <row r="969" spans="1:10" ht="12.75">
      <c r="A969" s="15"/>
      <c r="B969" s="34"/>
      <c r="C969" s="47"/>
      <c r="E969" s="16"/>
      <c r="I969" s="16"/>
      <c r="J969" s="9"/>
    </row>
    <row r="970" spans="1:10" ht="12.75">
      <c r="A970" s="15"/>
      <c r="B970" s="34"/>
      <c r="C970" s="47"/>
      <c r="E970" s="16"/>
      <c r="I970" s="16"/>
      <c r="J970" s="9"/>
    </row>
    <row r="971" spans="1:10" ht="12.75">
      <c r="A971" s="15"/>
      <c r="B971" s="34"/>
      <c r="C971" s="47"/>
      <c r="E971" s="16"/>
      <c r="I971" s="16"/>
      <c r="J971" s="9"/>
    </row>
    <row r="972" spans="1:10" ht="12.75">
      <c r="A972" s="15"/>
      <c r="B972" s="34"/>
      <c r="C972" s="47"/>
      <c r="E972" s="16"/>
      <c r="I972" s="16"/>
      <c r="J972" s="9"/>
    </row>
    <row r="973" spans="1:10" ht="12.75">
      <c r="A973" s="15"/>
      <c r="B973" s="34"/>
      <c r="C973" s="47"/>
      <c r="E973" s="16"/>
      <c r="I973" s="16"/>
      <c r="J973" s="9"/>
    </row>
    <row r="974" spans="1:10" ht="12.75">
      <c r="A974" s="15"/>
      <c r="B974" s="34"/>
      <c r="C974" s="47"/>
      <c r="E974" s="16"/>
      <c r="I974" s="16"/>
      <c r="J974" s="9"/>
    </row>
    <row r="975" spans="1:10" ht="12.75">
      <c r="A975" s="15"/>
      <c r="B975" s="34"/>
      <c r="C975" s="47"/>
      <c r="E975" s="16"/>
      <c r="I975" s="16"/>
      <c r="J975" s="9"/>
    </row>
    <row r="976" spans="1:10" ht="12.75">
      <c r="A976" s="15"/>
      <c r="B976" s="34"/>
      <c r="C976" s="47"/>
      <c r="E976" s="16"/>
      <c r="I976" s="16"/>
      <c r="J976" s="9"/>
    </row>
    <row r="977" spans="1:10" ht="12.75">
      <c r="A977" s="15"/>
      <c r="B977" s="34"/>
      <c r="C977" s="47"/>
      <c r="E977" s="16"/>
      <c r="I977" s="16"/>
      <c r="J977" s="9"/>
    </row>
    <row r="978" spans="1:10" ht="12.75">
      <c r="A978" s="15"/>
      <c r="B978" s="34"/>
      <c r="C978" s="47"/>
      <c r="E978" s="16"/>
      <c r="I978" s="16"/>
      <c r="J978" s="9"/>
    </row>
    <row r="979" spans="1:10" ht="12.75">
      <c r="A979" s="15"/>
      <c r="B979" s="34"/>
      <c r="C979" s="47"/>
      <c r="E979" s="16"/>
      <c r="I979" s="16"/>
      <c r="J979" s="9"/>
    </row>
    <row r="980" spans="1:10" ht="12.75">
      <c r="A980" s="15"/>
      <c r="B980" s="34"/>
      <c r="C980" s="47"/>
      <c r="E980" s="16"/>
      <c r="I980" s="16"/>
      <c r="J980" s="9"/>
    </row>
    <row r="981" spans="1:10" ht="12.75">
      <c r="A981" s="15"/>
      <c r="B981" s="34"/>
      <c r="C981" s="47"/>
      <c r="E981" s="16"/>
      <c r="I981" s="16"/>
      <c r="J981" s="9"/>
    </row>
    <row r="982" spans="1:10" ht="12.75">
      <c r="A982" s="15"/>
      <c r="B982" s="34"/>
      <c r="C982" s="47"/>
      <c r="E982" s="16"/>
      <c r="I982" s="16"/>
      <c r="J982" s="9"/>
    </row>
    <row r="983" spans="1:10" ht="12.75">
      <c r="A983" s="15"/>
      <c r="B983" s="34"/>
      <c r="C983" s="47"/>
      <c r="E983" s="16"/>
      <c r="I983" s="16"/>
      <c r="J983" s="9"/>
    </row>
    <row r="984" spans="1:10" ht="12.75">
      <c r="A984" s="15"/>
      <c r="B984" s="34"/>
      <c r="C984" s="47"/>
      <c r="E984" s="16"/>
      <c r="I984" s="16"/>
      <c r="J984" s="9"/>
    </row>
    <row r="985" spans="1:10" ht="12.75">
      <c r="A985" s="15"/>
      <c r="B985" s="34"/>
      <c r="C985" s="47"/>
      <c r="E985" s="16"/>
      <c r="I985" s="16"/>
      <c r="J985" s="9"/>
    </row>
    <row r="986" spans="1:10" ht="12.75">
      <c r="A986" s="15"/>
      <c r="B986" s="34"/>
      <c r="C986" s="47"/>
      <c r="E986" s="16"/>
      <c r="I986" s="16"/>
      <c r="J986" s="9"/>
    </row>
    <row r="987" spans="1:10" ht="12.75">
      <c r="A987" s="15"/>
      <c r="B987" s="34"/>
      <c r="C987" s="47"/>
      <c r="E987" s="16"/>
      <c r="I987" s="16"/>
      <c r="J987" s="9"/>
    </row>
    <row r="988" spans="1:10" ht="12.75">
      <c r="A988" s="15"/>
      <c r="B988" s="34"/>
      <c r="C988" s="47"/>
      <c r="E988" s="16"/>
      <c r="I988" s="16"/>
      <c r="J988" s="9"/>
    </row>
    <row r="989" spans="1:10" ht="12.75">
      <c r="A989" s="15"/>
      <c r="B989" s="34"/>
      <c r="C989" s="47"/>
      <c r="E989" s="16"/>
      <c r="I989" s="16"/>
      <c r="J989" s="9"/>
    </row>
    <row r="990" spans="1:10" ht="12.75">
      <c r="A990" s="15"/>
      <c r="B990" s="34"/>
      <c r="C990" s="47"/>
      <c r="E990" s="16"/>
      <c r="I990" s="16"/>
      <c r="J990" s="9"/>
    </row>
    <row r="991" spans="1:10" ht="12.75">
      <c r="A991" s="15"/>
      <c r="B991" s="34"/>
      <c r="C991" s="47"/>
      <c r="E991" s="16"/>
      <c r="I991" s="16"/>
      <c r="J991" s="9"/>
    </row>
    <row r="992" spans="1:10" ht="12.75">
      <c r="A992" s="15"/>
      <c r="B992" s="34"/>
      <c r="C992" s="47"/>
      <c r="E992" s="16"/>
      <c r="I992" s="16"/>
      <c r="J992" s="9"/>
    </row>
    <row r="993" spans="1:10" ht="12.75">
      <c r="A993" s="15"/>
      <c r="B993" s="34"/>
      <c r="C993" s="47"/>
      <c r="E993" s="16"/>
      <c r="I993" s="16"/>
      <c r="J993" s="9"/>
    </row>
    <row r="994" spans="1:10" ht="12.75">
      <c r="A994" s="15"/>
      <c r="B994" s="34"/>
      <c r="C994" s="47"/>
      <c r="E994" s="16"/>
      <c r="I994" s="16"/>
      <c r="J994" s="9"/>
    </row>
    <row r="995" spans="1:10" ht="12.75">
      <c r="A995" s="15"/>
      <c r="B995" s="34"/>
      <c r="C995" s="47"/>
      <c r="E995" s="16"/>
      <c r="I995" s="16"/>
      <c r="J995" s="9"/>
    </row>
    <row r="996" spans="1:10" ht="12.75">
      <c r="A996" s="15"/>
      <c r="B996" s="34"/>
      <c r="C996" s="47"/>
      <c r="E996" s="16"/>
      <c r="I996" s="16"/>
      <c r="J996" s="9"/>
    </row>
    <row r="997" spans="1:10" ht="12.75">
      <c r="A997" s="15"/>
      <c r="B997" s="34"/>
      <c r="C997" s="47"/>
      <c r="E997" s="16"/>
      <c r="I997" s="16"/>
      <c r="J997" s="9"/>
    </row>
    <row r="998" spans="1:10" ht="12.75">
      <c r="A998" s="15"/>
      <c r="B998" s="34"/>
      <c r="C998" s="47"/>
      <c r="E998" s="16"/>
      <c r="I998" s="16"/>
      <c r="J998" s="9"/>
    </row>
    <row r="999" spans="1:10" ht="12.75">
      <c r="A999" s="15"/>
      <c r="B999" s="34"/>
      <c r="C999" s="47"/>
      <c r="E999" s="16"/>
      <c r="I999" s="16"/>
      <c r="J999" s="9"/>
    </row>
    <row r="1000" spans="1:10" ht="12.75">
      <c r="A1000" s="15"/>
      <c r="B1000" s="34"/>
      <c r="C1000" s="47"/>
      <c r="E1000" s="16"/>
      <c r="I1000" s="16"/>
      <c r="J1000" s="9"/>
    </row>
  </sheetData>
  <conditionalFormatting sqref="J2:J26 J28 J30:J56 J58:J119 J127:J1000">
    <cfRule type="cellIs" dxfId="11" priority="8" operator="greaterThan">
      <formula>0</formula>
    </cfRule>
    <cfRule type="cellIs" dxfId="10" priority="9" operator="lessThan">
      <formula>0</formula>
    </cfRule>
  </conditionalFormatting>
  <conditionalFormatting sqref="K1:K26 K28 K30:K56 K58:K119 K127:K1048576">
    <cfRule type="containsText" dxfId="9" priority="5" operator="containsText" text="Hold">
      <formula>NOT(ISERROR(SEARCH("Hold",K1)))</formula>
    </cfRule>
    <cfRule type="containsText" dxfId="8" priority="7" operator="containsText" text="Sell">
      <formula>NOT(ISERROR(SEARCH("Sell",K1)))</formula>
    </cfRule>
  </conditionalFormatting>
  <conditionalFormatting sqref="K123:K124">
    <cfRule type="cellIs" dxfId="7" priority="3" operator="greaterThan">
      <formula>0</formula>
    </cfRule>
    <cfRule type="cellIs" dxfId="6" priority="4" operator="lessThan">
      <formula>0</formula>
    </cfRule>
  </conditionalFormatting>
  <conditionalFormatting sqref="L120:L126">
    <cfRule type="containsText" dxfId="5" priority="1" operator="containsText" text="Hold">
      <formula>NOT(ISERROR(SEARCH("Hold",L120)))</formula>
    </cfRule>
    <cfRule type="containsText" dxfId="4" priority="2" operator="containsText" text="Sell">
      <formula>NOT(ISERROR(SEARCH("Sell",L120)))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89D-DEE1-4908-8D8E-0F32811BB306}">
  <sheetPr>
    <outlinePr summaryBelow="0" summaryRight="0"/>
  </sheetPr>
  <dimension ref="A1:AN99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ColWidth="12.5703125" defaultRowHeight="15.75" customHeight="1"/>
  <cols>
    <col min="1" max="1" width="26.140625" customWidth="1"/>
    <col min="2" max="2" width="18.7109375" style="46" customWidth="1"/>
    <col min="3" max="3" width="12.42578125" style="46" customWidth="1"/>
    <col min="8" max="8" width="15.42578125" customWidth="1"/>
    <col min="11" max="11" width="15.14062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174" t="s">
        <v>1</v>
      </c>
      <c r="C1" s="42" t="s">
        <v>2</v>
      </c>
      <c r="D1" s="42" t="s">
        <v>3</v>
      </c>
      <c r="E1" s="44" t="s">
        <v>4</v>
      </c>
      <c r="F1" s="42" t="s">
        <v>5</v>
      </c>
      <c r="G1" s="42" t="s">
        <v>6</v>
      </c>
      <c r="H1" s="42" t="s">
        <v>7</v>
      </c>
      <c r="I1" s="3" t="s">
        <v>8</v>
      </c>
      <c r="J1" s="3" t="s">
        <v>9</v>
      </c>
      <c r="K1" s="43" t="s">
        <v>10</v>
      </c>
      <c r="L1" s="2" t="s">
        <v>11</v>
      </c>
      <c r="M1" s="2" t="s">
        <v>422</v>
      </c>
      <c r="N1" s="42" t="s">
        <v>12</v>
      </c>
      <c r="P1" t="s">
        <v>237</v>
      </c>
      <c r="Q1" t="s">
        <v>236</v>
      </c>
    </row>
    <row r="2" spans="1:30" ht="15.75" customHeight="1">
      <c r="A2" s="63" t="s">
        <v>257</v>
      </c>
      <c r="B2" s="173" t="s">
        <v>109</v>
      </c>
      <c r="C2" s="45" t="s">
        <v>15</v>
      </c>
      <c r="D2" s="7">
        <v>58</v>
      </c>
      <c r="E2" s="7">
        <v>58</v>
      </c>
      <c r="F2" s="6">
        <v>40</v>
      </c>
      <c r="G2" s="6">
        <f t="shared" ref="G2:G43" si="0">F2*D2</f>
        <v>2320</v>
      </c>
      <c r="H2" s="6"/>
      <c r="I2" s="7">
        <f>(G2-(F2*E2)+H2)</f>
        <v>0</v>
      </c>
      <c r="J2" s="8">
        <f t="shared" ref="J2:J53" si="1">((D2*F2)+H2)/(E2*F2)-100%</f>
        <v>0</v>
      </c>
      <c r="K2" s="10" t="s">
        <v>315</v>
      </c>
      <c r="L2" s="53">
        <v>45638</v>
      </c>
      <c r="M2" s="7">
        <f>12*0.79*F2*0.09</f>
        <v>34.128</v>
      </c>
      <c r="N2" s="54" t="s">
        <v>252</v>
      </c>
      <c r="P2" t="s">
        <v>238</v>
      </c>
      <c r="Q2" s="57"/>
    </row>
    <row r="3" spans="1:30" ht="15.75" customHeight="1">
      <c r="A3" s="63" t="s">
        <v>13</v>
      </c>
      <c r="B3" s="177" t="s">
        <v>14</v>
      </c>
      <c r="C3" s="45" t="s">
        <v>15</v>
      </c>
      <c r="D3" s="7">
        <v>145</v>
      </c>
      <c r="E3" s="7">
        <v>135</v>
      </c>
      <c r="F3" s="6">
        <v>20</v>
      </c>
      <c r="G3" s="6">
        <f t="shared" si="0"/>
        <v>2900</v>
      </c>
      <c r="H3" s="6"/>
      <c r="I3" s="7">
        <f t="shared" ref="I3:I38" si="2">(G3-(F3*E3)+H3)</f>
        <v>200</v>
      </c>
      <c r="J3" s="8">
        <f t="shared" si="1"/>
        <v>7.4074074074074181E-2</v>
      </c>
      <c r="K3" s="10" t="s">
        <v>316</v>
      </c>
      <c r="L3" s="53">
        <v>45638</v>
      </c>
      <c r="M3" s="7">
        <f>4*1.24*F3*0.9</f>
        <v>89.28</v>
      </c>
      <c r="P3" t="s">
        <v>239</v>
      </c>
      <c r="Q3" s="64"/>
    </row>
    <row r="4" spans="1:30" ht="15">
      <c r="A4" s="63" t="s">
        <v>271</v>
      </c>
      <c r="B4" s="177" t="s">
        <v>439</v>
      </c>
      <c r="C4" s="45" t="s">
        <v>15</v>
      </c>
      <c r="D4" s="7">
        <v>26</v>
      </c>
      <c r="E4" s="7">
        <v>28.34</v>
      </c>
      <c r="F4" s="6">
        <v>75</v>
      </c>
      <c r="G4" s="6">
        <f t="shared" si="0"/>
        <v>1950</v>
      </c>
      <c r="H4" s="6"/>
      <c r="I4" s="7">
        <f t="shared" si="2"/>
        <v>-175.5</v>
      </c>
      <c r="J4" s="8">
        <f t="shared" si="1"/>
        <v>-8.256880733944949E-2</v>
      </c>
      <c r="K4" s="10" t="s">
        <v>304</v>
      </c>
      <c r="L4" s="53">
        <v>45638</v>
      </c>
      <c r="M4" s="7">
        <f>4*0.9*0.52*F4</f>
        <v>140.4</v>
      </c>
      <c r="N4" s="171" t="s">
        <v>530</v>
      </c>
      <c r="P4" s="35" t="s">
        <v>242</v>
      </c>
      <c r="Q4" s="58"/>
    </row>
    <row r="5" spans="1:30" ht="15.75" customHeight="1">
      <c r="A5" s="63" t="s">
        <v>255</v>
      </c>
      <c r="B5" s="170" t="s">
        <v>434</v>
      </c>
      <c r="C5" s="45" t="s">
        <v>15</v>
      </c>
      <c r="D5" s="7">
        <v>220</v>
      </c>
      <c r="E5" s="7">
        <v>155.55099999999999</v>
      </c>
      <c r="F5" s="6">
        <v>30</v>
      </c>
      <c r="G5" s="6">
        <f t="shared" si="0"/>
        <v>6600</v>
      </c>
      <c r="H5" s="6"/>
      <c r="I5" s="7">
        <f t="shared" si="2"/>
        <v>1933.4700000000003</v>
      </c>
      <c r="J5" s="8">
        <f t="shared" si="1"/>
        <v>0.41432713386606324</v>
      </c>
      <c r="K5" s="10" t="s">
        <v>304</v>
      </c>
      <c r="L5" s="53">
        <v>45638</v>
      </c>
      <c r="M5" s="7">
        <f>4*0.4*F5*0.9</f>
        <v>43.2</v>
      </c>
      <c r="N5" s="171">
        <f>SUM(G2:G50)</f>
        <v>65449</v>
      </c>
      <c r="P5" t="s">
        <v>251</v>
      </c>
      <c r="Q5" s="60"/>
    </row>
    <row r="6" spans="1:30" ht="15.75" customHeight="1">
      <c r="A6" s="63" t="s">
        <v>450</v>
      </c>
      <c r="B6" s="170" t="s">
        <v>19</v>
      </c>
      <c r="C6" s="45" t="s">
        <v>15</v>
      </c>
      <c r="D6" s="7">
        <v>187</v>
      </c>
      <c r="E6" s="7">
        <v>146.80000000000001</v>
      </c>
      <c r="F6" s="6">
        <v>11</v>
      </c>
      <c r="G6" s="6">
        <f t="shared" si="0"/>
        <v>2057</v>
      </c>
      <c r="H6" s="6"/>
      <c r="I6" s="7">
        <f t="shared" si="2"/>
        <v>442.19999999999982</v>
      </c>
      <c r="J6" s="8">
        <f t="shared" si="1"/>
        <v>0.27384196185286092</v>
      </c>
      <c r="K6" s="10" t="s">
        <v>304</v>
      </c>
      <c r="L6" s="53">
        <v>45638</v>
      </c>
      <c r="M6" s="7">
        <f>4*0.39*F6*0.9</f>
        <v>15.444000000000001</v>
      </c>
      <c r="P6" t="s">
        <v>240</v>
      </c>
      <c r="Q6" s="59"/>
    </row>
    <row r="7" spans="1:30" ht="15">
      <c r="A7" s="65" t="s">
        <v>463</v>
      </c>
      <c r="B7" s="173" t="s">
        <v>566</v>
      </c>
      <c r="C7" s="45" t="s">
        <v>15</v>
      </c>
      <c r="D7" s="7">
        <v>180</v>
      </c>
      <c r="E7" s="7">
        <v>172.92</v>
      </c>
      <c r="F7" s="6">
        <v>10</v>
      </c>
      <c r="G7" s="6">
        <f t="shared" si="0"/>
        <v>1800</v>
      </c>
      <c r="H7" s="6"/>
      <c r="I7" s="7">
        <f t="shared" si="2"/>
        <v>70.800000000000182</v>
      </c>
      <c r="J7" s="8">
        <f t="shared" si="1"/>
        <v>4.0943789035392308E-2</v>
      </c>
      <c r="K7" s="10" t="s">
        <v>304</v>
      </c>
      <c r="L7" s="53">
        <v>45638</v>
      </c>
      <c r="M7" s="7">
        <f>1*14*F7</f>
        <v>140</v>
      </c>
      <c r="N7" s="171" t="s">
        <v>539</v>
      </c>
      <c r="P7" s="35" t="s">
        <v>241</v>
      </c>
      <c r="Q7" s="61"/>
    </row>
    <row r="8" spans="1:30" ht="15.75" customHeight="1">
      <c r="A8" s="65" t="s">
        <v>254</v>
      </c>
      <c r="B8" s="170" t="s">
        <v>567</v>
      </c>
      <c r="C8" s="45" t="s">
        <v>15</v>
      </c>
      <c r="D8" s="7">
        <v>238</v>
      </c>
      <c r="E8" s="6">
        <v>161.39099999999999</v>
      </c>
      <c r="F8" s="6">
        <v>10</v>
      </c>
      <c r="G8" s="6">
        <f t="shared" si="0"/>
        <v>2380</v>
      </c>
      <c r="H8" s="6"/>
      <c r="I8" s="7">
        <f t="shared" si="2"/>
        <v>766.09000000000015</v>
      </c>
      <c r="J8" s="8">
        <f t="shared" si="1"/>
        <v>0.47467950505294598</v>
      </c>
      <c r="K8" s="10" t="s">
        <v>304</v>
      </c>
      <c r="L8" s="53">
        <v>45638</v>
      </c>
      <c r="M8" s="7">
        <v>0</v>
      </c>
      <c r="N8" s="179">
        <f>AVERAGE(J2:J29)</f>
        <v>4.6196671556880099E-2</v>
      </c>
    </row>
    <row r="9" spans="1:30" s="55" customFormat="1" ht="15.75" customHeight="1">
      <c r="A9" s="65" t="s">
        <v>460</v>
      </c>
      <c r="B9" s="170" t="s">
        <v>460</v>
      </c>
      <c r="C9" s="45" t="s">
        <v>15</v>
      </c>
      <c r="D9" s="7">
        <v>650</v>
      </c>
      <c r="E9" s="6">
        <v>621.24</v>
      </c>
      <c r="F9" s="6">
        <v>7</v>
      </c>
      <c r="G9" s="6">
        <f t="shared" si="0"/>
        <v>4550</v>
      </c>
      <c r="H9" s="6"/>
      <c r="I9" s="7">
        <f t="shared" si="2"/>
        <v>201.31999999999971</v>
      </c>
      <c r="J9" s="8">
        <f t="shared" si="1"/>
        <v>4.6294507758676051E-2</v>
      </c>
      <c r="K9" s="10" t="s">
        <v>304</v>
      </c>
      <c r="L9" s="53">
        <v>45638</v>
      </c>
      <c r="M9" s="7">
        <f>1*4*F9</f>
        <v>28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63" t="s">
        <v>137</v>
      </c>
      <c r="B10" s="170" t="s">
        <v>138</v>
      </c>
      <c r="C10" s="45" t="s">
        <v>15</v>
      </c>
      <c r="D10" s="7">
        <v>320</v>
      </c>
      <c r="E10" s="6">
        <v>250</v>
      </c>
      <c r="F10" s="6">
        <v>5</v>
      </c>
      <c r="G10" s="6">
        <f t="shared" si="0"/>
        <v>1600</v>
      </c>
      <c r="H10" s="6"/>
      <c r="I10" s="7">
        <f t="shared" si="2"/>
        <v>350</v>
      </c>
      <c r="J10" s="8">
        <f t="shared" si="1"/>
        <v>0.28000000000000003</v>
      </c>
      <c r="K10" s="10" t="s">
        <v>304</v>
      </c>
      <c r="L10" s="53">
        <v>45638</v>
      </c>
      <c r="M10" s="7">
        <f>4*2.45*F10*0.9</f>
        <v>44.1</v>
      </c>
      <c r="N10" s="171" t="s">
        <v>540</v>
      </c>
    </row>
    <row r="11" spans="1:30" ht="15">
      <c r="A11" s="65" t="s">
        <v>501</v>
      </c>
      <c r="B11" s="173" t="s">
        <v>452</v>
      </c>
      <c r="C11" s="45" t="s">
        <v>15</v>
      </c>
      <c r="D11" s="7">
        <v>29</v>
      </c>
      <c r="E11" s="7">
        <v>29.4</v>
      </c>
      <c r="F11" s="6">
        <v>200</v>
      </c>
      <c r="G11" s="6">
        <f t="shared" si="0"/>
        <v>5800</v>
      </c>
      <c r="H11" s="6"/>
      <c r="I11" s="7">
        <f t="shared" si="2"/>
        <v>-80</v>
      </c>
      <c r="J11" s="8">
        <f t="shared" si="1"/>
        <v>-1.3605442176870763E-2</v>
      </c>
      <c r="K11" s="10" t="s">
        <v>304</v>
      </c>
      <c r="L11" s="53">
        <v>45638</v>
      </c>
      <c r="M11" s="7">
        <f>0.85*0.43*F11*4</f>
        <v>292.39999999999998</v>
      </c>
      <c r="N11" s="180">
        <f>SUM(M2:M39)/N5*10000%</f>
        <v>2.5261592996073277</v>
      </c>
    </row>
    <row r="12" spans="1:30" s="56" customFormat="1" ht="15.75" customHeight="1">
      <c r="A12" s="65" t="s">
        <v>151</v>
      </c>
      <c r="B12" s="178" t="s">
        <v>152</v>
      </c>
      <c r="C12" s="45" t="s">
        <v>22</v>
      </c>
      <c r="D12" s="7">
        <v>230</v>
      </c>
      <c r="E12" s="7">
        <v>347.85399999999998</v>
      </c>
      <c r="F12" s="6">
        <v>5</v>
      </c>
      <c r="G12" s="6">
        <f t="shared" si="0"/>
        <v>1150</v>
      </c>
      <c r="H12" s="6"/>
      <c r="I12" s="7">
        <f t="shared" si="2"/>
        <v>-589.27</v>
      </c>
      <c r="J12" s="8">
        <f t="shared" si="1"/>
        <v>-0.33880306105435043</v>
      </c>
      <c r="K12" s="10" t="s">
        <v>304</v>
      </c>
      <c r="L12" s="53">
        <v>45638</v>
      </c>
      <c r="M12" s="7">
        <f>4*0.55*F12*0.9</f>
        <v>9.9</v>
      </c>
      <c r="N12" s="67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65" t="s">
        <v>529</v>
      </c>
      <c r="B13" s="177" t="s">
        <v>533</v>
      </c>
      <c r="C13" s="46" t="s">
        <v>15</v>
      </c>
      <c r="D13" s="7">
        <v>700</v>
      </c>
      <c r="E13" s="7">
        <v>736.56</v>
      </c>
      <c r="F13" s="6">
        <v>4</v>
      </c>
      <c r="G13" s="6">
        <f>F13*D13</f>
        <v>2800</v>
      </c>
      <c r="H13" s="6"/>
      <c r="I13" s="7">
        <f>(G13-(F13*E13)+H13)</f>
        <v>-146.23999999999978</v>
      </c>
      <c r="J13" s="8">
        <f>((D13*F13)+H13)/(E13*F13)-100%</f>
        <v>-4.9636146410339865E-2</v>
      </c>
      <c r="K13" s="10" t="s">
        <v>304</v>
      </c>
      <c r="L13" s="53">
        <v>45638</v>
      </c>
      <c r="M13" s="7">
        <f>4*1.51*F13*0.9</f>
        <v>21.744</v>
      </c>
    </row>
    <row r="14" spans="1:30" ht="15.75" customHeight="1">
      <c r="A14" s="65" t="s">
        <v>486</v>
      </c>
      <c r="B14" s="45"/>
      <c r="C14" s="45" t="s">
        <v>22</v>
      </c>
      <c r="D14" s="7">
        <v>29</v>
      </c>
      <c r="E14" s="7">
        <v>29</v>
      </c>
      <c r="F14" s="6">
        <v>100</v>
      </c>
      <c r="G14" s="6">
        <f t="shared" si="0"/>
        <v>2900</v>
      </c>
      <c r="H14" s="6"/>
      <c r="I14" s="7">
        <f t="shared" si="2"/>
        <v>0</v>
      </c>
      <c r="J14" s="8">
        <f t="shared" si="1"/>
        <v>0</v>
      </c>
      <c r="K14" s="10" t="s">
        <v>304</v>
      </c>
      <c r="L14" s="53">
        <v>45638</v>
      </c>
      <c r="M14" s="7">
        <f>4*0.75*F14*0.7</f>
        <v>210</v>
      </c>
    </row>
    <row r="15" spans="1:30" ht="15.75" customHeight="1">
      <c r="A15" s="65" t="s">
        <v>487</v>
      </c>
      <c r="B15" s="173"/>
      <c r="C15" s="45" t="s">
        <v>15</v>
      </c>
      <c r="D15" s="7">
        <v>93</v>
      </c>
      <c r="E15" s="7">
        <v>96.403000000000006</v>
      </c>
      <c r="F15" s="6">
        <v>30</v>
      </c>
      <c r="G15" s="6">
        <f t="shared" si="0"/>
        <v>2790</v>
      </c>
      <c r="H15" s="6"/>
      <c r="I15" s="7">
        <f t="shared" si="2"/>
        <v>-102.09000000000015</v>
      </c>
      <c r="J15" s="8">
        <f t="shared" si="1"/>
        <v>-3.5299731336161821E-2</v>
      </c>
      <c r="K15" s="10" t="s">
        <v>304</v>
      </c>
      <c r="L15" s="53">
        <v>45638</v>
      </c>
      <c r="M15" s="7">
        <f>4*0.9*0.05*F15</f>
        <v>5.4</v>
      </c>
    </row>
    <row r="16" spans="1:30" ht="15.75" customHeight="1">
      <c r="A16" s="65" t="s">
        <v>488</v>
      </c>
      <c r="B16" s="173"/>
      <c r="C16" s="45" t="s">
        <v>15</v>
      </c>
      <c r="D16" s="7">
        <v>127</v>
      </c>
      <c r="E16" s="7">
        <v>131.77199999999999</v>
      </c>
      <c r="F16" s="6">
        <v>11</v>
      </c>
      <c r="G16" s="6">
        <f t="shared" si="0"/>
        <v>1397</v>
      </c>
      <c r="H16" s="6"/>
      <c r="I16" s="7">
        <f t="shared" si="2"/>
        <v>-52.491999999999962</v>
      </c>
      <c r="J16" s="8">
        <f t="shared" si="1"/>
        <v>-3.6214066721306448E-2</v>
      </c>
      <c r="K16" s="10" t="s">
        <v>304</v>
      </c>
      <c r="L16" s="53">
        <v>45638</v>
      </c>
      <c r="M16" s="7">
        <f>4*0.9*1.12*F16</f>
        <v>44.352000000000011</v>
      </c>
    </row>
    <row r="17" spans="1:13" ht="15.75" customHeight="1">
      <c r="A17" s="65" t="s">
        <v>518</v>
      </c>
      <c r="B17" s="45"/>
      <c r="C17" s="45" t="s">
        <v>15</v>
      </c>
      <c r="D17" s="7">
        <v>180</v>
      </c>
      <c r="E17" s="7">
        <v>180</v>
      </c>
      <c r="F17" s="6">
        <v>10</v>
      </c>
      <c r="G17" s="6">
        <f t="shared" si="0"/>
        <v>1800</v>
      </c>
      <c r="H17" s="6"/>
      <c r="I17" s="7">
        <f t="shared" si="2"/>
        <v>0</v>
      </c>
      <c r="J17" s="8">
        <f t="shared" si="1"/>
        <v>0</v>
      </c>
      <c r="K17" s="10" t="s">
        <v>304</v>
      </c>
      <c r="L17" s="53">
        <v>45638</v>
      </c>
      <c r="M17" s="7">
        <f>0.7*5.3*F17</f>
        <v>37.099999999999994</v>
      </c>
    </row>
    <row r="18" spans="1:13" ht="15.75" customHeight="1">
      <c r="A18" s="65" t="s">
        <v>461</v>
      </c>
      <c r="B18" s="172"/>
      <c r="C18" s="45" t="s">
        <v>219</v>
      </c>
      <c r="D18" s="7">
        <v>30.6</v>
      </c>
      <c r="E18" s="7">
        <v>33.081400000000002</v>
      </c>
      <c r="F18" s="6">
        <v>100</v>
      </c>
      <c r="G18" s="6">
        <f t="shared" si="0"/>
        <v>3060</v>
      </c>
      <c r="H18" s="6"/>
      <c r="I18" s="7">
        <f t="shared" si="2"/>
        <v>-248.14000000000033</v>
      </c>
      <c r="J18" s="8">
        <f t="shared" si="1"/>
        <v>-7.5008917397691888E-2</v>
      </c>
      <c r="K18" s="10" t="s">
        <v>304</v>
      </c>
      <c r="L18" s="53">
        <v>45638</v>
      </c>
      <c r="M18" s="7">
        <f>4*0.9*0.4*F18</f>
        <v>144.00000000000003</v>
      </c>
    </row>
    <row r="19" spans="1:13" ht="15.75" customHeight="1">
      <c r="A19" s="65" t="s">
        <v>448</v>
      </c>
      <c r="B19" s="175"/>
      <c r="C19" s="46" t="s">
        <v>15</v>
      </c>
      <c r="D19" s="7">
        <v>160</v>
      </c>
      <c r="E19" s="7">
        <v>193.18</v>
      </c>
      <c r="F19" s="6">
        <v>7</v>
      </c>
      <c r="G19" s="6">
        <f t="shared" si="0"/>
        <v>1120</v>
      </c>
      <c r="H19" s="6"/>
      <c r="I19" s="7">
        <f t="shared" si="2"/>
        <v>-232.26</v>
      </c>
      <c r="J19" s="8">
        <f t="shared" si="1"/>
        <v>-0.1717569106532767</v>
      </c>
      <c r="K19" s="10" t="s">
        <v>304</v>
      </c>
      <c r="L19" s="53">
        <v>45638</v>
      </c>
      <c r="M19" s="7">
        <f t="shared" ref="M19" si="3">4*0.4*F19*0.9</f>
        <v>10.080000000000002</v>
      </c>
    </row>
    <row r="20" spans="1:13" ht="15.75" customHeight="1">
      <c r="A20" s="65" t="s">
        <v>499</v>
      </c>
      <c r="B20" s="172" t="s">
        <v>554</v>
      </c>
      <c r="C20" s="46" t="s">
        <v>15</v>
      </c>
      <c r="D20" s="7">
        <v>224</v>
      </c>
      <c r="E20" s="7">
        <v>163.898</v>
      </c>
      <c r="F20" s="6">
        <v>10</v>
      </c>
      <c r="G20" s="6">
        <f t="shared" si="0"/>
        <v>2240</v>
      </c>
      <c r="H20" s="6"/>
      <c r="I20" s="7">
        <f t="shared" si="2"/>
        <v>601.02</v>
      </c>
      <c r="J20" s="8">
        <f t="shared" si="1"/>
        <v>0.36670368155804223</v>
      </c>
      <c r="K20" s="10" t="s">
        <v>304</v>
      </c>
      <c r="L20" s="53">
        <v>45638</v>
      </c>
      <c r="M20" s="7">
        <f>4*0.94*F20*0.9</f>
        <v>33.839999999999996</v>
      </c>
    </row>
    <row r="21" spans="1:13" ht="15.75" customHeight="1">
      <c r="A21" s="65" t="s">
        <v>552</v>
      </c>
      <c r="B21" s="175" t="s">
        <v>553</v>
      </c>
      <c r="C21" s="46" t="s">
        <v>15</v>
      </c>
      <c r="D21" s="7">
        <v>390</v>
      </c>
      <c r="E21" s="7">
        <v>397.5</v>
      </c>
      <c r="F21" s="6">
        <v>7</v>
      </c>
      <c r="G21" s="6">
        <f t="shared" si="0"/>
        <v>2730</v>
      </c>
      <c r="I21" s="7">
        <f t="shared" si="2"/>
        <v>-52.5</v>
      </c>
      <c r="J21" s="8">
        <f t="shared" si="1"/>
        <v>-1.8867924528301883E-2</v>
      </c>
      <c r="K21" s="10" t="s">
        <v>304</v>
      </c>
      <c r="L21" s="53">
        <v>45694</v>
      </c>
      <c r="M21" s="7">
        <f>4*0.83*F21*0.9</f>
        <v>20.916</v>
      </c>
    </row>
    <row r="22" spans="1:13" ht="15.75" customHeight="1">
      <c r="A22" s="13" t="s">
        <v>498</v>
      </c>
      <c r="B22" s="173"/>
      <c r="C22" s="46" t="s">
        <v>15</v>
      </c>
      <c r="D22" s="7">
        <v>54</v>
      </c>
      <c r="E22" s="7">
        <v>57.3</v>
      </c>
      <c r="F22" s="7">
        <v>19</v>
      </c>
      <c r="G22" s="6">
        <f t="shared" si="0"/>
        <v>1026</v>
      </c>
      <c r="H22" s="6"/>
      <c r="I22" s="7">
        <f t="shared" si="2"/>
        <v>-62.700000000000045</v>
      </c>
      <c r="J22" s="8">
        <f t="shared" si="1"/>
        <v>-5.759162303664922E-2</v>
      </c>
      <c r="K22" s="10" t="s">
        <v>304</v>
      </c>
      <c r="L22" s="53">
        <v>45638</v>
      </c>
      <c r="M22" s="7">
        <f>4*0.67*F22*0.9</f>
        <v>45.828000000000003</v>
      </c>
    </row>
    <row r="23" spans="1:13" ht="15.75" customHeight="1">
      <c r="A23" s="13" t="s">
        <v>149</v>
      </c>
      <c r="B23" s="178"/>
      <c r="C23" s="46" t="s">
        <v>22</v>
      </c>
      <c r="D23" s="7">
        <v>708</v>
      </c>
      <c r="E23" s="7">
        <v>670.29330000000004</v>
      </c>
      <c r="F23" s="6">
        <v>3</v>
      </c>
      <c r="G23" s="6">
        <f t="shared" si="0"/>
        <v>2124</v>
      </c>
      <c r="H23" s="6"/>
      <c r="I23" s="7">
        <f t="shared" si="2"/>
        <v>113.12009999999987</v>
      </c>
      <c r="J23" s="8">
        <f t="shared" si="1"/>
        <v>5.6254030884688833E-2</v>
      </c>
      <c r="K23" s="10" t="s">
        <v>304</v>
      </c>
      <c r="L23" s="53">
        <v>45638</v>
      </c>
      <c r="M23" s="7">
        <f>3*13*0.75</f>
        <v>29.25</v>
      </c>
    </row>
    <row r="24" spans="1:13" ht="15.75" customHeight="1">
      <c r="A24" s="13" t="s">
        <v>343</v>
      </c>
      <c r="B24" s="178"/>
      <c r="C24" s="45" t="s">
        <v>15</v>
      </c>
      <c r="D24" s="7">
        <v>72</v>
      </c>
      <c r="E24" s="7">
        <v>69.368399999999994</v>
      </c>
      <c r="F24" s="6">
        <v>25</v>
      </c>
      <c r="G24" s="6">
        <f t="shared" si="0"/>
        <v>1800</v>
      </c>
      <c r="H24" s="6"/>
      <c r="I24" s="7">
        <f t="shared" si="2"/>
        <v>65.790000000000191</v>
      </c>
      <c r="J24" s="8">
        <f t="shared" si="1"/>
        <v>3.7936582074835412E-2</v>
      </c>
      <c r="K24" s="10" t="s">
        <v>304</v>
      </c>
      <c r="L24" s="53">
        <v>45638</v>
      </c>
      <c r="M24" s="7">
        <f>4*0.4*F24*0.9</f>
        <v>36</v>
      </c>
    </row>
    <row r="25" spans="1:13" ht="15.75" customHeight="1">
      <c r="A25" s="66" t="s">
        <v>131</v>
      </c>
      <c r="B25" s="173"/>
      <c r="C25" s="45" t="s">
        <v>15</v>
      </c>
      <c r="D25" s="7">
        <v>115</v>
      </c>
      <c r="E25" s="7">
        <v>103.254</v>
      </c>
      <c r="F25" s="6">
        <v>19</v>
      </c>
      <c r="G25" s="6">
        <f t="shared" si="0"/>
        <v>2185</v>
      </c>
      <c r="H25" s="6"/>
      <c r="I25" s="7">
        <f t="shared" si="2"/>
        <v>223.17399999999998</v>
      </c>
      <c r="J25" s="8">
        <f t="shared" si="1"/>
        <v>0.11375830476301152</v>
      </c>
      <c r="K25" s="10" t="s">
        <v>304</v>
      </c>
      <c r="L25" s="53">
        <v>45638</v>
      </c>
      <c r="M25" s="7">
        <f>4*0.96*F25*0.9</f>
        <v>65.664000000000001</v>
      </c>
    </row>
    <row r="26" spans="1:13" ht="15.75" customHeight="1">
      <c r="A26" s="66" t="s">
        <v>500</v>
      </c>
      <c r="B26" s="172"/>
      <c r="C26" s="45" t="s">
        <v>22</v>
      </c>
      <c r="D26" s="7">
        <v>74</v>
      </c>
      <c r="E26" s="7">
        <v>71.162000000000006</v>
      </c>
      <c r="F26" s="6">
        <v>20</v>
      </c>
      <c r="G26" s="6">
        <f t="shared" si="0"/>
        <v>1480</v>
      </c>
      <c r="H26" s="6"/>
      <c r="I26" s="7">
        <f t="shared" si="2"/>
        <v>56.759999999999764</v>
      </c>
      <c r="J26" s="8">
        <f t="shared" si="1"/>
        <v>3.9880835277254612E-2</v>
      </c>
      <c r="K26" s="10" t="s">
        <v>304</v>
      </c>
      <c r="L26" s="53">
        <v>45303</v>
      </c>
      <c r="M26" s="7">
        <f>4*1.34*F26*0.9</f>
        <v>96.48</v>
      </c>
    </row>
    <row r="27" spans="1:13" ht="15.75" customHeight="1">
      <c r="A27" s="66" t="s">
        <v>503</v>
      </c>
      <c r="B27" s="172"/>
      <c r="C27" s="45" t="s">
        <v>15</v>
      </c>
      <c r="D27" s="7">
        <v>62</v>
      </c>
      <c r="E27" s="7">
        <v>68.793750000000003</v>
      </c>
      <c r="F27" s="6">
        <v>20</v>
      </c>
      <c r="G27" s="6">
        <f t="shared" si="0"/>
        <v>1240</v>
      </c>
      <c r="H27" s="6"/>
      <c r="I27" s="7">
        <f t="shared" si="2"/>
        <v>-135.875</v>
      </c>
      <c r="J27" s="8">
        <f t="shared" si="1"/>
        <v>-9.8755337512492103E-2</v>
      </c>
      <c r="K27" s="10" t="s">
        <v>304</v>
      </c>
      <c r="L27" s="53">
        <v>45638</v>
      </c>
      <c r="M27" s="7">
        <f>4*0.22*F27*0.9</f>
        <v>15.840000000000002</v>
      </c>
    </row>
    <row r="28" spans="1:13" ht="15.75" customHeight="1">
      <c r="A28" s="13" t="s">
        <v>299</v>
      </c>
      <c r="B28" s="172"/>
      <c r="C28" s="46" t="s">
        <v>15</v>
      </c>
      <c r="D28" s="7">
        <v>165</v>
      </c>
      <c r="E28" s="7">
        <v>163.898</v>
      </c>
      <c r="F28" s="7">
        <v>10</v>
      </c>
      <c r="G28" s="6">
        <f>F28*D28</f>
        <v>1650</v>
      </c>
      <c r="H28" s="6"/>
      <c r="I28" s="7">
        <f>(G28-(F28*E28)+H28)</f>
        <v>11.019999999999982</v>
      </c>
      <c r="J28" s="8">
        <f>((D28*F28)+H28)/(E28*F28)-100%</f>
        <v>6.7236940048078786E-3</v>
      </c>
      <c r="K28" s="10" t="s">
        <v>304</v>
      </c>
      <c r="L28" s="53">
        <v>45449</v>
      </c>
      <c r="M28" s="7">
        <f>4*0*F28*0.9</f>
        <v>0</v>
      </c>
    </row>
    <row r="29" spans="1:13" ht="15.75" customHeight="1">
      <c r="A29" s="66"/>
    </row>
    <row r="30" spans="1:13" ht="15.75" customHeight="1">
      <c r="A30" s="66"/>
      <c r="D30" s="7"/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304</v>
      </c>
      <c r="L30" s="53">
        <v>45638</v>
      </c>
      <c r="M30" s="7"/>
    </row>
    <row r="31" spans="1:13" ht="15.75" customHeight="1">
      <c r="A31" s="66"/>
      <c r="D31" s="7"/>
      <c r="E31" s="7"/>
      <c r="F31" s="6"/>
      <c r="G31" s="6">
        <f t="shared" si="0"/>
        <v>0</v>
      </c>
      <c r="H31" s="6"/>
      <c r="I31" s="7">
        <f t="shared" si="2"/>
        <v>0</v>
      </c>
      <c r="J31" s="8" t="e">
        <f t="shared" si="1"/>
        <v>#DIV/0!</v>
      </c>
      <c r="K31" s="10" t="s">
        <v>304</v>
      </c>
      <c r="L31" s="53">
        <v>45638</v>
      </c>
      <c r="M31" s="7"/>
    </row>
    <row r="32" spans="1:13" ht="15.75" customHeight="1">
      <c r="A32" s="13" t="s">
        <v>489</v>
      </c>
      <c r="B32" s="6"/>
      <c r="C32" s="6"/>
      <c r="D32" s="7"/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304</v>
      </c>
      <c r="L32" s="53">
        <v>45638</v>
      </c>
      <c r="M32" s="7"/>
    </row>
    <row r="33" spans="1:13" ht="15.75" customHeight="1">
      <c r="A33" s="13" t="s">
        <v>447</v>
      </c>
      <c r="B33" s="6" t="s">
        <v>565</v>
      </c>
      <c r="C33" s="45" t="s">
        <v>15</v>
      </c>
      <c r="D33" s="7"/>
      <c r="E33" s="7"/>
      <c r="F33" s="6"/>
      <c r="G33" s="6">
        <f t="shared" si="0"/>
        <v>0</v>
      </c>
      <c r="H33" s="6"/>
      <c r="I33" s="7">
        <f t="shared" si="2"/>
        <v>0</v>
      </c>
      <c r="J33" s="8" t="e">
        <f t="shared" si="1"/>
        <v>#DIV/0!</v>
      </c>
      <c r="K33" s="10" t="s">
        <v>304</v>
      </c>
      <c r="L33" s="53">
        <v>45638</v>
      </c>
      <c r="M33" s="7"/>
    </row>
    <row r="34" spans="1:13" ht="15.75" customHeight="1">
      <c r="A34" s="13" t="s">
        <v>455</v>
      </c>
      <c r="B34" s="6" t="s">
        <v>456</v>
      </c>
      <c r="C34" s="45" t="s">
        <v>15</v>
      </c>
      <c r="D34" s="7"/>
      <c r="E34" s="7"/>
      <c r="F34" s="6"/>
      <c r="G34" s="6">
        <f t="shared" si="0"/>
        <v>0</v>
      </c>
      <c r="H34" s="6"/>
      <c r="I34" s="7">
        <f t="shared" si="2"/>
        <v>0</v>
      </c>
      <c r="J34" s="8" t="e">
        <f t="shared" si="1"/>
        <v>#DIV/0!</v>
      </c>
      <c r="K34" s="10" t="s">
        <v>304</v>
      </c>
      <c r="L34" s="53">
        <v>45638</v>
      </c>
      <c r="M34" s="7"/>
    </row>
    <row r="35" spans="1:13" ht="15.75" customHeight="1">
      <c r="A35" s="66" t="s">
        <v>563</v>
      </c>
      <c r="B35" s="6" t="s">
        <v>564</v>
      </c>
      <c r="C35" s="45" t="s">
        <v>15</v>
      </c>
      <c r="D35" s="7"/>
      <c r="E35" s="7"/>
      <c r="F35" s="6"/>
      <c r="G35" s="6">
        <f t="shared" si="0"/>
        <v>0</v>
      </c>
      <c r="H35" s="6"/>
      <c r="I35" s="7">
        <f t="shared" si="2"/>
        <v>0</v>
      </c>
      <c r="J35" s="8" t="e">
        <f t="shared" si="1"/>
        <v>#DIV/0!</v>
      </c>
      <c r="K35" s="10" t="s">
        <v>304</v>
      </c>
      <c r="L35" s="53">
        <v>45638</v>
      </c>
      <c r="M35" s="7"/>
    </row>
    <row r="36" spans="1:13" ht="15.75" customHeight="1">
      <c r="A36" s="13" t="s">
        <v>519</v>
      </c>
      <c r="B36" s="6"/>
      <c r="C36" s="45"/>
      <c r="D36" s="7"/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304</v>
      </c>
      <c r="L36" s="53">
        <v>45638</v>
      </c>
      <c r="M36" s="53"/>
    </row>
    <row r="37" spans="1:13" ht="15.75" customHeight="1">
      <c r="A37" s="13" t="s">
        <v>462</v>
      </c>
      <c r="B37" s="6"/>
      <c r="C37" s="6"/>
      <c r="D37" s="7">
        <v>39</v>
      </c>
      <c r="E37" s="7">
        <v>29</v>
      </c>
      <c r="F37" s="6"/>
      <c r="G37" s="6">
        <f>F37*D37</f>
        <v>0</v>
      </c>
      <c r="H37" s="6"/>
      <c r="I37" s="7">
        <f t="shared" si="2"/>
        <v>0</v>
      </c>
      <c r="J37" s="8" t="e">
        <f t="shared" si="1"/>
        <v>#DIV/0!</v>
      </c>
      <c r="K37" s="10" t="s">
        <v>304</v>
      </c>
      <c r="L37" s="53">
        <v>45638</v>
      </c>
      <c r="M37" s="53"/>
    </row>
    <row r="38" spans="1:13" ht="15">
      <c r="A38" s="13" t="s">
        <v>449</v>
      </c>
      <c r="B38" s="6"/>
      <c r="C38" s="6"/>
      <c r="D38" s="7"/>
      <c r="E38" s="7"/>
      <c r="F38" s="6"/>
      <c r="G38" s="6">
        <f t="shared" si="0"/>
        <v>0</v>
      </c>
      <c r="H38" s="6"/>
      <c r="I38" s="7">
        <f t="shared" si="2"/>
        <v>0</v>
      </c>
      <c r="J38" s="8" t="e">
        <f t="shared" si="1"/>
        <v>#DIV/0!</v>
      </c>
      <c r="K38" s="10" t="s">
        <v>304</v>
      </c>
      <c r="L38" s="53">
        <v>45638</v>
      </c>
      <c r="M38" s="53"/>
    </row>
    <row r="39" spans="1:13" ht="15">
      <c r="A39" s="66" t="s">
        <v>485</v>
      </c>
      <c r="B39" s="45"/>
      <c r="C39" s="46" t="s">
        <v>22</v>
      </c>
      <c r="D39" s="7"/>
      <c r="E39" s="7">
        <v>34</v>
      </c>
      <c r="F39" s="6"/>
      <c r="G39" s="6">
        <f>F39*D39</f>
        <v>0</v>
      </c>
      <c r="H39" s="6"/>
      <c r="I39" s="7">
        <f>(G39-(F39*E39)+H39)</f>
        <v>0</v>
      </c>
      <c r="J39" s="8" t="e">
        <f>((D39*F39)+H39)/(E39*F39)-100%</f>
        <v>#DIV/0!</v>
      </c>
      <c r="K39" s="10" t="s">
        <v>304</v>
      </c>
      <c r="L39" s="53">
        <v>45638</v>
      </c>
      <c r="M39" s="7">
        <f>4*1.3*F39*0.9</f>
        <v>0</v>
      </c>
    </row>
    <row r="40" spans="1:13" ht="15">
      <c r="A40" s="13"/>
      <c r="B40" s="45"/>
      <c r="C40" s="45"/>
      <c r="D40" s="7"/>
      <c r="E40" s="7"/>
      <c r="F40" s="6"/>
      <c r="G40" s="6">
        <f t="shared" si="0"/>
        <v>0</v>
      </c>
      <c r="H40" s="6"/>
      <c r="I40" s="7"/>
      <c r="J40" s="8" t="e">
        <f t="shared" si="1"/>
        <v>#DIV/0!</v>
      </c>
      <c r="K40" s="10" t="s">
        <v>304</v>
      </c>
      <c r="L40" s="53">
        <v>45638</v>
      </c>
      <c r="M40" s="53"/>
    </row>
    <row r="41" spans="1:13" ht="15">
      <c r="A41" s="13"/>
      <c r="B41" s="45"/>
      <c r="C41" s="45"/>
      <c r="D41" s="7"/>
      <c r="E41" s="7"/>
      <c r="F41" s="6"/>
      <c r="G41" s="6">
        <f t="shared" si="0"/>
        <v>0</v>
      </c>
      <c r="H41" s="6"/>
      <c r="I41" s="7"/>
      <c r="J41" s="8" t="e">
        <f t="shared" si="1"/>
        <v>#DIV/0!</v>
      </c>
      <c r="K41" s="10" t="s">
        <v>304</v>
      </c>
      <c r="L41" s="53">
        <v>45638</v>
      </c>
      <c r="M41" s="53"/>
    </row>
    <row r="42" spans="1:13" ht="15">
      <c r="A42" s="13"/>
      <c r="B42" s="45"/>
      <c r="C42" s="45"/>
      <c r="D42" s="7"/>
      <c r="E42" s="6"/>
      <c r="F42" s="6"/>
      <c r="G42" s="6">
        <f t="shared" si="0"/>
        <v>0</v>
      </c>
      <c r="H42" s="6"/>
      <c r="I42" s="7"/>
      <c r="J42" s="8" t="e">
        <f t="shared" si="1"/>
        <v>#DIV/0!</v>
      </c>
      <c r="K42" s="10" t="s">
        <v>304</v>
      </c>
      <c r="L42" s="53">
        <v>45638</v>
      </c>
      <c r="M42" s="53"/>
    </row>
    <row r="43" spans="1:13" ht="15">
      <c r="A43" s="13"/>
      <c r="B43" s="45"/>
      <c r="C43" s="45"/>
      <c r="D43" s="7"/>
      <c r="G43" s="6">
        <f t="shared" si="0"/>
        <v>0</v>
      </c>
      <c r="H43" s="6"/>
      <c r="I43" s="7"/>
      <c r="J43" s="8" t="e">
        <f t="shared" si="1"/>
        <v>#DIV/0!</v>
      </c>
      <c r="K43" s="10" t="s">
        <v>304</v>
      </c>
      <c r="L43" s="53">
        <v>45638</v>
      </c>
      <c r="M43" s="53"/>
    </row>
    <row r="44" spans="1:13" ht="15">
      <c r="A44" s="13"/>
      <c r="B44" s="45"/>
      <c r="C44" s="45"/>
      <c r="D44" s="7"/>
      <c r="E44" s="7"/>
      <c r="F44" s="6"/>
      <c r="G44" s="6"/>
      <c r="H44" s="6"/>
      <c r="I44" s="7"/>
      <c r="J44" s="8" t="e">
        <f t="shared" si="1"/>
        <v>#DIV/0!</v>
      </c>
      <c r="K44" s="10" t="s">
        <v>304</v>
      </c>
      <c r="L44" s="53">
        <v>45638</v>
      </c>
      <c r="M44" s="53"/>
    </row>
    <row r="45" spans="1:13" ht="15">
      <c r="A45" s="13"/>
      <c r="B45" s="45"/>
      <c r="C45" s="45"/>
      <c r="D45" s="7"/>
      <c r="E45" s="7"/>
      <c r="F45" s="6"/>
      <c r="G45" s="6"/>
      <c r="H45" s="6"/>
      <c r="I45" s="7"/>
      <c r="J45" s="8" t="e">
        <f t="shared" si="1"/>
        <v>#DIV/0!</v>
      </c>
      <c r="K45" s="10" t="s">
        <v>304</v>
      </c>
      <c r="L45" s="53">
        <v>45638</v>
      </c>
      <c r="M45" s="53"/>
    </row>
    <row r="46" spans="1:13" ht="15">
      <c r="A46" s="13"/>
      <c r="B46" s="45"/>
      <c r="C46" s="45"/>
      <c r="D46" s="7"/>
      <c r="E46" s="7"/>
      <c r="F46" s="6"/>
      <c r="G46" s="6"/>
      <c r="I46" s="7"/>
      <c r="J46" s="8" t="e">
        <f t="shared" si="1"/>
        <v>#DIV/0!</v>
      </c>
      <c r="K46" s="10" t="s">
        <v>304</v>
      </c>
      <c r="L46" s="53">
        <v>45638</v>
      </c>
      <c r="M46" s="53"/>
    </row>
    <row r="47" spans="1:13" ht="15">
      <c r="A47" s="13"/>
      <c r="B47" s="45"/>
      <c r="C47" s="45"/>
      <c r="D47" s="7"/>
      <c r="E47" s="7"/>
      <c r="F47" s="6"/>
      <c r="G47" s="6"/>
      <c r="H47" s="6"/>
      <c r="I47" s="7"/>
      <c r="J47" s="8" t="e">
        <f t="shared" si="1"/>
        <v>#DIV/0!</v>
      </c>
      <c r="K47" s="10" t="s">
        <v>304</v>
      </c>
      <c r="L47" s="53">
        <v>45638</v>
      </c>
      <c r="M47" s="53"/>
    </row>
    <row r="48" spans="1:13" ht="15">
      <c r="A48" s="13"/>
      <c r="B48" s="45"/>
      <c r="C48" s="45"/>
      <c r="D48" s="7"/>
      <c r="E48" s="7"/>
      <c r="F48" s="6"/>
      <c r="G48" s="6"/>
      <c r="H48" s="6"/>
      <c r="I48" s="7"/>
      <c r="J48" s="8" t="e">
        <f t="shared" si="1"/>
        <v>#DIV/0!</v>
      </c>
      <c r="K48" s="10" t="s">
        <v>304</v>
      </c>
      <c r="L48" s="53">
        <v>45638</v>
      </c>
      <c r="M48" s="53"/>
    </row>
    <row r="49" spans="1:13" ht="15">
      <c r="A49" s="13"/>
      <c r="C49" s="45"/>
      <c r="D49" s="7"/>
      <c r="G49" s="6"/>
      <c r="H49" s="6"/>
      <c r="I49" s="7"/>
      <c r="J49" s="8" t="e">
        <f t="shared" si="1"/>
        <v>#DIV/0!</v>
      </c>
      <c r="K49" s="10" t="s">
        <v>304</v>
      </c>
      <c r="L49" s="53">
        <v>45638</v>
      </c>
      <c r="M49" s="53"/>
    </row>
    <row r="50" spans="1:13" ht="15">
      <c r="A50" s="13"/>
      <c r="B50" s="45"/>
      <c r="C50" s="45"/>
      <c r="D50" s="7"/>
      <c r="E50" s="7"/>
      <c r="F50" s="6"/>
      <c r="G50" s="6"/>
      <c r="H50" s="6"/>
      <c r="I50" s="7"/>
      <c r="J50" s="8" t="e">
        <f t="shared" si="1"/>
        <v>#DIV/0!</v>
      </c>
      <c r="K50" s="10" t="s">
        <v>304</v>
      </c>
      <c r="L50" s="53">
        <v>45638</v>
      </c>
      <c r="M50" s="53"/>
    </row>
    <row r="51" spans="1:13" ht="15">
      <c r="A51" s="13"/>
      <c r="B51" s="45"/>
      <c r="C51" s="45"/>
      <c r="D51" s="7"/>
      <c r="E51" s="7"/>
      <c r="F51" s="6"/>
      <c r="G51" s="6"/>
      <c r="H51" s="6"/>
      <c r="I51" s="7"/>
      <c r="J51" s="8" t="e">
        <f t="shared" si="1"/>
        <v>#DIV/0!</v>
      </c>
      <c r="K51" s="10" t="s">
        <v>304</v>
      </c>
      <c r="L51" s="53">
        <v>45638</v>
      </c>
      <c r="M51" s="53"/>
    </row>
    <row r="52" spans="1:13" ht="15">
      <c r="A52" s="13"/>
      <c r="B52" s="45"/>
      <c r="C52" s="45"/>
      <c r="D52" s="7"/>
      <c r="E52" s="7"/>
      <c r="F52" s="6"/>
      <c r="G52" s="6"/>
      <c r="I52" s="7"/>
      <c r="J52" s="8" t="e">
        <f t="shared" si="1"/>
        <v>#DIV/0!</v>
      </c>
      <c r="K52" s="10" t="s">
        <v>304</v>
      </c>
      <c r="L52" s="53">
        <v>45638</v>
      </c>
      <c r="M52" s="53"/>
    </row>
    <row r="53" spans="1:13" ht="15">
      <c r="A53" s="13"/>
      <c r="B53" s="45"/>
      <c r="C53" s="45"/>
      <c r="D53" s="7"/>
      <c r="E53" s="7"/>
      <c r="F53" s="6"/>
      <c r="G53" s="6"/>
      <c r="H53" s="6"/>
      <c r="I53" s="7"/>
      <c r="J53" s="8" t="e">
        <f t="shared" si="1"/>
        <v>#DIV/0!</v>
      </c>
      <c r="K53" s="10" t="s">
        <v>304</v>
      </c>
      <c r="L53" s="53">
        <v>45638</v>
      </c>
      <c r="M53" s="40"/>
    </row>
    <row r="54" spans="1:13" ht="15">
      <c r="A54" s="13"/>
      <c r="G54" s="6"/>
      <c r="H54" s="6"/>
      <c r="I54" s="7"/>
      <c r="J54" s="8"/>
      <c r="K54" s="10"/>
      <c r="L54" s="40"/>
      <c r="M54" s="40"/>
    </row>
    <row r="55" spans="1:13" ht="15">
      <c r="A55" s="13"/>
      <c r="G55" s="6"/>
      <c r="H55" s="6"/>
      <c r="I55" s="7"/>
      <c r="J55" s="8"/>
      <c r="K55" s="10"/>
      <c r="L55" s="40"/>
      <c r="M55" s="40"/>
    </row>
    <row r="56" spans="1:13" ht="15">
      <c r="A56" s="13"/>
      <c r="G56" s="6"/>
      <c r="H56" s="6"/>
      <c r="I56" s="7"/>
      <c r="J56" s="8"/>
      <c r="K56" s="10"/>
      <c r="L56" s="40"/>
      <c r="M56" s="40"/>
    </row>
    <row r="57" spans="1:13" ht="15">
      <c r="A57" s="13"/>
      <c r="G57" s="6"/>
      <c r="H57" s="6"/>
      <c r="I57" s="7"/>
      <c r="J57" s="8"/>
      <c r="K57" s="10"/>
      <c r="L57" s="40"/>
      <c r="M57" s="40"/>
    </row>
    <row r="58" spans="1:13" ht="15">
      <c r="A58" s="13"/>
      <c r="G58" s="6"/>
      <c r="H58" s="6"/>
      <c r="I58" s="7"/>
      <c r="J58" s="8"/>
      <c r="K58" s="10"/>
      <c r="L58" s="40"/>
      <c r="M58" s="40"/>
    </row>
    <row r="59" spans="1:13" ht="15">
      <c r="A59" s="13"/>
      <c r="G59" s="6"/>
      <c r="H59" s="6"/>
      <c r="I59" s="7"/>
      <c r="J59" s="8"/>
      <c r="K59" s="10"/>
      <c r="L59" s="40"/>
      <c r="M59" s="40"/>
    </row>
    <row r="60" spans="1:13" ht="15">
      <c r="A60" s="13"/>
      <c r="B60" s="45"/>
      <c r="C60" s="45"/>
      <c r="D60" s="7"/>
      <c r="E60" s="7"/>
      <c r="F60" s="6"/>
      <c r="G60" s="6"/>
      <c r="H60" s="6"/>
      <c r="I60" s="7"/>
      <c r="J60" s="8"/>
      <c r="K60" s="10"/>
      <c r="L60" s="40"/>
      <c r="M60" s="40"/>
    </row>
    <row r="61" spans="1:13" ht="15">
      <c r="A61" s="13"/>
      <c r="G61" s="6"/>
      <c r="H61" s="6"/>
      <c r="I61" s="7"/>
      <c r="J61" s="8"/>
      <c r="K61" s="10"/>
      <c r="L61" s="40"/>
      <c r="M61" s="40"/>
    </row>
    <row r="62" spans="1:13" ht="15">
      <c r="A62" s="13"/>
      <c r="G62" s="6"/>
      <c r="H62" s="6"/>
      <c r="I62" s="7"/>
      <c r="J62" s="8"/>
      <c r="K62" s="10"/>
      <c r="L62" s="40"/>
      <c r="M62" s="40"/>
    </row>
    <row r="63" spans="1:13" ht="15">
      <c r="A63" s="13"/>
      <c r="G63" s="6"/>
      <c r="H63" s="6"/>
      <c r="I63" s="7"/>
      <c r="J63" s="8"/>
      <c r="K63" s="10"/>
      <c r="L63" s="40"/>
      <c r="M63" s="40"/>
    </row>
    <row r="64" spans="1:13" ht="15">
      <c r="A64" s="13"/>
      <c r="G64" s="6"/>
      <c r="H64" s="6"/>
      <c r="I64" s="7"/>
      <c r="J64" s="8"/>
      <c r="K64" s="10"/>
      <c r="L64" s="40"/>
      <c r="M64" s="40"/>
    </row>
    <row r="65" spans="1:40" ht="15">
      <c r="A65" s="13"/>
      <c r="G65" s="6"/>
      <c r="H65" s="6"/>
      <c r="I65" s="7"/>
      <c r="J65" s="8"/>
      <c r="K65" s="10"/>
      <c r="L65" s="40"/>
      <c r="M65" s="40"/>
    </row>
    <row r="66" spans="1:40" ht="15">
      <c r="A66" s="13"/>
      <c r="B66" s="45"/>
      <c r="C66" s="45"/>
      <c r="D66" s="6"/>
      <c r="E66" s="7"/>
      <c r="F66" s="6"/>
      <c r="G66" s="6"/>
      <c r="H66" s="6"/>
      <c r="I66" s="7"/>
      <c r="J66" s="8"/>
      <c r="K66" s="10"/>
      <c r="L66" s="40"/>
      <c r="M66" s="40"/>
    </row>
    <row r="67" spans="1:40" ht="15">
      <c r="A67" s="13"/>
      <c r="B67" s="45"/>
      <c r="C67" s="45"/>
      <c r="G67" s="6"/>
      <c r="H67" s="6"/>
      <c r="I67" s="7"/>
      <c r="J67" s="8"/>
      <c r="K67" s="10"/>
      <c r="L67" s="40"/>
      <c r="M67" s="40"/>
    </row>
    <row r="68" spans="1:40" ht="15">
      <c r="A68" s="13"/>
      <c r="B68" s="45"/>
      <c r="C68" s="45"/>
      <c r="D68" s="6"/>
      <c r="E68" s="7"/>
      <c r="F68" s="6"/>
      <c r="G68" s="6"/>
      <c r="H68" s="6"/>
      <c r="I68" s="7"/>
      <c r="J68" s="8"/>
      <c r="K68" s="10"/>
      <c r="L68" s="40"/>
      <c r="M68" s="40"/>
    </row>
    <row r="69" spans="1:40" ht="15">
      <c r="A69" s="13"/>
      <c r="B69" s="45"/>
      <c r="C69" s="45"/>
      <c r="D69" s="6"/>
      <c r="E69" s="7"/>
      <c r="F69" s="6"/>
      <c r="G69" s="6"/>
      <c r="H69" s="6"/>
      <c r="I69" s="7"/>
      <c r="J69" s="8"/>
      <c r="K69" s="10"/>
      <c r="L69" s="40"/>
      <c r="M69" s="40"/>
    </row>
    <row r="70" spans="1:40" ht="15">
      <c r="A70" s="13"/>
      <c r="B70" s="45"/>
      <c r="C70" s="45"/>
      <c r="D70" s="6"/>
      <c r="E70" s="7"/>
      <c r="F70" s="6"/>
      <c r="G70" s="6"/>
      <c r="H70" s="6"/>
      <c r="I70" s="7"/>
      <c r="J70" s="8"/>
      <c r="K70" s="10"/>
      <c r="L70" s="40"/>
      <c r="M70" s="40"/>
    </row>
    <row r="71" spans="1:40" ht="15">
      <c r="A71" s="13"/>
      <c r="G71" s="6"/>
      <c r="H71" s="6"/>
      <c r="I71" s="7"/>
      <c r="J71" s="8"/>
      <c r="K71" s="10"/>
      <c r="L71" s="40"/>
      <c r="M71" s="40"/>
    </row>
    <row r="72" spans="1:40" ht="15">
      <c r="A72" s="13"/>
      <c r="B72" s="45"/>
      <c r="C72" s="45"/>
      <c r="D72" s="7"/>
      <c r="E72" s="7"/>
      <c r="F72" s="6"/>
      <c r="G72" s="6"/>
      <c r="H72" s="6"/>
      <c r="I72" s="7"/>
      <c r="J72" s="8"/>
      <c r="K72" s="10"/>
      <c r="L72" s="40"/>
      <c r="M72" s="40"/>
    </row>
    <row r="73" spans="1:40" ht="15">
      <c r="A73" s="13"/>
      <c r="B73" s="45"/>
      <c r="C73" s="45"/>
      <c r="D73" s="7"/>
      <c r="E73" s="7"/>
      <c r="F73" s="6"/>
      <c r="G73" s="6"/>
      <c r="H73" s="6"/>
      <c r="I73" s="7"/>
      <c r="J73" s="8"/>
      <c r="K73" s="10"/>
      <c r="L73" s="40"/>
      <c r="M73" s="40"/>
    </row>
    <row r="74" spans="1:40" ht="15">
      <c r="A74" s="13"/>
      <c r="B74" s="45"/>
      <c r="C74" s="45"/>
      <c r="D74" s="7"/>
      <c r="E74" s="7"/>
      <c r="F74" s="6"/>
      <c r="G74" s="6"/>
      <c r="H74" s="6"/>
      <c r="I74" s="7"/>
      <c r="J74" s="8"/>
      <c r="K74" s="10"/>
      <c r="L74" s="40"/>
      <c r="M74" s="40"/>
    </row>
    <row r="75" spans="1:40" ht="15">
      <c r="A75" s="13"/>
      <c r="B75" s="45"/>
      <c r="C75" s="45"/>
      <c r="D75" s="7"/>
      <c r="E75" s="7"/>
      <c r="F75" s="6"/>
      <c r="G75" s="6"/>
      <c r="H75" s="6"/>
      <c r="I75" s="7"/>
      <c r="J75" s="8"/>
      <c r="K75" s="10"/>
      <c r="L75" s="40"/>
      <c r="M75" s="40"/>
    </row>
    <row r="76" spans="1:40" ht="15">
      <c r="A76" s="13"/>
      <c r="B76" s="45"/>
      <c r="C76" s="45"/>
      <c r="D76" s="7"/>
      <c r="E76" s="7"/>
      <c r="F76" s="6"/>
      <c r="G76" s="6"/>
      <c r="H76" s="6"/>
      <c r="I76" s="7"/>
      <c r="J76" s="8"/>
      <c r="K76" s="10"/>
      <c r="L76" s="40"/>
      <c r="M76" s="40"/>
    </row>
    <row r="77" spans="1:40" ht="15">
      <c r="A77" s="13"/>
      <c r="B77" s="45"/>
      <c r="C77" s="45"/>
      <c r="D77" s="7"/>
      <c r="E77" s="7"/>
      <c r="F77" s="6"/>
      <c r="G77" s="6"/>
      <c r="H77" s="6"/>
      <c r="I77" s="7"/>
      <c r="J77" s="8"/>
      <c r="K77" s="10"/>
      <c r="L77" s="40"/>
      <c r="M77" s="40"/>
    </row>
    <row r="78" spans="1:40" ht="15">
      <c r="A78" s="13"/>
      <c r="B78" s="45"/>
      <c r="C78" s="45"/>
      <c r="D78" s="7"/>
      <c r="E78" s="7"/>
      <c r="F78" s="6"/>
      <c r="G78" s="6"/>
      <c r="H78" s="6"/>
      <c r="I78" s="7"/>
      <c r="J78" s="8"/>
      <c r="K78" s="10"/>
      <c r="L78" s="40"/>
      <c r="M78" s="40"/>
    </row>
    <row r="79" spans="1:40" ht="15">
      <c r="A79" s="13"/>
      <c r="B79" s="45"/>
      <c r="C79" s="45"/>
      <c r="D79" s="7"/>
      <c r="E79" s="7"/>
      <c r="F79" s="6"/>
      <c r="G79" s="6"/>
      <c r="H79" s="6"/>
      <c r="I79" s="7"/>
      <c r="J79" s="8"/>
      <c r="K79" s="10"/>
      <c r="L79" s="40"/>
      <c r="M79" s="40"/>
    </row>
    <row r="80" spans="1:40" ht="15">
      <c r="A80" s="13"/>
      <c r="B80" s="49" t="s">
        <v>213</v>
      </c>
      <c r="C80" s="49" t="s">
        <v>212</v>
      </c>
      <c r="D80" s="49">
        <v>2024</v>
      </c>
      <c r="E80" s="49">
        <v>2025</v>
      </c>
      <c r="F80" s="49">
        <v>2026</v>
      </c>
      <c r="G80" s="49">
        <v>2027</v>
      </c>
      <c r="H80" s="49">
        <v>2028</v>
      </c>
      <c r="I80" s="49">
        <v>2029</v>
      </c>
      <c r="J80" s="49">
        <v>2030</v>
      </c>
      <c r="K80" s="49">
        <v>2031</v>
      </c>
      <c r="L80" s="49">
        <v>2032</v>
      </c>
      <c r="M80" s="49">
        <v>2033</v>
      </c>
      <c r="N80" s="49">
        <v>2034</v>
      </c>
      <c r="O80" s="49">
        <v>2035</v>
      </c>
      <c r="P80" s="49">
        <v>2036</v>
      </c>
      <c r="Q80" s="49">
        <v>2037</v>
      </c>
      <c r="R80" s="49">
        <v>2038</v>
      </c>
      <c r="S80" s="49">
        <v>2039</v>
      </c>
      <c r="T80" s="49">
        <v>2040</v>
      </c>
      <c r="U80" s="49">
        <v>2041</v>
      </c>
      <c r="V80" s="49">
        <v>2042</v>
      </c>
      <c r="W80" s="49">
        <v>2043</v>
      </c>
      <c r="X80" s="49">
        <v>2044</v>
      </c>
      <c r="Y80" s="49">
        <v>2045</v>
      </c>
      <c r="Z80" s="49">
        <v>2046</v>
      </c>
      <c r="AA80" s="49">
        <v>2047</v>
      </c>
      <c r="AB80" s="49">
        <v>2048</v>
      </c>
      <c r="AC80" s="49">
        <v>2049</v>
      </c>
      <c r="AD80" s="49">
        <v>2050</v>
      </c>
      <c r="AE80" s="49">
        <v>2051</v>
      </c>
      <c r="AF80" s="49">
        <v>2052</v>
      </c>
      <c r="AG80" s="49">
        <v>2053</v>
      </c>
      <c r="AH80" s="49">
        <v>2054</v>
      </c>
      <c r="AI80" s="49">
        <v>2055</v>
      </c>
      <c r="AJ80" s="49">
        <v>2056</v>
      </c>
      <c r="AK80" s="49">
        <v>2057</v>
      </c>
      <c r="AL80" s="49">
        <v>2058</v>
      </c>
      <c r="AM80" s="49">
        <v>2059</v>
      </c>
      <c r="AN80" s="49">
        <v>2060</v>
      </c>
    </row>
    <row r="81" spans="1:40" ht="15">
      <c r="A81" s="13"/>
      <c r="B81" s="51" t="s">
        <v>535</v>
      </c>
      <c r="C81" s="75">
        <v>0</v>
      </c>
      <c r="D81" s="75">
        <v>300</v>
      </c>
      <c r="E81" s="75">
        <v>1000</v>
      </c>
      <c r="F81" s="75">
        <f>E81*1.05</f>
        <v>1050</v>
      </c>
      <c r="G81" s="75">
        <f t="shared" ref="G81:AN81" si="4">F81*1.08</f>
        <v>1134</v>
      </c>
      <c r="H81" s="75">
        <f t="shared" si="4"/>
        <v>1224.72</v>
      </c>
      <c r="I81" s="75">
        <f t="shared" si="4"/>
        <v>1322.6976000000002</v>
      </c>
      <c r="J81" s="75">
        <f t="shared" si="4"/>
        <v>1428.5134080000003</v>
      </c>
      <c r="K81" s="75">
        <f t="shared" si="4"/>
        <v>1542.7944806400003</v>
      </c>
      <c r="L81" s="75">
        <f t="shared" si="4"/>
        <v>1666.2180390912004</v>
      </c>
      <c r="M81" s="75">
        <f t="shared" si="4"/>
        <v>1799.5154822184966</v>
      </c>
      <c r="N81" s="75">
        <f t="shared" si="4"/>
        <v>1943.4767207959765</v>
      </c>
      <c r="O81" s="75">
        <f t="shared" si="4"/>
        <v>2098.9548584596546</v>
      </c>
      <c r="P81" s="75">
        <f t="shared" si="4"/>
        <v>2266.871247136427</v>
      </c>
      <c r="Q81" s="75">
        <f t="shared" si="4"/>
        <v>2448.2209469073414</v>
      </c>
      <c r="R81" s="75">
        <f t="shared" si="4"/>
        <v>2644.0786226599289</v>
      </c>
      <c r="S81" s="75">
        <f t="shared" si="4"/>
        <v>2855.6049124727233</v>
      </c>
      <c r="T81" s="75">
        <f t="shared" si="4"/>
        <v>3084.0533054705415</v>
      </c>
      <c r="U81" s="75">
        <f t="shared" si="4"/>
        <v>3330.7775699081849</v>
      </c>
      <c r="V81" s="75">
        <f t="shared" si="4"/>
        <v>3597.2397755008401</v>
      </c>
      <c r="W81" s="75">
        <f t="shared" si="4"/>
        <v>3885.0189575409076</v>
      </c>
      <c r="X81" s="75">
        <f t="shared" si="4"/>
        <v>4195.8204741441805</v>
      </c>
      <c r="Y81" s="75">
        <f t="shared" si="4"/>
        <v>4531.486112075715</v>
      </c>
      <c r="Z81" s="75">
        <f t="shared" si="4"/>
        <v>4894.0050010417726</v>
      </c>
      <c r="AA81" s="75">
        <f t="shared" si="4"/>
        <v>5285.5254011251145</v>
      </c>
      <c r="AB81" s="75">
        <f t="shared" si="4"/>
        <v>5708.367433215124</v>
      </c>
      <c r="AC81" s="75">
        <f t="shared" si="4"/>
        <v>6165.0368278723345</v>
      </c>
      <c r="AD81" s="75">
        <f t="shared" si="4"/>
        <v>6658.2397741021214</v>
      </c>
      <c r="AE81" s="75">
        <f t="shared" si="4"/>
        <v>7190.8989560302916</v>
      </c>
      <c r="AF81" s="75">
        <f t="shared" si="4"/>
        <v>7766.1708725127155</v>
      </c>
      <c r="AG81" s="75">
        <f t="shared" si="4"/>
        <v>8387.4645423137335</v>
      </c>
      <c r="AH81" s="75">
        <f t="shared" si="4"/>
        <v>9058.4617056988336</v>
      </c>
      <c r="AI81" s="75">
        <f t="shared" si="4"/>
        <v>9783.1386421547413</v>
      </c>
      <c r="AJ81" s="75">
        <f t="shared" si="4"/>
        <v>10565.789733527121</v>
      </c>
      <c r="AK81" s="75">
        <f t="shared" si="4"/>
        <v>11411.052912209292</v>
      </c>
      <c r="AL81" s="75">
        <f t="shared" si="4"/>
        <v>12323.937145186037</v>
      </c>
      <c r="AM81" s="75">
        <f t="shared" si="4"/>
        <v>13309.852116800921</v>
      </c>
      <c r="AN81" s="75">
        <f t="shared" si="4"/>
        <v>14374.640286144995</v>
      </c>
    </row>
    <row r="82" spans="1:40" ht="15">
      <c r="A82" s="13"/>
      <c r="B82" s="51" t="s">
        <v>536</v>
      </c>
      <c r="C82" s="51">
        <v>0</v>
      </c>
      <c r="D82" s="51">
        <v>300</v>
      </c>
      <c r="E82" s="75">
        <v>1100</v>
      </c>
      <c r="F82" s="75">
        <f>E82*1.12</f>
        <v>1232.0000000000002</v>
      </c>
      <c r="G82" s="75">
        <f t="shared" ref="G82:AN82" si="5">F82*1.12</f>
        <v>1379.8400000000004</v>
      </c>
      <c r="H82" s="75">
        <f t="shared" si="5"/>
        <v>1545.4208000000006</v>
      </c>
      <c r="I82" s="75">
        <f t="shared" si="5"/>
        <v>1730.8712960000007</v>
      </c>
      <c r="J82" s="75">
        <f t="shared" si="5"/>
        <v>1938.5758515200009</v>
      </c>
      <c r="K82" s="75">
        <f t="shared" si="5"/>
        <v>2171.2049537024013</v>
      </c>
      <c r="L82" s="75">
        <f t="shared" si="5"/>
        <v>2431.7495481466899</v>
      </c>
      <c r="M82" s="75">
        <f t="shared" si="5"/>
        <v>2723.5594939242928</v>
      </c>
      <c r="N82" s="75">
        <f t="shared" si="5"/>
        <v>3050.3866331952081</v>
      </c>
      <c r="O82" s="75">
        <f t="shared" si="5"/>
        <v>3416.4330291786332</v>
      </c>
      <c r="P82" s="75">
        <f t="shared" si="5"/>
        <v>3826.4049926800694</v>
      </c>
      <c r="Q82" s="75">
        <f t="shared" si="5"/>
        <v>4285.573591801678</v>
      </c>
      <c r="R82" s="75">
        <f t="shared" si="5"/>
        <v>4799.8424228178801</v>
      </c>
      <c r="S82" s="75">
        <f t="shared" si="5"/>
        <v>5375.8235135560262</v>
      </c>
      <c r="T82" s="75">
        <f t="shared" si="5"/>
        <v>6020.9223351827495</v>
      </c>
      <c r="U82" s="75">
        <f t="shared" si="5"/>
        <v>6743.4330154046802</v>
      </c>
      <c r="V82" s="75">
        <f t="shared" si="5"/>
        <v>7552.6449772532424</v>
      </c>
      <c r="W82" s="75">
        <f t="shared" si="5"/>
        <v>8458.9623745236331</v>
      </c>
      <c r="X82" s="75">
        <f t="shared" si="5"/>
        <v>9474.0378594664708</v>
      </c>
      <c r="Y82" s="75">
        <f t="shared" si="5"/>
        <v>10610.922402602448</v>
      </c>
      <c r="Z82" s="75">
        <f t="shared" si="5"/>
        <v>11884.233090914742</v>
      </c>
      <c r="AA82" s="75">
        <f t="shared" si="5"/>
        <v>13310.341061824513</v>
      </c>
      <c r="AB82" s="75">
        <f t="shared" si="5"/>
        <v>14907.581989243456</v>
      </c>
      <c r="AC82" s="75">
        <f t="shared" si="5"/>
        <v>16696.491827952672</v>
      </c>
      <c r="AD82" s="75">
        <f t="shared" si="5"/>
        <v>18700.070847306994</v>
      </c>
      <c r="AE82" s="75">
        <f t="shared" si="5"/>
        <v>20944.079348983836</v>
      </c>
      <c r="AF82" s="75">
        <f t="shared" si="5"/>
        <v>23457.368870861897</v>
      </c>
      <c r="AG82" s="75">
        <f t="shared" si="5"/>
        <v>26272.253135365328</v>
      </c>
      <c r="AH82" s="75">
        <f t="shared" si="5"/>
        <v>29424.92351160917</v>
      </c>
      <c r="AI82" s="75">
        <f t="shared" si="5"/>
        <v>32955.914333002271</v>
      </c>
      <c r="AJ82" s="75">
        <f t="shared" si="5"/>
        <v>36910.62405296255</v>
      </c>
      <c r="AK82" s="75">
        <f t="shared" si="5"/>
        <v>41339.89893931806</v>
      </c>
      <c r="AL82" s="75">
        <f t="shared" si="5"/>
        <v>46300.686812036234</v>
      </c>
      <c r="AM82" s="75">
        <f t="shared" si="5"/>
        <v>51856.769229480589</v>
      </c>
      <c r="AN82" s="75">
        <f t="shared" si="5"/>
        <v>58079.581537018268</v>
      </c>
    </row>
    <row r="83" spans="1:40" ht="15">
      <c r="A83" s="13"/>
      <c r="B83" s="51" t="s">
        <v>537</v>
      </c>
      <c r="C83" s="51">
        <v>0</v>
      </c>
      <c r="D83" s="51">
        <v>300</v>
      </c>
      <c r="E83" s="51">
        <v>1000</v>
      </c>
      <c r="F83" s="51"/>
      <c r="G83" s="51"/>
      <c r="H83" s="51"/>
      <c r="I83" s="51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</row>
    <row r="84" spans="1:40" ht="15">
      <c r="A84" s="13"/>
      <c r="B84" s="51" t="s">
        <v>538</v>
      </c>
      <c r="C84" s="51" t="s">
        <v>441</v>
      </c>
      <c r="D84" s="100" t="s">
        <v>441</v>
      </c>
      <c r="E84" s="100">
        <f>E83/D83-1</f>
        <v>2.3333333333333335</v>
      </c>
      <c r="F84" s="51"/>
      <c r="G84" s="51"/>
      <c r="H84" s="51"/>
      <c r="I84" s="51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</row>
    <row r="85" spans="1:40" ht="15">
      <c r="A85" s="13"/>
      <c r="B85" s="176" t="s">
        <v>417</v>
      </c>
      <c r="C85" s="50">
        <v>0</v>
      </c>
      <c r="D85" s="50">
        <v>50</v>
      </c>
      <c r="E85" s="50">
        <v>60</v>
      </c>
      <c r="F85" s="50">
        <f t="shared" ref="F85:AN85" si="6">E85*1.06+10</f>
        <v>73.599999999999994</v>
      </c>
      <c r="G85" s="50">
        <f t="shared" si="6"/>
        <v>88.015999999999991</v>
      </c>
      <c r="H85" s="50">
        <f t="shared" si="6"/>
        <v>103.29696</v>
      </c>
      <c r="I85" s="50">
        <f t="shared" si="6"/>
        <v>119.49477760000001</v>
      </c>
      <c r="J85" s="50">
        <f t="shared" si="6"/>
        <v>136.66446425600003</v>
      </c>
      <c r="K85" s="50">
        <f t="shared" si="6"/>
        <v>154.86433211136003</v>
      </c>
      <c r="L85" s="50">
        <f t="shared" si="6"/>
        <v>174.15619203804164</v>
      </c>
      <c r="M85" s="50">
        <f t="shared" si="6"/>
        <v>194.60556356032416</v>
      </c>
      <c r="N85" s="50">
        <f t="shared" si="6"/>
        <v>216.28189737394362</v>
      </c>
      <c r="O85" s="50">
        <f t="shared" si="6"/>
        <v>239.25881121638025</v>
      </c>
      <c r="P85" s="50">
        <f t="shared" si="6"/>
        <v>263.61433988936307</v>
      </c>
      <c r="Q85" s="50">
        <f t="shared" si="6"/>
        <v>289.43120028272489</v>
      </c>
      <c r="R85" s="50">
        <f t="shared" si="6"/>
        <v>316.79707229968841</v>
      </c>
      <c r="S85" s="50">
        <f t="shared" si="6"/>
        <v>345.80489663766974</v>
      </c>
      <c r="T85" s="50">
        <f t="shared" si="6"/>
        <v>376.55319043592993</v>
      </c>
      <c r="U85" s="50">
        <f t="shared" si="6"/>
        <v>409.14638186208578</v>
      </c>
      <c r="V85" s="50">
        <f t="shared" si="6"/>
        <v>443.69516477381092</v>
      </c>
      <c r="W85" s="50">
        <f t="shared" si="6"/>
        <v>480.31687466023959</v>
      </c>
      <c r="X85" s="50">
        <f t="shared" si="6"/>
        <v>519.13588713985405</v>
      </c>
      <c r="Y85" s="50">
        <f t="shared" si="6"/>
        <v>560.28404036824531</v>
      </c>
      <c r="Z85" s="50">
        <f t="shared" si="6"/>
        <v>603.90108279034007</v>
      </c>
      <c r="AA85" s="50">
        <f t="shared" si="6"/>
        <v>650.13514775776048</v>
      </c>
      <c r="AB85" s="50">
        <f t="shared" si="6"/>
        <v>699.14325662322619</v>
      </c>
      <c r="AC85" s="50">
        <f t="shared" si="6"/>
        <v>751.09185202061985</v>
      </c>
      <c r="AD85" s="50">
        <f t="shared" si="6"/>
        <v>806.1573631418571</v>
      </c>
      <c r="AE85" s="50">
        <f t="shared" si="6"/>
        <v>864.5268049303686</v>
      </c>
      <c r="AF85" s="50">
        <f t="shared" si="6"/>
        <v>926.39841322619077</v>
      </c>
      <c r="AG85" s="50">
        <f t="shared" si="6"/>
        <v>991.98231801976226</v>
      </c>
      <c r="AH85" s="50">
        <f t="shared" si="6"/>
        <v>1061.5012571009481</v>
      </c>
      <c r="AI85" s="50">
        <f t="shared" si="6"/>
        <v>1135.191332527005</v>
      </c>
      <c r="AJ85" s="50">
        <f t="shared" si="6"/>
        <v>1213.3028124786254</v>
      </c>
      <c r="AK85" s="50">
        <f t="shared" si="6"/>
        <v>1296.100981227343</v>
      </c>
      <c r="AL85" s="50">
        <f t="shared" si="6"/>
        <v>1383.8670401009838</v>
      </c>
      <c r="AM85" s="50">
        <f t="shared" si="6"/>
        <v>1476.8990625070428</v>
      </c>
      <c r="AN85" s="50">
        <f t="shared" si="6"/>
        <v>1575.5130062574653</v>
      </c>
    </row>
    <row r="86" spans="1:40" ht="15">
      <c r="A86" s="13"/>
      <c r="B86" s="176" t="s">
        <v>416</v>
      </c>
      <c r="C86" s="50">
        <v>0</v>
      </c>
      <c r="D86" s="50">
        <v>50</v>
      </c>
      <c r="E86" s="50">
        <v>60</v>
      </c>
      <c r="F86" s="50">
        <f t="shared" ref="F86:AN86" si="7">E86*1.08+20</f>
        <v>84.800000000000011</v>
      </c>
      <c r="G86" s="50">
        <f t="shared" si="7"/>
        <v>111.58400000000002</v>
      </c>
      <c r="H86" s="50">
        <f t="shared" si="7"/>
        <v>140.51072000000002</v>
      </c>
      <c r="I86" s="50">
        <f t="shared" si="7"/>
        <v>171.75157760000002</v>
      </c>
      <c r="J86" s="50">
        <f t="shared" si="7"/>
        <v>205.49170380800004</v>
      </c>
      <c r="K86" s="50">
        <f t="shared" si="7"/>
        <v>241.93104011264006</v>
      </c>
      <c r="L86" s="50">
        <f t="shared" si="7"/>
        <v>281.28552332165128</v>
      </c>
      <c r="M86" s="50">
        <f t="shared" si="7"/>
        <v>323.78836518738342</v>
      </c>
      <c r="N86" s="50">
        <f t="shared" si="7"/>
        <v>369.69143440237411</v>
      </c>
      <c r="O86" s="50">
        <f t="shared" si="7"/>
        <v>419.26674915456408</v>
      </c>
      <c r="P86" s="50">
        <f t="shared" si="7"/>
        <v>472.80808908692921</v>
      </c>
      <c r="Q86" s="50">
        <f t="shared" si="7"/>
        <v>530.63273621388362</v>
      </c>
      <c r="R86" s="50">
        <f t="shared" si="7"/>
        <v>593.08335511099438</v>
      </c>
      <c r="S86" s="50">
        <f t="shared" si="7"/>
        <v>660.53002351987402</v>
      </c>
      <c r="T86" s="50">
        <f t="shared" si="7"/>
        <v>733.37242540146394</v>
      </c>
      <c r="U86" s="50">
        <f t="shared" si="7"/>
        <v>812.04221943358107</v>
      </c>
      <c r="V86" s="50">
        <f t="shared" si="7"/>
        <v>897.0055969882676</v>
      </c>
      <c r="W86" s="50">
        <f t="shared" si="7"/>
        <v>988.76604474732903</v>
      </c>
      <c r="X86" s="50">
        <f t="shared" si="7"/>
        <v>1087.8673283271155</v>
      </c>
      <c r="Y86" s="50">
        <f t="shared" si="7"/>
        <v>1194.8967145932847</v>
      </c>
      <c r="Z86" s="50">
        <f t="shared" si="7"/>
        <v>1310.4884517607477</v>
      </c>
      <c r="AA86" s="50">
        <f t="shared" si="7"/>
        <v>1435.3275279016077</v>
      </c>
      <c r="AB86" s="50">
        <f t="shared" si="7"/>
        <v>1570.1537301337364</v>
      </c>
      <c r="AC86" s="50">
        <f t="shared" si="7"/>
        <v>1715.7660285444354</v>
      </c>
      <c r="AD86" s="50">
        <f t="shared" si="7"/>
        <v>1873.0273108279903</v>
      </c>
      <c r="AE86" s="50">
        <f t="shared" si="7"/>
        <v>2042.8694956942297</v>
      </c>
      <c r="AF86" s="50">
        <f t="shared" si="7"/>
        <v>2226.2990553497684</v>
      </c>
      <c r="AG86" s="50">
        <f t="shared" si="7"/>
        <v>2424.4029797777503</v>
      </c>
      <c r="AH86" s="50">
        <f t="shared" si="7"/>
        <v>2638.3552181599703</v>
      </c>
      <c r="AI86" s="50">
        <f t="shared" si="7"/>
        <v>2869.4236356127681</v>
      </c>
      <c r="AJ86" s="50">
        <f t="shared" si="7"/>
        <v>3118.9775264617897</v>
      </c>
      <c r="AK86" s="50">
        <f t="shared" si="7"/>
        <v>3388.4957285787332</v>
      </c>
      <c r="AL86" s="50">
        <f t="shared" si="7"/>
        <v>3679.5753868650322</v>
      </c>
      <c r="AM86" s="50">
        <f t="shared" si="7"/>
        <v>3993.9414178142351</v>
      </c>
      <c r="AN86" s="50">
        <f t="shared" si="7"/>
        <v>4333.4567312393747</v>
      </c>
    </row>
    <row r="87" spans="1:40" ht="15">
      <c r="A87" s="13"/>
      <c r="B87" s="45"/>
      <c r="C87" s="45"/>
      <c r="D87" s="7"/>
      <c r="E87" s="7"/>
      <c r="F87" s="6"/>
      <c r="G87" s="6"/>
      <c r="H87" s="6"/>
      <c r="I87" s="7"/>
      <c r="J87" s="8"/>
      <c r="K87" s="10"/>
      <c r="L87" s="40"/>
      <c r="M87" s="40"/>
    </row>
    <row r="88" spans="1:40" ht="15">
      <c r="A88" s="13"/>
      <c r="B88" s="45"/>
      <c r="C88" s="45"/>
      <c r="D88" s="7"/>
      <c r="E88" s="7"/>
      <c r="F88" s="6"/>
      <c r="G88" s="6"/>
      <c r="H88" s="6"/>
      <c r="I88" s="7"/>
      <c r="J88" s="8"/>
      <c r="K88" s="10"/>
      <c r="L88" s="40"/>
      <c r="M88" s="40"/>
    </row>
    <row r="89" spans="1:40" ht="15">
      <c r="A89" s="13"/>
      <c r="B89" s="45"/>
      <c r="C89" s="45"/>
      <c r="D89" s="7"/>
      <c r="E89" s="7"/>
      <c r="F89" s="6"/>
      <c r="G89" s="6"/>
      <c r="H89" s="6"/>
      <c r="I89" s="7"/>
      <c r="J89" s="8"/>
      <c r="K89" s="10"/>
      <c r="L89" s="40"/>
      <c r="M89" s="40"/>
    </row>
    <row r="90" spans="1:40" ht="15">
      <c r="A90" s="13"/>
      <c r="B90" s="45"/>
      <c r="C90" s="45"/>
      <c r="D90" s="7"/>
      <c r="E90" s="7"/>
      <c r="F90" s="6"/>
      <c r="G90" s="6"/>
      <c r="H90" s="6"/>
      <c r="I90" s="7"/>
      <c r="J90" s="8"/>
      <c r="K90" s="10"/>
      <c r="L90" s="40"/>
      <c r="M90" s="40"/>
    </row>
    <row r="91" spans="1:40" ht="15">
      <c r="A91" s="13"/>
      <c r="B91" s="45"/>
      <c r="C91" s="45"/>
      <c r="D91" s="7"/>
      <c r="E91" s="7"/>
      <c r="F91" s="6"/>
      <c r="G91" s="6"/>
      <c r="H91" s="6"/>
      <c r="I91" s="7"/>
      <c r="J91" s="8"/>
      <c r="K91" s="10"/>
      <c r="L91" s="40"/>
      <c r="M91" s="40"/>
    </row>
    <row r="92" spans="1:40" ht="15">
      <c r="A92" s="13"/>
      <c r="B92" s="45"/>
      <c r="C92" s="45"/>
      <c r="D92" s="7"/>
      <c r="E92" s="7"/>
      <c r="F92" s="6"/>
      <c r="G92" s="6"/>
      <c r="H92" s="6"/>
      <c r="I92" s="7"/>
      <c r="J92" s="8"/>
      <c r="K92" s="10"/>
      <c r="L92" s="40"/>
      <c r="M92" s="40"/>
    </row>
    <row r="93" spans="1:40" ht="15">
      <c r="A93" s="13"/>
      <c r="B93" s="45"/>
      <c r="C93" s="45"/>
      <c r="D93" s="7"/>
      <c r="E93" s="7"/>
      <c r="F93" s="6"/>
      <c r="G93" s="6"/>
      <c r="H93" s="6"/>
      <c r="I93" s="7"/>
      <c r="J93" s="8"/>
      <c r="K93" s="10"/>
      <c r="L93" s="40"/>
      <c r="M93" s="40"/>
    </row>
    <row r="94" spans="1:40" ht="15">
      <c r="A94" s="13"/>
      <c r="B94" s="45"/>
      <c r="C94" s="45"/>
      <c r="D94" s="7"/>
      <c r="E94" s="7"/>
      <c r="F94" s="6"/>
      <c r="G94" s="6"/>
      <c r="H94" s="6"/>
      <c r="I94" s="7"/>
      <c r="J94" s="8"/>
      <c r="K94" s="10"/>
      <c r="L94" s="40"/>
      <c r="M94" s="40"/>
    </row>
    <row r="95" spans="1:40" ht="15">
      <c r="A95" s="13"/>
      <c r="B95" s="45"/>
      <c r="C95" s="45"/>
      <c r="D95" s="7"/>
      <c r="E95" s="7"/>
      <c r="F95" s="6"/>
      <c r="G95" s="6"/>
      <c r="H95" s="6"/>
      <c r="I95" s="7"/>
      <c r="J95" s="8"/>
      <c r="K95" s="10"/>
      <c r="L95" s="40"/>
      <c r="M95" s="40"/>
    </row>
    <row r="96" spans="1:40" ht="15">
      <c r="A96" s="13"/>
      <c r="B96" s="45"/>
      <c r="C96" s="45"/>
      <c r="D96" s="7"/>
      <c r="E96" s="7"/>
      <c r="F96" s="6"/>
      <c r="G96" s="6"/>
      <c r="H96" s="6"/>
      <c r="I96" s="7"/>
      <c r="J96" s="8"/>
      <c r="K96" s="10"/>
      <c r="L96" s="40"/>
      <c r="M96" s="40"/>
    </row>
    <row r="97" spans="1:13" ht="15">
      <c r="A97" s="13"/>
      <c r="B97" s="45"/>
      <c r="C97" s="45"/>
      <c r="D97" s="6"/>
      <c r="E97" s="7"/>
      <c r="F97" s="6"/>
      <c r="G97" s="6"/>
      <c r="H97" s="6"/>
      <c r="I97" s="7"/>
      <c r="J97" s="8"/>
      <c r="K97" s="10"/>
      <c r="L97" s="40"/>
      <c r="M97" s="40"/>
    </row>
    <row r="98" spans="1:13" ht="15">
      <c r="A98" s="13"/>
      <c r="B98" s="45"/>
      <c r="C98" s="45"/>
      <c r="D98" s="6"/>
      <c r="E98" s="7"/>
      <c r="F98" s="6"/>
      <c r="G98" s="6"/>
      <c r="H98" s="6"/>
      <c r="I98" s="7"/>
      <c r="J98" s="8"/>
      <c r="K98" s="10"/>
      <c r="L98" s="40"/>
      <c r="M98" s="40"/>
    </row>
    <row r="99" spans="1:13" ht="15">
      <c r="A99" s="13"/>
      <c r="B99" s="45"/>
      <c r="C99" s="45"/>
      <c r="D99" s="6"/>
      <c r="E99" s="7"/>
      <c r="F99" s="6"/>
      <c r="G99" s="6"/>
      <c r="H99" s="6"/>
      <c r="I99" s="7"/>
      <c r="J99" s="8"/>
      <c r="K99" s="10"/>
      <c r="L99" s="40"/>
      <c r="M99" s="40"/>
    </row>
    <row r="100" spans="1:13" ht="15">
      <c r="A100" s="13"/>
      <c r="B100" s="45"/>
      <c r="C100" s="45"/>
      <c r="E100" s="16"/>
      <c r="H100" s="6"/>
      <c r="I100" s="16"/>
      <c r="J100" s="8"/>
      <c r="L100" s="40"/>
      <c r="M100" s="40"/>
    </row>
    <row r="101" spans="1:13" ht="15">
      <c r="A101" s="13"/>
      <c r="B101" s="45"/>
      <c r="C101" s="45"/>
      <c r="E101" s="16"/>
      <c r="H101" s="6"/>
      <c r="I101" s="16"/>
      <c r="J101" s="8"/>
      <c r="L101" s="40"/>
      <c r="M101" s="40"/>
    </row>
    <row r="102" spans="1:13" ht="15">
      <c r="A102" s="13"/>
      <c r="B102" s="45"/>
      <c r="C102" s="45"/>
      <c r="E102" s="16"/>
      <c r="H102" s="6"/>
      <c r="I102" s="16"/>
      <c r="J102" s="8"/>
      <c r="L102" s="40"/>
      <c r="M102" s="40"/>
    </row>
    <row r="103" spans="1:13" ht="15">
      <c r="A103" s="13"/>
      <c r="B103" s="45"/>
      <c r="C103" s="45"/>
      <c r="D103" s="6"/>
      <c r="E103" s="7"/>
      <c r="F103" s="6"/>
      <c r="G103" s="6"/>
      <c r="H103" s="6"/>
      <c r="I103" s="7"/>
      <c r="J103" s="8"/>
      <c r="K103" s="10"/>
      <c r="L103" s="40"/>
      <c r="M103" s="40"/>
    </row>
    <row r="104" spans="1:13" ht="15">
      <c r="A104" s="13"/>
      <c r="B104" s="45"/>
      <c r="C104" s="45"/>
      <c r="D104" s="6"/>
      <c r="E104" s="7"/>
      <c r="F104" s="6"/>
      <c r="G104" s="6"/>
      <c r="H104" s="6"/>
      <c r="I104" s="7"/>
      <c r="J104" s="8"/>
      <c r="K104" s="10"/>
      <c r="L104" s="40"/>
      <c r="M104" s="40"/>
    </row>
    <row r="105" spans="1:13" ht="15">
      <c r="A105" s="13"/>
      <c r="B105" s="45"/>
      <c r="C105" s="45"/>
      <c r="D105" s="6"/>
      <c r="E105" s="7"/>
      <c r="F105" s="6"/>
      <c r="G105" s="6"/>
      <c r="H105" s="6"/>
      <c r="I105" s="7"/>
      <c r="J105" s="8"/>
      <c r="K105" s="10"/>
      <c r="L105" s="40"/>
      <c r="M105" s="40"/>
    </row>
    <row r="106" spans="1:13" ht="15">
      <c r="A106" s="13"/>
      <c r="B106" s="45"/>
      <c r="C106" s="45"/>
      <c r="D106" s="6"/>
      <c r="E106" s="7"/>
      <c r="F106" s="6"/>
      <c r="G106" s="6"/>
      <c r="H106" s="6"/>
      <c r="I106" s="7"/>
      <c r="J106" s="8"/>
      <c r="K106" s="10"/>
      <c r="L106" s="40"/>
      <c r="M106" s="40"/>
    </row>
    <row r="107" spans="1:13" ht="15">
      <c r="A107" s="13"/>
      <c r="B107" s="45"/>
      <c r="C107" s="45"/>
      <c r="D107" s="6"/>
      <c r="E107" s="7"/>
      <c r="F107" s="6"/>
      <c r="G107" s="6"/>
      <c r="H107" s="6"/>
      <c r="I107" s="7"/>
      <c r="J107" s="8"/>
      <c r="K107" s="10"/>
      <c r="L107" s="40"/>
      <c r="M107" s="40"/>
    </row>
    <row r="108" spans="1:13" ht="15">
      <c r="A108" s="13"/>
      <c r="B108" s="45"/>
      <c r="C108" s="45"/>
      <c r="D108" s="6"/>
      <c r="E108" s="7"/>
      <c r="F108" s="6"/>
      <c r="G108" s="6"/>
      <c r="H108" s="6"/>
      <c r="I108" s="7"/>
      <c r="J108" s="8"/>
      <c r="K108" s="10"/>
      <c r="L108" s="40"/>
      <c r="M108" s="40"/>
    </row>
    <row r="109" spans="1:13" ht="15">
      <c r="A109" s="13"/>
      <c r="B109" s="45"/>
      <c r="C109" s="45"/>
      <c r="D109" s="6"/>
      <c r="E109" s="7"/>
      <c r="F109" s="6"/>
      <c r="G109" s="6"/>
      <c r="H109" s="6"/>
      <c r="I109" s="7"/>
      <c r="J109" s="8"/>
      <c r="K109" s="10"/>
      <c r="L109" s="40"/>
      <c r="M109" s="40"/>
    </row>
    <row r="110" spans="1:13" ht="15">
      <c r="A110" s="13"/>
      <c r="B110" s="45"/>
      <c r="C110" s="45"/>
      <c r="D110" s="6"/>
      <c r="E110" s="7"/>
      <c r="F110" s="6"/>
      <c r="G110" s="6"/>
      <c r="H110" s="6"/>
      <c r="I110" s="7"/>
      <c r="J110" s="8"/>
      <c r="K110" s="10"/>
      <c r="L110" s="40"/>
      <c r="M110" s="40"/>
    </row>
    <row r="111" spans="1:13" ht="15">
      <c r="A111" s="13"/>
      <c r="B111" s="45"/>
      <c r="C111" s="45"/>
      <c r="D111" s="6"/>
      <c r="E111" s="7"/>
      <c r="G111" s="6"/>
      <c r="H111" s="6"/>
      <c r="I111" s="7"/>
      <c r="J111" s="8"/>
      <c r="K111" s="10"/>
      <c r="L111" s="40"/>
      <c r="M111" s="40"/>
    </row>
    <row r="112" spans="1:13" ht="15">
      <c r="A112" s="13"/>
      <c r="B112" s="45"/>
      <c r="C112" s="45"/>
      <c r="D112" s="6"/>
      <c r="E112" s="7"/>
      <c r="G112" s="6"/>
      <c r="H112" s="6"/>
      <c r="I112" s="7"/>
      <c r="J112" s="8"/>
      <c r="K112" s="10"/>
      <c r="L112" s="40"/>
      <c r="M112" s="40"/>
    </row>
    <row r="113" spans="1:13" ht="15">
      <c r="A113" s="15"/>
      <c r="B113" s="45"/>
      <c r="C113" s="45"/>
      <c r="D113" s="6"/>
      <c r="E113" s="7"/>
      <c r="G113" s="6"/>
      <c r="H113" s="6"/>
      <c r="I113" s="7"/>
      <c r="J113" s="8"/>
      <c r="L113" s="40"/>
      <c r="M113" s="40"/>
    </row>
    <row r="114" spans="1:13" ht="15">
      <c r="A114" s="15"/>
      <c r="B114" s="45"/>
      <c r="C114" s="45"/>
      <c r="E114" s="7"/>
      <c r="G114" s="6"/>
      <c r="H114" s="6"/>
      <c r="I114" s="7"/>
      <c r="J114" s="8"/>
      <c r="L114" s="40"/>
      <c r="M114" s="40"/>
    </row>
    <row r="115" spans="1:13" ht="15">
      <c r="A115" s="15"/>
      <c r="B115" s="45"/>
      <c r="C115" s="45"/>
      <c r="E115" s="7"/>
      <c r="I115" s="16"/>
      <c r="J115" s="9"/>
      <c r="L115" s="40"/>
      <c r="M115" s="40"/>
    </row>
    <row r="116" spans="1:13" ht="12.75">
      <c r="A116" s="15"/>
      <c r="B116" s="45"/>
      <c r="C116" s="45"/>
      <c r="E116" s="16"/>
      <c r="I116" s="16"/>
      <c r="J116" s="9"/>
      <c r="L116" s="40"/>
      <c r="M116" s="40"/>
    </row>
    <row r="117" spans="1:13" ht="12.75">
      <c r="A117" s="15"/>
      <c r="B117" s="45"/>
      <c r="C117" s="45"/>
      <c r="E117" s="16"/>
      <c r="I117" s="16"/>
      <c r="J117" s="9"/>
      <c r="L117" s="40"/>
      <c r="M117" s="40"/>
    </row>
    <row r="118" spans="1:13" ht="15.75" customHeight="1">
      <c r="B118" s="45"/>
      <c r="C118" s="45"/>
      <c r="L118" s="40"/>
      <c r="M118" s="40"/>
    </row>
    <row r="119" spans="1:13" ht="15.75" customHeight="1">
      <c r="B119" s="45"/>
      <c r="C119" s="45"/>
      <c r="L119" s="40"/>
      <c r="M119" s="40"/>
    </row>
    <row r="120" spans="1:13" ht="15.75" customHeight="1">
      <c r="B120" s="45"/>
      <c r="C120" s="45"/>
      <c r="L120" s="40"/>
      <c r="M120" s="40"/>
    </row>
    <row r="121" spans="1:13" ht="15.75" customHeight="1">
      <c r="L121" s="40"/>
      <c r="M121" s="40"/>
    </row>
    <row r="122" spans="1:13" ht="15.75" customHeight="1">
      <c r="L122" s="40"/>
      <c r="M122" s="40"/>
    </row>
    <row r="123" spans="1:13" ht="15.75" customHeight="1">
      <c r="L123" s="40"/>
      <c r="M123" s="40"/>
    </row>
    <row r="124" spans="1:13" ht="15.75" customHeight="1">
      <c r="L124" s="40"/>
      <c r="M124" s="40"/>
    </row>
    <row r="125" spans="1:13" ht="15.75" customHeight="1">
      <c r="L125" s="40"/>
      <c r="M125" s="40"/>
    </row>
    <row r="126" spans="1:13" ht="15.75" customHeight="1">
      <c r="L126" s="40"/>
      <c r="M126" s="40"/>
    </row>
    <row r="127" spans="1:13" ht="15.75" customHeight="1">
      <c r="L127" s="40"/>
      <c r="M127" s="40"/>
    </row>
    <row r="128" spans="1:13" ht="15.75" customHeight="1">
      <c r="L128" s="40"/>
      <c r="M128" s="40"/>
    </row>
    <row r="129" spans="1:13" ht="12.75">
      <c r="A129" s="15"/>
      <c r="B129" s="47"/>
      <c r="C129" s="47"/>
      <c r="E129" s="16"/>
      <c r="I129" s="16"/>
      <c r="J129" s="9"/>
      <c r="L129" s="40"/>
      <c r="M129" s="40"/>
    </row>
    <row r="130" spans="1:13" ht="12.75">
      <c r="A130" s="15"/>
      <c r="B130" s="47"/>
      <c r="C130" s="47"/>
      <c r="E130" s="16"/>
      <c r="I130" s="16"/>
      <c r="J130" s="9"/>
      <c r="L130" s="40"/>
      <c r="M130" s="40"/>
    </row>
    <row r="131" spans="1:13" ht="12.75">
      <c r="A131" s="15"/>
      <c r="B131" s="47"/>
      <c r="C131" s="47"/>
      <c r="E131" s="16"/>
      <c r="I131" s="16"/>
      <c r="J131" s="9"/>
      <c r="L131" s="40"/>
      <c r="M131" s="40"/>
    </row>
    <row r="132" spans="1:13" ht="12.75">
      <c r="A132" s="15"/>
      <c r="B132" s="47"/>
      <c r="C132" s="47"/>
      <c r="E132" s="16"/>
      <c r="I132" s="16"/>
      <c r="J132" s="9"/>
      <c r="L132" s="40"/>
      <c r="M132" s="40"/>
    </row>
    <row r="133" spans="1:13" ht="12.75">
      <c r="A133" s="15"/>
      <c r="B133" s="47"/>
      <c r="C133" s="47"/>
      <c r="E133" s="16"/>
      <c r="I133" s="16"/>
      <c r="J133" s="9"/>
      <c r="L133" s="40"/>
      <c r="M133" s="40"/>
    </row>
    <row r="134" spans="1:13" ht="12.75">
      <c r="A134" s="15"/>
      <c r="B134" s="47"/>
      <c r="C134" s="47"/>
      <c r="E134" s="16"/>
      <c r="I134" s="16"/>
      <c r="J134" s="9"/>
      <c r="L134" s="40"/>
      <c r="M134" s="40"/>
    </row>
    <row r="135" spans="1:13" ht="12.75">
      <c r="A135" s="15"/>
      <c r="B135" s="47"/>
      <c r="C135" s="47"/>
      <c r="E135" s="16"/>
      <c r="I135" s="16"/>
      <c r="J135" s="9"/>
      <c r="L135" s="40"/>
      <c r="M135" s="40"/>
    </row>
    <row r="136" spans="1:13" ht="12.75">
      <c r="A136" s="15"/>
      <c r="B136" s="47"/>
      <c r="C136" s="47"/>
      <c r="E136" s="16"/>
      <c r="I136" s="16"/>
      <c r="J136" s="9"/>
      <c r="L136" s="40"/>
      <c r="M136" s="40"/>
    </row>
    <row r="137" spans="1:13" ht="12.75">
      <c r="A137" s="15"/>
      <c r="B137" s="47"/>
      <c r="C137" s="47"/>
      <c r="E137" s="16"/>
      <c r="I137" s="16"/>
      <c r="J137" s="9"/>
      <c r="L137" s="40"/>
      <c r="M137" s="40"/>
    </row>
    <row r="138" spans="1:13" ht="12.75">
      <c r="A138" s="15"/>
      <c r="B138" s="47"/>
      <c r="C138" s="47"/>
      <c r="E138" s="16"/>
      <c r="I138" s="16"/>
      <c r="J138" s="9"/>
      <c r="L138" s="40"/>
      <c r="M138" s="40"/>
    </row>
    <row r="139" spans="1:13" ht="12.75">
      <c r="A139" s="15"/>
      <c r="B139" s="47"/>
      <c r="C139" s="47"/>
      <c r="E139" s="16"/>
      <c r="I139" s="16"/>
      <c r="J139" s="9"/>
      <c r="L139" s="40"/>
      <c r="M139" s="40"/>
    </row>
    <row r="140" spans="1:13" ht="12.75">
      <c r="A140" s="15"/>
      <c r="B140" s="47"/>
      <c r="C140" s="47"/>
      <c r="E140" s="16"/>
      <c r="I140" s="16"/>
      <c r="J140" s="9"/>
      <c r="L140" s="40"/>
      <c r="M140" s="40"/>
    </row>
    <row r="141" spans="1:13" ht="12.75">
      <c r="A141" s="15"/>
      <c r="B141" s="47"/>
      <c r="C141" s="47"/>
      <c r="E141" s="16"/>
      <c r="I141" s="16"/>
      <c r="J141" s="9"/>
      <c r="L141" s="40"/>
      <c r="M141" s="40"/>
    </row>
    <row r="142" spans="1:13" ht="12.75">
      <c r="A142" s="15"/>
      <c r="B142" s="47"/>
      <c r="C142" s="47"/>
      <c r="E142" s="16"/>
      <c r="I142" s="16"/>
      <c r="J142" s="9"/>
      <c r="L142" s="40"/>
      <c r="M142" s="40"/>
    </row>
    <row r="143" spans="1:13" ht="12.75">
      <c r="A143" s="15"/>
      <c r="B143" s="47"/>
      <c r="C143" s="47"/>
      <c r="E143" s="16"/>
      <c r="I143" s="16"/>
      <c r="J143" s="9"/>
      <c r="L143" s="40"/>
      <c r="M143" s="40"/>
    </row>
    <row r="144" spans="1:13" ht="12.75">
      <c r="A144" s="15"/>
      <c r="B144" s="47"/>
      <c r="C144" s="47"/>
      <c r="E144" s="16"/>
      <c r="I144" s="16"/>
      <c r="J144" s="9"/>
      <c r="L144" s="40"/>
      <c r="M144" s="40"/>
    </row>
    <row r="145" spans="1:13" ht="12.75">
      <c r="A145" s="15"/>
      <c r="B145" s="47"/>
      <c r="C145" s="47"/>
      <c r="E145" s="16"/>
      <c r="I145" s="16"/>
      <c r="J145" s="9"/>
      <c r="L145" s="40"/>
      <c r="M145" s="40"/>
    </row>
    <row r="146" spans="1:13" ht="12.75">
      <c r="A146" s="15"/>
      <c r="B146" s="47"/>
      <c r="C146" s="47"/>
      <c r="E146" s="16"/>
      <c r="I146" s="16"/>
      <c r="J146" s="9"/>
      <c r="L146" s="40"/>
      <c r="M146" s="40"/>
    </row>
    <row r="147" spans="1:13" ht="12.75">
      <c r="A147" s="15"/>
      <c r="B147" s="47"/>
      <c r="C147" s="47"/>
      <c r="E147" s="16"/>
      <c r="I147" s="16"/>
      <c r="J147" s="9"/>
      <c r="L147" s="40"/>
      <c r="M147" s="40"/>
    </row>
    <row r="148" spans="1:13" ht="12.75">
      <c r="A148" s="15"/>
      <c r="B148" s="47"/>
      <c r="C148" s="47"/>
      <c r="E148" s="16"/>
      <c r="I148" s="16"/>
      <c r="J148" s="9"/>
      <c r="L148" s="40"/>
      <c r="M148" s="40"/>
    </row>
    <row r="149" spans="1:13" ht="12.75">
      <c r="A149" s="15"/>
      <c r="B149" s="47"/>
      <c r="C149" s="47"/>
      <c r="E149" s="16"/>
      <c r="I149" s="16"/>
      <c r="J149" s="9"/>
      <c r="L149" s="40"/>
      <c r="M149" s="40"/>
    </row>
    <row r="150" spans="1:13" ht="12.75">
      <c r="A150" s="15"/>
      <c r="B150" s="47"/>
      <c r="C150" s="47"/>
      <c r="E150" s="16"/>
      <c r="I150" s="16"/>
      <c r="J150" s="9"/>
      <c r="L150" s="40"/>
      <c r="M150" s="40"/>
    </row>
    <row r="151" spans="1:13" ht="12.75">
      <c r="A151" s="15"/>
      <c r="B151" s="47"/>
      <c r="C151" s="47"/>
      <c r="E151" s="16"/>
      <c r="I151" s="16"/>
      <c r="J151" s="9"/>
      <c r="L151" s="40"/>
      <c r="M151" s="40"/>
    </row>
    <row r="152" spans="1:13" ht="12.75">
      <c r="A152" s="15"/>
      <c r="B152" s="47"/>
      <c r="C152" s="47"/>
      <c r="E152" s="16"/>
      <c r="I152" s="16"/>
      <c r="J152" s="9"/>
      <c r="L152" s="40"/>
      <c r="M152" s="40"/>
    </row>
    <row r="153" spans="1:13" ht="12.75">
      <c r="A153" s="15"/>
      <c r="B153" s="47"/>
      <c r="C153" s="47"/>
      <c r="E153" s="16"/>
      <c r="I153" s="16"/>
      <c r="J153" s="9"/>
      <c r="L153" s="40"/>
      <c r="M153" s="40"/>
    </row>
    <row r="154" spans="1:13" ht="12.75">
      <c r="A154" s="15"/>
      <c r="B154" s="47"/>
      <c r="C154" s="47"/>
      <c r="E154" s="16"/>
      <c r="I154" s="16"/>
      <c r="J154" s="9"/>
      <c r="L154" s="40"/>
      <c r="M154" s="40"/>
    </row>
    <row r="155" spans="1:13" ht="12.75">
      <c r="A155" s="15"/>
      <c r="B155" s="47"/>
      <c r="C155" s="47"/>
      <c r="E155" s="16"/>
      <c r="I155" s="16"/>
      <c r="J155" s="9"/>
      <c r="L155" s="40"/>
      <c r="M155" s="40"/>
    </row>
    <row r="156" spans="1:13" ht="12.75">
      <c r="A156" s="15"/>
      <c r="B156" s="47"/>
      <c r="C156" s="47"/>
      <c r="E156" s="16"/>
      <c r="I156" s="16"/>
      <c r="J156" s="9"/>
      <c r="L156" s="40"/>
      <c r="M156" s="40"/>
    </row>
    <row r="157" spans="1:13" ht="12.75">
      <c r="A157" s="15"/>
      <c r="B157" s="47"/>
      <c r="C157" s="47"/>
      <c r="E157" s="16"/>
      <c r="I157" s="16"/>
      <c r="J157" s="9"/>
      <c r="L157" s="40"/>
      <c r="M157" s="40"/>
    </row>
    <row r="158" spans="1:13" ht="12.75">
      <c r="A158" s="15"/>
      <c r="B158" s="47"/>
      <c r="C158" s="47"/>
      <c r="E158" s="16"/>
      <c r="I158" s="16"/>
      <c r="J158" s="9"/>
      <c r="L158" s="40"/>
      <c r="M158" s="40"/>
    </row>
    <row r="159" spans="1:13" ht="12.75">
      <c r="A159" s="15"/>
      <c r="B159" s="47"/>
      <c r="C159" s="47"/>
      <c r="E159" s="16"/>
      <c r="I159" s="16"/>
      <c r="J159" s="9"/>
      <c r="L159" s="40"/>
      <c r="M159" s="40"/>
    </row>
    <row r="160" spans="1:13" ht="12.75">
      <c r="A160" s="15"/>
      <c r="B160" s="47"/>
      <c r="C160" s="47"/>
      <c r="E160" s="16"/>
      <c r="I160" s="16"/>
      <c r="J160" s="9"/>
      <c r="L160" s="40"/>
      <c r="M160" s="40"/>
    </row>
    <row r="161" spans="1:13" ht="12.75">
      <c r="A161" s="15"/>
      <c r="B161" s="47"/>
      <c r="C161" s="47"/>
      <c r="E161" s="16"/>
      <c r="I161" s="16"/>
      <c r="J161" s="9"/>
      <c r="L161" s="40"/>
      <c r="M161" s="40"/>
    </row>
    <row r="162" spans="1:13" ht="12.75">
      <c r="A162" s="15"/>
      <c r="B162" s="47"/>
      <c r="C162" s="47"/>
      <c r="E162" s="16"/>
      <c r="I162" s="16"/>
      <c r="J162" s="9"/>
      <c r="L162" s="40"/>
      <c r="M162" s="40"/>
    </row>
    <row r="163" spans="1:13" ht="12.75">
      <c r="A163" s="15"/>
      <c r="B163" s="47"/>
      <c r="C163" s="47"/>
      <c r="E163" s="16"/>
      <c r="I163" s="16"/>
      <c r="J163" s="9"/>
      <c r="L163" s="40"/>
      <c r="M163" s="40"/>
    </row>
    <row r="164" spans="1:13" ht="12.75">
      <c r="A164" s="15"/>
      <c r="B164" s="47"/>
      <c r="C164" s="47"/>
      <c r="E164" s="16"/>
      <c r="I164" s="16"/>
      <c r="J164" s="9"/>
      <c r="L164" s="40"/>
      <c r="M164" s="40"/>
    </row>
    <row r="165" spans="1:13" ht="12.75">
      <c r="A165" s="15"/>
      <c r="B165" s="47"/>
      <c r="C165" s="47"/>
      <c r="E165" s="16"/>
      <c r="I165" s="16"/>
      <c r="J165" s="9"/>
      <c r="L165" s="40"/>
      <c r="M165" s="40"/>
    </row>
    <row r="166" spans="1:13" ht="12.75">
      <c r="A166" s="15"/>
      <c r="B166" s="47"/>
      <c r="C166" s="47"/>
      <c r="E166" s="16"/>
      <c r="I166" s="16"/>
      <c r="J166" s="9"/>
      <c r="L166" s="40"/>
      <c r="M166" s="40"/>
    </row>
    <row r="167" spans="1:13" ht="12.75">
      <c r="A167" s="15"/>
      <c r="B167" s="47"/>
      <c r="C167" s="47"/>
      <c r="E167" s="16"/>
      <c r="I167" s="16"/>
      <c r="J167" s="9"/>
      <c r="L167" s="40"/>
      <c r="M167" s="40"/>
    </row>
    <row r="168" spans="1:13" ht="12.75">
      <c r="A168" s="15"/>
      <c r="B168" s="47"/>
      <c r="C168" s="47"/>
      <c r="E168" s="16"/>
      <c r="I168" s="16"/>
      <c r="J168" s="9"/>
      <c r="L168" s="40"/>
      <c r="M168" s="40"/>
    </row>
    <row r="169" spans="1:13" ht="12.75">
      <c r="A169" s="15"/>
      <c r="B169" s="47"/>
      <c r="C169" s="47"/>
      <c r="E169" s="16"/>
      <c r="I169" s="16"/>
      <c r="J169" s="9"/>
      <c r="L169" s="40"/>
      <c r="M169" s="40"/>
    </row>
    <row r="170" spans="1:13" ht="12.75">
      <c r="A170" s="15"/>
      <c r="B170" s="47"/>
      <c r="C170" s="47"/>
      <c r="E170" s="16"/>
      <c r="I170" s="16"/>
      <c r="J170" s="9"/>
      <c r="L170" s="40"/>
      <c r="M170" s="40"/>
    </row>
    <row r="171" spans="1:13" ht="12.75">
      <c r="A171" s="15"/>
      <c r="B171" s="47"/>
      <c r="C171" s="47"/>
      <c r="E171" s="16"/>
      <c r="I171" s="16"/>
      <c r="J171" s="9"/>
      <c r="L171" s="40"/>
      <c r="M171" s="40"/>
    </row>
    <row r="172" spans="1:13" ht="12.75">
      <c r="A172" s="15"/>
      <c r="B172" s="47"/>
      <c r="C172" s="47"/>
      <c r="E172" s="16"/>
      <c r="I172" s="16"/>
      <c r="J172" s="9"/>
      <c r="L172" s="40"/>
      <c r="M172" s="40"/>
    </row>
    <row r="173" spans="1:13" ht="12.75">
      <c r="A173" s="15"/>
      <c r="B173" s="47"/>
      <c r="C173" s="47"/>
      <c r="E173" s="16"/>
      <c r="I173" s="16"/>
      <c r="J173" s="9"/>
      <c r="L173" s="40"/>
      <c r="M173" s="40"/>
    </row>
    <row r="174" spans="1:13" ht="12.75">
      <c r="A174" s="15"/>
      <c r="B174" s="47"/>
      <c r="C174" s="47"/>
      <c r="E174" s="16"/>
      <c r="I174" s="16"/>
      <c r="J174" s="9"/>
      <c r="L174" s="40"/>
      <c r="M174" s="40"/>
    </row>
    <row r="175" spans="1:13" ht="12.75">
      <c r="A175" s="15"/>
      <c r="B175" s="47"/>
      <c r="C175" s="47"/>
      <c r="E175" s="16"/>
      <c r="I175" s="16"/>
      <c r="J175" s="9"/>
      <c r="L175" s="40"/>
      <c r="M175" s="40"/>
    </row>
    <row r="176" spans="1:13" ht="12.75">
      <c r="A176" s="15"/>
      <c r="B176" s="47"/>
      <c r="C176" s="47"/>
      <c r="E176" s="16"/>
      <c r="I176" s="16"/>
      <c r="J176" s="9"/>
      <c r="L176" s="40"/>
      <c r="M176" s="40"/>
    </row>
    <row r="177" spans="1:13" ht="12.75">
      <c r="A177" s="15"/>
      <c r="B177" s="47"/>
      <c r="C177" s="47"/>
      <c r="E177" s="16"/>
      <c r="I177" s="16"/>
      <c r="J177" s="9"/>
      <c r="L177" s="40"/>
      <c r="M177" s="40"/>
    </row>
    <row r="178" spans="1:13" ht="12.75">
      <c r="A178" s="15"/>
      <c r="B178" s="47"/>
      <c r="C178" s="47"/>
      <c r="E178" s="16"/>
      <c r="I178" s="16"/>
      <c r="J178" s="9"/>
      <c r="L178" s="40"/>
      <c r="M178" s="40"/>
    </row>
    <row r="179" spans="1:13" ht="12.75">
      <c r="A179" s="15"/>
      <c r="B179" s="47"/>
      <c r="C179" s="47"/>
      <c r="E179" s="16"/>
      <c r="I179" s="16"/>
      <c r="J179" s="9"/>
      <c r="L179" s="40"/>
      <c r="M179" s="40"/>
    </row>
    <row r="180" spans="1:13" ht="12.75">
      <c r="A180" s="15"/>
      <c r="B180" s="47"/>
      <c r="C180" s="47"/>
      <c r="E180" s="16"/>
      <c r="I180" s="16"/>
      <c r="J180" s="9"/>
      <c r="L180" s="40"/>
      <c r="M180" s="40"/>
    </row>
    <row r="181" spans="1:13" ht="12.75">
      <c r="A181" s="15"/>
      <c r="B181" s="47"/>
      <c r="C181" s="47"/>
      <c r="E181" s="16"/>
      <c r="I181" s="16"/>
      <c r="J181" s="9"/>
      <c r="L181" s="40"/>
      <c r="M181" s="40"/>
    </row>
    <row r="182" spans="1:13" ht="12.75">
      <c r="A182" s="15"/>
      <c r="B182" s="47"/>
      <c r="C182" s="47"/>
      <c r="E182" s="16"/>
      <c r="I182" s="16"/>
      <c r="J182" s="9"/>
      <c r="L182" s="40"/>
      <c r="M182" s="40"/>
    </row>
    <row r="183" spans="1:13" ht="12.75">
      <c r="A183" s="15"/>
      <c r="B183" s="47"/>
      <c r="C183" s="47"/>
      <c r="E183" s="16"/>
      <c r="I183" s="16"/>
      <c r="J183" s="9"/>
      <c r="L183" s="40"/>
      <c r="M183" s="40"/>
    </row>
    <row r="184" spans="1:13" ht="12.75">
      <c r="A184" s="15"/>
      <c r="B184" s="47"/>
      <c r="C184" s="47"/>
      <c r="E184" s="16"/>
      <c r="I184" s="16"/>
      <c r="J184" s="9"/>
      <c r="L184" s="40"/>
      <c r="M184" s="40"/>
    </row>
    <row r="185" spans="1:13" ht="12.75">
      <c r="A185" s="15"/>
      <c r="B185" s="47"/>
      <c r="C185" s="47"/>
      <c r="E185" s="16"/>
      <c r="I185" s="16"/>
      <c r="J185" s="9"/>
      <c r="L185" s="40"/>
      <c r="M185" s="40"/>
    </row>
    <row r="186" spans="1:13" ht="12.75">
      <c r="A186" s="15"/>
      <c r="B186" s="47"/>
      <c r="C186" s="47"/>
      <c r="E186" s="16"/>
      <c r="I186" s="16"/>
      <c r="J186" s="9"/>
      <c r="L186" s="40"/>
      <c r="M186" s="40"/>
    </row>
    <row r="187" spans="1:13" ht="12.75">
      <c r="A187" s="15"/>
      <c r="B187" s="47"/>
      <c r="C187" s="47"/>
      <c r="E187" s="16"/>
      <c r="I187" s="16"/>
      <c r="J187" s="9"/>
      <c r="L187" s="40"/>
      <c r="M187" s="40"/>
    </row>
    <row r="188" spans="1:13" ht="12.75">
      <c r="A188" s="15"/>
      <c r="B188" s="47"/>
      <c r="C188" s="47"/>
      <c r="E188" s="16"/>
      <c r="I188" s="16"/>
      <c r="J188" s="9"/>
      <c r="L188" s="40"/>
      <c r="M188" s="40"/>
    </row>
    <row r="189" spans="1:13" ht="12.75">
      <c r="A189" s="15"/>
      <c r="B189" s="47"/>
      <c r="C189" s="47"/>
      <c r="E189" s="16"/>
      <c r="I189" s="16"/>
      <c r="J189" s="9"/>
      <c r="L189" s="40"/>
      <c r="M189" s="40"/>
    </row>
    <row r="190" spans="1:13" ht="12.75">
      <c r="A190" s="15"/>
      <c r="B190" s="47"/>
      <c r="C190" s="47"/>
      <c r="E190" s="16"/>
      <c r="I190" s="16"/>
      <c r="J190" s="9"/>
      <c r="L190" s="40"/>
      <c r="M190" s="40"/>
    </row>
    <row r="191" spans="1:13" ht="12.75">
      <c r="A191" s="15"/>
      <c r="B191" s="47"/>
      <c r="C191" s="47"/>
      <c r="E191" s="16"/>
      <c r="I191" s="16"/>
      <c r="J191" s="9"/>
      <c r="L191" s="40"/>
      <c r="M191" s="40"/>
    </row>
    <row r="192" spans="1:13" ht="12.75">
      <c r="A192" s="15"/>
      <c r="B192" s="47"/>
      <c r="C192" s="47"/>
      <c r="E192" s="16"/>
      <c r="I192" s="16"/>
      <c r="J192" s="9"/>
      <c r="L192" s="40"/>
      <c r="M192" s="40"/>
    </row>
    <row r="193" spans="1:13" ht="12.75">
      <c r="A193" s="15"/>
      <c r="B193" s="47"/>
      <c r="C193" s="47"/>
      <c r="E193" s="16"/>
      <c r="I193" s="16"/>
      <c r="J193" s="9"/>
      <c r="L193" s="40"/>
      <c r="M193" s="40"/>
    </row>
    <row r="194" spans="1:13" ht="12.75">
      <c r="A194" s="15"/>
      <c r="B194" s="47"/>
      <c r="C194" s="47"/>
      <c r="E194" s="16"/>
      <c r="I194" s="16"/>
      <c r="J194" s="9"/>
      <c r="L194" s="40"/>
      <c r="M194" s="40"/>
    </row>
    <row r="195" spans="1:13" ht="12.75">
      <c r="A195" s="15"/>
      <c r="B195" s="47"/>
      <c r="C195" s="47"/>
      <c r="E195" s="16"/>
      <c r="I195" s="16"/>
      <c r="J195" s="9"/>
      <c r="L195" s="40"/>
      <c r="M195" s="40"/>
    </row>
    <row r="196" spans="1:13" ht="12.75">
      <c r="A196" s="15"/>
      <c r="B196" s="47"/>
      <c r="C196" s="47"/>
      <c r="E196" s="16"/>
      <c r="I196" s="16"/>
      <c r="J196" s="9"/>
      <c r="L196" s="40"/>
      <c r="M196" s="40"/>
    </row>
    <row r="197" spans="1:13" ht="12.75">
      <c r="A197" s="15"/>
      <c r="B197" s="47"/>
      <c r="C197" s="47"/>
      <c r="E197" s="16"/>
      <c r="I197" s="16"/>
      <c r="J197" s="9"/>
      <c r="L197" s="40"/>
      <c r="M197" s="40"/>
    </row>
    <row r="198" spans="1:13" ht="12.75">
      <c r="A198" s="15"/>
      <c r="B198" s="47"/>
      <c r="C198" s="47"/>
      <c r="E198" s="16"/>
      <c r="I198" s="16"/>
      <c r="J198" s="9"/>
      <c r="L198" s="40"/>
      <c r="M198" s="40"/>
    </row>
    <row r="199" spans="1:13" ht="12.75">
      <c r="A199" s="15"/>
      <c r="B199" s="47"/>
      <c r="C199" s="47"/>
      <c r="E199" s="16"/>
      <c r="I199" s="16"/>
      <c r="J199" s="9"/>
      <c r="L199" s="40"/>
      <c r="M199" s="40"/>
    </row>
    <row r="200" spans="1:13" ht="12.75">
      <c r="A200" s="15"/>
      <c r="B200" s="47"/>
      <c r="C200" s="47"/>
      <c r="E200" s="16"/>
      <c r="I200" s="16"/>
      <c r="J200" s="9"/>
      <c r="L200" s="40"/>
      <c r="M200" s="40"/>
    </row>
    <row r="201" spans="1:13" ht="12.75">
      <c r="A201" s="15"/>
      <c r="B201" s="47"/>
      <c r="C201" s="47"/>
      <c r="E201" s="16"/>
      <c r="I201" s="16"/>
      <c r="J201" s="9"/>
      <c r="L201" s="40"/>
      <c r="M201" s="40"/>
    </row>
    <row r="202" spans="1:13" ht="12.75">
      <c r="A202" s="15"/>
      <c r="B202" s="47"/>
      <c r="C202" s="47"/>
      <c r="E202" s="16"/>
      <c r="I202" s="16"/>
      <c r="J202" s="9"/>
      <c r="L202" s="40"/>
      <c r="M202" s="40"/>
    </row>
    <row r="203" spans="1:13" ht="12.75">
      <c r="A203" s="15"/>
      <c r="B203" s="47"/>
      <c r="C203" s="47"/>
      <c r="E203" s="16"/>
      <c r="I203" s="16"/>
      <c r="J203" s="9"/>
      <c r="L203" s="40"/>
      <c r="M203" s="40"/>
    </row>
    <row r="204" spans="1:13" ht="12.75">
      <c r="A204" s="15"/>
      <c r="B204" s="47"/>
      <c r="C204" s="47"/>
      <c r="E204" s="16"/>
      <c r="I204" s="16"/>
      <c r="J204" s="9"/>
      <c r="L204" s="40"/>
      <c r="M204" s="40"/>
    </row>
    <row r="205" spans="1:13" ht="12.75">
      <c r="A205" s="15"/>
      <c r="B205" s="47"/>
      <c r="C205" s="47"/>
      <c r="E205" s="16"/>
      <c r="I205" s="16"/>
      <c r="J205" s="9"/>
      <c r="L205" s="40"/>
      <c r="M205" s="40"/>
    </row>
    <row r="206" spans="1:13" ht="12.75">
      <c r="A206" s="15"/>
      <c r="B206" s="47"/>
      <c r="C206" s="47"/>
      <c r="E206" s="16"/>
      <c r="I206" s="16"/>
      <c r="J206" s="9"/>
      <c r="L206" s="40"/>
      <c r="M206" s="40"/>
    </row>
    <row r="207" spans="1:13" ht="12.75">
      <c r="A207" s="15"/>
      <c r="B207" s="47"/>
      <c r="C207" s="47"/>
      <c r="E207" s="16"/>
      <c r="I207" s="16"/>
      <c r="J207" s="9"/>
      <c r="L207" s="40"/>
      <c r="M207" s="40"/>
    </row>
    <row r="208" spans="1:13" ht="12.75">
      <c r="A208" s="15"/>
      <c r="B208" s="47"/>
      <c r="C208" s="47"/>
      <c r="E208" s="16"/>
      <c r="I208" s="16"/>
      <c r="J208" s="9"/>
      <c r="L208" s="40"/>
      <c r="M208" s="40"/>
    </row>
    <row r="209" spans="1:13" ht="12.75">
      <c r="A209" s="15"/>
      <c r="B209" s="47"/>
      <c r="C209" s="47"/>
      <c r="E209" s="16"/>
      <c r="I209" s="16"/>
      <c r="J209" s="9"/>
      <c r="L209" s="40"/>
      <c r="M209" s="40"/>
    </row>
    <row r="210" spans="1:13" ht="12.75">
      <c r="A210" s="15"/>
      <c r="B210" s="47"/>
      <c r="C210" s="47"/>
      <c r="E210" s="16"/>
      <c r="I210" s="16"/>
      <c r="J210" s="9"/>
      <c r="L210" s="40"/>
      <c r="M210" s="40"/>
    </row>
    <row r="211" spans="1:13" ht="12.75">
      <c r="A211" s="15"/>
      <c r="B211" s="47"/>
      <c r="C211" s="47"/>
      <c r="E211" s="16"/>
      <c r="I211" s="16"/>
      <c r="J211" s="9"/>
      <c r="L211" s="40"/>
      <c r="M211" s="40"/>
    </row>
    <row r="212" spans="1:13" ht="12.75">
      <c r="A212" s="15"/>
      <c r="B212" s="47"/>
      <c r="C212" s="47"/>
      <c r="E212" s="16"/>
      <c r="I212" s="16"/>
      <c r="J212" s="9"/>
      <c r="L212" s="40"/>
      <c r="M212" s="40"/>
    </row>
    <row r="213" spans="1:13" ht="12.75">
      <c r="A213" s="15"/>
      <c r="B213" s="47"/>
      <c r="C213" s="47"/>
      <c r="E213" s="16"/>
      <c r="I213" s="16"/>
      <c r="J213" s="9"/>
      <c r="L213" s="40"/>
      <c r="M213" s="40"/>
    </row>
    <row r="214" spans="1:13" ht="12.75">
      <c r="A214" s="15"/>
      <c r="B214" s="47"/>
      <c r="C214" s="47"/>
      <c r="E214" s="16"/>
      <c r="I214" s="16"/>
      <c r="J214" s="9"/>
      <c r="L214" s="40"/>
      <c r="M214" s="40"/>
    </row>
    <row r="215" spans="1:13" ht="12.75">
      <c r="A215" s="15"/>
      <c r="B215" s="47"/>
      <c r="C215" s="47"/>
      <c r="E215" s="16"/>
      <c r="I215" s="16"/>
      <c r="J215" s="9"/>
      <c r="L215" s="40"/>
      <c r="M215" s="40"/>
    </row>
    <row r="216" spans="1:13" ht="12.75">
      <c r="A216" s="15"/>
      <c r="B216" s="47"/>
      <c r="C216" s="47"/>
      <c r="E216" s="16"/>
      <c r="I216" s="16"/>
      <c r="J216" s="9"/>
      <c r="L216" s="40"/>
      <c r="M216" s="40"/>
    </row>
    <row r="217" spans="1:13" ht="12.75">
      <c r="A217" s="15"/>
      <c r="B217" s="47"/>
      <c r="C217" s="47"/>
      <c r="E217" s="16"/>
      <c r="I217" s="16"/>
      <c r="J217" s="9"/>
      <c r="L217" s="40"/>
      <c r="M217" s="40"/>
    </row>
    <row r="218" spans="1:13" ht="12.75">
      <c r="A218" s="15"/>
      <c r="B218" s="47"/>
      <c r="C218" s="47"/>
      <c r="E218" s="16"/>
      <c r="I218" s="16"/>
      <c r="J218" s="9"/>
      <c r="L218" s="40"/>
      <c r="M218" s="40"/>
    </row>
    <row r="219" spans="1:13" ht="12.75">
      <c r="A219" s="15"/>
      <c r="B219" s="47"/>
      <c r="C219" s="47"/>
      <c r="E219" s="16"/>
      <c r="I219" s="16"/>
      <c r="J219" s="9"/>
      <c r="L219" s="40"/>
      <c r="M219" s="40"/>
    </row>
    <row r="220" spans="1:13" ht="12.75">
      <c r="A220" s="15"/>
      <c r="B220" s="47"/>
      <c r="C220" s="47"/>
      <c r="E220" s="16"/>
      <c r="I220" s="16"/>
      <c r="J220" s="9"/>
      <c r="L220" s="40"/>
      <c r="M220" s="40"/>
    </row>
    <row r="221" spans="1:13" ht="12.75">
      <c r="A221" s="15"/>
      <c r="B221" s="47"/>
      <c r="C221" s="47"/>
      <c r="E221" s="16"/>
      <c r="I221" s="16"/>
      <c r="J221" s="9"/>
      <c r="L221" s="40"/>
      <c r="M221" s="40"/>
    </row>
    <row r="222" spans="1:13" ht="12.75">
      <c r="A222" s="15"/>
      <c r="B222" s="47"/>
      <c r="C222" s="47"/>
      <c r="E222" s="16"/>
      <c r="I222" s="16"/>
      <c r="J222" s="9"/>
      <c r="L222" s="40"/>
      <c r="M222" s="40"/>
    </row>
    <row r="223" spans="1:13" ht="12.75">
      <c r="A223" s="15"/>
      <c r="B223" s="47"/>
      <c r="C223" s="47"/>
      <c r="E223" s="16"/>
      <c r="I223" s="16"/>
      <c r="J223" s="9"/>
      <c r="L223" s="40"/>
      <c r="M223" s="40"/>
    </row>
    <row r="224" spans="1:13" ht="12.75">
      <c r="A224" s="15"/>
      <c r="B224" s="47"/>
      <c r="C224" s="47"/>
      <c r="E224" s="16"/>
      <c r="I224" s="16"/>
      <c r="J224" s="9"/>
      <c r="L224" s="40"/>
      <c r="M224" s="40"/>
    </row>
    <row r="225" spans="1:13" ht="12.75">
      <c r="A225" s="15"/>
      <c r="B225" s="47"/>
      <c r="C225" s="47"/>
      <c r="E225" s="16"/>
      <c r="I225" s="16"/>
      <c r="J225" s="9"/>
      <c r="L225" s="40"/>
      <c r="M225" s="40"/>
    </row>
    <row r="226" spans="1:13" ht="12.75">
      <c r="A226" s="15"/>
      <c r="B226" s="47"/>
      <c r="C226" s="47"/>
      <c r="E226" s="16"/>
      <c r="I226" s="16"/>
      <c r="J226" s="9"/>
      <c r="L226" s="40"/>
      <c r="M226" s="40"/>
    </row>
    <row r="227" spans="1:13" ht="12.75">
      <c r="A227" s="15"/>
      <c r="B227" s="47"/>
      <c r="C227" s="47"/>
      <c r="E227" s="16"/>
      <c r="I227" s="16"/>
      <c r="J227" s="9"/>
      <c r="L227" s="40"/>
      <c r="M227" s="40"/>
    </row>
    <row r="228" spans="1:13" ht="12.75">
      <c r="A228" s="15"/>
      <c r="B228" s="47"/>
      <c r="C228" s="47"/>
      <c r="E228" s="16"/>
      <c r="I228" s="16"/>
      <c r="J228" s="9"/>
      <c r="L228" s="40"/>
      <c r="M228" s="40"/>
    </row>
    <row r="229" spans="1:13" ht="12.75">
      <c r="A229" s="15"/>
      <c r="B229" s="47"/>
      <c r="C229" s="47"/>
      <c r="E229" s="16"/>
      <c r="I229" s="16"/>
      <c r="J229" s="9"/>
      <c r="L229" s="40"/>
      <c r="M229" s="40"/>
    </row>
    <row r="230" spans="1:13" ht="12.75">
      <c r="A230" s="15"/>
      <c r="B230" s="47"/>
      <c r="C230" s="47"/>
      <c r="E230" s="16"/>
      <c r="I230" s="16"/>
      <c r="J230" s="9"/>
      <c r="L230" s="40"/>
      <c r="M230" s="40"/>
    </row>
    <row r="231" spans="1:13" ht="12.75">
      <c r="A231" s="15"/>
      <c r="B231" s="47"/>
      <c r="C231" s="47"/>
      <c r="E231" s="16"/>
      <c r="I231" s="16"/>
      <c r="J231" s="9"/>
      <c r="L231" s="40"/>
      <c r="M231" s="40"/>
    </row>
    <row r="232" spans="1:13" ht="12.75">
      <c r="A232" s="15"/>
      <c r="B232" s="47"/>
      <c r="C232" s="47"/>
      <c r="E232" s="16"/>
      <c r="I232" s="16"/>
      <c r="J232" s="9"/>
      <c r="L232" s="40"/>
      <c r="M232" s="40"/>
    </row>
    <row r="233" spans="1:13" ht="12.75">
      <c r="A233" s="15"/>
      <c r="B233" s="47"/>
      <c r="C233" s="47"/>
      <c r="E233" s="16"/>
      <c r="I233" s="16"/>
      <c r="J233" s="9"/>
      <c r="L233" s="40"/>
      <c r="M233" s="40"/>
    </row>
    <row r="234" spans="1:13" ht="12.75">
      <c r="A234" s="15"/>
      <c r="B234" s="47"/>
      <c r="C234" s="47"/>
      <c r="E234" s="16"/>
      <c r="I234" s="16"/>
      <c r="J234" s="9"/>
      <c r="L234" s="40"/>
      <c r="M234" s="40"/>
    </row>
    <row r="235" spans="1:13" ht="12.75">
      <c r="A235" s="15"/>
      <c r="B235" s="47"/>
      <c r="C235" s="47"/>
      <c r="E235" s="16"/>
      <c r="I235" s="16"/>
      <c r="J235" s="9"/>
      <c r="L235" s="40"/>
      <c r="M235" s="40"/>
    </row>
    <row r="236" spans="1:13" ht="12.75">
      <c r="A236" s="15"/>
      <c r="B236" s="47"/>
      <c r="C236" s="47"/>
      <c r="E236" s="16"/>
      <c r="I236" s="16"/>
      <c r="J236" s="9"/>
      <c r="L236" s="40"/>
      <c r="M236" s="40"/>
    </row>
    <row r="237" spans="1:13" ht="12.75">
      <c r="A237" s="15"/>
      <c r="B237" s="47"/>
      <c r="C237" s="47"/>
      <c r="E237" s="16"/>
      <c r="I237" s="16"/>
      <c r="J237" s="9"/>
      <c r="L237" s="40"/>
      <c r="M237" s="40"/>
    </row>
    <row r="238" spans="1:13" ht="12.75">
      <c r="A238" s="15"/>
      <c r="B238" s="47"/>
      <c r="C238" s="47"/>
      <c r="E238" s="16"/>
      <c r="I238" s="16"/>
      <c r="J238" s="9"/>
      <c r="L238" s="40"/>
      <c r="M238" s="40"/>
    </row>
    <row r="239" spans="1:13" ht="12.75">
      <c r="A239" s="15"/>
      <c r="B239" s="47"/>
      <c r="C239" s="47"/>
      <c r="E239" s="16"/>
      <c r="I239" s="16"/>
      <c r="J239" s="9"/>
      <c r="L239" s="40"/>
      <c r="M239" s="40"/>
    </row>
    <row r="240" spans="1:13" ht="12.75">
      <c r="A240" s="15"/>
      <c r="B240" s="47"/>
      <c r="C240" s="47"/>
      <c r="E240" s="16"/>
      <c r="I240" s="16"/>
      <c r="J240" s="9"/>
      <c r="L240" s="40"/>
      <c r="M240" s="40"/>
    </row>
    <row r="241" spans="1:13" ht="12.75">
      <c r="A241" s="15"/>
      <c r="B241" s="47"/>
      <c r="C241" s="47"/>
      <c r="E241" s="16"/>
      <c r="I241" s="16"/>
      <c r="J241" s="9"/>
      <c r="L241" s="40"/>
      <c r="M241" s="40"/>
    </row>
    <row r="242" spans="1:13" ht="12.75">
      <c r="A242" s="15"/>
      <c r="B242" s="47"/>
      <c r="C242" s="47"/>
      <c r="E242" s="16"/>
      <c r="I242" s="16"/>
      <c r="J242" s="9"/>
      <c r="L242" s="40"/>
      <c r="M242" s="40"/>
    </row>
    <row r="243" spans="1:13" ht="12.75">
      <c r="A243" s="15"/>
      <c r="B243" s="47"/>
      <c r="C243" s="47"/>
      <c r="E243" s="16"/>
      <c r="I243" s="16"/>
      <c r="J243" s="9"/>
      <c r="L243" s="40"/>
      <c r="M243" s="40"/>
    </row>
    <row r="244" spans="1:13" ht="12.75">
      <c r="A244" s="15"/>
      <c r="B244" s="47"/>
      <c r="C244" s="47"/>
      <c r="E244" s="16"/>
      <c r="I244" s="16"/>
      <c r="J244" s="9"/>
      <c r="L244" s="40"/>
      <c r="M244" s="40"/>
    </row>
    <row r="245" spans="1:13" ht="12.75">
      <c r="A245" s="15"/>
      <c r="B245" s="47"/>
      <c r="C245" s="47"/>
      <c r="E245" s="16"/>
      <c r="I245" s="16"/>
      <c r="J245" s="9"/>
      <c r="L245" s="40"/>
      <c r="M245" s="40"/>
    </row>
    <row r="246" spans="1:13" ht="12.75">
      <c r="A246" s="15"/>
      <c r="B246" s="47"/>
      <c r="C246" s="47"/>
      <c r="E246" s="16"/>
      <c r="I246" s="16"/>
      <c r="J246" s="9"/>
      <c r="L246" s="40"/>
      <c r="M246" s="40"/>
    </row>
    <row r="247" spans="1:13" ht="12.75">
      <c r="A247" s="15"/>
      <c r="B247" s="47"/>
      <c r="C247" s="47"/>
      <c r="E247" s="16"/>
      <c r="I247" s="16"/>
      <c r="J247" s="9"/>
      <c r="L247" s="40"/>
      <c r="M247" s="40"/>
    </row>
    <row r="248" spans="1:13" ht="12.75">
      <c r="A248" s="15"/>
      <c r="B248" s="47"/>
      <c r="C248" s="47"/>
      <c r="E248" s="16"/>
      <c r="I248" s="16"/>
      <c r="J248" s="9"/>
      <c r="L248" s="40"/>
      <c r="M248" s="40"/>
    </row>
    <row r="249" spans="1:13" ht="12.75">
      <c r="A249" s="15"/>
      <c r="B249" s="47"/>
      <c r="C249" s="47"/>
      <c r="E249" s="16"/>
      <c r="I249" s="16"/>
      <c r="J249" s="9"/>
      <c r="L249" s="40"/>
      <c r="M249" s="40"/>
    </row>
    <row r="250" spans="1:13" ht="12.75">
      <c r="A250" s="15"/>
      <c r="B250" s="47"/>
      <c r="C250" s="47"/>
      <c r="E250" s="16"/>
      <c r="I250" s="16"/>
      <c r="J250" s="9"/>
      <c r="L250" s="40"/>
      <c r="M250" s="40"/>
    </row>
    <row r="251" spans="1:13" ht="12.75">
      <c r="A251" s="15"/>
      <c r="B251" s="47"/>
      <c r="C251" s="47"/>
      <c r="E251" s="16"/>
      <c r="I251" s="16"/>
      <c r="J251" s="9"/>
      <c r="L251" s="40"/>
      <c r="M251" s="40"/>
    </row>
    <row r="252" spans="1:13" ht="12.75">
      <c r="A252" s="15"/>
      <c r="B252" s="47"/>
      <c r="C252" s="47"/>
      <c r="E252" s="16"/>
      <c r="I252" s="16"/>
      <c r="J252" s="9"/>
      <c r="L252" s="40"/>
      <c r="M252" s="40"/>
    </row>
    <row r="253" spans="1:13" ht="12.75">
      <c r="A253" s="15"/>
      <c r="B253" s="47"/>
      <c r="C253" s="47"/>
      <c r="E253" s="16"/>
      <c r="I253" s="16"/>
      <c r="J253" s="9"/>
      <c r="L253" s="40"/>
      <c r="M253" s="40"/>
    </row>
    <row r="254" spans="1:13" ht="12.75">
      <c r="A254" s="15"/>
      <c r="B254" s="47"/>
      <c r="C254" s="47"/>
      <c r="E254" s="16"/>
      <c r="I254" s="16"/>
      <c r="J254" s="9"/>
      <c r="L254" s="40"/>
      <c r="M254" s="40"/>
    </row>
    <row r="255" spans="1:13" ht="12.75">
      <c r="A255" s="15"/>
      <c r="B255" s="47"/>
      <c r="C255" s="47"/>
      <c r="E255" s="16"/>
      <c r="I255" s="16"/>
      <c r="J255" s="9"/>
      <c r="L255" s="40"/>
      <c r="M255" s="40"/>
    </row>
    <row r="256" spans="1:13" ht="12.75">
      <c r="A256" s="15"/>
      <c r="B256" s="47"/>
      <c r="C256" s="47"/>
      <c r="E256" s="16"/>
      <c r="I256" s="16"/>
      <c r="J256" s="9"/>
      <c r="L256" s="40"/>
      <c r="M256" s="40"/>
    </row>
    <row r="257" spans="1:13" ht="12.75">
      <c r="A257" s="15"/>
      <c r="B257" s="47"/>
      <c r="C257" s="47"/>
      <c r="E257" s="16"/>
      <c r="I257" s="16"/>
      <c r="J257" s="9"/>
      <c r="L257" s="40"/>
      <c r="M257" s="40"/>
    </row>
    <row r="258" spans="1:13" ht="12.75">
      <c r="A258" s="15"/>
      <c r="B258" s="47"/>
      <c r="C258" s="47"/>
      <c r="E258" s="16"/>
      <c r="I258" s="16"/>
      <c r="J258" s="9"/>
      <c r="L258" s="40"/>
      <c r="M258" s="40"/>
    </row>
    <row r="259" spans="1:13" ht="12.75">
      <c r="A259" s="15"/>
      <c r="B259" s="47"/>
      <c r="C259" s="47"/>
      <c r="E259" s="16"/>
      <c r="I259" s="16"/>
      <c r="J259" s="9"/>
      <c r="L259" s="40"/>
      <c r="M259" s="40"/>
    </row>
    <row r="260" spans="1:13" ht="12.75">
      <c r="A260" s="15"/>
      <c r="B260" s="47"/>
      <c r="C260" s="47"/>
      <c r="E260" s="16"/>
      <c r="I260" s="16"/>
      <c r="J260" s="9"/>
      <c r="L260" s="40"/>
      <c r="M260" s="40"/>
    </row>
    <row r="261" spans="1:13" ht="12.75">
      <c r="A261" s="15"/>
      <c r="B261" s="47"/>
      <c r="C261" s="47"/>
      <c r="E261" s="16"/>
      <c r="I261" s="16"/>
      <c r="J261" s="9"/>
      <c r="L261" s="40"/>
      <c r="M261" s="40"/>
    </row>
    <row r="262" spans="1:13" ht="12.75">
      <c r="A262" s="15"/>
      <c r="B262" s="47"/>
      <c r="C262" s="47"/>
      <c r="E262" s="16"/>
      <c r="I262" s="16"/>
      <c r="J262" s="9"/>
      <c r="L262" s="40"/>
      <c r="M262" s="40"/>
    </row>
    <row r="263" spans="1:13" ht="12.75">
      <c r="A263" s="15"/>
      <c r="B263" s="47"/>
      <c r="C263" s="47"/>
      <c r="E263" s="16"/>
      <c r="I263" s="16"/>
      <c r="J263" s="9"/>
      <c r="L263" s="40"/>
      <c r="M263" s="40"/>
    </row>
    <row r="264" spans="1:13" ht="12.75">
      <c r="A264" s="15"/>
      <c r="B264" s="47"/>
      <c r="C264" s="47"/>
      <c r="E264" s="16"/>
      <c r="I264" s="16"/>
      <c r="J264" s="9"/>
      <c r="L264" s="40"/>
      <c r="M264" s="40"/>
    </row>
    <row r="265" spans="1:13" ht="12.75">
      <c r="A265" s="15"/>
      <c r="B265" s="47"/>
      <c r="C265" s="47"/>
      <c r="E265" s="16"/>
      <c r="I265" s="16"/>
      <c r="J265" s="9"/>
      <c r="L265" s="40"/>
      <c r="M265" s="40"/>
    </row>
    <row r="266" spans="1:13" ht="12.75">
      <c r="A266" s="15"/>
      <c r="B266" s="47"/>
      <c r="C266" s="47"/>
      <c r="E266" s="16"/>
      <c r="I266" s="16"/>
      <c r="J266" s="9"/>
      <c r="L266" s="40"/>
      <c r="M266" s="40"/>
    </row>
    <row r="267" spans="1:13" ht="12.75">
      <c r="A267" s="15"/>
      <c r="B267" s="47"/>
      <c r="C267" s="47"/>
      <c r="E267" s="16"/>
      <c r="I267" s="16"/>
      <c r="J267" s="9"/>
      <c r="L267" s="40"/>
      <c r="M267" s="40"/>
    </row>
    <row r="268" spans="1:13" ht="12.75">
      <c r="A268" s="15"/>
      <c r="B268" s="47"/>
      <c r="C268" s="47"/>
      <c r="E268" s="16"/>
      <c r="I268" s="16"/>
      <c r="J268" s="9"/>
      <c r="L268" s="40"/>
      <c r="M268" s="40"/>
    </row>
    <row r="269" spans="1:13" ht="12.75">
      <c r="A269" s="15"/>
      <c r="B269" s="47"/>
      <c r="C269" s="47"/>
      <c r="E269" s="16"/>
      <c r="I269" s="16"/>
      <c r="J269" s="9"/>
      <c r="L269" s="40"/>
      <c r="M269" s="40"/>
    </row>
    <row r="270" spans="1:13" ht="12.75">
      <c r="A270" s="15"/>
      <c r="B270" s="47"/>
      <c r="C270" s="47"/>
      <c r="E270" s="16"/>
      <c r="I270" s="16"/>
      <c r="J270" s="9"/>
      <c r="L270" s="40"/>
      <c r="M270" s="40"/>
    </row>
    <row r="271" spans="1:13" ht="12.75">
      <c r="A271" s="15"/>
      <c r="B271" s="47"/>
      <c r="C271" s="47"/>
      <c r="E271" s="16"/>
      <c r="I271" s="16"/>
      <c r="J271" s="9"/>
      <c r="L271" s="40"/>
      <c r="M271" s="40"/>
    </row>
    <row r="272" spans="1:13" ht="12.75">
      <c r="A272" s="15"/>
      <c r="B272" s="47"/>
      <c r="C272" s="47"/>
      <c r="E272" s="16"/>
      <c r="I272" s="16"/>
      <c r="J272" s="9"/>
      <c r="L272" s="40"/>
      <c r="M272" s="40"/>
    </row>
    <row r="273" spans="1:13" ht="12.75">
      <c r="A273" s="15"/>
      <c r="B273" s="47"/>
      <c r="C273" s="47"/>
      <c r="E273" s="16"/>
      <c r="I273" s="16"/>
      <c r="J273" s="9"/>
      <c r="L273" s="40"/>
      <c r="M273" s="40"/>
    </row>
    <row r="274" spans="1:13" ht="12.75">
      <c r="A274" s="15"/>
      <c r="B274" s="47"/>
      <c r="C274" s="47"/>
      <c r="E274" s="16"/>
      <c r="I274" s="16"/>
      <c r="J274" s="9"/>
      <c r="L274" s="40"/>
      <c r="M274" s="40"/>
    </row>
    <row r="275" spans="1:13" ht="12.75">
      <c r="A275" s="15"/>
      <c r="B275" s="47"/>
      <c r="C275" s="47"/>
      <c r="E275" s="16"/>
      <c r="I275" s="16"/>
      <c r="J275" s="9"/>
      <c r="L275" s="40"/>
      <c r="M275" s="40"/>
    </row>
    <row r="276" spans="1:13" ht="12.75">
      <c r="A276" s="15"/>
      <c r="B276" s="47"/>
      <c r="C276" s="47"/>
      <c r="E276" s="16"/>
      <c r="I276" s="16"/>
      <c r="J276" s="9"/>
      <c r="L276" s="40"/>
      <c r="M276" s="40"/>
    </row>
    <row r="277" spans="1:13" ht="12.75">
      <c r="A277" s="15"/>
      <c r="B277" s="47"/>
      <c r="C277" s="47"/>
      <c r="E277" s="16"/>
      <c r="I277" s="16"/>
      <c r="J277" s="9"/>
      <c r="L277" s="40"/>
      <c r="M277" s="40"/>
    </row>
    <row r="278" spans="1:13" ht="12.75">
      <c r="A278" s="15"/>
      <c r="B278" s="47"/>
      <c r="C278" s="47"/>
      <c r="E278" s="16"/>
      <c r="I278" s="16"/>
      <c r="J278" s="9"/>
      <c r="L278" s="40"/>
      <c r="M278" s="40"/>
    </row>
    <row r="279" spans="1:13" ht="12.75">
      <c r="A279" s="15"/>
      <c r="B279" s="47"/>
      <c r="C279" s="47"/>
      <c r="E279" s="16"/>
      <c r="I279" s="16"/>
      <c r="J279" s="9"/>
      <c r="L279" s="40"/>
      <c r="M279" s="40"/>
    </row>
    <row r="280" spans="1:13" ht="12.75">
      <c r="A280" s="15"/>
      <c r="B280" s="47"/>
      <c r="C280" s="47"/>
      <c r="E280" s="16"/>
      <c r="I280" s="16"/>
      <c r="J280" s="9"/>
      <c r="L280" s="40"/>
      <c r="M280" s="40"/>
    </row>
    <row r="281" spans="1:13" ht="12.75">
      <c r="A281" s="15"/>
      <c r="B281" s="47"/>
      <c r="C281" s="47"/>
      <c r="E281" s="16"/>
      <c r="I281" s="16"/>
      <c r="J281" s="9"/>
      <c r="L281" s="40"/>
      <c r="M281" s="40"/>
    </row>
    <row r="282" spans="1:13" ht="12.75">
      <c r="A282" s="15"/>
      <c r="B282" s="47"/>
      <c r="C282" s="47"/>
      <c r="E282" s="16"/>
      <c r="I282" s="16"/>
      <c r="J282" s="9"/>
      <c r="L282" s="40"/>
      <c r="M282" s="40"/>
    </row>
    <row r="283" spans="1:13" ht="12.75">
      <c r="A283" s="15"/>
      <c r="B283" s="47"/>
      <c r="C283" s="47"/>
      <c r="E283" s="16"/>
      <c r="I283" s="16"/>
      <c r="J283" s="9"/>
      <c r="L283" s="40"/>
      <c r="M283" s="40"/>
    </row>
    <row r="284" spans="1:13" ht="12.75">
      <c r="A284" s="15"/>
      <c r="B284" s="47"/>
      <c r="C284" s="47"/>
      <c r="E284" s="16"/>
      <c r="I284" s="16"/>
      <c r="J284" s="9"/>
      <c r="L284" s="40"/>
      <c r="M284" s="40"/>
    </row>
    <row r="285" spans="1:13" ht="12.75">
      <c r="A285" s="15"/>
      <c r="B285" s="47"/>
      <c r="C285" s="47"/>
      <c r="E285" s="16"/>
      <c r="I285" s="16"/>
      <c r="J285" s="9"/>
      <c r="L285" s="40"/>
      <c r="M285" s="40"/>
    </row>
    <row r="286" spans="1:13" ht="12.75">
      <c r="A286" s="15"/>
      <c r="B286" s="47"/>
      <c r="C286" s="47"/>
      <c r="E286" s="16"/>
      <c r="I286" s="16"/>
      <c r="J286" s="9"/>
      <c r="L286" s="40"/>
      <c r="M286" s="40"/>
    </row>
    <row r="287" spans="1:13" ht="12.75">
      <c r="A287" s="15"/>
      <c r="B287" s="47"/>
      <c r="C287" s="47"/>
      <c r="E287" s="16"/>
      <c r="I287" s="16"/>
      <c r="J287" s="9"/>
      <c r="L287" s="40"/>
      <c r="M287" s="40"/>
    </row>
    <row r="288" spans="1:13" ht="12.75">
      <c r="A288" s="15"/>
      <c r="B288" s="47"/>
      <c r="C288" s="47"/>
      <c r="E288" s="16"/>
      <c r="I288" s="16"/>
      <c r="J288" s="9"/>
      <c r="L288" s="40"/>
      <c r="M288" s="40"/>
    </row>
    <row r="289" spans="1:13" ht="12.75">
      <c r="A289" s="15"/>
      <c r="B289" s="47"/>
      <c r="C289" s="47"/>
      <c r="E289" s="16"/>
      <c r="I289" s="16"/>
      <c r="J289" s="9"/>
      <c r="L289" s="40"/>
      <c r="M289" s="40"/>
    </row>
    <row r="290" spans="1:13" ht="12.75">
      <c r="A290" s="15"/>
      <c r="B290" s="47"/>
      <c r="C290" s="47"/>
      <c r="E290" s="16"/>
      <c r="I290" s="16"/>
      <c r="J290" s="9"/>
      <c r="L290" s="40"/>
      <c r="M290" s="40"/>
    </row>
    <row r="291" spans="1:13" ht="12.75">
      <c r="A291" s="15"/>
      <c r="B291" s="47"/>
      <c r="C291" s="47"/>
      <c r="E291" s="16"/>
      <c r="I291" s="16"/>
      <c r="J291" s="9"/>
      <c r="L291" s="40"/>
      <c r="M291" s="40"/>
    </row>
    <row r="292" spans="1:13" ht="12.75">
      <c r="A292" s="15"/>
      <c r="B292" s="47"/>
      <c r="C292" s="47"/>
      <c r="E292" s="16"/>
      <c r="I292" s="16"/>
      <c r="J292" s="9"/>
      <c r="L292" s="40"/>
      <c r="M292" s="40"/>
    </row>
    <row r="293" spans="1:13" ht="12.75">
      <c r="A293" s="15"/>
      <c r="B293" s="47"/>
      <c r="C293" s="47"/>
      <c r="E293" s="16"/>
      <c r="I293" s="16"/>
      <c r="J293" s="9"/>
      <c r="L293" s="40"/>
      <c r="M293" s="40"/>
    </row>
    <row r="294" spans="1:13" ht="12.75">
      <c r="A294" s="15"/>
      <c r="B294" s="47"/>
      <c r="C294" s="47"/>
      <c r="E294" s="16"/>
      <c r="I294" s="16"/>
      <c r="J294" s="9"/>
      <c r="L294" s="40"/>
      <c r="M294" s="40"/>
    </row>
    <row r="295" spans="1:13" ht="12.75">
      <c r="A295" s="15"/>
      <c r="B295" s="47"/>
      <c r="C295" s="47"/>
      <c r="E295" s="16"/>
      <c r="I295" s="16"/>
      <c r="J295" s="9"/>
      <c r="L295" s="40"/>
      <c r="M295" s="40"/>
    </row>
    <row r="296" spans="1:13" ht="12.75">
      <c r="A296" s="15"/>
      <c r="B296" s="47"/>
      <c r="C296" s="47"/>
      <c r="E296" s="16"/>
      <c r="I296" s="16"/>
      <c r="J296" s="9"/>
      <c r="L296" s="40"/>
      <c r="M296" s="40"/>
    </row>
    <row r="297" spans="1:13" ht="12.75">
      <c r="A297" s="15"/>
      <c r="B297" s="47"/>
      <c r="C297" s="47"/>
      <c r="E297" s="16"/>
      <c r="I297" s="16"/>
      <c r="J297" s="9"/>
      <c r="L297" s="40"/>
      <c r="M297" s="40"/>
    </row>
    <row r="298" spans="1:13" ht="12.75">
      <c r="A298" s="15"/>
      <c r="B298" s="47"/>
      <c r="C298" s="47"/>
      <c r="E298" s="16"/>
      <c r="I298" s="16"/>
      <c r="J298" s="9"/>
      <c r="L298" s="40"/>
      <c r="M298" s="40"/>
    </row>
    <row r="299" spans="1:13" ht="12.75">
      <c r="A299" s="15"/>
      <c r="B299" s="47"/>
      <c r="C299" s="47"/>
      <c r="E299" s="16"/>
      <c r="I299" s="16"/>
      <c r="J299" s="9"/>
      <c r="L299" s="40"/>
      <c r="M299" s="40"/>
    </row>
    <row r="300" spans="1:13" ht="12.75">
      <c r="A300" s="15"/>
      <c r="B300" s="47"/>
      <c r="C300" s="47"/>
      <c r="E300" s="16"/>
      <c r="I300" s="16"/>
      <c r="J300" s="9"/>
      <c r="L300" s="40"/>
      <c r="M300" s="40"/>
    </row>
    <row r="301" spans="1:13" ht="12.75">
      <c r="A301" s="15"/>
      <c r="B301" s="47"/>
      <c r="C301" s="47"/>
      <c r="E301" s="16"/>
      <c r="I301" s="16"/>
      <c r="J301" s="9"/>
      <c r="L301" s="40"/>
      <c r="M301" s="40"/>
    </row>
    <row r="302" spans="1:13" ht="12.75">
      <c r="A302" s="15"/>
      <c r="B302" s="47"/>
      <c r="C302" s="47"/>
      <c r="E302" s="16"/>
      <c r="I302" s="16"/>
      <c r="J302" s="9"/>
      <c r="L302" s="40"/>
      <c r="M302" s="40"/>
    </row>
    <row r="303" spans="1:13" ht="12.75">
      <c r="A303" s="15"/>
      <c r="B303" s="47"/>
      <c r="C303" s="47"/>
      <c r="E303" s="16"/>
      <c r="I303" s="16"/>
      <c r="J303" s="9"/>
      <c r="L303" s="40"/>
      <c r="M303" s="40"/>
    </row>
    <row r="304" spans="1:13" ht="12.75">
      <c r="A304" s="15"/>
      <c r="B304" s="47"/>
      <c r="C304" s="47"/>
      <c r="E304" s="16"/>
      <c r="I304" s="16"/>
      <c r="J304" s="9"/>
      <c r="L304" s="40"/>
      <c r="M304" s="40"/>
    </row>
    <row r="305" spans="1:13" ht="12.75">
      <c r="A305" s="15"/>
      <c r="B305" s="47"/>
      <c r="C305" s="47"/>
      <c r="E305" s="16"/>
      <c r="I305" s="16"/>
      <c r="J305" s="9"/>
      <c r="L305" s="40"/>
      <c r="M305" s="40"/>
    </row>
    <row r="306" spans="1:13" ht="12.75">
      <c r="A306" s="15"/>
      <c r="B306" s="47"/>
      <c r="C306" s="47"/>
      <c r="E306" s="16"/>
      <c r="I306" s="16"/>
      <c r="J306" s="9"/>
      <c r="L306" s="40"/>
      <c r="M306" s="40"/>
    </row>
    <row r="307" spans="1:13" ht="12.75">
      <c r="A307" s="15"/>
      <c r="B307" s="47"/>
      <c r="C307" s="47"/>
      <c r="E307" s="16"/>
      <c r="I307" s="16"/>
      <c r="J307" s="9"/>
      <c r="L307" s="40"/>
      <c r="M307" s="40"/>
    </row>
    <row r="308" spans="1:13" ht="12.75">
      <c r="A308" s="15"/>
      <c r="B308" s="47"/>
      <c r="C308" s="47"/>
      <c r="E308" s="16"/>
      <c r="I308" s="16"/>
      <c r="J308" s="9"/>
      <c r="L308" s="40"/>
      <c r="M308" s="40"/>
    </row>
    <row r="309" spans="1:13" ht="12.75">
      <c r="A309" s="15"/>
      <c r="B309" s="47"/>
      <c r="C309" s="47"/>
      <c r="E309" s="16"/>
      <c r="I309" s="16"/>
      <c r="J309" s="9"/>
      <c r="L309" s="40"/>
      <c r="M309" s="40"/>
    </row>
    <row r="310" spans="1:13" ht="12.75">
      <c r="A310" s="15"/>
      <c r="B310" s="47"/>
      <c r="C310" s="47"/>
      <c r="E310" s="16"/>
      <c r="I310" s="16"/>
      <c r="J310" s="9"/>
      <c r="L310" s="40"/>
      <c r="M310" s="40"/>
    </row>
    <row r="311" spans="1:13" ht="12.75">
      <c r="A311" s="15"/>
      <c r="B311" s="47"/>
      <c r="C311" s="47"/>
      <c r="E311" s="16"/>
      <c r="I311" s="16"/>
      <c r="J311" s="9"/>
      <c r="L311" s="40"/>
      <c r="M311" s="40"/>
    </row>
    <row r="312" spans="1:13" ht="12.75">
      <c r="A312" s="15"/>
      <c r="B312" s="47"/>
      <c r="C312" s="47"/>
      <c r="E312" s="16"/>
      <c r="I312" s="16"/>
      <c r="J312" s="9"/>
      <c r="L312" s="40"/>
      <c r="M312" s="40"/>
    </row>
    <row r="313" spans="1:13" ht="12.75">
      <c r="A313" s="15"/>
      <c r="B313" s="47"/>
      <c r="C313" s="47"/>
      <c r="E313" s="16"/>
      <c r="I313" s="16"/>
      <c r="J313" s="9"/>
      <c r="L313" s="40"/>
      <c r="M313" s="40"/>
    </row>
    <row r="314" spans="1:13" ht="12.75">
      <c r="A314" s="15"/>
      <c r="B314" s="47"/>
      <c r="C314" s="47"/>
      <c r="E314" s="16"/>
      <c r="I314" s="16"/>
      <c r="J314" s="9"/>
      <c r="L314" s="40"/>
      <c r="M314" s="40"/>
    </row>
    <row r="315" spans="1:13" ht="12.75">
      <c r="A315" s="15"/>
      <c r="B315" s="47"/>
      <c r="C315" s="47"/>
      <c r="E315" s="16"/>
      <c r="I315" s="16"/>
      <c r="J315" s="9"/>
      <c r="L315" s="40"/>
      <c r="M315" s="40"/>
    </row>
    <row r="316" spans="1:13" ht="12.75">
      <c r="A316" s="15"/>
      <c r="B316" s="47"/>
      <c r="C316" s="47"/>
      <c r="E316" s="16"/>
      <c r="I316" s="16"/>
      <c r="J316" s="9"/>
      <c r="L316" s="40"/>
      <c r="M316" s="40"/>
    </row>
    <row r="317" spans="1:13" ht="12.75">
      <c r="A317" s="15"/>
      <c r="B317" s="47"/>
      <c r="C317" s="47"/>
      <c r="E317" s="16"/>
      <c r="I317" s="16"/>
      <c r="J317" s="9"/>
      <c r="L317" s="40"/>
      <c r="M317" s="40"/>
    </row>
    <row r="318" spans="1:13" ht="12.75">
      <c r="A318" s="15"/>
      <c r="B318" s="47"/>
      <c r="C318" s="47"/>
      <c r="E318" s="16"/>
      <c r="I318" s="16"/>
      <c r="J318" s="9"/>
      <c r="L318" s="40"/>
      <c r="M318" s="40"/>
    </row>
    <row r="319" spans="1:13" ht="12.75">
      <c r="A319" s="15"/>
      <c r="B319" s="47"/>
      <c r="C319" s="47"/>
      <c r="E319" s="16"/>
      <c r="I319" s="16"/>
      <c r="J319" s="9"/>
      <c r="L319" s="40"/>
      <c r="M319" s="40"/>
    </row>
    <row r="320" spans="1:13" ht="12.75">
      <c r="A320" s="15"/>
      <c r="B320" s="47"/>
      <c r="C320" s="47"/>
      <c r="E320" s="16"/>
      <c r="I320" s="16"/>
      <c r="J320" s="9"/>
      <c r="L320" s="40"/>
      <c r="M320" s="40"/>
    </row>
    <row r="321" spans="1:13" ht="12.75">
      <c r="A321" s="15"/>
      <c r="B321" s="47"/>
      <c r="C321" s="47"/>
      <c r="E321" s="16"/>
      <c r="I321" s="16"/>
      <c r="J321" s="9"/>
      <c r="L321" s="40"/>
      <c r="M321" s="40"/>
    </row>
    <row r="322" spans="1:13" ht="12.75">
      <c r="A322" s="15"/>
      <c r="B322" s="47"/>
      <c r="C322" s="47"/>
      <c r="E322" s="16"/>
      <c r="I322" s="16"/>
      <c r="J322" s="9"/>
      <c r="L322" s="40"/>
      <c r="M322" s="40"/>
    </row>
    <row r="323" spans="1:13" ht="12.75">
      <c r="A323" s="15"/>
      <c r="B323" s="47"/>
      <c r="C323" s="47"/>
      <c r="E323" s="16"/>
      <c r="I323" s="16"/>
      <c r="J323" s="9"/>
      <c r="L323" s="40"/>
      <c r="M323" s="40"/>
    </row>
    <row r="324" spans="1:13" ht="12.75">
      <c r="A324" s="15"/>
      <c r="B324" s="47"/>
      <c r="C324" s="47"/>
      <c r="E324" s="16"/>
      <c r="I324" s="16"/>
      <c r="J324" s="9"/>
      <c r="L324" s="40"/>
      <c r="M324" s="40"/>
    </row>
    <row r="325" spans="1:13" ht="12.75">
      <c r="A325" s="15"/>
      <c r="B325" s="47"/>
      <c r="C325" s="47"/>
      <c r="E325" s="16"/>
      <c r="I325" s="16"/>
      <c r="J325" s="9"/>
      <c r="L325" s="40"/>
      <c r="M325" s="40"/>
    </row>
    <row r="326" spans="1:13" ht="12.75">
      <c r="A326" s="15"/>
      <c r="B326" s="47"/>
      <c r="C326" s="47"/>
      <c r="E326" s="16"/>
      <c r="I326" s="16"/>
      <c r="J326" s="9"/>
      <c r="L326" s="40"/>
      <c r="M326" s="40"/>
    </row>
    <row r="327" spans="1:13" ht="12.75">
      <c r="A327" s="15"/>
      <c r="B327" s="47"/>
      <c r="C327" s="47"/>
      <c r="E327" s="16"/>
      <c r="I327" s="16"/>
      <c r="J327" s="9"/>
      <c r="L327" s="40"/>
      <c r="M327" s="40"/>
    </row>
    <row r="328" spans="1:13" ht="12.75">
      <c r="A328" s="15"/>
      <c r="B328" s="47"/>
      <c r="C328" s="47"/>
      <c r="E328" s="16"/>
      <c r="I328" s="16"/>
      <c r="J328" s="9"/>
      <c r="L328" s="40"/>
      <c r="M328" s="40"/>
    </row>
    <row r="329" spans="1:13" ht="12.75">
      <c r="A329" s="15"/>
      <c r="B329" s="47"/>
      <c r="C329" s="47"/>
      <c r="E329" s="16"/>
      <c r="I329" s="16"/>
      <c r="J329" s="9"/>
      <c r="L329" s="40"/>
      <c r="M329" s="40"/>
    </row>
    <row r="330" spans="1:13" ht="12.75">
      <c r="A330" s="15"/>
      <c r="B330" s="47"/>
      <c r="C330" s="47"/>
      <c r="E330" s="16"/>
      <c r="I330" s="16"/>
      <c r="J330" s="9"/>
      <c r="L330" s="40"/>
      <c r="M330" s="40"/>
    </row>
    <row r="331" spans="1:13" ht="12.75">
      <c r="A331" s="15"/>
      <c r="B331" s="47"/>
      <c r="C331" s="47"/>
      <c r="E331" s="16"/>
      <c r="I331" s="16"/>
      <c r="J331" s="9"/>
      <c r="L331" s="40"/>
      <c r="M331" s="40"/>
    </row>
    <row r="332" spans="1:13" ht="12.75">
      <c r="A332" s="15"/>
      <c r="B332" s="47"/>
      <c r="C332" s="47"/>
      <c r="E332" s="16"/>
      <c r="I332" s="16"/>
      <c r="J332" s="9"/>
      <c r="L332" s="40"/>
      <c r="M332" s="40"/>
    </row>
    <row r="333" spans="1:13" ht="12.75">
      <c r="A333" s="15"/>
      <c r="B333" s="47"/>
      <c r="C333" s="47"/>
      <c r="E333" s="16"/>
      <c r="I333" s="16"/>
      <c r="J333" s="9"/>
      <c r="L333" s="40"/>
      <c r="M333" s="40"/>
    </row>
    <row r="334" spans="1:13" ht="12.75">
      <c r="A334" s="15"/>
      <c r="B334" s="47"/>
      <c r="C334" s="47"/>
      <c r="E334" s="16"/>
      <c r="I334" s="16"/>
      <c r="J334" s="9"/>
      <c r="L334" s="40"/>
      <c r="M334" s="40"/>
    </row>
    <row r="335" spans="1:13" ht="12.75">
      <c r="A335" s="15"/>
      <c r="B335" s="47"/>
      <c r="C335" s="47"/>
      <c r="E335" s="16"/>
      <c r="I335" s="16"/>
      <c r="J335" s="9"/>
      <c r="L335" s="40"/>
      <c r="M335" s="40"/>
    </row>
    <row r="336" spans="1:13" ht="12.75">
      <c r="A336" s="15"/>
      <c r="B336" s="47"/>
      <c r="C336" s="47"/>
      <c r="E336" s="16"/>
      <c r="I336" s="16"/>
      <c r="J336" s="9"/>
      <c r="L336" s="40"/>
      <c r="M336" s="40"/>
    </row>
    <row r="337" spans="1:13" ht="12.75">
      <c r="A337" s="15"/>
      <c r="B337" s="47"/>
      <c r="C337" s="47"/>
      <c r="E337" s="16"/>
      <c r="I337" s="16"/>
      <c r="J337" s="9"/>
      <c r="L337" s="40"/>
      <c r="M337" s="40"/>
    </row>
    <row r="338" spans="1:13" ht="12.75">
      <c r="A338" s="15"/>
      <c r="B338" s="47"/>
      <c r="C338" s="47"/>
      <c r="E338" s="16"/>
      <c r="I338" s="16"/>
      <c r="J338" s="9"/>
      <c r="L338" s="40"/>
      <c r="M338" s="40"/>
    </row>
    <row r="339" spans="1:13" ht="12.75">
      <c r="A339" s="15"/>
      <c r="B339" s="47"/>
      <c r="C339" s="47"/>
      <c r="E339" s="16"/>
      <c r="I339" s="16"/>
      <c r="J339" s="9"/>
      <c r="L339" s="40"/>
      <c r="M339" s="40"/>
    </row>
    <row r="340" spans="1:13" ht="12.75">
      <c r="A340" s="15"/>
      <c r="B340" s="47"/>
      <c r="C340" s="47"/>
      <c r="E340" s="16"/>
      <c r="I340" s="16"/>
      <c r="J340" s="9"/>
      <c r="L340" s="40"/>
      <c r="M340" s="40"/>
    </row>
    <row r="341" spans="1:13" ht="12.75">
      <c r="A341" s="15"/>
      <c r="B341" s="47"/>
      <c r="C341" s="47"/>
      <c r="E341" s="16"/>
      <c r="I341" s="16"/>
      <c r="J341" s="9"/>
      <c r="L341" s="40"/>
      <c r="M341" s="40"/>
    </row>
    <row r="342" spans="1:13" ht="12.75">
      <c r="A342" s="15"/>
      <c r="B342" s="47"/>
      <c r="C342" s="47"/>
      <c r="E342" s="16"/>
      <c r="I342" s="16"/>
      <c r="J342" s="9"/>
      <c r="L342" s="40"/>
      <c r="M342" s="40"/>
    </row>
    <row r="343" spans="1:13" ht="12.75">
      <c r="A343" s="15"/>
      <c r="B343" s="47"/>
      <c r="C343" s="47"/>
      <c r="E343" s="16"/>
      <c r="I343" s="16"/>
      <c r="J343" s="9"/>
      <c r="L343" s="40"/>
      <c r="M343" s="40"/>
    </row>
    <row r="344" spans="1:13" ht="12.75">
      <c r="A344" s="15"/>
      <c r="B344" s="47"/>
      <c r="C344" s="47"/>
      <c r="E344" s="16"/>
      <c r="I344" s="16"/>
      <c r="J344" s="9"/>
      <c r="L344" s="40"/>
      <c r="M344" s="40"/>
    </row>
    <row r="345" spans="1:13" ht="12.75">
      <c r="A345" s="15"/>
      <c r="B345" s="47"/>
      <c r="C345" s="47"/>
      <c r="E345" s="16"/>
      <c r="I345" s="16"/>
      <c r="J345" s="9"/>
      <c r="L345" s="40"/>
      <c r="M345" s="40"/>
    </row>
    <row r="346" spans="1:13" ht="12.75">
      <c r="A346" s="15"/>
      <c r="B346" s="47"/>
      <c r="C346" s="47"/>
      <c r="E346" s="16"/>
      <c r="I346" s="16"/>
      <c r="J346" s="9"/>
      <c r="L346" s="40"/>
      <c r="M346" s="40"/>
    </row>
    <row r="347" spans="1:13" ht="12.75">
      <c r="A347" s="15"/>
      <c r="B347" s="47"/>
      <c r="C347" s="47"/>
      <c r="E347" s="16"/>
      <c r="I347" s="16"/>
      <c r="J347" s="9"/>
      <c r="L347" s="40"/>
      <c r="M347" s="40"/>
    </row>
    <row r="348" spans="1:13" ht="12.75">
      <c r="A348" s="15"/>
      <c r="B348" s="47"/>
      <c r="C348" s="47"/>
      <c r="E348" s="16"/>
      <c r="I348" s="16"/>
      <c r="J348" s="9"/>
      <c r="L348" s="40"/>
      <c r="M348" s="40"/>
    </row>
    <row r="349" spans="1:13" ht="12.75">
      <c r="A349" s="15"/>
      <c r="B349" s="47"/>
      <c r="C349" s="47"/>
      <c r="E349" s="16"/>
      <c r="I349" s="16"/>
      <c r="J349" s="9"/>
      <c r="L349" s="40"/>
      <c r="M349" s="40"/>
    </row>
    <row r="350" spans="1:13" ht="12.75">
      <c r="A350" s="15"/>
      <c r="B350" s="47"/>
      <c r="C350" s="47"/>
      <c r="E350" s="16"/>
      <c r="I350" s="16"/>
      <c r="J350" s="9"/>
      <c r="L350" s="40"/>
      <c r="M350" s="40"/>
    </row>
    <row r="351" spans="1:13" ht="12.75">
      <c r="A351" s="15"/>
      <c r="B351" s="47"/>
      <c r="C351" s="47"/>
      <c r="E351" s="16"/>
      <c r="I351" s="16"/>
      <c r="J351" s="9"/>
      <c r="L351" s="40"/>
      <c r="M351" s="40"/>
    </row>
    <row r="352" spans="1:13" ht="12.75">
      <c r="A352" s="15"/>
      <c r="B352" s="47"/>
      <c r="C352" s="47"/>
      <c r="E352" s="16"/>
      <c r="I352" s="16"/>
      <c r="J352" s="9"/>
      <c r="L352" s="40"/>
      <c r="M352" s="40"/>
    </row>
    <row r="353" spans="1:13" ht="12.75">
      <c r="A353" s="15"/>
      <c r="B353" s="47"/>
      <c r="C353" s="47"/>
      <c r="E353" s="16"/>
      <c r="I353" s="16"/>
      <c r="J353" s="9"/>
      <c r="L353" s="40"/>
      <c r="M353" s="40"/>
    </row>
    <row r="354" spans="1:13" ht="12.75">
      <c r="A354" s="15"/>
      <c r="B354" s="47"/>
      <c r="C354" s="47"/>
      <c r="E354" s="16"/>
      <c r="I354" s="16"/>
      <c r="J354" s="9"/>
      <c r="L354" s="40"/>
      <c r="M354" s="40"/>
    </row>
    <row r="355" spans="1:13" ht="12.75">
      <c r="A355" s="15"/>
      <c r="B355" s="47"/>
      <c r="C355" s="47"/>
      <c r="E355" s="16"/>
      <c r="I355" s="16"/>
      <c r="J355" s="9"/>
      <c r="L355" s="40"/>
      <c r="M355" s="40"/>
    </row>
    <row r="356" spans="1:13" ht="12.75">
      <c r="A356" s="15"/>
      <c r="B356" s="47"/>
      <c r="C356" s="47"/>
      <c r="E356" s="16"/>
      <c r="I356" s="16"/>
      <c r="J356" s="9"/>
      <c r="L356" s="40"/>
      <c r="M356" s="40"/>
    </row>
    <row r="357" spans="1:13" ht="12.75">
      <c r="A357" s="15"/>
      <c r="B357" s="47"/>
      <c r="C357" s="47"/>
      <c r="E357" s="16"/>
      <c r="I357" s="16"/>
      <c r="J357" s="9"/>
      <c r="L357" s="40"/>
      <c r="M357" s="40"/>
    </row>
    <row r="358" spans="1:13" ht="12.75">
      <c r="A358" s="15"/>
      <c r="B358" s="47"/>
      <c r="C358" s="47"/>
      <c r="E358" s="16"/>
      <c r="I358" s="16"/>
      <c r="J358" s="9"/>
      <c r="L358" s="40"/>
      <c r="M358" s="40"/>
    </row>
    <row r="359" spans="1:13" ht="12.75">
      <c r="A359" s="15"/>
      <c r="B359" s="47"/>
      <c r="C359" s="47"/>
      <c r="E359" s="16"/>
      <c r="I359" s="16"/>
      <c r="J359" s="9"/>
      <c r="L359" s="40"/>
      <c r="M359" s="40"/>
    </row>
    <row r="360" spans="1:13" ht="12.75">
      <c r="A360" s="15"/>
      <c r="B360" s="47"/>
      <c r="C360" s="47"/>
      <c r="E360" s="16"/>
      <c r="I360" s="16"/>
      <c r="J360" s="9"/>
      <c r="L360" s="40"/>
      <c r="M360" s="40"/>
    </row>
    <row r="361" spans="1:13" ht="12.75">
      <c r="A361" s="15"/>
      <c r="B361" s="47"/>
      <c r="C361" s="47"/>
      <c r="E361" s="16"/>
      <c r="I361" s="16"/>
      <c r="J361" s="9"/>
      <c r="L361" s="40"/>
      <c r="M361" s="40"/>
    </row>
    <row r="362" spans="1:13" ht="12.75">
      <c r="A362" s="15"/>
      <c r="B362" s="47"/>
      <c r="C362" s="47"/>
      <c r="E362" s="16"/>
      <c r="I362" s="16"/>
      <c r="J362" s="9"/>
      <c r="L362" s="40"/>
      <c r="M362" s="40"/>
    </row>
    <row r="363" spans="1:13" ht="12.75">
      <c r="A363" s="15"/>
      <c r="B363" s="47"/>
      <c r="C363" s="47"/>
      <c r="E363" s="16"/>
      <c r="I363" s="16"/>
      <c r="J363" s="9"/>
      <c r="L363" s="40"/>
      <c r="M363" s="40"/>
    </row>
    <row r="364" spans="1:13" ht="12.75">
      <c r="A364" s="15"/>
      <c r="B364" s="47"/>
      <c r="C364" s="47"/>
      <c r="E364" s="16"/>
      <c r="I364" s="16"/>
      <c r="J364" s="9"/>
      <c r="L364" s="40"/>
      <c r="M364" s="40"/>
    </row>
    <row r="365" spans="1:13" ht="12.75">
      <c r="A365" s="15"/>
      <c r="B365" s="47"/>
      <c r="C365" s="47"/>
      <c r="E365" s="16"/>
      <c r="I365" s="16"/>
      <c r="J365" s="9"/>
      <c r="L365" s="40"/>
      <c r="M365" s="40"/>
    </row>
    <row r="366" spans="1:13" ht="12.75">
      <c r="A366" s="15"/>
      <c r="B366" s="47"/>
      <c r="C366" s="47"/>
      <c r="E366" s="16"/>
      <c r="I366" s="16"/>
      <c r="J366" s="9"/>
      <c r="L366" s="40"/>
      <c r="M366" s="40"/>
    </row>
    <row r="367" spans="1:13" ht="12.75">
      <c r="A367" s="15"/>
      <c r="B367" s="47"/>
      <c r="C367" s="47"/>
      <c r="E367" s="16"/>
      <c r="I367" s="16"/>
      <c r="J367" s="9"/>
      <c r="L367" s="40"/>
      <c r="M367" s="40"/>
    </row>
    <row r="368" spans="1:13" ht="12.75">
      <c r="A368" s="15"/>
      <c r="B368" s="47"/>
      <c r="C368" s="47"/>
      <c r="E368" s="16"/>
      <c r="I368" s="16"/>
      <c r="J368" s="9"/>
      <c r="L368" s="40"/>
      <c r="M368" s="40"/>
    </row>
    <row r="369" spans="1:13" ht="12.75">
      <c r="A369" s="15"/>
      <c r="B369" s="47"/>
      <c r="C369" s="47"/>
      <c r="E369" s="16"/>
      <c r="I369" s="16"/>
      <c r="J369" s="9"/>
      <c r="L369" s="40"/>
      <c r="M369" s="40"/>
    </row>
    <row r="370" spans="1:13" ht="12.75">
      <c r="A370" s="15"/>
      <c r="B370" s="47"/>
      <c r="C370" s="47"/>
      <c r="E370" s="16"/>
      <c r="I370" s="16"/>
      <c r="J370" s="9"/>
      <c r="L370" s="40"/>
      <c r="M370" s="40"/>
    </row>
    <row r="371" spans="1:13" ht="12.75">
      <c r="A371" s="15"/>
      <c r="B371" s="47"/>
      <c r="C371" s="47"/>
      <c r="E371" s="16"/>
      <c r="I371" s="16"/>
      <c r="J371" s="9"/>
      <c r="L371" s="40"/>
      <c r="M371" s="40"/>
    </row>
    <row r="372" spans="1:13" ht="12.75">
      <c r="A372" s="15"/>
      <c r="B372" s="47"/>
      <c r="C372" s="47"/>
      <c r="E372" s="16"/>
      <c r="I372" s="16"/>
      <c r="J372" s="9"/>
      <c r="L372" s="40"/>
      <c r="M372" s="40"/>
    </row>
    <row r="373" spans="1:13" ht="12.75">
      <c r="A373" s="15"/>
      <c r="B373" s="47"/>
      <c r="C373" s="47"/>
      <c r="E373" s="16"/>
      <c r="I373" s="16"/>
      <c r="J373" s="9"/>
      <c r="L373" s="40"/>
      <c r="M373" s="40"/>
    </row>
    <row r="374" spans="1:13" ht="12.75">
      <c r="A374" s="15"/>
      <c r="B374" s="47"/>
      <c r="C374" s="47"/>
      <c r="E374" s="16"/>
      <c r="I374" s="16"/>
      <c r="J374" s="9"/>
      <c r="L374" s="40"/>
      <c r="M374" s="40"/>
    </row>
    <row r="375" spans="1:13" ht="12.75">
      <c r="A375" s="15"/>
      <c r="B375" s="47"/>
      <c r="C375" s="47"/>
      <c r="E375" s="16"/>
      <c r="I375" s="16"/>
      <c r="J375" s="9"/>
      <c r="L375" s="40"/>
      <c r="M375" s="40"/>
    </row>
    <row r="376" spans="1:13" ht="12.75">
      <c r="A376" s="15"/>
      <c r="B376" s="47"/>
      <c r="C376" s="47"/>
      <c r="E376" s="16"/>
      <c r="I376" s="16"/>
      <c r="J376" s="9"/>
      <c r="L376" s="40"/>
      <c r="M376" s="40"/>
    </row>
    <row r="377" spans="1:13" ht="12.75">
      <c r="A377" s="15"/>
      <c r="B377" s="47"/>
      <c r="C377" s="47"/>
      <c r="E377" s="16"/>
      <c r="I377" s="16"/>
      <c r="J377" s="9"/>
      <c r="L377" s="40"/>
      <c r="M377" s="40"/>
    </row>
    <row r="378" spans="1:13" ht="12.75">
      <c r="A378" s="15"/>
      <c r="B378" s="47"/>
      <c r="C378" s="47"/>
      <c r="E378" s="16"/>
      <c r="I378" s="16"/>
      <c r="J378" s="9"/>
      <c r="L378" s="40"/>
      <c r="M378" s="40"/>
    </row>
    <row r="379" spans="1:13" ht="12.75">
      <c r="A379" s="15"/>
      <c r="B379" s="47"/>
      <c r="C379" s="47"/>
      <c r="E379" s="16"/>
      <c r="I379" s="16"/>
      <c r="J379" s="9"/>
      <c r="L379" s="40"/>
      <c r="M379" s="40"/>
    </row>
    <row r="380" spans="1:13" ht="12.75">
      <c r="A380" s="15"/>
      <c r="B380" s="47"/>
      <c r="C380" s="47"/>
      <c r="E380" s="16"/>
      <c r="I380" s="16"/>
      <c r="J380" s="9"/>
      <c r="L380" s="40"/>
      <c r="M380" s="40"/>
    </row>
    <row r="381" spans="1:13" ht="12.75">
      <c r="A381" s="15"/>
      <c r="B381" s="47"/>
      <c r="C381" s="47"/>
      <c r="E381" s="16"/>
      <c r="I381" s="16"/>
      <c r="J381" s="9"/>
      <c r="L381" s="40"/>
      <c r="M381" s="40"/>
    </row>
    <row r="382" spans="1:13" ht="12.75">
      <c r="A382" s="15"/>
      <c r="B382" s="47"/>
      <c r="C382" s="47"/>
      <c r="E382" s="16"/>
      <c r="I382" s="16"/>
      <c r="J382" s="9"/>
      <c r="L382" s="40"/>
      <c r="M382" s="40"/>
    </row>
    <row r="383" spans="1:13" ht="12.75">
      <c r="A383" s="15"/>
      <c r="B383" s="47"/>
      <c r="C383" s="47"/>
      <c r="E383" s="16"/>
      <c r="I383" s="16"/>
      <c r="J383" s="9"/>
      <c r="L383" s="40"/>
      <c r="M383" s="40"/>
    </row>
    <row r="384" spans="1:13" ht="12.75">
      <c r="A384" s="15"/>
      <c r="B384" s="47"/>
      <c r="C384" s="47"/>
      <c r="E384" s="16"/>
      <c r="I384" s="16"/>
      <c r="J384" s="9"/>
      <c r="L384" s="40"/>
      <c r="M384" s="40"/>
    </row>
    <row r="385" spans="1:13" ht="12.75">
      <c r="A385" s="15"/>
      <c r="B385" s="47"/>
      <c r="C385" s="47"/>
      <c r="E385" s="16"/>
      <c r="I385" s="16"/>
      <c r="J385" s="9"/>
      <c r="L385" s="40"/>
      <c r="M385" s="40"/>
    </row>
    <row r="386" spans="1:13" ht="12.75">
      <c r="A386" s="15"/>
      <c r="B386" s="47"/>
      <c r="C386" s="47"/>
      <c r="E386" s="16"/>
      <c r="I386" s="16"/>
      <c r="J386" s="9"/>
      <c r="L386" s="40"/>
      <c r="M386" s="40"/>
    </row>
    <row r="387" spans="1:13" ht="12.75">
      <c r="A387" s="15"/>
      <c r="B387" s="47"/>
      <c r="C387" s="47"/>
      <c r="E387" s="16"/>
      <c r="I387" s="16"/>
      <c r="J387" s="9"/>
      <c r="L387" s="40"/>
      <c r="M387" s="40"/>
    </row>
    <row r="388" spans="1:13" ht="12.75">
      <c r="A388" s="15"/>
      <c r="B388" s="47"/>
      <c r="C388" s="47"/>
      <c r="E388" s="16"/>
      <c r="I388" s="16"/>
      <c r="J388" s="9"/>
      <c r="L388" s="40"/>
      <c r="M388" s="40"/>
    </row>
    <row r="389" spans="1:13" ht="12.75">
      <c r="A389" s="15"/>
      <c r="B389" s="47"/>
      <c r="C389" s="47"/>
      <c r="E389" s="16"/>
      <c r="I389" s="16"/>
      <c r="J389" s="9"/>
      <c r="L389" s="40"/>
      <c r="M389" s="40"/>
    </row>
    <row r="390" spans="1:13" ht="12.75">
      <c r="A390" s="15"/>
      <c r="B390" s="47"/>
      <c r="C390" s="47"/>
      <c r="E390" s="16"/>
      <c r="I390" s="16"/>
      <c r="J390" s="9"/>
      <c r="L390" s="40"/>
      <c r="M390" s="40"/>
    </row>
    <row r="391" spans="1:13" ht="12.75">
      <c r="A391" s="15"/>
      <c r="B391" s="47"/>
      <c r="C391" s="47"/>
      <c r="E391" s="16"/>
      <c r="I391" s="16"/>
      <c r="J391" s="9"/>
      <c r="L391" s="40"/>
      <c r="M391" s="40"/>
    </row>
    <row r="392" spans="1:13" ht="12.75">
      <c r="A392" s="15"/>
      <c r="B392" s="47"/>
      <c r="C392" s="47"/>
      <c r="E392" s="16"/>
      <c r="I392" s="16"/>
      <c r="J392" s="9"/>
      <c r="L392" s="40"/>
      <c r="M392" s="40"/>
    </row>
    <row r="393" spans="1:13" ht="12.75">
      <c r="A393" s="15"/>
      <c r="B393" s="47"/>
      <c r="C393" s="47"/>
      <c r="E393" s="16"/>
      <c r="I393" s="16"/>
      <c r="J393" s="9"/>
      <c r="L393" s="40"/>
      <c r="M393" s="40"/>
    </row>
    <row r="394" spans="1:13" ht="12.75">
      <c r="A394" s="15"/>
      <c r="B394" s="47"/>
      <c r="C394" s="47"/>
      <c r="E394" s="16"/>
      <c r="I394" s="16"/>
      <c r="J394" s="9"/>
      <c r="L394" s="40"/>
      <c r="M394" s="40"/>
    </row>
    <row r="395" spans="1:13" ht="12.75">
      <c r="A395" s="15"/>
      <c r="B395" s="47"/>
      <c r="C395" s="47"/>
      <c r="E395" s="16"/>
      <c r="I395" s="16"/>
      <c r="J395" s="9"/>
      <c r="L395" s="40"/>
      <c r="M395" s="40"/>
    </row>
    <row r="396" spans="1:13" ht="12.75">
      <c r="A396" s="15"/>
      <c r="B396" s="47"/>
      <c r="C396" s="47"/>
      <c r="E396" s="16"/>
      <c r="I396" s="16"/>
      <c r="J396" s="9"/>
      <c r="L396" s="40"/>
      <c r="M396" s="40"/>
    </row>
    <row r="397" spans="1:13" ht="12.75">
      <c r="A397" s="15"/>
      <c r="B397" s="47"/>
      <c r="C397" s="47"/>
      <c r="E397" s="16"/>
      <c r="I397" s="16"/>
      <c r="J397" s="9"/>
      <c r="L397" s="40"/>
      <c r="M397" s="40"/>
    </row>
    <row r="398" spans="1:13" ht="12.75">
      <c r="A398" s="15"/>
      <c r="B398" s="47"/>
      <c r="C398" s="47"/>
      <c r="E398" s="16"/>
      <c r="I398" s="16"/>
      <c r="J398" s="9"/>
      <c r="L398" s="40"/>
      <c r="M398" s="40"/>
    </row>
    <row r="399" spans="1:13" ht="12.75">
      <c r="A399" s="15"/>
      <c r="B399" s="47"/>
      <c r="C399" s="47"/>
      <c r="E399" s="16"/>
      <c r="I399" s="16"/>
      <c r="J399" s="9"/>
      <c r="L399" s="40"/>
      <c r="M399" s="40"/>
    </row>
    <row r="400" spans="1:13" ht="12.75">
      <c r="A400" s="15"/>
      <c r="B400" s="47"/>
      <c r="C400" s="47"/>
      <c r="E400" s="16"/>
      <c r="I400" s="16"/>
      <c r="J400" s="9"/>
      <c r="L400" s="40"/>
      <c r="M400" s="40"/>
    </row>
    <row r="401" spans="1:13" ht="12.75">
      <c r="A401" s="15"/>
      <c r="B401" s="47"/>
      <c r="C401" s="47"/>
      <c r="E401" s="16"/>
      <c r="I401" s="16"/>
      <c r="J401" s="9"/>
      <c r="L401" s="40"/>
      <c r="M401" s="40"/>
    </row>
    <row r="402" spans="1:13" ht="12.75">
      <c r="A402" s="15"/>
      <c r="B402" s="47"/>
      <c r="C402" s="47"/>
      <c r="E402" s="16"/>
      <c r="I402" s="16"/>
      <c r="J402" s="9"/>
      <c r="L402" s="40"/>
      <c r="M402" s="40"/>
    </row>
    <row r="403" spans="1:13" ht="12.75">
      <c r="A403" s="15"/>
      <c r="B403" s="47"/>
      <c r="C403" s="47"/>
      <c r="E403" s="16"/>
      <c r="I403" s="16"/>
      <c r="J403" s="9"/>
      <c r="L403" s="40"/>
      <c r="M403" s="40"/>
    </row>
    <row r="404" spans="1:13" ht="12.75">
      <c r="A404" s="15"/>
      <c r="B404" s="47"/>
      <c r="C404" s="47"/>
      <c r="E404" s="16"/>
      <c r="I404" s="16"/>
      <c r="J404" s="9"/>
      <c r="L404" s="40"/>
      <c r="M404" s="40"/>
    </row>
    <row r="405" spans="1:13" ht="12.75">
      <c r="A405" s="15"/>
      <c r="B405" s="47"/>
      <c r="C405" s="47"/>
      <c r="E405" s="16"/>
      <c r="I405" s="16"/>
      <c r="J405" s="9"/>
      <c r="L405" s="40"/>
      <c r="M405" s="40"/>
    </row>
    <row r="406" spans="1:13" ht="12.75">
      <c r="A406" s="15"/>
      <c r="B406" s="47"/>
      <c r="C406" s="47"/>
      <c r="E406" s="16"/>
      <c r="I406" s="16"/>
      <c r="J406" s="9"/>
      <c r="L406" s="40"/>
      <c r="M406" s="40"/>
    </row>
    <row r="407" spans="1:13" ht="12.75">
      <c r="A407" s="15"/>
      <c r="B407" s="47"/>
      <c r="C407" s="47"/>
      <c r="E407" s="16"/>
      <c r="I407" s="16"/>
      <c r="J407" s="9"/>
      <c r="L407" s="40"/>
      <c r="M407" s="40"/>
    </row>
    <row r="408" spans="1:13" ht="12.75">
      <c r="A408" s="15"/>
      <c r="B408" s="47"/>
      <c r="C408" s="47"/>
      <c r="E408" s="16"/>
      <c r="I408" s="16"/>
      <c r="J408" s="9"/>
      <c r="L408" s="40"/>
      <c r="M408" s="40"/>
    </row>
    <row r="409" spans="1:13" ht="12.75">
      <c r="A409" s="15"/>
      <c r="B409" s="47"/>
      <c r="C409" s="47"/>
      <c r="E409" s="16"/>
      <c r="I409" s="16"/>
      <c r="J409" s="9"/>
      <c r="L409" s="40"/>
      <c r="M409" s="40"/>
    </row>
    <row r="410" spans="1:13" ht="12.75">
      <c r="A410" s="15"/>
      <c r="B410" s="47"/>
      <c r="C410" s="47"/>
      <c r="E410" s="16"/>
      <c r="I410" s="16"/>
      <c r="J410" s="9"/>
      <c r="L410" s="40"/>
      <c r="M410" s="40"/>
    </row>
    <row r="411" spans="1:13" ht="12.75">
      <c r="A411" s="15"/>
      <c r="B411" s="47"/>
      <c r="C411" s="47"/>
      <c r="E411" s="16"/>
      <c r="I411" s="16"/>
      <c r="J411" s="9"/>
      <c r="L411" s="40"/>
      <c r="M411" s="40"/>
    </row>
    <row r="412" spans="1:13" ht="12.75">
      <c r="A412" s="15"/>
      <c r="B412" s="47"/>
      <c r="C412" s="47"/>
      <c r="E412" s="16"/>
      <c r="I412" s="16"/>
      <c r="J412" s="9"/>
      <c r="L412" s="40"/>
      <c r="M412" s="40"/>
    </row>
    <row r="413" spans="1:13" ht="12.75">
      <c r="A413" s="15"/>
      <c r="B413" s="47"/>
      <c r="C413" s="47"/>
      <c r="E413" s="16"/>
      <c r="I413" s="16"/>
      <c r="J413" s="9"/>
      <c r="L413" s="40"/>
      <c r="M413" s="40"/>
    </row>
    <row r="414" spans="1:13" ht="12.75">
      <c r="A414" s="15"/>
      <c r="B414" s="47"/>
      <c r="C414" s="47"/>
      <c r="E414" s="16"/>
      <c r="I414" s="16"/>
      <c r="J414" s="9"/>
      <c r="L414" s="40"/>
      <c r="M414" s="40"/>
    </row>
    <row r="415" spans="1:13" ht="12.75">
      <c r="A415" s="15"/>
      <c r="B415" s="47"/>
      <c r="C415" s="47"/>
      <c r="E415" s="16"/>
      <c r="I415" s="16"/>
      <c r="J415" s="9"/>
      <c r="L415" s="40"/>
      <c r="M415" s="40"/>
    </row>
    <row r="416" spans="1:13" ht="12.75">
      <c r="A416" s="15"/>
      <c r="B416" s="47"/>
      <c r="C416" s="47"/>
      <c r="E416" s="16"/>
      <c r="I416" s="16"/>
      <c r="J416" s="9"/>
      <c r="L416" s="40"/>
      <c r="M416" s="40"/>
    </row>
    <row r="417" spans="1:13" ht="12.75">
      <c r="A417" s="15"/>
      <c r="B417" s="47"/>
      <c r="C417" s="47"/>
      <c r="E417" s="16"/>
      <c r="I417" s="16"/>
      <c r="J417" s="9"/>
      <c r="L417" s="40"/>
      <c r="M417" s="40"/>
    </row>
    <row r="418" spans="1:13" ht="12.75">
      <c r="A418" s="15"/>
      <c r="B418" s="47"/>
      <c r="C418" s="47"/>
      <c r="E418" s="16"/>
      <c r="I418" s="16"/>
      <c r="J418" s="9"/>
      <c r="L418" s="40"/>
      <c r="M418" s="40"/>
    </row>
    <row r="419" spans="1:13" ht="12.75">
      <c r="A419" s="15"/>
      <c r="B419" s="47"/>
      <c r="C419" s="47"/>
      <c r="E419" s="16"/>
      <c r="I419" s="16"/>
      <c r="J419" s="9"/>
      <c r="L419" s="40"/>
      <c r="M419" s="40"/>
    </row>
    <row r="420" spans="1:13" ht="12.75">
      <c r="A420" s="15"/>
      <c r="B420" s="47"/>
      <c r="C420" s="47"/>
      <c r="E420" s="16"/>
      <c r="I420" s="16"/>
      <c r="J420" s="9"/>
      <c r="L420" s="40"/>
      <c r="M420" s="40"/>
    </row>
    <row r="421" spans="1:13" ht="12.75">
      <c r="A421" s="15"/>
      <c r="B421" s="47"/>
      <c r="C421" s="47"/>
      <c r="E421" s="16"/>
      <c r="I421" s="16"/>
      <c r="J421" s="9"/>
      <c r="L421" s="40"/>
      <c r="M421" s="40"/>
    </row>
    <row r="422" spans="1:13" ht="12.75">
      <c r="A422" s="15"/>
      <c r="B422" s="47"/>
      <c r="C422" s="47"/>
      <c r="E422" s="16"/>
      <c r="I422" s="16"/>
      <c r="J422" s="9"/>
      <c r="L422" s="40"/>
      <c r="M422" s="40"/>
    </row>
    <row r="423" spans="1:13" ht="12.75">
      <c r="A423" s="15"/>
      <c r="B423" s="47"/>
      <c r="C423" s="47"/>
      <c r="E423" s="16"/>
      <c r="I423" s="16"/>
      <c r="J423" s="9"/>
      <c r="L423" s="40"/>
      <c r="M423" s="40"/>
    </row>
    <row r="424" spans="1:13" ht="12.75">
      <c r="A424" s="15"/>
      <c r="B424" s="47"/>
      <c r="C424" s="47"/>
      <c r="E424" s="16"/>
      <c r="I424" s="16"/>
      <c r="J424" s="9"/>
      <c r="L424" s="40"/>
      <c r="M424" s="40"/>
    </row>
    <row r="425" spans="1:13" ht="12.75">
      <c r="A425" s="15"/>
      <c r="B425" s="47"/>
      <c r="C425" s="47"/>
      <c r="E425" s="16"/>
      <c r="I425" s="16"/>
      <c r="J425" s="9"/>
      <c r="L425" s="40"/>
      <c r="M425" s="40"/>
    </row>
    <row r="426" spans="1:13" ht="12.75">
      <c r="A426" s="15"/>
      <c r="B426" s="47"/>
      <c r="C426" s="47"/>
      <c r="E426" s="16"/>
      <c r="I426" s="16"/>
      <c r="J426" s="9"/>
      <c r="L426" s="40"/>
      <c r="M426" s="40"/>
    </row>
    <row r="427" spans="1:13" ht="12.75">
      <c r="A427" s="15"/>
      <c r="B427" s="47"/>
      <c r="C427" s="47"/>
      <c r="E427" s="16"/>
      <c r="I427" s="16"/>
      <c r="J427" s="9"/>
      <c r="L427" s="40"/>
      <c r="M427" s="40"/>
    </row>
    <row r="428" spans="1:13" ht="12.75">
      <c r="A428" s="15"/>
      <c r="B428" s="47"/>
      <c r="C428" s="47"/>
      <c r="E428" s="16"/>
      <c r="I428" s="16"/>
      <c r="J428" s="9"/>
      <c r="L428" s="40"/>
      <c r="M428" s="40"/>
    </row>
    <row r="429" spans="1:13" ht="12.75">
      <c r="A429" s="15"/>
      <c r="B429" s="47"/>
      <c r="C429" s="47"/>
      <c r="E429" s="16"/>
      <c r="I429" s="16"/>
      <c r="J429" s="9"/>
      <c r="L429" s="40"/>
      <c r="M429" s="40"/>
    </row>
    <row r="430" spans="1:13" ht="12.75">
      <c r="A430" s="15"/>
      <c r="B430" s="47"/>
      <c r="C430" s="47"/>
      <c r="E430" s="16"/>
      <c r="I430" s="16"/>
      <c r="J430" s="9"/>
      <c r="L430" s="40"/>
      <c r="M430" s="40"/>
    </row>
    <row r="431" spans="1:13" ht="12.75">
      <c r="A431" s="15"/>
      <c r="B431" s="47"/>
      <c r="C431" s="47"/>
      <c r="E431" s="16"/>
      <c r="I431" s="16"/>
      <c r="J431" s="9"/>
      <c r="L431" s="40"/>
      <c r="M431" s="40"/>
    </row>
    <row r="432" spans="1:13" ht="12.75">
      <c r="A432" s="15"/>
      <c r="B432" s="47"/>
      <c r="C432" s="47"/>
      <c r="E432" s="16"/>
      <c r="I432" s="16"/>
      <c r="J432" s="9"/>
      <c r="L432" s="40"/>
      <c r="M432" s="40"/>
    </row>
    <row r="433" spans="1:13" ht="12.75">
      <c r="A433" s="15"/>
      <c r="B433" s="47"/>
      <c r="C433" s="47"/>
      <c r="E433" s="16"/>
      <c r="I433" s="16"/>
      <c r="J433" s="9"/>
      <c r="L433" s="40"/>
      <c r="M433" s="40"/>
    </row>
    <row r="434" spans="1:13" ht="12.75">
      <c r="A434" s="15"/>
      <c r="B434" s="47"/>
      <c r="C434" s="47"/>
      <c r="E434" s="16"/>
      <c r="I434" s="16"/>
      <c r="J434" s="9"/>
      <c r="L434" s="40"/>
      <c r="M434" s="40"/>
    </row>
    <row r="435" spans="1:13" ht="12.75">
      <c r="A435" s="15"/>
      <c r="B435" s="47"/>
      <c r="C435" s="47"/>
      <c r="E435" s="16"/>
      <c r="I435" s="16"/>
      <c r="J435" s="9"/>
      <c r="L435" s="40"/>
      <c r="M435" s="40"/>
    </row>
    <row r="436" spans="1:13" ht="12.75">
      <c r="A436" s="15"/>
      <c r="B436" s="47"/>
      <c r="C436" s="47"/>
      <c r="E436" s="16"/>
      <c r="I436" s="16"/>
      <c r="J436" s="9"/>
      <c r="L436" s="40"/>
      <c r="M436" s="40"/>
    </row>
    <row r="437" spans="1:13" ht="12.75">
      <c r="A437" s="15"/>
      <c r="B437" s="47"/>
      <c r="C437" s="47"/>
      <c r="E437" s="16"/>
      <c r="I437" s="16"/>
      <c r="J437" s="9"/>
      <c r="L437" s="40"/>
      <c r="M437" s="40"/>
    </row>
    <row r="438" spans="1:13" ht="12.75">
      <c r="A438" s="15"/>
      <c r="B438" s="47"/>
      <c r="C438" s="47"/>
      <c r="E438" s="16"/>
      <c r="I438" s="16"/>
      <c r="J438" s="9"/>
      <c r="L438" s="40"/>
      <c r="M438" s="40"/>
    </row>
    <row r="439" spans="1:13" ht="12.75">
      <c r="A439" s="15"/>
      <c r="B439" s="47"/>
      <c r="C439" s="47"/>
      <c r="E439" s="16"/>
      <c r="I439" s="16"/>
      <c r="J439" s="9"/>
      <c r="L439" s="40"/>
      <c r="M439" s="40"/>
    </row>
    <row r="440" spans="1:13" ht="12.75">
      <c r="A440" s="15"/>
      <c r="B440" s="47"/>
      <c r="C440" s="47"/>
      <c r="E440" s="16"/>
      <c r="I440" s="16"/>
      <c r="J440" s="9"/>
      <c r="L440" s="40"/>
      <c r="M440" s="40"/>
    </row>
    <row r="441" spans="1:13" ht="12.75">
      <c r="A441" s="15"/>
      <c r="B441" s="47"/>
      <c r="C441" s="47"/>
      <c r="E441" s="16"/>
      <c r="I441" s="16"/>
      <c r="J441" s="9"/>
      <c r="L441" s="40"/>
      <c r="M441" s="40"/>
    </row>
    <row r="442" spans="1:13" ht="12.75">
      <c r="A442" s="15"/>
      <c r="B442" s="47"/>
      <c r="C442" s="47"/>
      <c r="E442" s="16"/>
      <c r="I442" s="16"/>
      <c r="J442" s="9"/>
      <c r="L442" s="40"/>
      <c r="M442" s="40"/>
    </row>
    <row r="443" spans="1:13" ht="12.75">
      <c r="A443" s="15"/>
      <c r="B443" s="47"/>
      <c r="C443" s="47"/>
      <c r="E443" s="16"/>
      <c r="I443" s="16"/>
      <c r="J443" s="9"/>
      <c r="L443" s="40"/>
      <c r="M443" s="40"/>
    </row>
    <row r="444" spans="1:13" ht="12.75">
      <c r="A444" s="15"/>
      <c r="B444" s="47"/>
      <c r="C444" s="47"/>
      <c r="E444" s="16"/>
      <c r="I444" s="16"/>
      <c r="J444" s="9"/>
      <c r="L444" s="40"/>
      <c r="M444" s="40"/>
    </row>
    <row r="445" spans="1:13" ht="12.75">
      <c r="A445" s="15"/>
      <c r="B445" s="47"/>
      <c r="C445" s="47"/>
      <c r="E445" s="16"/>
      <c r="I445" s="16"/>
      <c r="J445" s="9"/>
      <c r="L445" s="40"/>
      <c r="M445" s="40"/>
    </row>
    <row r="446" spans="1:13" ht="12.75">
      <c r="A446" s="15"/>
      <c r="B446" s="47"/>
      <c r="C446" s="47"/>
      <c r="E446" s="16"/>
      <c r="I446" s="16"/>
      <c r="J446" s="9"/>
      <c r="L446" s="40"/>
      <c r="M446" s="40"/>
    </row>
    <row r="447" spans="1:13" ht="12.75">
      <c r="A447" s="15"/>
      <c r="B447" s="47"/>
      <c r="C447" s="47"/>
      <c r="E447" s="16"/>
      <c r="I447" s="16"/>
      <c r="J447" s="9"/>
      <c r="L447" s="40"/>
      <c r="M447" s="40"/>
    </row>
    <row r="448" spans="1:13" ht="12.75">
      <c r="A448" s="15"/>
      <c r="B448" s="47"/>
      <c r="C448" s="47"/>
      <c r="E448" s="16"/>
      <c r="I448" s="16"/>
      <c r="J448" s="9"/>
      <c r="L448" s="40"/>
      <c r="M448" s="40"/>
    </row>
    <row r="449" spans="1:13" ht="12.75">
      <c r="A449" s="15"/>
      <c r="B449" s="47"/>
      <c r="C449" s="47"/>
      <c r="E449" s="16"/>
      <c r="I449" s="16"/>
      <c r="J449" s="9"/>
      <c r="L449" s="40"/>
      <c r="M449" s="40"/>
    </row>
    <row r="450" spans="1:13" ht="12.75">
      <c r="A450" s="15"/>
      <c r="B450" s="47"/>
      <c r="C450" s="47"/>
      <c r="E450" s="16"/>
      <c r="I450" s="16"/>
      <c r="J450" s="9"/>
      <c r="L450" s="40"/>
      <c r="M450" s="40"/>
    </row>
    <row r="451" spans="1:13" ht="12.75">
      <c r="A451" s="15"/>
      <c r="B451" s="47"/>
      <c r="C451" s="47"/>
      <c r="E451" s="16"/>
      <c r="I451" s="16"/>
      <c r="J451" s="9"/>
      <c r="L451" s="40"/>
      <c r="M451" s="40"/>
    </row>
    <row r="452" spans="1:13" ht="12.75">
      <c r="A452" s="15"/>
      <c r="B452" s="47"/>
      <c r="C452" s="47"/>
      <c r="E452" s="16"/>
      <c r="I452" s="16"/>
      <c r="J452" s="9"/>
      <c r="L452" s="40"/>
      <c r="M452" s="40"/>
    </row>
    <row r="453" spans="1:13" ht="12.75">
      <c r="A453" s="15"/>
      <c r="B453" s="47"/>
      <c r="C453" s="47"/>
      <c r="E453" s="16"/>
      <c r="I453" s="16"/>
      <c r="J453" s="9"/>
      <c r="L453" s="40"/>
      <c r="M453" s="40"/>
    </row>
    <row r="454" spans="1:13" ht="12.75">
      <c r="A454" s="15"/>
      <c r="B454" s="47"/>
      <c r="C454" s="47"/>
      <c r="E454" s="16"/>
      <c r="I454" s="16"/>
      <c r="J454" s="9"/>
      <c r="L454" s="40"/>
      <c r="M454" s="40"/>
    </row>
    <row r="455" spans="1:13" ht="12.75">
      <c r="A455" s="15"/>
      <c r="B455" s="47"/>
      <c r="C455" s="47"/>
      <c r="E455" s="16"/>
      <c r="I455" s="16"/>
      <c r="J455" s="9"/>
      <c r="L455" s="40"/>
      <c r="M455" s="40"/>
    </row>
    <row r="456" spans="1:13" ht="12.75">
      <c r="A456" s="15"/>
      <c r="B456" s="47"/>
      <c r="C456" s="47"/>
      <c r="E456" s="16"/>
      <c r="I456" s="16"/>
      <c r="J456" s="9"/>
      <c r="L456" s="40"/>
      <c r="M456" s="40"/>
    </row>
    <row r="457" spans="1:13" ht="12.75">
      <c r="A457" s="15"/>
      <c r="B457" s="47"/>
      <c r="C457" s="47"/>
      <c r="E457" s="16"/>
      <c r="I457" s="16"/>
      <c r="J457" s="9"/>
      <c r="L457" s="40"/>
      <c r="M457" s="40"/>
    </row>
    <row r="458" spans="1:13" ht="12.75">
      <c r="A458" s="15"/>
      <c r="B458" s="47"/>
      <c r="C458" s="47"/>
      <c r="E458" s="16"/>
      <c r="I458" s="16"/>
      <c r="J458" s="9"/>
      <c r="L458" s="40"/>
      <c r="M458" s="40"/>
    </row>
    <row r="459" spans="1:13" ht="12.75">
      <c r="A459" s="15"/>
      <c r="B459" s="47"/>
      <c r="C459" s="47"/>
      <c r="E459" s="16"/>
      <c r="I459" s="16"/>
      <c r="J459" s="9"/>
      <c r="L459" s="40"/>
      <c r="M459" s="40"/>
    </row>
    <row r="460" spans="1:13" ht="12.75">
      <c r="A460" s="15"/>
      <c r="B460" s="47"/>
      <c r="C460" s="47"/>
      <c r="E460" s="16"/>
      <c r="I460" s="16"/>
      <c r="J460" s="9"/>
      <c r="L460" s="40"/>
      <c r="M460" s="40"/>
    </row>
    <row r="461" spans="1:13" ht="12.75">
      <c r="A461" s="15"/>
      <c r="B461" s="47"/>
      <c r="C461" s="47"/>
      <c r="E461" s="16"/>
      <c r="I461" s="16"/>
      <c r="J461" s="9"/>
      <c r="L461" s="40"/>
      <c r="M461" s="40"/>
    </row>
    <row r="462" spans="1:13" ht="12.75">
      <c r="A462" s="15"/>
      <c r="B462" s="47"/>
      <c r="C462" s="47"/>
      <c r="E462" s="16"/>
      <c r="I462" s="16"/>
      <c r="J462" s="9"/>
      <c r="L462" s="40"/>
      <c r="M462" s="40"/>
    </row>
    <row r="463" spans="1:13" ht="12.75">
      <c r="A463" s="15"/>
      <c r="B463" s="47"/>
      <c r="C463" s="47"/>
      <c r="E463" s="16"/>
      <c r="I463" s="16"/>
      <c r="J463" s="9"/>
      <c r="L463" s="40"/>
      <c r="M463" s="40"/>
    </row>
    <row r="464" spans="1:13" ht="12.75">
      <c r="A464" s="15"/>
      <c r="B464" s="47"/>
      <c r="C464" s="47"/>
      <c r="E464" s="16"/>
      <c r="I464" s="16"/>
      <c r="J464" s="9"/>
      <c r="L464" s="40"/>
      <c r="M464" s="40"/>
    </row>
    <row r="465" spans="1:13" ht="12.75">
      <c r="A465" s="15"/>
      <c r="B465" s="47"/>
      <c r="C465" s="47"/>
      <c r="E465" s="16"/>
      <c r="I465" s="16"/>
      <c r="J465" s="9"/>
      <c r="L465" s="40"/>
      <c r="M465" s="40"/>
    </row>
    <row r="466" spans="1:13" ht="12.75">
      <c r="A466" s="15"/>
      <c r="B466" s="47"/>
      <c r="C466" s="47"/>
      <c r="E466" s="16"/>
      <c r="I466" s="16"/>
      <c r="J466" s="9"/>
      <c r="L466" s="40"/>
      <c r="M466" s="40"/>
    </row>
    <row r="467" spans="1:13" ht="12.75">
      <c r="A467" s="15"/>
      <c r="B467" s="47"/>
      <c r="C467" s="47"/>
      <c r="E467" s="16"/>
      <c r="I467" s="16"/>
      <c r="J467" s="9"/>
      <c r="L467" s="40"/>
      <c r="M467" s="40"/>
    </row>
    <row r="468" spans="1:13" ht="12.75">
      <c r="A468" s="15"/>
      <c r="B468" s="47"/>
      <c r="C468" s="47"/>
      <c r="E468" s="16"/>
      <c r="I468" s="16"/>
      <c r="J468" s="9"/>
      <c r="L468" s="40"/>
      <c r="M468" s="40"/>
    </row>
    <row r="469" spans="1:13" ht="12.75">
      <c r="A469" s="15"/>
      <c r="B469" s="47"/>
      <c r="C469" s="47"/>
      <c r="E469" s="16"/>
      <c r="I469" s="16"/>
      <c r="J469" s="9"/>
      <c r="L469" s="40"/>
      <c r="M469" s="40"/>
    </row>
    <row r="470" spans="1:13" ht="12.75">
      <c r="A470" s="15"/>
      <c r="B470" s="47"/>
      <c r="C470" s="47"/>
      <c r="E470" s="16"/>
      <c r="I470" s="16"/>
      <c r="J470" s="9"/>
      <c r="L470" s="40"/>
      <c r="M470" s="40"/>
    </row>
    <row r="471" spans="1:13" ht="12.75">
      <c r="A471" s="15"/>
      <c r="B471" s="47"/>
      <c r="C471" s="47"/>
      <c r="E471" s="16"/>
      <c r="I471" s="16"/>
      <c r="J471" s="9"/>
      <c r="L471" s="40"/>
      <c r="M471" s="40"/>
    </row>
    <row r="472" spans="1:13" ht="12.75">
      <c r="A472" s="15"/>
      <c r="B472" s="47"/>
      <c r="C472" s="47"/>
      <c r="E472" s="16"/>
      <c r="I472" s="16"/>
      <c r="J472" s="9"/>
      <c r="L472" s="40"/>
      <c r="M472" s="40"/>
    </row>
    <row r="473" spans="1:13" ht="12.75">
      <c r="A473" s="15"/>
      <c r="B473" s="47"/>
      <c r="C473" s="47"/>
      <c r="E473" s="16"/>
      <c r="I473" s="16"/>
      <c r="J473" s="9"/>
      <c r="L473" s="40"/>
      <c r="M473" s="40"/>
    </row>
    <row r="474" spans="1:13" ht="12.75">
      <c r="A474" s="15"/>
      <c r="B474" s="47"/>
      <c r="C474" s="47"/>
      <c r="E474" s="16"/>
      <c r="I474" s="16"/>
      <c r="J474" s="9"/>
      <c r="L474" s="40"/>
      <c r="M474" s="40"/>
    </row>
    <row r="475" spans="1:13" ht="12.75">
      <c r="A475" s="15"/>
      <c r="B475" s="47"/>
      <c r="C475" s="47"/>
      <c r="E475" s="16"/>
      <c r="I475" s="16"/>
      <c r="J475" s="9"/>
      <c r="L475" s="40"/>
      <c r="M475" s="40"/>
    </row>
    <row r="476" spans="1:13" ht="12.75">
      <c r="A476" s="15"/>
      <c r="B476" s="47"/>
      <c r="C476" s="47"/>
      <c r="E476" s="16"/>
      <c r="I476" s="16"/>
      <c r="J476" s="9"/>
      <c r="L476" s="40"/>
      <c r="M476" s="40"/>
    </row>
    <row r="477" spans="1:13" ht="12.75">
      <c r="A477" s="15"/>
      <c r="B477" s="47"/>
      <c r="C477" s="47"/>
      <c r="E477" s="16"/>
      <c r="I477" s="16"/>
      <c r="J477" s="9"/>
      <c r="L477" s="40"/>
      <c r="M477" s="40"/>
    </row>
    <row r="478" spans="1:13" ht="12.75">
      <c r="A478" s="15"/>
      <c r="B478" s="47"/>
      <c r="C478" s="47"/>
      <c r="E478" s="16"/>
      <c r="I478" s="16"/>
      <c r="J478" s="9"/>
      <c r="L478" s="40"/>
      <c r="M478" s="40"/>
    </row>
    <row r="479" spans="1:13" ht="12.75">
      <c r="A479" s="15"/>
      <c r="B479" s="47"/>
      <c r="C479" s="47"/>
      <c r="E479" s="16"/>
      <c r="I479" s="16"/>
      <c r="J479" s="9"/>
      <c r="L479" s="40"/>
      <c r="M479" s="40"/>
    </row>
    <row r="480" spans="1:13" ht="12.75">
      <c r="A480" s="15"/>
      <c r="B480" s="47"/>
      <c r="C480" s="47"/>
      <c r="E480" s="16"/>
      <c r="I480" s="16"/>
      <c r="J480" s="9"/>
      <c r="L480" s="40"/>
      <c r="M480" s="40"/>
    </row>
    <row r="481" spans="1:13" ht="12.75">
      <c r="A481" s="15"/>
      <c r="B481" s="47"/>
      <c r="C481" s="47"/>
      <c r="E481" s="16"/>
      <c r="I481" s="16"/>
      <c r="J481" s="9"/>
      <c r="L481" s="40"/>
      <c r="M481" s="40"/>
    </row>
    <row r="482" spans="1:13" ht="12.75">
      <c r="A482" s="15"/>
      <c r="B482" s="47"/>
      <c r="C482" s="47"/>
      <c r="E482" s="16"/>
      <c r="I482" s="16"/>
      <c r="J482" s="9"/>
      <c r="L482" s="40"/>
      <c r="M482" s="40"/>
    </row>
    <row r="483" spans="1:13" ht="12.75">
      <c r="A483" s="15"/>
      <c r="B483" s="47"/>
      <c r="C483" s="47"/>
      <c r="E483" s="16"/>
      <c r="I483" s="16"/>
      <c r="J483" s="9"/>
      <c r="L483" s="40"/>
      <c r="M483" s="40"/>
    </row>
    <row r="484" spans="1:13" ht="12.75">
      <c r="A484" s="15"/>
      <c r="B484" s="47"/>
      <c r="C484" s="47"/>
      <c r="E484" s="16"/>
      <c r="I484" s="16"/>
      <c r="J484" s="9"/>
      <c r="L484" s="40"/>
      <c r="M484" s="40"/>
    </row>
    <row r="485" spans="1:13" ht="12.75">
      <c r="A485" s="15"/>
      <c r="B485" s="47"/>
      <c r="C485" s="47"/>
      <c r="E485" s="16"/>
      <c r="I485" s="16"/>
      <c r="J485" s="9"/>
      <c r="L485" s="40"/>
      <c r="M485" s="40"/>
    </row>
    <row r="486" spans="1:13" ht="12.75">
      <c r="A486" s="15"/>
      <c r="B486" s="47"/>
      <c r="C486" s="47"/>
      <c r="E486" s="16"/>
      <c r="I486" s="16"/>
      <c r="J486" s="9"/>
      <c r="L486" s="40"/>
      <c r="M486" s="40"/>
    </row>
    <row r="487" spans="1:13" ht="12.75">
      <c r="A487" s="15"/>
      <c r="B487" s="47"/>
      <c r="C487" s="47"/>
      <c r="E487" s="16"/>
      <c r="I487" s="16"/>
      <c r="J487" s="9"/>
      <c r="L487" s="40"/>
      <c r="M487" s="40"/>
    </row>
    <row r="488" spans="1:13" ht="12.75">
      <c r="A488" s="15"/>
      <c r="B488" s="47"/>
      <c r="C488" s="47"/>
      <c r="E488" s="16"/>
      <c r="I488" s="16"/>
      <c r="J488" s="9"/>
      <c r="L488" s="40"/>
      <c r="M488" s="40"/>
    </row>
    <row r="489" spans="1:13" ht="12.75">
      <c r="A489" s="15"/>
      <c r="B489" s="47"/>
      <c r="C489" s="47"/>
      <c r="E489" s="16"/>
      <c r="I489" s="16"/>
      <c r="J489" s="9"/>
      <c r="L489" s="40"/>
      <c r="M489" s="40"/>
    </row>
    <row r="490" spans="1:13" ht="12.75">
      <c r="A490" s="15"/>
      <c r="B490" s="47"/>
      <c r="C490" s="47"/>
      <c r="E490" s="16"/>
      <c r="I490" s="16"/>
      <c r="J490" s="9"/>
      <c r="L490" s="40"/>
      <c r="M490" s="40"/>
    </row>
    <row r="491" spans="1:13" ht="12.75">
      <c r="A491" s="15"/>
      <c r="B491" s="47"/>
      <c r="C491" s="47"/>
      <c r="E491" s="16"/>
      <c r="I491" s="16"/>
      <c r="J491" s="9"/>
      <c r="L491" s="40"/>
      <c r="M491" s="40"/>
    </row>
    <row r="492" spans="1:13" ht="12.75">
      <c r="A492" s="15"/>
      <c r="B492" s="47"/>
      <c r="C492" s="47"/>
      <c r="E492" s="16"/>
      <c r="I492" s="16"/>
      <c r="J492" s="9"/>
      <c r="L492" s="40"/>
      <c r="M492" s="40"/>
    </row>
    <row r="493" spans="1:13" ht="12.75">
      <c r="A493" s="15"/>
      <c r="B493" s="47"/>
      <c r="C493" s="47"/>
      <c r="E493" s="16"/>
      <c r="I493" s="16"/>
      <c r="J493" s="9"/>
      <c r="L493" s="40"/>
      <c r="M493" s="40"/>
    </row>
    <row r="494" spans="1:13" ht="12.75">
      <c r="A494" s="15"/>
      <c r="B494" s="47"/>
      <c r="C494" s="47"/>
      <c r="E494" s="16"/>
      <c r="I494" s="16"/>
      <c r="J494" s="9"/>
      <c r="L494" s="40"/>
      <c r="M494" s="40"/>
    </row>
    <row r="495" spans="1:13" ht="12.75">
      <c r="A495" s="15"/>
      <c r="B495" s="47"/>
      <c r="C495" s="47"/>
      <c r="E495" s="16"/>
      <c r="I495" s="16"/>
      <c r="J495" s="9"/>
      <c r="L495" s="40"/>
      <c r="M495" s="40"/>
    </row>
    <row r="496" spans="1:13" ht="12.75">
      <c r="A496" s="15"/>
      <c r="B496" s="47"/>
      <c r="C496" s="47"/>
      <c r="E496" s="16"/>
      <c r="I496" s="16"/>
      <c r="J496" s="9"/>
      <c r="L496" s="40"/>
      <c r="M496" s="40"/>
    </row>
    <row r="497" spans="1:13" ht="12.75">
      <c r="A497" s="15"/>
      <c r="B497" s="47"/>
      <c r="C497" s="47"/>
      <c r="E497" s="16"/>
      <c r="I497" s="16"/>
      <c r="J497" s="9"/>
      <c r="L497" s="40"/>
      <c r="M497" s="40"/>
    </row>
    <row r="498" spans="1:13" ht="12.75">
      <c r="A498" s="15"/>
      <c r="B498" s="47"/>
      <c r="C498" s="47"/>
      <c r="E498" s="16"/>
      <c r="I498" s="16"/>
      <c r="J498" s="9"/>
      <c r="L498" s="40"/>
      <c r="M498" s="40"/>
    </row>
    <row r="499" spans="1:13" ht="12.75">
      <c r="A499" s="15"/>
      <c r="B499" s="47"/>
      <c r="C499" s="47"/>
      <c r="E499" s="16"/>
      <c r="I499" s="16"/>
      <c r="J499" s="9"/>
      <c r="L499" s="40"/>
      <c r="M499" s="40"/>
    </row>
    <row r="500" spans="1:13" ht="12.75">
      <c r="A500" s="15"/>
      <c r="B500" s="47"/>
      <c r="C500" s="47"/>
      <c r="E500" s="16"/>
      <c r="I500" s="16"/>
      <c r="J500" s="9"/>
      <c r="L500" s="40"/>
      <c r="M500" s="40"/>
    </row>
    <row r="501" spans="1:13" ht="12.75">
      <c r="A501" s="15"/>
      <c r="B501" s="47"/>
      <c r="C501" s="47"/>
      <c r="E501" s="16"/>
      <c r="I501" s="16"/>
      <c r="J501" s="9"/>
    </row>
    <row r="502" spans="1:13" ht="12.75">
      <c r="A502" s="15"/>
      <c r="B502" s="47"/>
      <c r="C502" s="47"/>
      <c r="E502" s="16"/>
      <c r="I502" s="16"/>
      <c r="J502" s="9"/>
    </row>
    <row r="503" spans="1:13" ht="12.75">
      <c r="A503" s="15"/>
      <c r="B503" s="47"/>
      <c r="C503" s="47"/>
      <c r="E503" s="16"/>
      <c r="I503" s="16"/>
      <c r="J503" s="9"/>
    </row>
    <row r="504" spans="1:13" ht="12.75">
      <c r="A504" s="15"/>
      <c r="B504" s="47"/>
      <c r="C504" s="47"/>
      <c r="E504" s="16"/>
      <c r="I504" s="16"/>
      <c r="J504" s="9"/>
    </row>
    <row r="505" spans="1:13" ht="12.75">
      <c r="A505" s="15"/>
      <c r="B505" s="47"/>
      <c r="C505" s="47"/>
      <c r="E505" s="16"/>
      <c r="I505" s="16"/>
      <c r="J505" s="9"/>
    </row>
    <row r="506" spans="1:13" ht="12.75">
      <c r="A506" s="15"/>
      <c r="B506" s="47"/>
      <c r="C506" s="47"/>
      <c r="E506" s="16"/>
      <c r="I506" s="16"/>
      <c r="J506" s="9"/>
    </row>
    <row r="507" spans="1:13" ht="12.75">
      <c r="A507" s="15"/>
      <c r="B507" s="47"/>
      <c r="C507" s="47"/>
      <c r="E507" s="16"/>
      <c r="I507" s="16"/>
      <c r="J507" s="9"/>
    </row>
    <row r="508" spans="1:13" ht="12.75">
      <c r="A508" s="15"/>
      <c r="B508" s="47"/>
      <c r="C508" s="47"/>
      <c r="E508" s="16"/>
      <c r="I508" s="16"/>
      <c r="J508" s="9"/>
    </row>
    <row r="509" spans="1:13" ht="12.75">
      <c r="A509" s="15"/>
      <c r="B509" s="47"/>
      <c r="C509" s="47"/>
      <c r="E509" s="16"/>
      <c r="I509" s="16"/>
      <c r="J509" s="9"/>
    </row>
    <row r="510" spans="1:13" ht="12.75">
      <c r="A510" s="15"/>
      <c r="B510" s="47"/>
      <c r="C510" s="47"/>
      <c r="E510" s="16"/>
      <c r="I510" s="16"/>
      <c r="J510" s="9"/>
    </row>
    <row r="511" spans="1:13" ht="12.75">
      <c r="A511" s="15"/>
      <c r="B511" s="47"/>
      <c r="C511" s="47"/>
      <c r="E511" s="16"/>
      <c r="I511" s="16"/>
      <c r="J511" s="9"/>
    </row>
    <row r="512" spans="1:13" ht="12.75">
      <c r="A512" s="15"/>
      <c r="B512" s="47"/>
      <c r="C512" s="47"/>
      <c r="E512" s="16"/>
      <c r="I512" s="16"/>
      <c r="J512" s="9"/>
    </row>
    <row r="513" spans="1:10" ht="12.75">
      <c r="A513" s="15"/>
      <c r="B513" s="47"/>
      <c r="C513" s="47"/>
      <c r="E513" s="16"/>
      <c r="I513" s="16"/>
      <c r="J513" s="9"/>
    </row>
    <row r="514" spans="1:10" ht="12.75">
      <c r="A514" s="15"/>
      <c r="B514" s="47"/>
      <c r="C514" s="47"/>
      <c r="E514" s="16"/>
      <c r="I514" s="16"/>
      <c r="J514" s="9"/>
    </row>
    <row r="515" spans="1:10" ht="12.75">
      <c r="A515" s="15"/>
      <c r="B515" s="47"/>
      <c r="C515" s="47"/>
      <c r="E515" s="16"/>
      <c r="I515" s="16"/>
      <c r="J515" s="9"/>
    </row>
    <row r="516" spans="1:10" ht="12.75">
      <c r="A516" s="15"/>
      <c r="B516" s="47"/>
      <c r="C516" s="47"/>
      <c r="E516" s="16"/>
      <c r="I516" s="16"/>
      <c r="J516" s="9"/>
    </row>
    <row r="517" spans="1:10" ht="12.75">
      <c r="A517" s="15"/>
      <c r="B517" s="47"/>
      <c r="C517" s="47"/>
      <c r="E517" s="16"/>
      <c r="I517" s="16"/>
      <c r="J517" s="9"/>
    </row>
    <row r="518" spans="1:10" ht="12.75">
      <c r="A518" s="15"/>
      <c r="B518" s="47"/>
      <c r="C518" s="47"/>
      <c r="E518" s="16"/>
      <c r="I518" s="16"/>
      <c r="J518" s="9"/>
    </row>
    <row r="519" spans="1:10" ht="12.75">
      <c r="A519" s="15"/>
      <c r="B519" s="47"/>
      <c r="C519" s="47"/>
      <c r="E519" s="16"/>
      <c r="I519" s="16"/>
      <c r="J519" s="9"/>
    </row>
    <row r="520" spans="1:10" ht="12.75">
      <c r="A520" s="15"/>
      <c r="B520" s="47"/>
      <c r="C520" s="47"/>
      <c r="E520" s="16"/>
      <c r="I520" s="16"/>
      <c r="J520" s="9"/>
    </row>
    <row r="521" spans="1:10" ht="12.75">
      <c r="A521" s="15"/>
      <c r="B521" s="47"/>
      <c r="C521" s="47"/>
      <c r="E521" s="16"/>
      <c r="I521" s="16"/>
      <c r="J521" s="9"/>
    </row>
    <row r="522" spans="1:10" ht="12.75">
      <c r="A522" s="15"/>
      <c r="B522" s="47"/>
      <c r="C522" s="47"/>
      <c r="E522" s="16"/>
      <c r="I522" s="16"/>
      <c r="J522" s="9"/>
    </row>
    <row r="523" spans="1:10" ht="12.75">
      <c r="A523" s="15"/>
      <c r="B523" s="47"/>
      <c r="C523" s="47"/>
      <c r="E523" s="16"/>
      <c r="I523" s="16"/>
      <c r="J523" s="9"/>
    </row>
    <row r="524" spans="1:10" ht="12.75">
      <c r="A524" s="15"/>
      <c r="B524" s="47"/>
      <c r="C524" s="47"/>
      <c r="E524" s="16"/>
      <c r="I524" s="16"/>
      <c r="J524" s="9"/>
    </row>
    <row r="525" spans="1:10" ht="12.75">
      <c r="A525" s="15"/>
      <c r="B525" s="47"/>
      <c r="C525" s="47"/>
      <c r="E525" s="16"/>
      <c r="I525" s="16"/>
      <c r="J525" s="9"/>
    </row>
    <row r="526" spans="1:10" ht="12.75">
      <c r="A526" s="15"/>
      <c r="B526" s="47"/>
      <c r="C526" s="47"/>
      <c r="E526" s="16"/>
      <c r="I526" s="16"/>
      <c r="J526" s="9"/>
    </row>
    <row r="527" spans="1:10" ht="12.75">
      <c r="A527" s="15"/>
      <c r="B527" s="47"/>
      <c r="C527" s="47"/>
      <c r="E527" s="16"/>
      <c r="I527" s="16"/>
      <c r="J527" s="9"/>
    </row>
    <row r="528" spans="1:10" ht="12.75">
      <c r="A528" s="15"/>
      <c r="B528" s="47"/>
      <c r="C528" s="47"/>
      <c r="E528" s="16"/>
      <c r="I528" s="16"/>
      <c r="J528" s="9"/>
    </row>
    <row r="529" spans="1:10" ht="12.75">
      <c r="A529" s="15"/>
      <c r="B529" s="47"/>
      <c r="C529" s="47"/>
      <c r="E529" s="16"/>
      <c r="I529" s="16"/>
      <c r="J529" s="9"/>
    </row>
    <row r="530" spans="1:10" ht="12.75">
      <c r="A530" s="15"/>
      <c r="B530" s="47"/>
      <c r="C530" s="47"/>
      <c r="E530" s="16"/>
      <c r="I530" s="16"/>
      <c r="J530" s="9"/>
    </row>
    <row r="531" spans="1:10" ht="12.75">
      <c r="A531" s="15"/>
      <c r="B531" s="47"/>
      <c r="C531" s="47"/>
      <c r="E531" s="16"/>
      <c r="I531" s="16"/>
      <c r="J531" s="9"/>
    </row>
    <row r="532" spans="1:10" ht="12.75">
      <c r="A532" s="15"/>
      <c r="B532" s="47"/>
      <c r="C532" s="47"/>
      <c r="E532" s="16"/>
      <c r="I532" s="16"/>
      <c r="J532" s="9"/>
    </row>
    <row r="533" spans="1:10" ht="12.75">
      <c r="A533" s="15"/>
      <c r="B533" s="47"/>
      <c r="C533" s="47"/>
      <c r="E533" s="16"/>
      <c r="I533" s="16"/>
      <c r="J533" s="9"/>
    </row>
    <row r="534" spans="1:10" ht="12.75">
      <c r="A534" s="15"/>
      <c r="B534" s="47"/>
      <c r="C534" s="47"/>
      <c r="E534" s="16"/>
      <c r="I534" s="16"/>
      <c r="J534" s="9"/>
    </row>
    <row r="535" spans="1:10" ht="12.75">
      <c r="A535" s="15"/>
      <c r="B535" s="47"/>
      <c r="C535" s="47"/>
      <c r="E535" s="16"/>
      <c r="I535" s="16"/>
      <c r="J535" s="9"/>
    </row>
    <row r="536" spans="1:10" ht="12.75">
      <c r="A536" s="15"/>
      <c r="B536" s="47"/>
      <c r="C536" s="47"/>
      <c r="E536" s="16"/>
      <c r="I536" s="16"/>
      <c r="J536" s="9"/>
    </row>
    <row r="537" spans="1:10" ht="12.75">
      <c r="A537" s="15"/>
      <c r="B537" s="47"/>
      <c r="C537" s="47"/>
      <c r="E537" s="16"/>
      <c r="I537" s="16"/>
      <c r="J537" s="9"/>
    </row>
    <row r="538" spans="1:10" ht="12.75">
      <c r="A538" s="15"/>
      <c r="B538" s="47"/>
      <c r="C538" s="47"/>
      <c r="E538" s="16"/>
      <c r="I538" s="16"/>
      <c r="J538" s="9"/>
    </row>
    <row r="539" spans="1:10" ht="12.75">
      <c r="A539" s="15"/>
      <c r="B539" s="47"/>
      <c r="C539" s="47"/>
      <c r="E539" s="16"/>
      <c r="I539" s="16"/>
      <c r="J539" s="9"/>
    </row>
    <row r="540" spans="1:10" ht="12.75">
      <c r="A540" s="15"/>
      <c r="B540" s="47"/>
      <c r="C540" s="47"/>
      <c r="E540" s="16"/>
      <c r="I540" s="16"/>
      <c r="J540" s="9"/>
    </row>
    <row r="541" spans="1:10" ht="12.75">
      <c r="A541" s="15"/>
      <c r="B541" s="47"/>
      <c r="C541" s="47"/>
      <c r="E541" s="16"/>
      <c r="I541" s="16"/>
      <c r="J541" s="9"/>
    </row>
    <row r="542" spans="1:10" ht="12.75">
      <c r="A542" s="15"/>
      <c r="B542" s="47"/>
      <c r="C542" s="47"/>
      <c r="E542" s="16"/>
      <c r="I542" s="16"/>
      <c r="J542" s="9"/>
    </row>
    <row r="543" spans="1:10" ht="12.75">
      <c r="A543" s="15"/>
      <c r="B543" s="47"/>
      <c r="C543" s="47"/>
      <c r="E543" s="16"/>
      <c r="I543" s="16"/>
      <c r="J543" s="9"/>
    </row>
    <row r="544" spans="1:10" ht="12.75">
      <c r="A544" s="15"/>
      <c r="B544" s="47"/>
      <c r="C544" s="47"/>
      <c r="E544" s="16"/>
      <c r="I544" s="16"/>
      <c r="J544" s="9"/>
    </row>
    <row r="545" spans="1:10" ht="12.75">
      <c r="A545" s="15"/>
      <c r="B545" s="47"/>
      <c r="C545" s="47"/>
      <c r="E545" s="16"/>
      <c r="I545" s="16"/>
      <c r="J545" s="9"/>
    </row>
    <row r="546" spans="1:10" ht="12.75">
      <c r="A546" s="15"/>
      <c r="B546" s="47"/>
      <c r="C546" s="47"/>
      <c r="E546" s="16"/>
      <c r="I546" s="16"/>
      <c r="J546" s="9"/>
    </row>
    <row r="547" spans="1:10" ht="12.75">
      <c r="A547" s="15"/>
      <c r="B547" s="47"/>
      <c r="C547" s="47"/>
      <c r="E547" s="16"/>
      <c r="I547" s="16"/>
      <c r="J547" s="9"/>
    </row>
    <row r="548" spans="1:10" ht="12.75">
      <c r="A548" s="15"/>
      <c r="B548" s="47"/>
      <c r="C548" s="47"/>
      <c r="E548" s="16"/>
      <c r="I548" s="16"/>
      <c r="J548" s="9"/>
    </row>
    <row r="549" spans="1:10" ht="12.75">
      <c r="A549" s="15"/>
      <c r="B549" s="47"/>
      <c r="C549" s="47"/>
      <c r="E549" s="16"/>
      <c r="I549" s="16"/>
      <c r="J549" s="9"/>
    </row>
    <row r="550" spans="1:10" ht="12.75">
      <c r="A550" s="15"/>
      <c r="B550" s="47"/>
      <c r="C550" s="47"/>
      <c r="E550" s="16"/>
      <c r="I550" s="16"/>
      <c r="J550" s="9"/>
    </row>
    <row r="551" spans="1:10" ht="12.75">
      <c r="A551" s="15"/>
      <c r="B551" s="47"/>
      <c r="C551" s="47"/>
      <c r="E551" s="16"/>
      <c r="I551" s="16"/>
      <c r="J551" s="9"/>
    </row>
    <row r="552" spans="1:10" ht="12.75">
      <c r="A552" s="15"/>
      <c r="B552" s="47"/>
      <c r="C552" s="47"/>
      <c r="E552" s="16"/>
      <c r="I552" s="16"/>
      <c r="J552" s="9"/>
    </row>
    <row r="553" spans="1:10" ht="12.75">
      <c r="A553" s="15"/>
      <c r="B553" s="47"/>
      <c r="C553" s="47"/>
      <c r="E553" s="16"/>
      <c r="I553" s="16"/>
      <c r="J553" s="9"/>
    </row>
    <row r="554" spans="1:10" ht="12.75">
      <c r="A554" s="15"/>
      <c r="B554" s="47"/>
      <c r="C554" s="47"/>
      <c r="E554" s="16"/>
      <c r="I554" s="16"/>
      <c r="J554" s="9"/>
    </row>
    <row r="555" spans="1:10" ht="12.75">
      <c r="A555" s="15"/>
      <c r="B555" s="47"/>
      <c r="C555" s="47"/>
      <c r="E555" s="16"/>
      <c r="I555" s="16"/>
      <c r="J555" s="9"/>
    </row>
    <row r="556" spans="1:10" ht="12.75">
      <c r="A556" s="15"/>
      <c r="B556" s="47"/>
      <c r="C556" s="47"/>
      <c r="E556" s="16"/>
      <c r="I556" s="16"/>
      <c r="J556" s="9"/>
    </row>
    <row r="557" spans="1:10" ht="12.75">
      <c r="A557" s="15"/>
      <c r="B557" s="47"/>
      <c r="C557" s="47"/>
      <c r="E557" s="16"/>
      <c r="I557" s="16"/>
      <c r="J557" s="9"/>
    </row>
    <row r="558" spans="1:10" ht="12.75">
      <c r="A558" s="15"/>
      <c r="B558" s="47"/>
      <c r="C558" s="47"/>
      <c r="E558" s="16"/>
      <c r="I558" s="16"/>
      <c r="J558" s="9"/>
    </row>
    <row r="559" spans="1:10" ht="12.75">
      <c r="A559" s="15"/>
      <c r="B559" s="47"/>
      <c r="C559" s="47"/>
      <c r="E559" s="16"/>
      <c r="I559" s="16"/>
      <c r="J559" s="9"/>
    </row>
    <row r="560" spans="1:10" ht="12.75">
      <c r="A560" s="15"/>
      <c r="B560" s="47"/>
      <c r="C560" s="47"/>
      <c r="E560" s="16"/>
      <c r="I560" s="16"/>
      <c r="J560" s="9"/>
    </row>
    <row r="561" spans="1:10" ht="12.75">
      <c r="A561" s="15"/>
      <c r="B561" s="47"/>
      <c r="C561" s="47"/>
      <c r="E561" s="16"/>
      <c r="I561" s="16"/>
      <c r="J561" s="9"/>
    </row>
    <row r="562" spans="1:10" ht="12.75">
      <c r="A562" s="15"/>
      <c r="B562" s="47"/>
      <c r="C562" s="47"/>
      <c r="E562" s="16"/>
      <c r="I562" s="16"/>
      <c r="J562" s="9"/>
    </row>
    <row r="563" spans="1:10" ht="12.75">
      <c r="A563" s="15"/>
      <c r="B563" s="47"/>
      <c r="C563" s="47"/>
      <c r="E563" s="16"/>
      <c r="I563" s="16"/>
      <c r="J563" s="9"/>
    </row>
    <row r="564" spans="1:10" ht="12.75">
      <c r="A564" s="15"/>
      <c r="B564" s="47"/>
      <c r="C564" s="47"/>
      <c r="E564" s="16"/>
      <c r="I564" s="16"/>
      <c r="J564" s="9"/>
    </row>
    <row r="565" spans="1:10" ht="12.75">
      <c r="A565" s="15"/>
      <c r="B565" s="47"/>
      <c r="C565" s="47"/>
      <c r="E565" s="16"/>
      <c r="I565" s="16"/>
      <c r="J565" s="9"/>
    </row>
    <row r="566" spans="1:10" ht="12.75">
      <c r="A566" s="15"/>
      <c r="B566" s="47"/>
      <c r="C566" s="47"/>
      <c r="E566" s="16"/>
      <c r="I566" s="16"/>
      <c r="J566" s="9"/>
    </row>
    <row r="567" spans="1:10" ht="12.75">
      <c r="A567" s="15"/>
      <c r="B567" s="47"/>
      <c r="C567" s="47"/>
      <c r="E567" s="16"/>
      <c r="I567" s="16"/>
      <c r="J567" s="9"/>
    </row>
    <row r="568" spans="1:10" ht="12.75">
      <c r="A568" s="15"/>
      <c r="B568" s="47"/>
      <c r="C568" s="47"/>
      <c r="E568" s="16"/>
      <c r="I568" s="16"/>
      <c r="J568" s="9"/>
    </row>
    <row r="569" spans="1:10" ht="12.75">
      <c r="A569" s="15"/>
      <c r="B569" s="47"/>
      <c r="C569" s="47"/>
      <c r="E569" s="16"/>
      <c r="I569" s="16"/>
      <c r="J569" s="9"/>
    </row>
    <row r="570" spans="1:10" ht="12.75">
      <c r="A570" s="15"/>
      <c r="B570" s="47"/>
      <c r="C570" s="47"/>
      <c r="E570" s="16"/>
      <c r="I570" s="16"/>
      <c r="J570" s="9"/>
    </row>
    <row r="571" spans="1:10" ht="12.75">
      <c r="A571" s="15"/>
      <c r="B571" s="47"/>
      <c r="C571" s="47"/>
      <c r="E571" s="16"/>
      <c r="I571" s="16"/>
      <c r="J571" s="9"/>
    </row>
    <row r="572" spans="1:10" ht="12.75">
      <c r="A572" s="15"/>
      <c r="B572" s="47"/>
      <c r="C572" s="47"/>
      <c r="E572" s="16"/>
      <c r="I572" s="16"/>
      <c r="J572" s="9"/>
    </row>
    <row r="573" spans="1:10" ht="12.75">
      <c r="A573" s="15"/>
      <c r="B573" s="47"/>
      <c r="C573" s="47"/>
      <c r="E573" s="16"/>
      <c r="I573" s="16"/>
      <c r="J573" s="9"/>
    </row>
    <row r="574" spans="1:10" ht="12.75">
      <c r="A574" s="15"/>
      <c r="B574" s="47"/>
      <c r="C574" s="47"/>
      <c r="E574" s="16"/>
      <c r="I574" s="16"/>
      <c r="J574" s="9"/>
    </row>
    <row r="575" spans="1:10" ht="12.75">
      <c r="A575" s="15"/>
      <c r="B575" s="47"/>
      <c r="C575" s="47"/>
      <c r="E575" s="16"/>
      <c r="I575" s="16"/>
      <c r="J575" s="9"/>
    </row>
    <row r="576" spans="1:10" ht="12.75">
      <c r="A576" s="15"/>
      <c r="B576" s="47"/>
      <c r="C576" s="47"/>
      <c r="E576" s="16"/>
      <c r="I576" s="16"/>
      <c r="J576" s="9"/>
    </row>
    <row r="577" spans="1:10" ht="12.75">
      <c r="A577" s="15"/>
      <c r="B577" s="47"/>
      <c r="C577" s="47"/>
      <c r="E577" s="16"/>
      <c r="I577" s="16"/>
      <c r="J577" s="9"/>
    </row>
    <row r="578" spans="1:10" ht="12.75">
      <c r="A578" s="15"/>
      <c r="B578" s="47"/>
      <c r="C578" s="47"/>
      <c r="E578" s="16"/>
      <c r="I578" s="16"/>
      <c r="J578" s="9"/>
    </row>
    <row r="579" spans="1:10" ht="12.75">
      <c r="A579" s="15"/>
      <c r="B579" s="47"/>
      <c r="C579" s="47"/>
      <c r="E579" s="16"/>
      <c r="I579" s="16"/>
      <c r="J579" s="9"/>
    </row>
    <row r="580" spans="1:10" ht="12.75">
      <c r="A580" s="15"/>
      <c r="B580" s="47"/>
      <c r="C580" s="47"/>
      <c r="E580" s="16"/>
      <c r="I580" s="16"/>
      <c r="J580" s="9"/>
    </row>
    <row r="581" spans="1:10" ht="12.75">
      <c r="A581" s="15"/>
      <c r="B581" s="47"/>
      <c r="C581" s="47"/>
      <c r="E581" s="16"/>
      <c r="I581" s="16"/>
      <c r="J581" s="9"/>
    </row>
    <row r="582" spans="1:10" ht="12.75">
      <c r="A582" s="15"/>
      <c r="B582" s="47"/>
      <c r="C582" s="47"/>
      <c r="E582" s="16"/>
      <c r="I582" s="16"/>
      <c r="J582" s="9"/>
    </row>
    <row r="583" spans="1:10" ht="12.75">
      <c r="A583" s="15"/>
      <c r="B583" s="47"/>
      <c r="C583" s="47"/>
      <c r="E583" s="16"/>
      <c r="I583" s="16"/>
      <c r="J583" s="9"/>
    </row>
    <row r="584" spans="1:10" ht="12.75">
      <c r="A584" s="15"/>
      <c r="B584" s="47"/>
      <c r="C584" s="47"/>
      <c r="E584" s="16"/>
      <c r="I584" s="16"/>
      <c r="J584" s="9"/>
    </row>
    <row r="585" spans="1:10" ht="12.75">
      <c r="A585" s="15"/>
      <c r="B585" s="47"/>
      <c r="C585" s="47"/>
      <c r="E585" s="16"/>
      <c r="I585" s="16"/>
      <c r="J585" s="9"/>
    </row>
    <row r="586" spans="1:10" ht="12.75">
      <c r="A586" s="15"/>
      <c r="B586" s="47"/>
      <c r="C586" s="47"/>
      <c r="E586" s="16"/>
      <c r="I586" s="16"/>
      <c r="J586" s="9"/>
    </row>
    <row r="587" spans="1:10" ht="12.75">
      <c r="A587" s="15"/>
      <c r="B587" s="47"/>
      <c r="C587" s="47"/>
      <c r="E587" s="16"/>
      <c r="I587" s="16"/>
      <c r="J587" s="9"/>
    </row>
    <row r="588" spans="1:10" ht="12.75">
      <c r="A588" s="15"/>
      <c r="B588" s="47"/>
      <c r="C588" s="47"/>
      <c r="E588" s="16"/>
      <c r="I588" s="16"/>
      <c r="J588" s="9"/>
    </row>
    <row r="589" spans="1:10" ht="12.75">
      <c r="A589" s="15"/>
      <c r="B589" s="47"/>
      <c r="C589" s="47"/>
      <c r="E589" s="16"/>
      <c r="I589" s="16"/>
      <c r="J589" s="9"/>
    </row>
    <row r="590" spans="1:10" ht="12.75">
      <c r="A590" s="15"/>
      <c r="B590" s="47"/>
      <c r="C590" s="47"/>
      <c r="E590" s="16"/>
      <c r="I590" s="16"/>
      <c r="J590" s="9"/>
    </row>
    <row r="591" spans="1:10" ht="12.75">
      <c r="A591" s="15"/>
      <c r="B591" s="47"/>
      <c r="C591" s="47"/>
      <c r="E591" s="16"/>
      <c r="I591" s="16"/>
      <c r="J591" s="9"/>
    </row>
    <row r="592" spans="1:10" ht="12.75">
      <c r="A592" s="15"/>
      <c r="B592" s="47"/>
      <c r="C592" s="47"/>
      <c r="E592" s="16"/>
      <c r="I592" s="16"/>
      <c r="J592" s="9"/>
    </row>
    <row r="593" spans="1:10" ht="12.75">
      <c r="A593" s="15"/>
      <c r="B593" s="47"/>
      <c r="C593" s="47"/>
      <c r="E593" s="16"/>
      <c r="I593" s="16"/>
      <c r="J593" s="9"/>
    </row>
    <row r="594" spans="1:10" ht="12.75">
      <c r="A594" s="15"/>
      <c r="B594" s="47"/>
      <c r="C594" s="47"/>
      <c r="E594" s="16"/>
      <c r="I594" s="16"/>
      <c r="J594" s="9"/>
    </row>
    <row r="595" spans="1:10" ht="12.75">
      <c r="A595" s="15"/>
      <c r="B595" s="47"/>
      <c r="C595" s="47"/>
      <c r="E595" s="16"/>
      <c r="I595" s="16"/>
      <c r="J595" s="9"/>
    </row>
    <row r="596" spans="1:10" ht="12.75">
      <c r="A596" s="15"/>
      <c r="B596" s="47"/>
      <c r="C596" s="47"/>
      <c r="E596" s="16"/>
      <c r="I596" s="16"/>
      <c r="J596" s="9"/>
    </row>
    <row r="597" spans="1:10" ht="12.75">
      <c r="A597" s="15"/>
      <c r="B597" s="47"/>
      <c r="C597" s="47"/>
      <c r="E597" s="16"/>
      <c r="I597" s="16"/>
      <c r="J597" s="9"/>
    </row>
    <row r="598" spans="1:10" ht="12.75">
      <c r="A598" s="15"/>
      <c r="B598" s="47"/>
      <c r="C598" s="47"/>
      <c r="E598" s="16"/>
      <c r="I598" s="16"/>
      <c r="J598" s="9"/>
    </row>
    <row r="599" spans="1:10" ht="12.75">
      <c r="A599" s="15"/>
      <c r="B599" s="47"/>
      <c r="C599" s="47"/>
      <c r="E599" s="16"/>
      <c r="I599" s="16"/>
      <c r="J599" s="9"/>
    </row>
    <row r="600" spans="1:10" ht="12.75">
      <c r="A600" s="15"/>
      <c r="B600" s="47"/>
      <c r="C600" s="47"/>
      <c r="E600" s="16"/>
      <c r="I600" s="16"/>
      <c r="J600" s="9"/>
    </row>
    <row r="601" spans="1:10" ht="12.75">
      <c r="A601" s="15"/>
      <c r="B601" s="47"/>
      <c r="C601" s="47"/>
      <c r="E601" s="16"/>
      <c r="I601" s="16"/>
      <c r="J601" s="9"/>
    </row>
    <row r="602" spans="1:10" ht="12.75">
      <c r="A602" s="15"/>
      <c r="B602" s="47"/>
      <c r="C602" s="47"/>
      <c r="E602" s="16"/>
      <c r="I602" s="16"/>
      <c r="J602" s="9"/>
    </row>
    <row r="603" spans="1:10" ht="12.75">
      <c r="A603" s="15"/>
      <c r="B603" s="47"/>
      <c r="C603" s="47"/>
      <c r="E603" s="16"/>
      <c r="I603" s="16"/>
      <c r="J603" s="9"/>
    </row>
    <row r="604" spans="1:10" ht="12.75">
      <c r="A604" s="15"/>
      <c r="B604" s="47"/>
      <c r="C604" s="47"/>
      <c r="E604" s="16"/>
      <c r="I604" s="16"/>
      <c r="J604" s="9"/>
    </row>
    <row r="605" spans="1:10" ht="12.75">
      <c r="A605" s="15"/>
      <c r="B605" s="47"/>
      <c r="C605" s="47"/>
      <c r="E605" s="16"/>
      <c r="I605" s="16"/>
      <c r="J605" s="9"/>
    </row>
    <row r="606" spans="1:10" ht="12.75">
      <c r="A606" s="15"/>
      <c r="B606" s="47"/>
      <c r="C606" s="47"/>
      <c r="E606" s="16"/>
      <c r="I606" s="16"/>
      <c r="J606" s="9"/>
    </row>
    <row r="607" spans="1:10" ht="12.75">
      <c r="A607" s="15"/>
      <c r="B607" s="47"/>
      <c r="C607" s="47"/>
      <c r="E607" s="16"/>
      <c r="I607" s="16"/>
      <c r="J607" s="9"/>
    </row>
    <row r="608" spans="1:10" ht="12.75">
      <c r="A608" s="15"/>
      <c r="B608" s="47"/>
      <c r="C608" s="47"/>
      <c r="E608" s="16"/>
      <c r="I608" s="16"/>
      <c r="J608" s="9"/>
    </row>
    <row r="609" spans="1:10" ht="12.75">
      <c r="A609" s="15"/>
      <c r="B609" s="47"/>
      <c r="C609" s="47"/>
      <c r="E609" s="16"/>
      <c r="I609" s="16"/>
      <c r="J609" s="9"/>
    </row>
    <row r="610" spans="1:10" ht="12.75">
      <c r="A610" s="15"/>
      <c r="B610" s="47"/>
      <c r="C610" s="47"/>
      <c r="E610" s="16"/>
      <c r="I610" s="16"/>
      <c r="J610" s="9"/>
    </row>
    <row r="611" spans="1:10" ht="12.75">
      <c r="A611" s="15"/>
      <c r="B611" s="47"/>
      <c r="C611" s="47"/>
      <c r="E611" s="16"/>
      <c r="I611" s="16"/>
      <c r="J611" s="9"/>
    </row>
    <row r="612" spans="1:10" ht="12.75">
      <c r="A612" s="15"/>
      <c r="B612" s="47"/>
      <c r="C612" s="47"/>
      <c r="E612" s="16"/>
      <c r="I612" s="16"/>
      <c r="J612" s="9"/>
    </row>
    <row r="613" spans="1:10" ht="12.75">
      <c r="A613" s="15"/>
      <c r="B613" s="47"/>
      <c r="C613" s="47"/>
      <c r="E613" s="16"/>
      <c r="I613" s="16"/>
      <c r="J613" s="9"/>
    </row>
    <row r="614" spans="1:10" ht="12.75">
      <c r="A614" s="15"/>
      <c r="B614" s="47"/>
      <c r="C614" s="47"/>
      <c r="E614" s="16"/>
      <c r="I614" s="16"/>
      <c r="J614" s="9"/>
    </row>
    <row r="615" spans="1:10" ht="12.75">
      <c r="A615" s="15"/>
      <c r="B615" s="47"/>
      <c r="C615" s="47"/>
      <c r="E615" s="16"/>
      <c r="I615" s="16"/>
      <c r="J615" s="9"/>
    </row>
    <row r="616" spans="1:10" ht="12.75">
      <c r="A616" s="15"/>
      <c r="B616" s="47"/>
      <c r="C616" s="47"/>
      <c r="E616" s="16"/>
      <c r="I616" s="16"/>
      <c r="J616" s="9"/>
    </row>
    <row r="617" spans="1:10" ht="12.75">
      <c r="A617" s="15"/>
      <c r="B617" s="47"/>
      <c r="C617" s="47"/>
      <c r="E617" s="16"/>
      <c r="I617" s="16"/>
      <c r="J617" s="9"/>
    </row>
    <row r="618" spans="1:10" ht="12.75">
      <c r="A618" s="15"/>
      <c r="B618" s="47"/>
      <c r="C618" s="47"/>
      <c r="E618" s="16"/>
      <c r="I618" s="16"/>
      <c r="J618" s="9"/>
    </row>
    <row r="619" spans="1:10" ht="12.75">
      <c r="A619" s="15"/>
      <c r="B619" s="47"/>
      <c r="C619" s="47"/>
      <c r="E619" s="16"/>
      <c r="I619" s="16"/>
      <c r="J619" s="9"/>
    </row>
    <row r="620" spans="1:10" ht="12.75">
      <c r="A620" s="15"/>
      <c r="B620" s="47"/>
      <c r="C620" s="47"/>
      <c r="E620" s="16"/>
      <c r="I620" s="16"/>
      <c r="J620" s="9"/>
    </row>
    <row r="621" spans="1:10" ht="12.75">
      <c r="A621" s="15"/>
      <c r="B621" s="47"/>
      <c r="C621" s="47"/>
      <c r="E621" s="16"/>
      <c r="I621" s="16"/>
      <c r="J621" s="9"/>
    </row>
    <row r="622" spans="1:10" ht="12.75">
      <c r="A622" s="15"/>
      <c r="B622" s="47"/>
      <c r="C622" s="47"/>
      <c r="E622" s="16"/>
      <c r="I622" s="16"/>
      <c r="J622" s="9"/>
    </row>
    <row r="623" spans="1:10" ht="12.75">
      <c r="A623" s="15"/>
      <c r="B623" s="47"/>
      <c r="C623" s="47"/>
      <c r="E623" s="16"/>
      <c r="I623" s="16"/>
      <c r="J623" s="9"/>
    </row>
    <row r="624" spans="1:10" ht="12.75">
      <c r="A624" s="15"/>
      <c r="B624" s="47"/>
      <c r="C624" s="47"/>
      <c r="E624" s="16"/>
      <c r="I624" s="16"/>
      <c r="J624" s="9"/>
    </row>
    <row r="625" spans="1:10" ht="12.75">
      <c r="A625" s="15"/>
      <c r="B625" s="47"/>
      <c r="C625" s="47"/>
      <c r="E625" s="16"/>
      <c r="I625" s="16"/>
      <c r="J625" s="9"/>
    </row>
    <row r="626" spans="1:10" ht="12.75">
      <c r="A626" s="15"/>
      <c r="B626" s="47"/>
      <c r="C626" s="47"/>
      <c r="E626" s="16"/>
      <c r="I626" s="16"/>
      <c r="J626" s="9"/>
    </row>
    <row r="627" spans="1:10" ht="12.75">
      <c r="A627" s="15"/>
      <c r="B627" s="47"/>
      <c r="C627" s="47"/>
      <c r="E627" s="16"/>
      <c r="I627" s="16"/>
      <c r="J627" s="9"/>
    </row>
    <row r="628" spans="1:10" ht="12.75">
      <c r="A628" s="15"/>
      <c r="B628" s="47"/>
      <c r="C628" s="47"/>
      <c r="E628" s="16"/>
      <c r="I628" s="16"/>
      <c r="J628" s="9"/>
    </row>
    <row r="629" spans="1:10" ht="12.75">
      <c r="A629" s="15"/>
      <c r="B629" s="47"/>
      <c r="C629" s="47"/>
      <c r="E629" s="16"/>
      <c r="I629" s="16"/>
      <c r="J629" s="9"/>
    </row>
    <row r="630" spans="1:10" ht="12.75">
      <c r="A630" s="15"/>
      <c r="B630" s="47"/>
      <c r="C630" s="47"/>
      <c r="E630" s="16"/>
      <c r="I630" s="16"/>
      <c r="J630" s="9"/>
    </row>
    <row r="631" spans="1:10" ht="12.75">
      <c r="A631" s="15"/>
      <c r="B631" s="47"/>
      <c r="C631" s="47"/>
      <c r="E631" s="16"/>
      <c r="I631" s="16"/>
      <c r="J631" s="9"/>
    </row>
    <row r="632" spans="1:10" ht="12.75">
      <c r="A632" s="15"/>
      <c r="B632" s="47"/>
      <c r="C632" s="47"/>
      <c r="E632" s="16"/>
      <c r="I632" s="16"/>
      <c r="J632" s="9"/>
    </row>
    <row r="633" spans="1:10" ht="12.75">
      <c r="A633" s="15"/>
      <c r="B633" s="47"/>
      <c r="C633" s="47"/>
      <c r="E633" s="16"/>
      <c r="I633" s="16"/>
      <c r="J633" s="9"/>
    </row>
    <row r="634" spans="1:10" ht="12.75">
      <c r="A634" s="15"/>
      <c r="B634" s="47"/>
      <c r="C634" s="47"/>
      <c r="E634" s="16"/>
      <c r="I634" s="16"/>
      <c r="J634" s="9"/>
    </row>
    <row r="635" spans="1:10" ht="12.75">
      <c r="A635" s="15"/>
      <c r="B635" s="47"/>
      <c r="C635" s="47"/>
      <c r="E635" s="16"/>
      <c r="I635" s="16"/>
      <c r="J635" s="9"/>
    </row>
    <row r="636" spans="1:10" ht="12.75">
      <c r="A636" s="15"/>
      <c r="B636" s="47"/>
      <c r="C636" s="47"/>
      <c r="E636" s="16"/>
      <c r="I636" s="16"/>
      <c r="J636" s="9"/>
    </row>
    <row r="637" spans="1:10" ht="12.75">
      <c r="A637" s="15"/>
      <c r="B637" s="47"/>
      <c r="C637" s="47"/>
      <c r="E637" s="16"/>
      <c r="I637" s="16"/>
      <c r="J637" s="9"/>
    </row>
    <row r="638" spans="1:10" ht="12.75">
      <c r="A638" s="15"/>
      <c r="B638" s="47"/>
      <c r="C638" s="47"/>
      <c r="E638" s="16"/>
      <c r="I638" s="16"/>
      <c r="J638" s="9"/>
    </row>
    <row r="639" spans="1:10" ht="12.75">
      <c r="A639" s="15"/>
      <c r="B639" s="47"/>
      <c r="C639" s="47"/>
      <c r="E639" s="16"/>
      <c r="I639" s="16"/>
      <c r="J639" s="9"/>
    </row>
    <row r="640" spans="1:10" ht="12.75">
      <c r="A640" s="15"/>
      <c r="B640" s="47"/>
      <c r="C640" s="47"/>
      <c r="E640" s="16"/>
      <c r="I640" s="16"/>
      <c r="J640" s="9"/>
    </row>
    <row r="641" spans="1:10" ht="12.75">
      <c r="A641" s="15"/>
      <c r="B641" s="47"/>
      <c r="C641" s="47"/>
      <c r="E641" s="16"/>
      <c r="I641" s="16"/>
      <c r="J641" s="9"/>
    </row>
    <row r="642" spans="1:10" ht="12.75">
      <c r="A642" s="15"/>
      <c r="B642" s="47"/>
      <c r="C642" s="47"/>
      <c r="E642" s="16"/>
      <c r="I642" s="16"/>
      <c r="J642" s="9"/>
    </row>
    <row r="643" spans="1:10" ht="12.75">
      <c r="A643" s="15"/>
      <c r="B643" s="47"/>
      <c r="C643" s="47"/>
      <c r="E643" s="16"/>
      <c r="I643" s="16"/>
      <c r="J643" s="9"/>
    </row>
    <row r="644" spans="1:10" ht="12.75">
      <c r="A644" s="15"/>
      <c r="B644" s="47"/>
      <c r="C644" s="47"/>
      <c r="E644" s="16"/>
      <c r="I644" s="16"/>
      <c r="J644" s="9"/>
    </row>
    <row r="645" spans="1:10" ht="12.75">
      <c r="A645" s="15"/>
      <c r="B645" s="47"/>
      <c r="C645" s="47"/>
      <c r="E645" s="16"/>
      <c r="I645" s="16"/>
      <c r="J645" s="9"/>
    </row>
    <row r="646" spans="1:10" ht="12.75">
      <c r="A646" s="15"/>
      <c r="B646" s="47"/>
      <c r="C646" s="47"/>
      <c r="E646" s="16"/>
      <c r="I646" s="16"/>
      <c r="J646" s="9"/>
    </row>
    <row r="647" spans="1:10" ht="12.75">
      <c r="A647" s="15"/>
      <c r="B647" s="47"/>
      <c r="C647" s="47"/>
      <c r="E647" s="16"/>
      <c r="I647" s="16"/>
      <c r="J647" s="9"/>
    </row>
    <row r="648" spans="1:10" ht="12.75">
      <c r="A648" s="15"/>
      <c r="B648" s="47"/>
      <c r="C648" s="47"/>
      <c r="E648" s="16"/>
      <c r="I648" s="16"/>
      <c r="J648" s="9"/>
    </row>
    <row r="649" spans="1:10" ht="12.75">
      <c r="A649" s="15"/>
      <c r="B649" s="47"/>
      <c r="C649" s="47"/>
      <c r="E649" s="16"/>
      <c r="I649" s="16"/>
      <c r="J649" s="9"/>
    </row>
    <row r="650" spans="1:10" ht="12.75">
      <c r="A650" s="15"/>
      <c r="B650" s="47"/>
      <c r="C650" s="47"/>
      <c r="E650" s="16"/>
      <c r="I650" s="16"/>
      <c r="J650" s="9"/>
    </row>
    <row r="651" spans="1:10" ht="12.75">
      <c r="A651" s="15"/>
      <c r="B651" s="47"/>
      <c r="C651" s="47"/>
      <c r="E651" s="16"/>
      <c r="I651" s="16"/>
      <c r="J651" s="9"/>
    </row>
    <row r="652" spans="1:10" ht="12.75">
      <c r="A652" s="15"/>
      <c r="B652" s="47"/>
      <c r="C652" s="47"/>
      <c r="E652" s="16"/>
      <c r="I652" s="16"/>
      <c r="J652" s="9"/>
    </row>
    <row r="653" spans="1:10" ht="12.75">
      <c r="A653" s="15"/>
      <c r="B653" s="47"/>
      <c r="C653" s="47"/>
      <c r="E653" s="16"/>
      <c r="I653" s="16"/>
      <c r="J653" s="9"/>
    </row>
    <row r="654" spans="1:10" ht="12.75">
      <c r="A654" s="15"/>
      <c r="B654" s="47"/>
      <c r="C654" s="47"/>
      <c r="E654" s="16"/>
      <c r="I654" s="16"/>
      <c r="J654" s="9"/>
    </row>
    <row r="655" spans="1:10" ht="12.75">
      <c r="A655" s="15"/>
      <c r="B655" s="47"/>
      <c r="C655" s="47"/>
      <c r="E655" s="16"/>
      <c r="I655" s="16"/>
      <c r="J655" s="9"/>
    </row>
    <row r="656" spans="1:10" ht="12.75">
      <c r="A656" s="15"/>
      <c r="B656" s="47"/>
      <c r="C656" s="47"/>
      <c r="E656" s="16"/>
      <c r="I656" s="16"/>
      <c r="J656" s="9"/>
    </row>
    <row r="657" spans="1:10" ht="12.75">
      <c r="A657" s="15"/>
      <c r="B657" s="47"/>
      <c r="C657" s="47"/>
      <c r="E657" s="16"/>
      <c r="I657" s="16"/>
      <c r="J657" s="9"/>
    </row>
    <row r="658" spans="1:10" ht="12.75">
      <c r="A658" s="15"/>
      <c r="B658" s="47"/>
      <c r="C658" s="47"/>
      <c r="E658" s="16"/>
      <c r="I658" s="16"/>
      <c r="J658" s="9"/>
    </row>
    <row r="659" spans="1:10" ht="12.75">
      <c r="A659" s="15"/>
      <c r="B659" s="47"/>
      <c r="C659" s="47"/>
      <c r="E659" s="16"/>
      <c r="I659" s="16"/>
      <c r="J659" s="9"/>
    </row>
    <row r="660" spans="1:10" ht="12.75">
      <c r="A660" s="15"/>
      <c r="B660" s="47"/>
      <c r="C660" s="47"/>
      <c r="E660" s="16"/>
      <c r="I660" s="16"/>
      <c r="J660" s="9"/>
    </row>
    <row r="661" spans="1:10" ht="12.75">
      <c r="A661" s="15"/>
      <c r="B661" s="47"/>
      <c r="C661" s="47"/>
      <c r="E661" s="16"/>
      <c r="I661" s="16"/>
      <c r="J661" s="9"/>
    </row>
    <row r="662" spans="1:10" ht="12.75">
      <c r="A662" s="15"/>
      <c r="B662" s="47"/>
      <c r="C662" s="47"/>
      <c r="E662" s="16"/>
      <c r="I662" s="16"/>
      <c r="J662" s="9"/>
    </row>
    <row r="663" spans="1:10" ht="12.75">
      <c r="A663" s="15"/>
      <c r="B663" s="47"/>
      <c r="C663" s="47"/>
      <c r="E663" s="16"/>
      <c r="I663" s="16"/>
      <c r="J663" s="9"/>
    </row>
    <row r="664" spans="1:10" ht="12.75">
      <c r="A664" s="15"/>
      <c r="B664" s="47"/>
      <c r="C664" s="47"/>
      <c r="E664" s="16"/>
      <c r="I664" s="16"/>
      <c r="J664" s="9"/>
    </row>
    <row r="665" spans="1:10" ht="12.75">
      <c r="A665" s="15"/>
      <c r="B665" s="47"/>
      <c r="C665" s="47"/>
      <c r="E665" s="16"/>
      <c r="I665" s="16"/>
      <c r="J665" s="9"/>
    </row>
    <row r="666" spans="1:10" ht="12.75">
      <c r="A666" s="15"/>
      <c r="B666" s="47"/>
      <c r="C666" s="47"/>
      <c r="E666" s="16"/>
      <c r="I666" s="16"/>
      <c r="J666" s="9"/>
    </row>
    <row r="667" spans="1:10" ht="12.75">
      <c r="A667" s="15"/>
      <c r="B667" s="47"/>
      <c r="C667" s="47"/>
      <c r="E667" s="16"/>
      <c r="I667" s="16"/>
      <c r="J667" s="9"/>
    </row>
    <row r="668" spans="1:10" ht="12.75">
      <c r="A668" s="15"/>
      <c r="B668" s="47"/>
      <c r="C668" s="47"/>
      <c r="E668" s="16"/>
      <c r="I668" s="16"/>
      <c r="J668" s="9"/>
    </row>
    <row r="669" spans="1:10" ht="12.75">
      <c r="A669" s="15"/>
      <c r="B669" s="47"/>
      <c r="C669" s="47"/>
      <c r="E669" s="16"/>
      <c r="I669" s="16"/>
      <c r="J669" s="9"/>
    </row>
    <row r="670" spans="1:10" ht="12.75">
      <c r="A670" s="15"/>
      <c r="B670" s="47"/>
      <c r="C670" s="47"/>
      <c r="E670" s="16"/>
      <c r="I670" s="16"/>
      <c r="J670" s="9"/>
    </row>
    <row r="671" spans="1:10" ht="12.75">
      <c r="A671" s="15"/>
      <c r="B671" s="47"/>
      <c r="C671" s="47"/>
      <c r="E671" s="16"/>
      <c r="I671" s="16"/>
      <c r="J671" s="9"/>
    </row>
    <row r="672" spans="1:10" ht="12.75">
      <c r="A672" s="15"/>
      <c r="B672" s="47"/>
      <c r="C672" s="47"/>
      <c r="E672" s="16"/>
      <c r="I672" s="16"/>
      <c r="J672" s="9"/>
    </row>
    <row r="673" spans="1:10" ht="12.75">
      <c r="A673" s="15"/>
      <c r="B673" s="47"/>
      <c r="C673" s="47"/>
      <c r="E673" s="16"/>
      <c r="I673" s="16"/>
      <c r="J673" s="9"/>
    </row>
    <row r="674" spans="1:10" ht="12.75">
      <c r="A674" s="15"/>
      <c r="B674" s="47"/>
      <c r="C674" s="47"/>
      <c r="E674" s="16"/>
      <c r="I674" s="16"/>
      <c r="J674" s="9"/>
    </row>
    <row r="675" spans="1:10" ht="12.75">
      <c r="A675" s="15"/>
      <c r="B675" s="47"/>
      <c r="C675" s="47"/>
      <c r="E675" s="16"/>
      <c r="I675" s="16"/>
      <c r="J675" s="9"/>
    </row>
    <row r="676" spans="1:10" ht="12.75">
      <c r="A676" s="15"/>
      <c r="B676" s="47"/>
      <c r="C676" s="47"/>
      <c r="E676" s="16"/>
      <c r="I676" s="16"/>
      <c r="J676" s="9"/>
    </row>
    <row r="677" spans="1:10" ht="12.75">
      <c r="A677" s="15"/>
      <c r="B677" s="47"/>
      <c r="C677" s="47"/>
      <c r="E677" s="16"/>
      <c r="I677" s="16"/>
      <c r="J677" s="9"/>
    </row>
    <row r="678" spans="1:10" ht="12.75">
      <c r="A678" s="15"/>
      <c r="B678" s="47"/>
      <c r="C678" s="47"/>
      <c r="E678" s="16"/>
      <c r="I678" s="16"/>
      <c r="J678" s="9"/>
    </row>
    <row r="679" spans="1:10" ht="12.75">
      <c r="A679" s="15"/>
      <c r="B679" s="47"/>
      <c r="C679" s="47"/>
      <c r="E679" s="16"/>
      <c r="I679" s="16"/>
      <c r="J679" s="9"/>
    </row>
    <row r="680" spans="1:10" ht="12.75">
      <c r="A680" s="15"/>
      <c r="B680" s="47"/>
      <c r="C680" s="47"/>
      <c r="E680" s="16"/>
      <c r="I680" s="16"/>
      <c r="J680" s="9"/>
    </row>
    <row r="681" spans="1:10" ht="12.75">
      <c r="A681" s="15"/>
      <c r="B681" s="47"/>
      <c r="C681" s="47"/>
      <c r="E681" s="16"/>
      <c r="I681" s="16"/>
      <c r="J681" s="9"/>
    </row>
    <row r="682" spans="1:10" ht="12.75">
      <c r="A682" s="15"/>
      <c r="B682" s="47"/>
      <c r="C682" s="47"/>
      <c r="E682" s="16"/>
      <c r="I682" s="16"/>
      <c r="J682" s="9"/>
    </row>
    <row r="683" spans="1:10" ht="12.75">
      <c r="A683" s="15"/>
      <c r="B683" s="47"/>
      <c r="C683" s="47"/>
      <c r="E683" s="16"/>
      <c r="I683" s="16"/>
      <c r="J683" s="9"/>
    </row>
    <row r="684" spans="1:10" ht="12.75">
      <c r="A684" s="15"/>
      <c r="B684" s="47"/>
      <c r="C684" s="47"/>
      <c r="E684" s="16"/>
      <c r="I684" s="16"/>
      <c r="J684" s="9"/>
    </row>
    <row r="685" spans="1:10" ht="12.75">
      <c r="A685" s="15"/>
      <c r="B685" s="47"/>
      <c r="C685" s="47"/>
      <c r="E685" s="16"/>
      <c r="I685" s="16"/>
      <c r="J685" s="9"/>
    </row>
    <row r="686" spans="1:10" ht="12.75">
      <c r="A686" s="15"/>
      <c r="B686" s="47"/>
      <c r="C686" s="47"/>
      <c r="E686" s="16"/>
      <c r="I686" s="16"/>
      <c r="J686" s="9"/>
    </row>
    <row r="687" spans="1:10" ht="12.75">
      <c r="A687" s="15"/>
      <c r="B687" s="47"/>
      <c r="C687" s="47"/>
      <c r="E687" s="16"/>
      <c r="I687" s="16"/>
      <c r="J687" s="9"/>
    </row>
    <row r="688" spans="1:10" ht="12.75">
      <c r="A688" s="15"/>
      <c r="B688" s="47"/>
      <c r="C688" s="47"/>
      <c r="E688" s="16"/>
      <c r="I688" s="16"/>
      <c r="J688" s="9"/>
    </row>
    <row r="689" spans="1:10" ht="12.75">
      <c r="A689" s="15"/>
      <c r="B689" s="47"/>
      <c r="C689" s="47"/>
      <c r="E689" s="16"/>
      <c r="I689" s="16"/>
      <c r="J689" s="9"/>
    </row>
    <row r="690" spans="1:10" ht="12.75">
      <c r="A690" s="15"/>
      <c r="B690" s="47"/>
      <c r="C690" s="47"/>
      <c r="E690" s="16"/>
      <c r="I690" s="16"/>
      <c r="J690" s="9"/>
    </row>
    <row r="691" spans="1:10" ht="12.75">
      <c r="A691" s="15"/>
      <c r="B691" s="47"/>
      <c r="C691" s="47"/>
      <c r="E691" s="16"/>
      <c r="I691" s="16"/>
      <c r="J691" s="9"/>
    </row>
    <row r="692" spans="1:10" ht="12.75">
      <c r="A692" s="15"/>
      <c r="B692" s="47"/>
      <c r="C692" s="47"/>
      <c r="E692" s="16"/>
      <c r="I692" s="16"/>
      <c r="J692" s="9"/>
    </row>
    <row r="693" spans="1:10" ht="12.75">
      <c r="A693" s="15"/>
      <c r="B693" s="47"/>
      <c r="C693" s="47"/>
      <c r="E693" s="16"/>
      <c r="I693" s="16"/>
      <c r="J693" s="9"/>
    </row>
    <row r="694" spans="1:10" ht="12.75">
      <c r="A694" s="15"/>
      <c r="B694" s="47"/>
      <c r="C694" s="47"/>
      <c r="E694" s="16"/>
      <c r="I694" s="16"/>
      <c r="J694" s="9"/>
    </row>
    <row r="695" spans="1:10" ht="12.75">
      <c r="A695" s="15"/>
      <c r="B695" s="47"/>
      <c r="C695" s="47"/>
      <c r="E695" s="16"/>
      <c r="I695" s="16"/>
      <c r="J695" s="9"/>
    </row>
    <row r="696" spans="1:10" ht="12.75">
      <c r="A696" s="15"/>
      <c r="B696" s="47"/>
      <c r="C696" s="47"/>
      <c r="E696" s="16"/>
      <c r="I696" s="16"/>
      <c r="J696" s="9"/>
    </row>
    <row r="697" spans="1:10" ht="12.75">
      <c r="A697" s="15"/>
      <c r="B697" s="47"/>
      <c r="C697" s="47"/>
      <c r="E697" s="16"/>
      <c r="I697" s="16"/>
      <c r="J697" s="9"/>
    </row>
    <row r="698" spans="1:10" ht="12.75">
      <c r="A698" s="15"/>
      <c r="B698" s="47"/>
      <c r="C698" s="47"/>
      <c r="E698" s="16"/>
      <c r="I698" s="16"/>
      <c r="J698" s="9"/>
    </row>
    <row r="699" spans="1:10" ht="12.75">
      <c r="A699" s="15"/>
      <c r="B699" s="47"/>
      <c r="C699" s="47"/>
      <c r="E699" s="16"/>
      <c r="I699" s="16"/>
      <c r="J699" s="9"/>
    </row>
    <row r="700" spans="1:10" ht="12.75">
      <c r="A700" s="15"/>
      <c r="B700" s="47"/>
      <c r="C700" s="47"/>
      <c r="E700" s="16"/>
      <c r="I700" s="16"/>
      <c r="J700" s="9"/>
    </row>
    <row r="701" spans="1:10" ht="12.75">
      <c r="A701" s="15"/>
      <c r="B701" s="47"/>
      <c r="C701" s="47"/>
      <c r="E701" s="16"/>
      <c r="I701" s="16"/>
      <c r="J701" s="9"/>
    </row>
    <row r="702" spans="1:10" ht="12.75">
      <c r="A702" s="15"/>
      <c r="B702" s="47"/>
      <c r="C702" s="47"/>
      <c r="E702" s="16"/>
      <c r="I702" s="16"/>
      <c r="J702" s="9"/>
    </row>
    <row r="703" spans="1:10" ht="12.75">
      <c r="A703" s="15"/>
      <c r="B703" s="47"/>
      <c r="C703" s="47"/>
      <c r="E703" s="16"/>
      <c r="I703" s="16"/>
      <c r="J703" s="9"/>
    </row>
    <row r="704" spans="1:10" ht="12.75">
      <c r="A704" s="15"/>
      <c r="B704" s="47"/>
      <c r="C704" s="47"/>
      <c r="E704" s="16"/>
      <c r="I704" s="16"/>
      <c r="J704" s="9"/>
    </row>
    <row r="705" spans="1:10" ht="12.75">
      <c r="A705" s="15"/>
      <c r="B705" s="47"/>
      <c r="C705" s="47"/>
      <c r="E705" s="16"/>
      <c r="I705" s="16"/>
      <c r="J705" s="9"/>
    </row>
    <row r="706" spans="1:10" ht="12.75">
      <c r="A706" s="15"/>
      <c r="B706" s="47"/>
      <c r="C706" s="47"/>
      <c r="E706" s="16"/>
      <c r="I706" s="16"/>
      <c r="J706" s="9"/>
    </row>
    <row r="707" spans="1:10" ht="12.75">
      <c r="A707" s="15"/>
      <c r="B707" s="47"/>
      <c r="C707" s="47"/>
      <c r="E707" s="16"/>
      <c r="I707" s="16"/>
      <c r="J707" s="9"/>
    </row>
    <row r="708" spans="1:10" ht="12.75">
      <c r="A708" s="15"/>
      <c r="B708" s="47"/>
      <c r="C708" s="47"/>
      <c r="E708" s="16"/>
      <c r="I708" s="16"/>
      <c r="J708" s="9"/>
    </row>
    <row r="709" spans="1:10" ht="12.75">
      <c r="A709" s="15"/>
      <c r="B709" s="47"/>
      <c r="C709" s="47"/>
      <c r="E709" s="16"/>
      <c r="I709" s="16"/>
      <c r="J709" s="9"/>
    </row>
    <row r="710" spans="1:10" ht="12.75">
      <c r="A710" s="15"/>
      <c r="B710" s="47"/>
      <c r="C710" s="47"/>
      <c r="E710" s="16"/>
      <c r="I710" s="16"/>
      <c r="J710" s="9"/>
    </row>
    <row r="711" spans="1:10" ht="12.75">
      <c r="A711" s="15"/>
      <c r="B711" s="47"/>
      <c r="C711" s="47"/>
      <c r="E711" s="16"/>
      <c r="I711" s="16"/>
      <c r="J711" s="9"/>
    </row>
    <row r="712" spans="1:10" ht="12.75">
      <c r="A712" s="15"/>
      <c r="B712" s="47"/>
      <c r="C712" s="47"/>
      <c r="E712" s="16"/>
      <c r="I712" s="16"/>
      <c r="J712" s="9"/>
    </row>
    <row r="713" spans="1:10" ht="12.75">
      <c r="A713" s="15"/>
      <c r="B713" s="47"/>
      <c r="C713" s="47"/>
      <c r="E713" s="16"/>
      <c r="I713" s="16"/>
      <c r="J713" s="9"/>
    </row>
    <row r="714" spans="1:10" ht="12.75">
      <c r="A714" s="15"/>
      <c r="B714" s="47"/>
      <c r="C714" s="47"/>
      <c r="E714" s="16"/>
      <c r="I714" s="16"/>
      <c r="J714" s="9"/>
    </row>
    <row r="715" spans="1:10" ht="12.75">
      <c r="A715" s="15"/>
      <c r="B715" s="47"/>
      <c r="C715" s="47"/>
      <c r="E715" s="16"/>
      <c r="I715" s="16"/>
      <c r="J715" s="9"/>
    </row>
    <row r="716" spans="1:10" ht="12.75">
      <c r="A716" s="15"/>
      <c r="B716" s="47"/>
      <c r="C716" s="47"/>
      <c r="E716" s="16"/>
      <c r="I716" s="16"/>
      <c r="J716" s="9"/>
    </row>
    <row r="717" spans="1:10" ht="12.75">
      <c r="A717" s="15"/>
      <c r="B717" s="47"/>
      <c r="C717" s="47"/>
      <c r="E717" s="16"/>
      <c r="I717" s="16"/>
      <c r="J717" s="9"/>
    </row>
    <row r="718" spans="1:10" ht="12.75">
      <c r="A718" s="15"/>
      <c r="B718" s="47"/>
      <c r="C718" s="47"/>
      <c r="E718" s="16"/>
      <c r="I718" s="16"/>
      <c r="J718" s="9"/>
    </row>
    <row r="719" spans="1:10" ht="12.75">
      <c r="A719" s="15"/>
      <c r="B719" s="47"/>
      <c r="C719" s="47"/>
      <c r="E719" s="16"/>
      <c r="I719" s="16"/>
      <c r="J719" s="9"/>
    </row>
    <row r="720" spans="1:10" ht="12.75">
      <c r="A720" s="15"/>
      <c r="B720" s="47"/>
      <c r="C720" s="47"/>
      <c r="E720" s="16"/>
      <c r="I720" s="16"/>
      <c r="J720" s="9"/>
    </row>
    <row r="721" spans="1:10" ht="12.75">
      <c r="A721" s="15"/>
      <c r="B721" s="47"/>
      <c r="C721" s="47"/>
      <c r="E721" s="16"/>
      <c r="I721" s="16"/>
      <c r="J721" s="9"/>
    </row>
    <row r="722" spans="1:10" ht="12.75">
      <c r="A722" s="15"/>
      <c r="B722" s="47"/>
      <c r="C722" s="47"/>
      <c r="E722" s="16"/>
      <c r="I722" s="16"/>
      <c r="J722" s="9"/>
    </row>
    <row r="723" spans="1:10" ht="12.75">
      <c r="A723" s="15"/>
      <c r="B723" s="47"/>
      <c r="C723" s="47"/>
      <c r="E723" s="16"/>
      <c r="I723" s="16"/>
      <c r="J723" s="9"/>
    </row>
    <row r="724" spans="1:10" ht="12.75">
      <c r="A724" s="15"/>
      <c r="B724" s="47"/>
      <c r="C724" s="47"/>
      <c r="E724" s="16"/>
      <c r="I724" s="16"/>
      <c r="J724" s="9"/>
    </row>
    <row r="725" spans="1:10" ht="12.75">
      <c r="A725" s="15"/>
      <c r="B725" s="47"/>
      <c r="C725" s="47"/>
      <c r="E725" s="16"/>
      <c r="I725" s="16"/>
      <c r="J725" s="9"/>
    </row>
    <row r="726" spans="1:10" ht="12.75">
      <c r="A726" s="15"/>
      <c r="B726" s="47"/>
      <c r="C726" s="47"/>
      <c r="E726" s="16"/>
      <c r="I726" s="16"/>
      <c r="J726" s="9"/>
    </row>
    <row r="727" spans="1:10" ht="12.75">
      <c r="A727" s="15"/>
      <c r="B727" s="47"/>
      <c r="C727" s="47"/>
      <c r="E727" s="16"/>
      <c r="I727" s="16"/>
      <c r="J727" s="9"/>
    </row>
    <row r="728" spans="1:10" ht="12.75">
      <c r="A728" s="15"/>
      <c r="B728" s="47"/>
      <c r="C728" s="47"/>
      <c r="E728" s="16"/>
      <c r="I728" s="16"/>
      <c r="J728" s="9"/>
    </row>
    <row r="729" spans="1:10" ht="12.75">
      <c r="A729" s="15"/>
      <c r="B729" s="47"/>
      <c r="C729" s="47"/>
      <c r="E729" s="16"/>
      <c r="I729" s="16"/>
      <c r="J729" s="9"/>
    </row>
    <row r="730" spans="1:10" ht="12.75">
      <c r="A730" s="15"/>
      <c r="B730" s="47"/>
      <c r="C730" s="47"/>
      <c r="E730" s="16"/>
      <c r="I730" s="16"/>
      <c r="J730" s="9"/>
    </row>
    <row r="731" spans="1:10" ht="12.75">
      <c r="A731" s="15"/>
      <c r="B731" s="47"/>
      <c r="C731" s="47"/>
      <c r="E731" s="16"/>
      <c r="I731" s="16"/>
      <c r="J731" s="9"/>
    </row>
    <row r="732" spans="1:10" ht="12.75">
      <c r="A732" s="15"/>
      <c r="B732" s="47"/>
      <c r="C732" s="47"/>
      <c r="E732" s="16"/>
      <c r="I732" s="16"/>
      <c r="J732" s="9"/>
    </row>
    <row r="733" spans="1:10" ht="12.75">
      <c r="A733" s="15"/>
      <c r="B733" s="47"/>
      <c r="C733" s="47"/>
      <c r="E733" s="16"/>
      <c r="I733" s="16"/>
      <c r="J733" s="9"/>
    </row>
    <row r="734" spans="1:10" ht="12.75">
      <c r="A734" s="15"/>
      <c r="B734" s="47"/>
      <c r="C734" s="47"/>
      <c r="E734" s="16"/>
      <c r="I734" s="16"/>
      <c r="J734" s="9"/>
    </row>
    <row r="735" spans="1:10" ht="12.75">
      <c r="A735" s="15"/>
      <c r="B735" s="47"/>
      <c r="C735" s="47"/>
      <c r="E735" s="16"/>
      <c r="I735" s="16"/>
      <c r="J735" s="9"/>
    </row>
    <row r="736" spans="1:10" ht="12.75">
      <c r="A736" s="15"/>
      <c r="B736" s="47"/>
      <c r="C736" s="47"/>
      <c r="E736" s="16"/>
      <c r="I736" s="16"/>
      <c r="J736" s="9"/>
    </row>
    <row r="737" spans="1:10" ht="12.75">
      <c r="A737" s="15"/>
      <c r="B737" s="47"/>
      <c r="C737" s="47"/>
      <c r="E737" s="16"/>
      <c r="I737" s="16"/>
      <c r="J737" s="9"/>
    </row>
    <row r="738" spans="1:10" ht="12.75">
      <c r="A738" s="15"/>
      <c r="B738" s="47"/>
      <c r="C738" s="47"/>
      <c r="E738" s="16"/>
      <c r="I738" s="16"/>
      <c r="J738" s="9"/>
    </row>
    <row r="739" spans="1:10" ht="12.75">
      <c r="A739" s="15"/>
      <c r="B739" s="47"/>
      <c r="C739" s="47"/>
      <c r="E739" s="16"/>
      <c r="I739" s="16"/>
      <c r="J739" s="9"/>
    </row>
    <row r="740" spans="1:10" ht="12.75">
      <c r="A740" s="15"/>
      <c r="B740" s="47"/>
      <c r="C740" s="47"/>
      <c r="E740" s="16"/>
      <c r="I740" s="16"/>
      <c r="J740" s="9"/>
    </row>
    <row r="741" spans="1:10" ht="12.75">
      <c r="A741" s="15"/>
      <c r="B741" s="47"/>
      <c r="C741" s="47"/>
      <c r="E741" s="16"/>
      <c r="I741" s="16"/>
      <c r="J741" s="9"/>
    </row>
    <row r="742" spans="1:10" ht="12.75">
      <c r="A742" s="15"/>
      <c r="B742" s="47"/>
      <c r="C742" s="47"/>
      <c r="E742" s="16"/>
      <c r="I742" s="16"/>
      <c r="J742" s="9"/>
    </row>
    <row r="743" spans="1:10" ht="12.75">
      <c r="A743" s="15"/>
      <c r="B743" s="47"/>
      <c r="C743" s="47"/>
      <c r="E743" s="16"/>
      <c r="I743" s="16"/>
      <c r="J743" s="9"/>
    </row>
    <row r="744" spans="1:10" ht="12.75">
      <c r="A744" s="15"/>
      <c r="B744" s="47"/>
      <c r="C744" s="47"/>
      <c r="E744" s="16"/>
      <c r="I744" s="16"/>
      <c r="J744" s="9"/>
    </row>
    <row r="745" spans="1:10" ht="12.75">
      <c r="A745" s="15"/>
      <c r="B745" s="47"/>
      <c r="C745" s="47"/>
      <c r="E745" s="16"/>
      <c r="I745" s="16"/>
      <c r="J745" s="9"/>
    </row>
    <row r="746" spans="1:10" ht="12.75">
      <c r="A746" s="15"/>
      <c r="B746" s="47"/>
      <c r="C746" s="47"/>
      <c r="E746" s="16"/>
      <c r="I746" s="16"/>
      <c r="J746" s="9"/>
    </row>
    <row r="747" spans="1:10" ht="12.75">
      <c r="A747" s="15"/>
      <c r="B747" s="47"/>
      <c r="C747" s="47"/>
      <c r="E747" s="16"/>
      <c r="I747" s="16"/>
      <c r="J747" s="9"/>
    </row>
    <row r="748" spans="1:10" ht="12.75">
      <c r="A748" s="15"/>
      <c r="B748" s="47"/>
      <c r="C748" s="47"/>
      <c r="E748" s="16"/>
      <c r="I748" s="16"/>
      <c r="J748" s="9"/>
    </row>
    <row r="749" spans="1:10" ht="12.75">
      <c r="A749" s="15"/>
      <c r="B749" s="47"/>
      <c r="C749" s="47"/>
      <c r="E749" s="16"/>
      <c r="I749" s="16"/>
      <c r="J749" s="9"/>
    </row>
    <row r="750" spans="1:10" ht="12.75">
      <c r="A750" s="15"/>
      <c r="B750" s="47"/>
      <c r="C750" s="47"/>
      <c r="E750" s="16"/>
      <c r="I750" s="16"/>
      <c r="J750" s="9"/>
    </row>
    <row r="751" spans="1:10" ht="12.75">
      <c r="A751" s="15"/>
      <c r="B751" s="47"/>
      <c r="C751" s="47"/>
      <c r="E751" s="16"/>
      <c r="I751" s="16"/>
      <c r="J751" s="9"/>
    </row>
    <row r="752" spans="1:10" ht="12.75">
      <c r="A752" s="15"/>
      <c r="B752" s="47"/>
      <c r="C752" s="47"/>
      <c r="E752" s="16"/>
      <c r="I752" s="16"/>
      <c r="J752" s="9"/>
    </row>
    <row r="753" spans="1:10" ht="12.75">
      <c r="A753" s="15"/>
      <c r="B753" s="47"/>
      <c r="C753" s="47"/>
      <c r="E753" s="16"/>
      <c r="I753" s="16"/>
      <c r="J753" s="9"/>
    </row>
    <row r="754" spans="1:10" ht="12.75">
      <c r="A754" s="15"/>
      <c r="B754" s="47"/>
      <c r="C754" s="47"/>
      <c r="E754" s="16"/>
      <c r="I754" s="16"/>
      <c r="J754" s="9"/>
    </row>
    <row r="755" spans="1:10" ht="12.75">
      <c r="A755" s="15"/>
      <c r="B755" s="47"/>
      <c r="C755" s="47"/>
      <c r="E755" s="16"/>
      <c r="I755" s="16"/>
      <c r="J755" s="9"/>
    </row>
    <row r="756" spans="1:10" ht="12.75">
      <c r="A756" s="15"/>
      <c r="B756" s="47"/>
      <c r="C756" s="47"/>
      <c r="E756" s="16"/>
      <c r="I756" s="16"/>
      <c r="J756" s="9"/>
    </row>
    <row r="757" spans="1:10" ht="12.75">
      <c r="A757" s="15"/>
      <c r="B757" s="47"/>
      <c r="C757" s="47"/>
      <c r="E757" s="16"/>
      <c r="I757" s="16"/>
      <c r="J757" s="9"/>
    </row>
    <row r="758" spans="1:10" ht="12.75">
      <c r="A758" s="15"/>
      <c r="B758" s="47"/>
      <c r="C758" s="47"/>
      <c r="E758" s="16"/>
      <c r="I758" s="16"/>
      <c r="J758" s="9"/>
    </row>
    <row r="759" spans="1:10" ht="12.75">
      <c r="A759" s="15"/>
      <c r="B759" s="47"/>
      <c r="C759" s="47"/>
      <c r="E759" s="16"/>
      <c r="I759" s="16"/>
      <c r="J759" s="9"/>
    </row>
    <row r="760" spans="1:10" ht="12.75">
      <c r="A760" s="15"/>
      <c r="B760" s="47"/>
      <c r="C760" s="47"/>
      <c r="E760" s="16"/>
      <c r="I760" s="16"/>
      <c r="J760" s="9"/>
    </row>
    <row r="761" spans="1:10" ht="12.75">
      <c r="A761" s="15"/>
      <c r="B761" s="47"/>
      <c r="C761" s="47"/>
      <c r="E761" s="16"/>
      <c r="I761" s="16"/>
      <c r="J761" s="9"/>
    </row>
    <row r="762" spans="1:10" ht="12.75">
      <c r="A762" s="15"/>
      <c r="B762" s="47"/>
      <c r="C762" s="47"/>
      <c r="E762" s="16"/>
      <c r="I762" s="16"/>
      <c r="J762" s="9"/>
    </row>
    <row r="763" spans="1:10" ht="12.75">
      <c r="A763" s="15"/>
      <c r="B763" s="47"/>
      <c r="C763" s="47"/>
      <c r="E763" s="16"/>
      <c r="I763" s="16"/>
      <c r="J763" s="9"/>
    </row>
    <row r="764" spans="1:10" ht="12.75">
      <c r="A764" s="15"/>
      <c r="B764" s="47"/>
      <c r="C764" s="47"/>
      <c r="E764" s="16"/>
      <c r="I764" s="16"/>
      <c r="J764" s="9"/>
    </row>
    <row r="765" spans="1:10" ht="12.75">
      <c r="A765" s="15"/>
      <c r="B765" s="47"/>
      <c r="C765" s="47"/>
      <c r="E765" s="16"/>
      <c r="I765" s="16"/>
      <c r="J765" s="9"/>
    </row>
    <row r="766" spans="1:10" ht="12.75">
      <c r="A766" s="15"/>
      <c r="B766" s="47"/>
      <c r="C766" s="47"/>
      <c r="E766" s="16"/>
      <c r="I766" s="16"/>
      <c r="J766" s="9"/>
    </row>
    <row r="767" spans="1:10" ht="12.75">
      <c r="A767" s="15"/>
      <c r="B767" s="47"/>
      <c r="C767" s="47"/>
      <c r="E767" s="16"/>
      <c r="I767" s="16"/>
      <c r="J767" s="9"/>
    </row>
    <row r="768" spans="1:10" ht="12.75">
      <c r="A768" s="15"/>
      <c r="B768" s="47"/>
      <c r="C768" s="47"/>
      <c r="E768" s="16"/>
      <c r="I768" s="16"/>
      <c r="J768" s="9"/>
    </row>
    <row r="769" spans="1:10" ht="12.75">
      <c r="A769" s="15"/>
      <c r="B769" s="47"/>
      <c r="C769" s="47"/>
      <c r="E769" s="16"/>
      <c r="I769" s="16"/>
      <c r="J769" s="9"/>
    </row>
    <row r="770" spans="1:10" ht="12.75">
      <c r="A770" s="15"/>
      <c r="B770" s="47"/>
      <c r="C770" s="47"/>
      <c r="E770" s="16"/>
      <c r="I770" s="16"/>
      <c r="J770" s="9"/>
    </row>
    <row r="771" spans="1:10" ht="12.75">
      <c r="A771" s="15"/>
      <c r="B771" s="47"/>
      <c r="C771" s="47"/>
      <c r="E771" s="16"/>
      <c r="I771" s="16"/>
      <c r="J771" s="9"/>
    </row>
    <row r="772" spans="1:10" ht="12.75">
      <c r="A772" s="15"/>
      <c r="B772" s="47"/>
      <c r="C772" s="47"/>
      <c r="E772" s="16"/>
      <c r="I772" s="16"/>
      <c r="J772" s="9"/>
    </row>
    <row r="773" spans="1:10" ht="12.75">
      <c r="A773" s="15"/>
      <c r="B773" s="47"/>
      <c r="C773" s="47"/>
      <c r="E773" s="16"/>
      <c r="I773" s="16"/>
      <c r="J773" s="9"/>
    </row>
    <row r="774" spans="1:10" ht="12.75">
      <c r="A774" s="15"/>
      <c r="B774" s="47"/>
      <c r="C774" s="47"/>
      <c r="E774" s="16"/>
      <c r="I774" s="16"/>
      <c r="J774" s="9"/>
    </row>
    <row r="775" spans="1:10" ht="12.75">
      <c r="A775" s="15"/>
      <c r="B775" s="47"/>
      <c r="C775" s="47"/>
      <c r="E775" s="16"/>
      <c r="I775" s="16"/>
      <c r="J775" s="9"/>
    </row>
    <row r="776" spans="1:10" ht="12.75">
      <c r="A776" s="15"/>
      <c r="B776" s="47"/>
      <c r="C776" s="47"/>
      <c r="E776" s="16"/>
      <c r="I776" s="16"/>
      <c r="J776" s="9"/>
    </row>
    <row r="777" spans="1:10" ht="12.75">
      <c r="A777" s="15"/>
      <c r="B777" s="47"/>
      <c r="C777" s="47"/>
      <c r="E777" s="16"/>
      <c r="I777" s="16"/>
      <c r="J777" s="9"/>
    </row>
    <row r="778" spans="1:10" ht="12.75">
      <c r="A778" s="15"/>
      <c r="B778" s="47"/>
      <c r="C778" s="47"/>
      <c r="E778" s="16"/>
      <c r="I778" s="16"/>
      <c r="J778" s="9"/>
    </row>
    <row r="779" spans="1:10" ht="12.75">
      <c r="A779" s="15"/>
      <c r="B779" s="47"/>
      <c r="C779" s="47"/>
      <c r="E779" s="16"/>
      <c r="I779" s="16"/>
      <c r="J779" s="9"/>
    </row>
    <row r="780" spans="1:10" ht="12.75">
      <c r="A780" s="15"/>
      <c r="B780" s="47"/>
      <c r="C780" s="47"/>
      <c r="E780" s="16"/>
      <c r="I780" s="16"/>
      <c r="J780" s="9"/>
    </row>
    <row r="781" spans="1:10" ht="12.75">
      <c r="A781" s="15"/>
      <c r="B781" s="47"/>
      <c r="C781" s="47"/>
      <c r="E781" s="16"/>
      <c r="I781" s="16"/>
      <c r="J781" s="9"/>
    </row>
    <row r="782" spans="1:10" ht="12.75">
      <c r="A782" s="15"/>
      <c r="B782" s="47"/>
      <c r="C782" s="47"/>
      <c r="E782" s="16"/>
      <c r="I782" s="16"/>
      <c r="J782" s="9"/>
    </row>
    <row r="783" spans="1:10" ht="12.75">
      <c r="A783" s="15"/>
      <c r="B783" s="47"/>
      <c r="C783" s="47"/>
      <c r="E783" s="16"/>
      <c r="I783" s="16"/>
      <c r="J783" s="9"/>
    </row>
    <row r="784" spans="1:10" ht="12.75">
      <c r="A784" s="15"/>
      <c r="B784" s="47"/>
      <c r="C784" s="47"/>
      <c r="E784" s="16"/>
      <c r="I784" s="16"/>
      <c r="J784" s="9"/>
    </row>
    <row r="785" spans="1:10" ht="12.75">
      <c r="A785" s="15"/>
      <c r="B785" s="47"/>
      <c r="C785" s="47"/>
      <c r="E785" s="16"/>
      <c r="I785" s="16"/>
      <c r="J785" s="9"/>
    </row>
    <row r="786" spans="1:10" ht="12.75">
      <c r="A786" s="15"/>
      <c r="B786" s="47"/>
      <c r="C786" s="47"/>
      <c r="E786" s="16"/>
      <c r="I786" s="16"/>
      <c r="J786" s="9"/>
    </row>
    <row r="787" spans="1:10" ht="12.75">
      <c r="A787" s="15"/>
      <c r="B787" s="47"/>
      <c r="C787" s="47"/>
      <c r="E787" s="16"/>
      <c r="I787" s="16"/>
      <c r="J787" s="9"/>
    </row>
    <row r="788" spans="1:10" ht="12.75">
      <c r="A788" s="15"/>
      <c r="B788" s="47"/>
      <c r="C788" s="47"/>
      <c r="E788" s="16"/>
      <c r="I788" s="16"/>
      <c r="J788" s="9"/>
    </row>
    <row r="789" spans="1:10" ht="12.75">
      <c r="A789" s="15"/>
      <c r="B789" s="47"/>
      <c r="C789" s="47"/>
      <c r="E789" s="16"/>
      <c r="I789" s="16"/>
      <c r="J789" s="9"/>
    </row>
    <row r="790" spans="1:10" ht="12.75">
      <c r="A790" s="15"/>
      <c r="B790" s="47"/>
      <c r="C790" s="47"/>
      <c r="E790" s="16"/>
      <c r="I790" s="16"/>
      <c r="J790" s="9"/>
    </row>
    <row r="791" spans="1:10" ht="12.75">
      <c r="A791" s="15"/>
      <c r="B791" s="47"/>
      <c r="C791" s="47"/>
      <c r="E791" s="16"/>
      <c r="I791" s="16"/>
      <c r="J791" s="9"/>
    </row>
    <row r="792" spans="1:10" ht="12.75">
      <c r="A792" s="15"/>
      <c r="B792" s="47"/>
      <c r="C792" s="47"/>
      <c r="E792" s="16"/>
      <c r="I792" s="16"/>
      <c r="J792" s="9"/>
    </row>
    <row r="793" spans="1:10" ht="12.75">
      <c r="A793" s="15"/>
      <c r="B793" s="47"/>
      <c r="C793" s="47"/>
      <c r="E793" s="16"/>
      <c r="I793" s="16"/>
      <c r="J793" s="9"/>
    </row>
    <row r="794" spans="1:10" ht="12.75">
      <c r="A794" s="15"/>
      <c r="B794" s="47"/>
      <c r="C794" s="47"/>
      <c r="E794" s="16"/>
      <c r="I794" s="16"/>
      <c r="J794" s="9"/>
    </row>
    <row r="795" spans="1:10" ht="12.75">
      <c r="A795" s="15"/>
      <c r="B795" s="47"/>
      <c r="C795" s="47"/>
      <c r="E795" s="16"/>
      <c r="I795" s="16"/>
      <c r="J795" s="9"/>
    </row>
    <row r="796" spans="1:10" ht="12.75">
      <c r="A796" s="15"/>
      <c r="B796" s="47"/>
      <c r="C796" s="47"/>
      <c r="E796" s="16"/>
      <c r="I796" s="16"/>
      <c r="J796" s="9"/>
    </row>
    <row r="797" spans="1:10" ht="12.75">
      <c r="A797" s="15"/>
      <c r="B797" s="47"/>
      <c r="C797" s="47"/>
      <c r="E797" s="16"/>
      <c r="I797" s="16"/>
      <c r="J797" s="9"/>
    </row>
    <row r="798" spans="1:10" ht="12.75">
      <c r="A798" s="15"/>
      <c r="B798" s="47"/>
      <c r="C798" s="47"/>
      <c r="E798" s="16"/>
      <c r="I798" s="16"/>
      <c r="J798" s="9"/>
    </row>
    <row r="799" spans="1:10" ht="12.75">
      <c r="A799" s="15"/>
      <c r="B799" s="47"/>
      <c r="C799" s="47"/>
      <c r="E799" s="16"/>
      <c r="I799" s="16"/>
      <c r="J799" s="9"/>
    </row>
    <row r="800" spans="1:10" ht="12.75">
      <c r="A800" s="15"/>
      <c r="B800" s="47"/>
      <c r="C800" s="47"/>
      <c r="E800" s="16"/>
      <c r="I800" s="16"/>
      <c r="J800" s="9"/>
    </row>
    <row r="801" spans="1:10" ht="12.75">
      <c r="A801" s="15"/>
      <c r="B801" s="47"/>
      <c r="C801" s="47"/>
      <c r="E801" s="16"/>
      <c r="I801" s="16"/>
      <c r="J801" s="9"/>
    </row>
    <row r="802" spans="1:10" ht="12.75">
      <c r="A802" s="15"/>
      <c r="B802" s="47"/>
      <c r="C802" s="47"/>
      <c r="E802" s="16"/>
      <c r="I802" s="16"/>
      <c r="J802" s="9"/>
    </row>
    <row r="803" spans="1:10" ht="12.75">
      <c r="A803" s="15"/>
      <c r="B803" s="47"/>
      <c r="C803" s="47"/>
      <c r="E803" s="16"/>
      <c r="I803" s="16"/>
      <c r="J803" s="9"/>
    </row>
    <row r="804" spans="1:10" ht="12.75">
      <c r="A804" s="15"/>
      <c r="B804" s="47"/>
      <c r="C804" s="47"/>
      <c r="E804" s="16"/>
      <c r="I804" s="16"/>
      <c r="J804" s="9"/>
    </row>
    <row r="805" spans="1:10" ht="12.75">
      <c r="A805" s="15"/>
      <c r="B805" s="47"/>
      <c r="C805" s="47"/>
      <c r="E805" s="16"/>
      <c r="I805" s="16"/>
      <c r="J805" s="9"/>
    </row>
    <row r="806" spans="1:10" ht="12.75">
      <c r="A806" s="15"/>
      <c r="B806" s="47"/>
      <c r="C806" s="47"/>
      <c r="E806" s="16"/>
      <c r="I806" s="16"/>
      <c r="J806" s="9"/>
    </row>
    <row r="807" spans="1:10" ht="12.75">
      <c r="A807" s="15"/>
      <c r="B807" s="47"/>
      <c r="C807" s="47"/>
      <c r="E807" s="16"/>
      <c r="I807" s="16"/>
      <c r="J807" s="9"/>
    </row>
    <row r="808" spans="1:10" ht="12.75">
      <c r="A808" s="15"/>
      <c r="B808" s="47"/>
      <c r="C808" s="47"/>
      <c r="E808" s="16"/>
      <c r="I808" s="16"/>
      <c r="J808" s="9"/>
    </row>
    <row r="809" spans="1:10" ht="12.75">
      <c r="A809" s="15"/>
      <c r="B809" s="47"/>
      <c r="C809" s="47"/>
      <c r="E809" s="16"/>
      <c r="I809" s="16"/>
      <c r="J809" s="9"/>
    </row>
    <row r="810" spans="1:10" ht="12.75">
      <c r="A810" s="15"/>
      <c r="B810" s="47"/>
      <c r="C810" s="47"/>
      <c r="E810" s="16"/>
      <c r="I810" s="16"/>
      <c r="J810" s="9"/>
    </row>
    <row r="811" spans="1:10" ht="12.75">
      <c r="A811" s="15"/>
      <c r="B811" s="47"/>
      <c r="C811" s="47"/>
      <c r="E811" s="16"/>
      <c r="I811" s="16"/>
      <c r="J811" s="9"/>
    </row>
    <row r="812" spans="1:10" ht="12.75">
      <c r="A812" s="15"/>
      <c r="B812" s="47"/>
      <c r="C812" s="47"/>
      <c r="E812" s="16"/>
      <c r="I812" s="16"/>
      <c r="J812" s="9"/>
    </row>
    <row r="813" spans="1:10" ht="12.75">
      <c r="A813" s="15"/>
      <c r="B813" s="47"/>
      <c r="C813" s="47"/>
      <c r="E813" s="16"/>
      <c r="I813" s="16"/>
      <c r="J813" s="9"/>
    </row>
    <row r="814" spans="1:10" ht="12.75">
      <c r="A814" s="15"/>
      <c r="B814" s="47"/>
      <c r="C814" s="47"/>
      <c r="E814" s="16"/>
      <c r="I814" s="16"/>
      <c r="J814" s="9"/>
    </row>
    <row r="815" spans="1:10" ht="12.75">
      <c r="A815" s="15"/>
      <c r="B815" s="47"/>
      <c r="C815" s="47"/>
      <c r="E815" s="16"/>
      <c r="I815" s="16"/>
      <c r="J815" s="9"/>
    </row>
    <row r="816" spans="1:10" ht="12.75">
      <c r="A816" s="15"/>
      <c r="B816" s="47"/>
      <c r="C816" s="47"/>
      <c r="E816" s="16"/>
      <c r="I816" s="16"/>
      <c r="J816" s="9"/>
    </row>
    <row r="817" spans="1:10" ht="12.75">
      <c r="A817" s="15"/>
      <c r="B817" s="47"/>
      <c r="C817" s="47"/>
      <c r="E817" s="16"/>
      <c r="I817" s="16"/>
      <c r="J817" s="9"/>
    </row>
    <row r="818" spans="1:10" ht="12.75">
      <c r="A818" s="15"/>
      <c r="B818" s="47"/>
      <c r="C818" s="47"/>
      <c r="E818" s="16"/>
      <c r="I818" s="16"/>
      <c r="J818" s="9"/>
    </row>
    <row r="819" spans="1:10" ht="12.75">
      <c r="A819" s="15"/>
      <c r="B819" s="47"/>
      <c r="C819" s="47"/>
      <c r="E819" s="16"/>
      <c r="I819" s="16"/>
      <c r="J819" s="9"/>
    </row>
    <row r="820" spans="1:10" ht="12.75">
      <c r="A820" s="15"/>
      <c r="B820" s="47"/>
      <c r="C820" s="47"/>
      <c r="E820" s="16"/>
      <c r="I820" s="16"/>
      <c r="J820" s="9"/>
    </row>
    <row r="821" spans="1:10" ht="12.75">
      <c r="A821" s="15"/>
      <c r="B821" s="47"/>
      <c r="C821" s="47"/>
      <c r="E821" s="16"/>
      <c r="I821" s="16"/>
      <c r="J821" s="9"/>
    </row>
    <row r="822" spans="1:10" ht="12.75">
      <c r="A822" s="15"/>
      <c r="B822" s="47"/>
      <c r="C822" s="47"/>
      <c r="E822" s="16"/>
      <c r="I822" s="16"/>
      <c r="J822" s="9"/>
    </row>
    <row r="823" spans="1:10" ht="12.75">
      <c r="A823" s="15"/>
      <c r="B823" s="47"/>
      <c r="C823" s="47"/>
      <c r="E823" s="16"/>
      <c r="I823" s="16"/>
      <c r="J823" s="9"/>
    </row>
    <row r="824" spans="1:10" ht="12.75">
      <c r="A824" s="15"/>
      <c r="B824" s="47"/>
      <c r="C824" s="47"/>
      <c r="E824" s="16"/>
      <c r="I824" s="16"/>
      <c r="J824" s="9"/>
    </row>
    <row r="825" spans="1:10" ht="12.75">
      <c r="A825" s="15"/>
      <c r="B825" s="47"/>
      <c r="C825" s="47"/>
      <c r="E825" s="16"/>
      <c r="I825" s="16"/>
      <c r="J825" s="9"/>
    </row>
    <row r="826" spans="1:10" ht="12.75">
      <c r="A826" s="15"/>
      <c r="B826" s="47"/>
      <c r="C826" s="47"/>
      <c r="E826" s="16"/>
      <c r="I826" s="16"/>
      <c r="J826" s="9"/>
    </row>
    <row r="827" spans="1:10" ht="12.75">
      <c r="A827" s="15"/>
      <c r="B827" s="47"/>
      <c r="C827" s="47"/>
      <c r="E827" s="16"/>
      <c r="I827" s="16"/>
      <c r="J827" s="9"/>
    </row>
    <row r="828" spans="1:10" ht="12.75">
      <c r="A828" s="15"/>
      <c r="B828" s="47"/>
      <c r="C828" s="47"/>
      <c r="E828" s="16"/>
      <c r="I828" s="16"/>
      <c r="J828" s="9"/>
    </row>
    <row r="829" spans="1:10" ht="12.75">
      <c r="A829" s="15"/>
      <c r="B829" s="47"/>
      <c r="C829" s="47"/>
      <c r="E829" s="16"/>
      <c r="I829" s="16"/>
      <c r="J829" s="9"/>
    </row>
    <row r="830" spans="1:10" ht="12.75">
      <c r="A830" s="15"/>
      <c r="B830" s="47"/>
      <c r="C830" s="47"/>
      <c r="E830" s="16"/>
      <c r="I830" s="16"/>
      <c r="J830" s="9"/>
    </row>
    <row r="831" spans="1:10" ht="12.75">
      <c r="A831" s="15"/>
      <c r="B831" s="47"/>
      <c r="C831" s="47"/>
      <c r="E831" s="16"/>
      <c r="I831" s="16"/>
      <c r="J831" s="9"/>
    </row>
    <row r="832" spans="1:10" ht="12.75">
      <c r="A832" s="15"/>
      <c r="B832" s="47"/>
      <c r="C832" s="47"/>
      <c r="E832" s="16"/>
      <c r="I832" s="16"/>
      <c r="J832" s="9"/>
    </row>
    <row r="833" spans="1:10" ht="12.75">
      <c r="A833" s="15"/>
      <c r="B833" s="47"/>
      <c r="C833" s="47"/>
      <c r="E833" s="16"/>
      <c r="I833" s="16"/>
      <c r="J833" s="9"/>
    </row>
    <row r="834" spans="1:10" ht="12.75">
      <c r="A834" s="15"/>
      <c r="B834" s="47"/>
      <c r="C834" s="47"/>
      <c r="E834" s="16"/>
      <c r="I834" s="16"/>
      <c r="J834" s="9"/>
    </row>
    <row r="835" spans="1:10" ht="12.75">
      <c r="A835" s="15"/>
      <c r="B835" s="47"/>
      <c r="C835" s="47"/>
      <c r="E835" s="16"/>
      <c r="I835" s="16"/>
      <c r="J835" s="9"/>
    </row>
    <row r="836" spans="1:10" ht="12.75">
      <c r="A836" s="15"/>
      <c r="B836" s="47"/>
      <c r="C836" s="47"/>
      <c r="E836" s="16"/>
      <c r="I836" s="16"/>
      <c r="J836" s="9"/>
    </row>
    <row r="837" spans="1:10" ht="12.75">
      <c r="A837" s="15"/>
      <c r="B837" s="47"/>
      <c r="C837" s="47"/>
      <c r="E837" s="16"/>
      <c r="I837" s="16"/>
      <c r="J837" s="9"/>
    </row>
    <row r="838" spans="1:10" ht="12.75">
      <c r="A838" s="15"/>
      <c r="B838" s="47"/>
      <c r="C838" s="47"/>
      <c r="E838" s="16"/>
      <c r="I838" s="16"/>
      <c r="J838" s="9"/>
    </row>
    <row r="839" spans="1:10" ht="12.75">
      <c r="A839" s="15"/>
      <c r="B839" s="47"/>
      <c r="C839" s="47"/>
      <c r="E839" s="16"/>
      <c r="I839" s="16"/>
      <c r="J839" s="9"/>
    </row>
    <row r="840" spans="1:10" ht="12.75">
      <c r="A840" s="15"/>
      <c r="B840" s="47"/>
      <c r="C840" s="47"/>
      <c r="E840" s="16"/>
      <c r="I840" s="16"/>
      <c r="J840" s="9"/>
    </row>
    <row r="841" spans="1:10" ht="12.75">
      <c r="A841" s="15"/>
      <c r="B841" s="47"/>
      <c r="C841" s="47"/>
      <c r="E841" s="16"/>
      <c r="I841" s="16"/>
      <c r="J841" s="9"/>
    </row>
    <row r="842" spans="1:10" ht="12.75">
      <c r="A842" s="15"/>
      <c r="B842" s="47"/>
      <c r="C842" s="47"/>
      <c r="E842" s="16"/>
      <c r="I842" s="16"/>
      <c r="J842" s="9"/>
    </row>
    <row r="843" spans="1:10" ht="12.75">
      <c r="A843" s="15"/>
      <c r="B843" s="47"/>
      <c r="C843" s="47"/>
      <c r="E843" s="16"/>
      <c r="I843" s="16"/>
      <c r="J843" s="9"/>
    </row>
    <row r="844" spans="1:10" ht="12.75">
      <c r="A844" s="15"/>
      <c r="B844" s="47"/>
      <c r="C844" s="47"/>
      <c r="E844" s="16"/>
      <c r="I844" s="16"/>
      <c r="J844" s="9"/>
    </row>
    <row r="845" spans="1:10" ht="12.75">
      <c r="A845" s="15"/>
      <c r="B845" s="47"/>
      <c r="C845" s="47"/>
      <c r="E845" s="16"/>
      <c r="I845" s="16"/>
      <c r="J845" s="9"/>
    </row>
    <row r="846" spans="1:10" ht="12.75">
      <c r="A846" s="15"/>
      <c r="B846" s="47"/>
      <c r="C846" s="47"/>
      <c r="E846" s="16"/>
      <c r="I846" s="16"/>
      <c r="J846" s="9"/>
    </row>
    <row r="847" spans="1:10" ht="12.75">
      <c r="A847" s="15"/>
      <c r="B847" s="47"/>
      <c r="C847" s="47"/>
      <c r="E847" s="16"/>
      <c r="I847" s="16"/>
      <c r="J847" s="9"/>
    </row>
    <row r="848" spans="1:10" ht="12.75">
      <c r="A848" s="15"/>
      <c r="B848" s="47"/>
      <c r="C848" s="47"/>
      <c r="E848" s="16"/>
      <c r="I848" s="16"/>
      <c r="J848" s="9"/>
    </row>
    <row r="849" spans="1:10" ht="12.75">
      <c r="A849" s="15"/>
      <c r="B849" s="47"/>
      <c r="C849" s="47"/>
      <c r="E849" s="16"/>
      <c r="I849" s="16"/>
      <c r="J849" s="9"/>
    </row>
    <row r="850" spans="1:10" ht="12.75">
      <c r="A850" s="15"/>
      <c r="B850" s="47"/>
      <c r="C850" s="47"/>
      <c r="E850" s="16"/>
      <c r="I850" s="16"/>
      <c r="J850" s="9"/>
    </row>
    <row r="851" spans="1:10" ht="12.75">
      <c r="A851" s="15"/>
      <c r="B851" s="47"/>
      <c r="C851" s="47"/>
      <c r="E851" s="16"/>
      <c r="I851" s="16"/>
      <c r="J851" s="9"/>
    </row>
    <row r="852" spans="1:10" ht="12.75">
      <c r="A852" s="15"/>
      <c r="B852" s="47"/>
      <c r="C852" s="47"/>
      <c r="E852" s="16"/>
      <c r="I852" s="16"/>
      <c r="J852" s="9"/>
    </row>
    <row r="853" spans="1:10" ht="12.75">
      <c r="A853" s="15"/>
      <c r="B853" s="47"/>
      <c r="C853" s="47"/>
      <c r="E853" s="16"/>
      <c r="I853" s="16"/>
      <c r="J853" s="9"/>
    </row>
    <row r="854" spans="1:10" ht="12.75">
      <c r="A854" s="15"/>
      <c r="B854" s="47"/>
      <c r="C854" s="47"/>
      <c r="E854" s="16"/>
      <c r="I854" s="16"/>
      <c r="J854" s="9"/>
    </row>
    <row r="855" spans="1:10" ht="12.75">
      <c r="A855" s="15"/>
      <c r="B855" s="47"/>
      <c r="C855" s="47"/>
      <c r="E855" s="16"/>
      <c r="I855" s="16"/>
      <c r="J855" s="9"/>
    </row>
    <row r="856" spans="1:10" ht="12.75">
      <c r="A856" s="15"/>
      <c r="B856" s="47"/>
      <c r="C856" s="47"/>
      <c r="E856" s="16"/>
      <c r="I856" s="16"/>
      <c r="J856" s="9"/>
    </row>
    <row r="857" spans="1:10" ht="12.75">
      <c r="A857" s="15"/>
      <c r="B857" s="47"/>
      <c r="C857" s="47"/>
      <c r="E857" s="16"/>
      <c r="I857" s="16"/>
      <c r="J857" s="9"/>
    </row>
    <row r="858" spans="1:10" ht="12.75">
      <c r="A858" s="15"/>
      <c r="B858" s="47"/>
      <c r="C858" s="47"/>
      <c r="E858" s="16"/>
      <c r="I858" s="16"/>
      <c r="J858" s="9"/>
    </row>
    <row r="859" spans="1:10" ht="12.75">
      <c r="A859" s="15"/>
      <c r="B859" s="47"/>
      <c r="C859" s="47"/>
      <c r="E859" s="16"/>
      <c r="I859" s="16"/>
      <c r="J859" s="9"/>
    </row>
    <row r="860" spans="1:10" ht="12.75">
      <c r="A860" s="15"/>
      <c r="B860" s="47"/>
      <c r="C860" s="47"/>
      <c r="E860" s="16"/>
      <c r="I860" s="16"/>
      <c r="J860" s="9"/>
    </row>
    <row r="861" spans="1:10" ht="12.75">
      <c r="A861" s="15"/>
      <c r="B861" s="47"/>
      <c r="C861" s="47"/>
      <c r="E861" s="16"/>
      <c r="I861" s="16"/>
      <c r="J861" s="9"/>
    </row>
    <row r="862" spans="1:10" ht="12.75">
      <c r="A862" s="15"/>
      <c r="B862" s="47"/>
      <c r="C862" s="47"/>
      <c r="E862" s="16"/>
      <c r="I862" s="16"/>
      <c r="J862" s="9"/>
    </row>
    <row r="863" spans="1:10" ht="12.75">
      <c r="A863" s="15"/>
      <c r="B863" s="47"/>
      <c r="C863" s="47"/>
      <c r="E863" s="16"/>
      <c r="I863" s="16"/>
      <c r="J863" s="9"/>
    </row>
    <row r="864" spans="1:10" ht="12.75">
      <c r="A864" s="15"/>
      <c r="B864" s="47"/>
      <c r="C864" s="47"/>
      <c r="E864" s="16"/>
      <c r="I864" s="16"/>
      <c r="J864" s="9"/>
    </row>
    <row r="865" spans="1:10" ht="12.75">
      <c r="A865" s="15"/>
      <c r="B865" s="47"/>
      <c r="C865" s="47"/>
      <c r="E865" s="16"/>
      <c r="I865" s="16"/>
      <c r="J865" s="9"/>
    </row>
    <row r="866" spans="1:10" ht="12.75">
      <c r="A866" s="15"/>
      <c r="B866" s="47"/>
      <c r="C866" s="47"/>
      <c r="E866" s="16"/>
      <c r="I866" s="16"/>
      <c r="J866" s="9"/>
    </row>
    <row r="867" spans="1:10" ht="12.75">
      <c r="A867" s="15"/>
      <c r="B867" s="47"/>
      <c r="C867" s="47"/>
      <c r="E867" s="16"/>
      <c r="I867" s="16"/>
      <c r="J867" s="9"/>
    </row>
    <row r="868" spans="1:10" ht="12.75">
      <c r="A868" s="15"/>
      <c r="B868" s="47"/>
      <c r="C868" s="47"/>
      <c r="E868" s="16"/>
      <c r="I868" s="16"/>
      <c r="J868" s="9"/>
    </row>
    <row r="869" spans="1:10" ht="12.75">
      <c r="A869" s="15"/>
      <c r="B869" s="47"/>
      <c r="C869" s="47"/>
      <c r="E869" s="16"/>
      <c r="I869" s="16"/>
      <c r="J869" s="9"/>
    </row>
    <row r="870" spans="1:10" ht="12.75">
      <c r="A870" s="15"/>
      <c r="B870" s="47"/>
      <c r="C870" s="47"/>
      <c r="E870" s="16"/>
      <c r="I870" s="16"/>
      <c r="J870" s="9"/>
    </row>
    <row r="871" spans="1:10" ht="12.75">
      <c r="A871" s="15"/>
      <c r="B871" s="47"/>
      <c r="C871" s="47"/>
      <c r="E871" s="16"/>
      <c r="I871" s="16"/>
      <c r="J871" s="9"/>
    </row>
    <row r="872" spans="1:10" ht="12.75">
      <c r="A872" s="15"/>
      <c r="B872" s="47"/>
      <c r="C872" s="47"/>
      <c r="E872" s="16"/>
      <c r="I872" s="16"/>
      <c r="J872" s="9"/>
    </row>
    <row r="873" spans="1:10" ht="12.75">
      <c r="A873" s="15"/>
      <c r="B873" s="47"/>
      <c r="C873" s="47"/>
      <c r="E873" s="16"/>
      <c r="I873" s="16"/>
      <c r="J873" s="9"/>
    </row>
    <row r="874" spans="1:10" ht="12.75">
      <c r="A874" s="15"/>
      <c r="B874" s="47"/>
      <c r="C874" s="47"/>
      <c r="E874" s="16"/>
      <c r="I874" s="16"/>
      <c r="J874" s="9"/>
    </row>
    <row r="875" spans="1:10" ht="12.75">
      <c r="A875" s="15"/>
      <c r="B875" s="47"/>
      <c r="C875" s="47"/>
      <c r="E875" s="16"/>
      <c r="I875" s="16"/>
      <c r="J875" s="9"/>
    </row>
    <row r="876" spans="1:10" ht="12.75">
      <c r="A876" s="15"/>
      <c r="B876" s="47"/>
      <c r="C876" s="47"/>
      <c r="E876" s="16"/>
      <c r="I876" s="16"/>
      <c r="J876" s="9"/>
    </row>
    <row r="877" spans="1:10" ht="12.75">
      <c r="A877" s="15"/>
      <c r="B877" s="47"/>
      <c r="C877" s="47"/>
      <c r="E877" s="16"/>
      <c r="I877" s="16"/>
      <c r="J877" s="9"/>
    </row>
    <row r="878" spans="1:10" ht="12.75">
      <c r="A878" s="15"/>
      <c r="B878" s="47"/>
      <c r="C878" s="47"/>
      <c r="E878" s="16"/>
      <c r="I878" s="16"/>
      <c r="J878" s="9"/>
    </row>
    <row r="879" spans="1:10" ht="12.75">
      <c r="A879" s="15"/>
      <c r="B879" s="47"/>
      <c r="C879" s="47"/>
      <c r="E879" s="16"/>
      <c r="I879" s="16"/>
      <c r="J879" s="9"/>
    </row>
    <row r="880" spans="1:10" ht="12.75">
      <c r="A880" s="15"/>
      <c r="B880" s="47"/>
      <c r="C880" s="47"/>
      <c r="E880" s="16"/>
      <c r="I880" s="16"/>
      <c r="J880" s="9"/>
    </row>
    <row r="881" spans="1:10" ht="12.75">
      <c r="A881" s="15"/>
      <c r="B881" s="47"/>
      <c r="C881" s="47"/>
      <c r="E881" s="16"/>
      <c r="I881" s="16"/>
      <c r="J881" s="9"/>
    </row>
    <row r="882" spans="1:10" ht="12.75">
      <c r="A882" s="15"/>
      <c r="B882" s="47"/>
      <c r="C882" s="47"/>
      <c r="E882" s="16"/>
      <c r="I882" s="16"/>
      <c r="J882" s="9"/>
    </row>
    <row r="883" spans="1:10" ht="12.75">
      <c r="A883" s="15"/>
      <c r="B883" s="47"/>
      <c r="C883" s="47"/>
      <c r="E883" s="16"/>
      <c r="I883" s="16"/>
      <c r="J883" s="9"/>
    </row>
    <row r="884" spans="1:10" ht="12.75">
      <c r="A884" s="15"/>
      <c r="B884" s="47"/>
      <c r="C884" s="47"/>
      <c r="E884" s="16"/>
      <c r="I884" s="16"/>
      <c r="J884" s="9"/>
    </row>
    <row r="885" spans="1:10" ht="12.75">
      <c r="A885" s="15"/>
      <c r="B885" s="47"/>
      <c r="C885" s="47"/>
      <c r="E885" s="16"/>
      <c r="I885" s="16"/>
      <c r="J885" s="9"/>
    </row>
    <row r="886" spans="1:10" ht="12.75">
      <c r="A886" s="15"/>
      <c r="B886" s="47"/>
      <c r="C886" s="47"/>
      <c r="E886" s="16"/>
      <c r="I886" s="16"/>
      <c r="J886" s="9"/>
    </row>
    <row r="887" spans="1:10" ht="12.75">
      <c r="A887" s="15"/>
      <c r="B887" s="47"/>
      <c r="C887" s="47"/>
      <c r="E887" s="16"/>
      <c r="I887" s="16"/>
      <c r="J887" s="9"/>
    </row>
    <row r="888" spans="1:10" ht="12.75">
      <c r="A888" s="15"/>
      <c r="B888" s="47"/>
      <c r="C888" s="47"/>
      <c r="E888" s="16"/>
      <c r="I888" s="16"/>
      <c r="J888" s="9"/>
    </row>
    <row r="889" spans="1:10" ht="12.75">
      <c r="A889" s="15"/>
      <c r="B889" s="47"/>
      <c r="C889" s="47"/>
      <c r="E889" s="16"/>
      <c r="I889" s="16"/>
      <c r="J889" s="9"/>
    </row>
    <row r="890" spans="1:10" ht="12.75">
      <c r="A890" s="15"/>
      <c r="B890" s="47"/>
      <c r="C890" s="47"/>
      <c r="E890" s="16"/>
      <c r="I890" s="16"/>
      <c r="J890" s="9"/>
    </row>
    <row r="891" spans="1:10" ht="12.75">
      <c r="A891" s="15"/>
      <c r="B891" s="47"/>
      <c r="C891" s="47"/>
      <c r="E891" s="16"/>
      <c r="I891" s="16"/>
      <c r="J891" s="9"/>
    </row>
    <row r="892" spans="1:10" ht="12.75">
      <c r="A892" s="15"/>
      <c r="B892" s="47"/>
      <c r="C892" s="47"/>
      <c r="E892" s="16"/>
      <c r="I892" s="16"/>
      <c r="J892" s="9"/>
    </row>
    <row r="893" spans="1:10" ht="12.75">
      <c r="A893" s="15"/>
      <c r="B893" s="47"/>
      <c r="C893" s="47"/>
      <c r="E893" s="16"/>
      <c r="I893" s="16"/>
      <c r="J893" s="9"/>
    </row>
    <row r="894" spans="1:10" ht="12.75">
      <c r="A894" s="15"/>
      <c r="B894" s="47"/>
      <c r="C894" s="47"/>
      <c r="E894" s="16"/>
      <c r="I894" s="16"/>
      <c r="J894" s="9"/>
    </row>
    <row r="895" spans="1:10" ht="12.75">
      <c r="A895" s="15"/>
      <c r="B895" s="47"/>
      <c r="C895" s="47"/>
      <c r="E895" s="16"/>
      <c r="I895" s="16"/>
      <c r="J895" s="9"/>
    </row>
    <row r="896" spans="1:10" ht="12.75">
      <c r="A896" s="15"/>
      <c r="B896" s="47"/>
      <c r="C896" s="47"/>
      <c r="E896" s="16"/>
      <c r="I896" s="16"/>
      <c r="J896" s="9"/>
    </row>
    <row r="897" spans="1:10" ht="12.75">
      <c r="A897" s="15"/>
      <c r="B897" s="47"/>
      <c r="C897" s="47"/>
      <c r="E897" s="16"/>
      <c r="I897" s="16"/>
      <c r="J897" s="9"/>
    </row>
    <row r="898" spans="1:10" ht="12.75">
      <c r="A898" s="15"/>
      <c r="B898" s="47"/>
      <c r="C898" s="47"/>
      <c r="E898" s="16"/>
      <c r="I898" s="16"/>
      <c r="J898" s="9"/>
    </row>
    <row r="899" spans="1:10" ht="12.75">
      <c r="A899" s="15"/>
      <c r="B899" s="47"/>
      <c r="C899" s="47"/>
      <c r="E899" s="16"/>
      <c r="I899" s="16"/>
      <c r="J899" s="9"/>
    </row>
    <row r="900" spans="1:10" ht="12.75">
      <c r="A900" s="15"/>
      <c r="B900" s="47"/>
      <c r="C900" s="47"/>
      <c r="E900" s="16"/>
      <c r="I900" s="16"/>
      <c r="J900" s="9"/>
    </row>
    <row r="901" spans="1:10" ht="12.75">
      <c r="A901" s="15"/>
      <c r="B901" s="47"/>
      <c r="C901" s="47"/>
      <c r="E901" s="16"/>
      <c r="I901" s="16"/>
      <c r="J901" s="9"/>
    </row>
    <row r="902" spans="1:10" ht="12.75">
      <c r="A902" s="15"/>
      <c r="B902" s="47"/>
      <c r="C902" s="47"/>
      <c r="E902" s="16"/>
      <c r="I902" s="16"/>
      <c r="J902" s="9"/>
    </row>
    <row r="903" spans="1:10" ht="12.75">
      <c r="A903" s="15"/>
      <c r="B903" s="47"/>
      <c r="C903" s="47"/>
      <c r="E903" s="16"/>
      <c r="I903" s="16"/>
      <c r="J903" s="9"/>
    </row>
    <row r="904" spans="1:10" ht="12.75">
      <c r="A904" s="15"/>
      <c r="B904" s="47"/>
      <c r="C904" s="47"/>
      <c r="E904" s="16"/>
      <c r="I904" s="16"/>
      <c r="J904" s="9"/>
    </row>
    <row r="905" spans="1:10" ht="12.75">
      <c r="A905" s="15"/>
      <c r="B905" s="47"/>
      <c r="C905" s="47"/>
      <c r="E905" s="16"/>
      <c r="I905" s="16"/>
      <c r="J905" s="9"/>
    </row>
    <row r="906" spans="1:10" ht="12.75">
      <c r="A906" s="15"/>
      <c r="B906" s="47"/>
      <c r="C906" s="47"/>
      <c r="E906" s="16"/>
      <c r="I906" s="16"/>
      <c r="J906" s="9"/>
    </row>
    <row r="907" spans="1:10" ht="12.75">
      <c r="A907" s="15"/>
      <c r="B907" s="47"/>
      <c r="C907" s="47"/>
      <c r="E907" s="16"/>
      <c r="I907" s="16"/>
      <c r="J907" s="9"/>
    </row>
    <row r="908" spans="1:10" ht="12.75">
      <c r="A908" s="15"/>
      <c r="B908" s="47"/>
      <c r="C908" s="47"/>
      <c r="E908" s="16"/>
      <c r="I908" s="16"/>
      <c r="J908" s="9"/>
    </row>
    <row r="909" spans="1:10" ht="12.75">
      <c r="A909" s="15"/>
      <c r="B909" s="47"/>
      <c r="C909" s="47"/>
      <c r="E909" s="16"/>
      <c r="I909" s="16"/>
      <c r="J909" s="9"/>
    </row>
    <row r="910" spans="1:10" ht="12.75">
      <c r="A910" s="15"/>
      <c r="B910" s="47"/>
      <c r="C910" s="47"/>
      <c r="E910" s="16"/>
      <c r="I910" s="16"/>
      <c r="J910" s="9"/>
    </row>
    <row r="911" spans="1:10" ht="12.75">
      <c r="A911" s="15"/>
      <c r="B911" s="47"/>
      <c r="C911" s="47"/>
      <c r="E911" s="16"/>
      <c r="I911" s="16"/>
      <c r="J911" s="9"/>
    </row>
    <row r="912" spans="1:10" ht="12.75">
      <c r="A912" s="15"/>
      <c r="B912" s="47"/>
      <c r="C912" s="47"/>
      <c r="E912" s="16"/>
      <c r="I912" s="16"/>
      <c r="J912" s="9"/>
    </row>
    <row r="913" spans="1:10" ht="12.75">
      <c r="A913" s="15"/>
      <c r="B913" s="47"/>
      <c r="C913" s="47"/>
      <c r="E913" s="16"/>
      <c r="I913" s="16"/>
      <c r="J913" s="9"/>
    </row>
    <row r="914" spans="1:10" ht="12.75">
      <c r="A914" s="15"/>
      <c r="B914" s="47"/>
      <c r="C914" s="47"/>
      <c r="E914" s="16"/>
      <c r="I914" s="16"/>
      <c r="J914" s="9"/>
    </row>
    <row r="915" spans="1:10" ht="12.75">
      <c r="A915" s="15"/>
      <c r="B915" s="47"/>
      <c r="C915" s="47"/>
      <c r="E915" s="16"/>
      <c r="I915" s="16"/>
      <c r="J915" s="9"/>
    </row>
    <row r="916" spans="1:10" ht="12.75">
      <c r="A916" s="15"/>
      <c r="B916" s="47"/>
      <c r="C916" s="47"/>
      <c r="E916" s="16"/>
      <c r="I916" s="16"/>
      <c r="J916" s="9"/>
    </row>
    <row r="917" spans="1:10" ht="12.75">
      <c r="A917" s="15"/>
      <c r="B917" s="47"/>
      <c r="C917" s="47"/>
      <c r="E917" s="16"/>
      <c r="I917" s="16"/>
      <c r="J917" s="9"/>
    </row>
    <row r="918" spans="1:10" ht="12.75">
      <c r="A918" s="15"/>
      <c r="B918" s="47"/>
      <c r="C918" s="47"/>
      <c r="E918" s="16"/>
      <c r="I918" s="16"/>
      <c r="J918" s="9"/>
    </row>
    <row r="919" spans="1:10" ht="12.75">
      <c r="A919" s="15"/>
      <c r="B919" s="47"/>
      <c r="C919" s="47"/>
      <c r="E919" s="16"/>
      <c r="I919" s="16"/>
      <c r="J919" s="9"/>
    </row>
    <row r="920" spans="1:10" ht="12.75">
      <c r="A920" s="15"/>
      <c r="B920" s="47"/>
      <c r="C920" s="47"/>
      <c r="E920" s="16"/>
      <c r="I920" s="16"/>
      <c r="J920" s="9"/>
    </row>
    <row r="921" spans="1:10" ht="12.75">
      <c r="A921" s="15"/>
      <c r="B921" s="47"/>
      <c r="C921" s="47"/>
      <c r="E921" s="16"/>
      <c r="I921" s="16"/>
      <c r="J921" s="9"/>
    </row>
    <row r="922" spans="1:10" ht="12.75">
      <c r="A922" s="15"/>
      <c r="B922" s="47"/>
      <c r="C922" s="47"/>
      <c r="E922" s="16"/>
      <c r="I922" s="16"/>
      <c r="J922" s="9"/>
    </row>
    <row r="923" spans="1:10" ht="12.75">
      <c r="A923" s="15"/>
      <c r="B923" s="47"/>
      <c r="C923" s="47"/>
      <c r="E923" s="16"/>
      <c r="I923" s="16"/>
      <c r="J923" s="9"/>
    </row>
    <row r="924" spans="1:10" ht="12.75">
      <c r="A924" s="15"/>
      <c r="B924" s="47"/>
      <c r="C924" s="47"/>
      <c r="E924" s="16"/>
      <c r="I924" s="16"/>
      <c r="J924" s="9"/>
    </row>
    <row r="925" spans="1:10" ht="12.75">
      <c r="A925" s="15"/>
      <c r="B925" s="47"/>
      <c r="C925" s="47"/>
      <c r="E925" s="16"/>
      <c r="I925" s="16"/>
      <c r="J925" s="9"/>
    </row>
    <row r="926" spans="1:10" ht="12.75">
      <c r="A926" s="15"/>
      <c r="B926" s="47"/>
      <c r="C926" s="47"/>
      <c r="E926" s="16"/>
      <c r="I926" s="16"/>
      <c r="J926" s="9"/>
    </row>
    <row r="927" spans="1:10" ht="12.75">
      <c r="A927" s="15"/>
      <c r="B927" s="47"/>
      <c r="C927" s="47"/>
      <c r="E927" s="16"/>
      <c r="I927" s="16"/>
      <c r="J927" s="9"/>
    </row>
    <row r="928" spans="1:10" ht="12.75">
      <c r="A928" s="15"/>
      <c r="B928" s="47"/>
      <c r="C928" s="47"/>
      <c r="E928" s="16"/>
      <c r="I928" s="16"/>
      <c r="J928" s="9"/>
    </row>
    <row r="929" spans="1:10" ht="12.75">
      <c r="A929" s="15"/>
      <c r="B929" s="47"/>
      <c r="C929" s="47"/>
      <c r="E929" s="16"/>
      <c r="I929" s="16"/>
      <c r="J929" s="9"/>
    </row>
    <row r="930" spans="1:10" ht="12.75">
      <c r="A930" s="15"/>
      <c r="B930" s="47"/>
      <c r="C930" s="47"/>
      <c r="E930" s="16"/>
      <c r="I930" s="16"/>
      <c r="J930" s="9"/>
    </row>
    <row r="931" spans="1:10" ht="12.75">
      <c r="A931" s="15"/>
      <c r="B931" s="47"/>
      <c r="C931" s="47"/>
      <c r="E931" s="16"/>
      <c r="I931" s="16"/>
      <c r="J931" s="9"/>
    </row>
    <row r="932" spans="1:10" ht="12.75">
      <c r="A932" s="15"/>
      <c r="B932" s="47"/>
      <c r="C932" s="47"/>
      <c r="E932" s="16"/>
      <c r="I932" s="16"/>
      <c r="J932" s="9"/>
    </row>
    <row r="933" spans="1:10" ht="12.75">
      <c r="A933" s="15"/>
      <c r="B933" s="47"/>
      <c r="C933" s="47"/>
      <c r="E933" s="16"/>
      <c r="I933" s="16"/>
      <c r="J933" s="9"/>
    </row>
    <row r="934" spans="1:10" ht="12.75">
      <c r="A934" s="15"/>
      <c r="B934" s="47"/>
      <c r="C934" s="47"/>
      <c r="E934" s="16"/>
      <c r="I934" s="16"/>
      <c r="J934" s="9"/>
    </row>
    <row r="935" spans="1:10" ht="12.75">
      <c r="A935" s="15"/>
      <c r="B935" s="47"/>
      <c r="C935" s="47"/>
      <c r="E935" s="16"/>
      <c r="I935" s="16"/>
      <c r="J935" s="9"/>
    </row>
    <row r="936" spans="1:10" ht="12.75">
      <c r="A936" s="15"/>
      <c r="B936" s="47"/>
      <c r="C936" s="47"/>
      <c r="E936" s="16"/>
      <c r="I936" s="16"/>
      <c r="J936" s="9"/>
    </row>
    <row r="937" spans="1:10" ht="12.75">
      <c r="A937" s="15"/>
      <c r="B937" s="47"/>
      <c r="C937" s="47"/>
      <c r="E937" s="16"/>
      <c r="I937" s="16"/>
      <c r="J937" s="9"/>
    </row>
    <row r="938" spans="1:10" ht="12.75">
      <c r="A938" s="15"/>
      <c r="B938" s="47"/>
      <c r="C938" s="47"/>
      <c r="E938" s="16"/>
      <c r="I938" s="16"/>
      <c r="J938" s="9"/>
    </row>
    <row r="939" spans="1:10" ht="12.75">
      <c r="A939" s="15"/>
      <c r="B939" s="47"/>
      <c r="C939" s="47"/>
      <c r="E939" s="16"/>
      <c r="I939" s="16"/>
      <c r="J939" s="9"/>
    </row>
    <row r="940" spans="1:10" ht="12.75">
      <c r="A940" s="15"/>
      <c r="B940" s="47"/>
      <c r="C940" s="47"/>
      <c r="E940" s="16"/>
      <c r="I940" s="16"/>
      <c r="J940" s="9"/>
    </row>
    <row r="941" spans="1:10" ht="12.75">
      <c r="A941" s="15"/>
      <c r="B941" s="47"/>
      <c r="C941" s="47"/>
      <c r="E941" s="16"/>
      <c r="I941" s="16"/>
      <c r="J941" s="9"/>
    </row>
    <row r="942" spans="1:10" ht="12.75">
      <c r="A942" s="15"/>
      <c r="B942" s="47"/>
      <c r="C942" s="47"/>
      <c r="E942" s="16"/>
      <c r="I942" s="16"/>
      <c r="J942" s="9"/>
    </row>
    <row r="943" spans="1:10" ht="12.75">
      <c r="A943" s="15"/>
      <c r="B943" s="47"/>
      <c r="C943" s="47"/>
      <c r="E943" s="16"/>
      <c r="I943" s="16"/>
      <c r="J943" s="9"/>
    </row>
    <row r="944" spans="1:10" ht="12.75">
      <c r="A944" s="15"/>
      <c r="B944" s="47"/>
      <c r="C944" s="47"/>
      <c r="E944" s="16"/>
      <c r="I944" s="16"/>
      <c r="J944" s="9"/>
    </row>
    <row r="945" spans="1:10" ht="12.75">
      <c r="A945" s="15"/>
      <c r="B945" s="47"/>
      <c r="C945" s="47"/>
      <c r="E945" s="16"/>
      <c r="I945" s="16"/>
      <c r="J945" s="9"/>
    </row>
    <row r="946" spans="1:10" ht="12.75">
      <c r="A946" s="15"/>
      <c r="B946" s="47"/>
      <c r="C946" s="47"/>
      <c r="E946" s="16"/>
      <c r="I946" s="16"/>
      <c r="J946" s="9"/>
    </row>
    <row r="947" spans="1:10" ht="12.75">
      <c r="A947" s="15"/>
      <c r="B947" s="47"/>
      <c r="C947" s="47"/>
      <c r="E947" s="16"/>
      <c r="I947" s="16"/>
      <c r="J947" s="9"/>
    </row>
    <row r="948" spans="1:10" ht="12.75">
      <c r="A948" s="15"/>
      <c r="B948" s="47"/>
      <c r="C948" s="47"/>
      <c r="E948" s="16"/>
      <c r="I948" s="16"/>
      <c r="J948" s="9"/>
    </row>
    <row r="949" spans="1:10" ht="12.75">
      <c r="A949" s="15"/>
      <c r="B949" s="47"/>
      <c r="C949" s="47"/>
      <c r="E949" s="16"/>
      <c r="I949" s="16"/>
      <c r="J949" s="9"/>
    </row>
    <row r="950" spans="1:10" ht="12.75">
      <c r="A950" s="15"/>
      <c r="B950" s="47"/>
      <c r="C950" s="47"/>
      <c r="E950" s="16"/>
      <c r="I950" s="16"/>
      <c r="J950" s="9"/>
    </row>
    <row r="951" spans="1:10" ht="12.75">
      <c r="A951" s="15"/>
      <c r="B951" s="47"/>
      <c r="C951" s="47"/>
      <c r="E951" s="16"/>
      <c r="I951" s="16"/>
      <c r="J951" s="9"/>
    </row>
    <row r="952" spans="1:10" ht="12.75">
      <c r="A952" s="15"/>
      <c r="B952" s="47"/>
      <c r="C952" s="47"/>
      <c r="E952" s="16"/>
      <c r="I952" s="16"/>
      <c r="J952" s="9"/>
    </row>
    <row r="953" spans="1:10" ht="12.75">
      <c r="A953" s="15"/>
      <c r="B953" s="47"/>
      <c r="C953" s="47"/>
      <c r="E953" s="16"/>
      <c r="I953" s="16"/>
      <c r="J953" s="9"/>
    </row>
    <row r="954" spans="1:10" ht="12.75">
      <c r="A954" s="15"/>
      <c r="B954" s="47"/>
      <c r="C954" s="47"/>
      <c r="E954" s="16"/>
      <c r="I954" s="16"/>
      <c r="J954" s="9"/>
    </row>
    <row r="955" spans="1:10" ht="12.75">
      <c r="A955" s="15"/>
      <c r="B955" s="47"/>
      <c r="C955" s="47"/>
      <c r="E955" s="16"/>
      <c r="I955" s="16"/>
      <c r="J955" s="9"/>
    </row>
    <row r="956" spans="1:10" ht="12.75">
      <c r="A956" s="15"/>
      <c r="B956" s="47"/>
      <c r="C956" s="47"/>
      <c r="E956" s="16"/>
      <c r="I956" s="16"/>
      <c r="J956" s="9"/>
    </row>
    <row r="957" spans="1:10" ht="12.75">
      <c r="A957" s="15"/>
      <c r="B957" s="47"/>
      <c r="C957" s="47"/>
      <c r="E957" s="16"/>
      <c r="I957" s="16"/>
      <c r="J957" s="9"/>
    </row>
    <row r="958" spans="1:10" ht="12.75">
      <c r="A958" s="15"/>
      <c r="B958" s="47"/>
      <c r="C958" s="47"/>
      <c r="E958" s="16"/>
      <c r="I958" s="16"/>
      <c r="J958" s="9"/>
    </row>
    <row r="959" spans="1:10" ht="12.75">
      <c r="A959" s="15"/>
      <c r="B959" s="47"/>
      <c r="C959" s="47"/>
      <c r="E959" s="16"/>
      <c r="I959" s="16"/>
      <c r="J959" s="9"/>
    </row>
    <row r="960" spans="1:10" ht="12.75">
      <c r="A960" s="15"/>
      <c r="B960" s="47"/>
      <c r="C960" s="47"/>
      <c r="E960" s="16"/>
      <c r="I960" s="16"/>
      <c r="J960" s="9"/>
    </row>
    <row r="961" spans="1:10" ht="12.75">
      <c r="A961" s="15"/>
      <c r="B961" s="47"/>
      <c r="C961" s="47"/>
      <c r="E961" s="16"/>
      <c r="I961" s="16"/>
      <c r="J961" s="9"/>
    </row>
    <row r="962" spans="1:10" ht="12.75">
      <c r="A962" s="15"/>
      <c r="B962" s="47"/>
      <c r="C962" s="47"/>
      <c r="E962" s="16"/>
      <c r="I962" s="16"/>
      <c r="J962" s="9"/>
    </row>
    <row r="963" spans="1:10" ht="12.75">
      <c r="A963" s="15"/>
      <c r="B963" s="47"/>
      <c r="C963" s="47"/>
      <c r="E963" s="16"/>
      <c r="I963" s="16"/>
      <c r="J963" s="9"/>
    </row>
    <row r="964" spans="1:10" ht="12.75">
      <c r="A964" s="15"/>
      <c r="B964" s="47"/>
      <c r="C964" s="47"/>
      <c r="E964" s="16"/>
      <c r="I964" s="16"/>
      <c r="J964" s="9"/>
    </row>
    <row r="965" spans="1:10" ht="12.75">
      <c r="A965" s="15"/>
      <c r="B965" s="47"/>
      <c r="C965" s="47"/>
      <c r="E965" s="16"/>
      <c r="I965" s="16"/>
      <c r="J965" s="9"/>
    </row>
    <row r="966" spans="1:10" ht="12.75">
      <c r="A966" s="15"/>
      <c r="B966" s="47"/>
      <c r="C966" s="47"/>
      <c r="E966" s="16"/>
      <c r="I966" s="16"/>
      <c r="J966" s="9"/>
    </row>
    <row r="967" spans="1:10" ht="12.75">
      <c r="A967" s="15"/>
      <c r="B967" s="47"/>
      <c r="C967" s="47"/>
      <c r="E967" s="16"/>
      <c r="I967" s="16"/>
      <c r="J967" s="9"/>
    </row>
    <row r="968" spans="1:10" ht="12.75">
      <c r="A968" s="15"/>
      <c r="B968" s="47"/>
      <c r="C968" s="47"/>
      <c r="E968" s="16"/>
      <c r="I968" s="16"/>
      <c r="J968" s="9"/>
    </row>
    <row r="969" spans="1:10" ht="12.75">
      <c r="A969" s="15"/>
      <c r="B969" s="47"/>
      <c r="C969" s="47"/>
      <c r="E969" s="16"/>
      <c r="I969" s="16"/>
      <c r="J969" s="9"/>
    </row>
    <row r="970" spans="1:10" ht="12.75">
      <c r="A970" s="15"/>
      <c r="B970" s="47"/>
      <c r="C970" s="47"/>
      <c r="E970" s="16"/>
      <c r="I970" s="16"/>
      <c r="J970" s="9"/>
    </row>
    <row r="971" spans="1:10" ht="12.75">
      <c r="A971" s="15"/>
      <c r="B971" s="47"/>
      <c r="C971" s="47"/>
      <c r="E971" s="16"/>
      <c r="I971" s="16"/>
      <c r="J971" s="9"/>
    </row>
    <row r="972" spans="1:10" ht="12.75">
      <c r="A972" s="15"/>
      <c r="B972" s="47"/>
      <c r="C972" s="47"/>
      <c r="E972" s="16"/>
      <c r="I972" s="16"/>
      <c r="J972" s="9"/>
    </row>
    <row r="973" spans="1:10" ht="12.75">
      <c r="A973" s="15"/>
      <c r="B973" s="47"/>
      <c r="C973" s="47"/>
      <c r="E973" s="16"/>
      <c r="I973" s="16"/>
      <c r="J973" s="9"/>
    </row>
    <row r="974" spans="1:10" ht="12.75">
      <c r="A974" s="15"/>
      <c r="B974" s="47"/>
      <c r="C974" s="47"/>
      <c r="E974" s="16"/>
      <c r="I974" s="16"/>
      <c r="J974" s="9"/>
    </row>
    <row r="975" spans="1:10" ht="12.75">
      <c r="A975" s="15"/>
      <c r="B975" s="47"/>
      <c r="C975" s="47"/>
      <c r="E975" s="16"/>
      <c r="I975" s="16"/>
      <c r="J975" s="9"/>
    </row>
    <row r="976" spans="1:10" ht="12.75">
      <c r="A976" s="15"/>
      <c r="B976" s="47"/>
      <c r="C976" s="47"/>
      <c r="E976" s="16"/>
      <c r="I976" s="16"/>
      <c r="J976" s="9"/>
    </row>
    <row r="977" spans="1:10" ht="12.75">
      <c r="A977" s="15"/>
      <c r="B977" s="47"/>
      <c r="C977" s="47"/>
      <c r="E977" s="16"/>
      <c r="I977" s="16"/>
      <c r="J977" s="9"/>
    </row>
    <row r="978" spans="1:10" ht="12.75">
      <c r="A978" s="15"/>
      <c r="B978" s="47"/>
      <c r="C978" s="47"/>
      <c r="E978" s="16"/>
      <c r="I978" s="16"/>
      <c r="J978" s="9"/>
    </row>
    <row r="979" spans="1:10" ht="12.75">
      <c r="A979" s="15"/>
      <c r="B979" s="47"/>
      <c r="C979" s="47"/>
      <c r="E979" s="16"/>
      <c r="I979" s="16"/>
      <c r="J979" s="9"/>
    </row>
    <row r="980" spans="1:10" ht="12.75">
      <c r="A980" s="15"/>
      <c r="B980" s="47"/>
      <c r="C980" s="47"/>
      <c r="E980" s="16"/>
      <c r="I980" s="16"/>
      <c r="J980" s="9"/>
    </row>
    <row r="981" spans="1:10" ht="12.75">
      <c r="A981" s="15"/>
      <c r="B981" s="47"/>
      <c r="C981" s="47"/>
      <c r="E981" s="16"/>
      <c r="I981" s="16"/>
      <c r="J981" s="9"/>
    </row>
    <row r="982" spans="1:10" ht="12.75">
      <c r="A982" s="15"/>
      <c r="B982" s="47"/>
      <c r="C982" s="47"/>
      <c r="E982" s="16"/>
      <c r="I982" s="16"/>
      <c r="J982" s="9"/>
    </row>
    <row r="983" spans="1:10" ht="12.75">
      <c r="A983" s="15"/>
      <c r="B983" s="47"/>
      <c r="C983" s="47"/>
      <c r="E983" s="16"/>
      <c r="I983" s="16"/>
      <c r="J983" s="9"/>
    </row>
    <row r="984" spans="1:10" ht="12.75">
      <c r="A984" s="15"/>
      <c r="B984" s="47"/>
      <c r="C984" s="47"/>
      <c r="E984" s="16"/>
      <c r="I984" s="16"/>
      <c r="J984" s="9"/>
    </row>
    <row r="985" spans="1:10" ht="12.75">
      <c r="A985" s="15"/>
      <c r="B985" s="47"/>
      <c r="C985" s="47"/>
      <c r="E985" s="16"/>
      <c r="I985" s="16"/>
      <c r="J985" s="9"/>
    </row>
    <row r="986" spans="1:10" ht="12.75">
      <c r="A986" s="15"/>
      <c r="B986" s="47"/>
      <c r="C986" s="47"/>
      <c r="E986" s="16"/>
      <c r="I986" s="16"/>
      <c r="J986" s="9"/>
    </row>
    <row r="987" spans="1:10" ht="12.75">
      <c r="A987" s="15"/>
      <c r="B987" s="47"/>
      <c r="C987" s="47"/>
      <c r="E987" s="16"/>
      <c r="I987" s="16"/>
      <c r="J987" s="9"/>
    </row>
    <row r="988" spans="1:10" ht="12.75">
      <c r="A988" s="15"/>
      <c r="B988" s="47"/>
      <c r="C988" s="47"/>
      <c r="E988" s="16"/>
      <c r="I988" s="16"/>
      <c r="J988" s="9"/>
    </row>
    <row r="989" spans="1:10" ht="12.75">
      <c r="A989" s="15"/>
      <c r="B989" s="47"/>
      <c r="C989" s="47"/>
      <c r="E989" s="16"/>
      <c r="I989" s="16"/>
      <c r="J989" s="9"/>
    </row>
    <row r="990" spans="1:10" ht="12.75">
      <c r="A990" s="15"/>
      <c r="B990" s="47"/>
      <c r="C990" s="47"/>
      <c r="E990" s="16"/>
      <c r="I990" s="16"/>
      <c r="J990" s="9"/>
    </row>
    <row r="991" spans="1:10" ht="12.75">
      <c r="A991" s="15"/>
      <c r="B991" s="47"/>
      <c r="C991" s="47"/>
      <c r="E991" s="16"/>
      <c r="I991" s="16"/>
      <c r="J991" s="9"/>
    </row>
    <row r="992" spans="1:10" ht="12.75">
      <c r="A992" s="15"/>
      <c r="B992" s="47"/>
      <c r="C992" s="47"/>
      <c r="E992" s="16"/>
      <c r="I992" s="16"/>
      <c r="J992" s="9"/>
    </row>
    <row r="993" spans="1:10" ht="12.75">
      <c r="A993" s="15"/>
      <c r="B993" s="47"/>
      <c r="C993" s="47"/>
      <c r="E993" s="16"/>
      <c r="I993" s="16"/>
      <c r="J993" s="9"/>
    </row>
    <row r="994" spans="1:10" ht="12.75">
      <c r="A994" s="15"/>
      <c r="B994" s="47"/>
      <c r="C994" s="47"/>
      <c r="E994" s="16"/>
      <c r="I994" s="16"/>
      <c r="J994" s="9"/>
    </row>
    <row r="995" spans="1:10" ht="12.75">
      <c r="A995" s="15"/>
      <c r="B995" s="47"/>
      <c r="C995" s="47"/>
      <c r="E995" s="16"/>
      <c r="I995" s="16"/>
      <c r="J995" s="9"/>
    </row>
    <row r="996" spans="1:10" ht="12.75">
      <c r="A996" s="15"/>
      <c r="B996" s="47"/>
      <c r="C996" s="47"/>
      <c r="E996" s="16"/>
      <c r="I996" s="16"/>
      <c r="J996" s="9"/>
    </row>
    <row r="997" spans="1:10" ht="12.75">
      <c r="A997" s="15"/>
      <c r="B997" s="47"/>
      <c r="C997" s="47"/>
      <c r="E997" s="16"/>
      <c r="I997" s="16"/>
      <c r="J997" s="9"/>
    </row>
    <row r="998" spans="1:10" ht="12.75">
      <c r="A998" s="15"/>
      <c r="B998" s="47"/>
      <c r="C998" s="47"/>
      <c r="E998" s="16"/>
      <c r="I998" s="16"/>
      <c r="J998" s="9"/>
    </row>
  </sheetData>
  <conditionalFormatting sqref="J2:J28 J30:J79 K83:K84 J87:J9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K1:K28 K30:K79 L80:L86 K87:K1048576">
    <cfRule type="containsText" dxfId="1" priority="1" operator="containsText" text="Hold">
      <formula>NOT(ISERROR(SEARCH("Hold",K1)))</formula>
    </cfRule>
    <cfRule type="containsText" dxfId="0" priority="2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0C19-BC75-4CF2-8C14-6ED07E8AE8E1}">
  <dimension ref="A1:U39"/>
  <sheetViews>
    <sheetView workbookViewId="0">
      <selection activeCell="D19" sqref="D19"/>
    </sheetView>
  </sheetViews>
  <sheetFormatPr defaultRowHeight="12.75"/>
  <cols>
    <col min="1" max="1" width="12.42578125" customWidth="1"/>
    <col min="2" max="2" width="19.85546875" customWidth="1"/>
    <col min="3" max="3" width="11.5703125" style="130" customWidth="1"/>
  </cols>
  <sheetData>
    <row r="1" spans="1:21" s="42" customFormat="1" ht="18">
      <c r="B1" s="42" t="s">
        <v>466</v>
      </c>
      <c r="C1" s="129">
        <v>2024</v>
      </c>
      <c r="D1" s="42">
        <v>2025</v>
      </c>
      <c r="E1" s="42">
        <v>2026</v>
      </c>
      <c r="F1" s="42">
        <v>2027</v>
      </c>
      <c r="G1" s="42">
        <v>2028</v>
      </c>
      <c r="H1" s="42">
        <v>2029</v>
      </c>
      <c r="I1" s="42">
        <v>2030</v>
      </c>
      <c r="J1" s="42">
        <v>2031</v>
      </c>
      <c r="K1" s="42">
        <v>2032</v>
      </c>
      <c r="L1" s="42">
        <v>2033</v>
      </c>
      <c r="M1" s="42">
        <v>2034</v>
      </c>
      <c r="N1" s="42">
        <v>2035</v>
      </c>
      <c r="O1" s="42">
        <v>2040</v>
      </c>
      <c r="P1" s="42">
        <v>2041</v>
      </c>
      <c r="Q1" s="42">
        <v>2042</v>
      </c>
      <c r="R1" s="42">
        <v>2043</v>
      </c>
      <c r="S1" s="42">
        <v>2044</v>
      </c>
      <c r="T1" s="42">
        <v>2045</v>
      </c>
      <c r="U1" s="42">
        <v>2046</v>
      </c>
    </row>
    <row r="2" spans="1:21" ht="15">
      <c r="A2" s="184" t="s">
        <v>468</v>
      </c>
      <c r="B2" s="63" t="s">
        <v>464</v>
      </c>
      <c r="C2" s="67">
        <f>67000</f>
        <v>67000</v>
      </c>
      <c r="D2">
        <v>70000</v>
      </c>
      <c r="E2">
        <v>70000</v>
      </c>
      <c r="F2">
        <v>70000</v>
      </c>
      <c r="G2">
        <v>70000</v>
      </c>
      <c r="H2">
        <v>70000</v>
      </c>
      <c r="I2">
        <v>70000</v>
      </c>
    </row>
    <row r="3" spans="1:21" ht="15">
      <c r="A3" s="185"/>
      <c r="B3" s="63" t="s">
        <v>469</v>
      </c>
      <c r="C3" s="67">
        <v>2400</v>
      </c>
      <c r="D3">
        <f t="shared" ref="D3:I3" si="0">12*1200</f>
        <v>14400</v>
      </c>
      <c r="E3">
        <f t="shared" si="0"/>
        <v>14400</v>
      </c>
      <c r="F3">
        <f t="shared" si="0"/>
        <v>14400</v>
      </c>
      <c r="G3">
        <f t="shared" si="0"/>
        <v>14400</v>
      </c>
      <c r="H3">
        <f t="shared" si="0"/>
        <v>14400</v>
      </c>
      <c r="I3">
        <f t="shared" si="0"/>
        <v>14400</v>
      </c>
    </row>
    <row r="4" spans="1:21" ht="15">
      <c r="A4" s="185"/>
      <c r="B4" s="63" t="s">
        <v>465</v>
      </c>
      <c r="C4" s="67">
        <f>'Dividends per year'!D131</f>
        <v>3380.51</v>
      </c>
      <c r="D4">
        <f>'Dividends per year'!E131</f>
        <v>55.69</v>
      </c>
      <c r="E4">
        <f>'Dividends per year'!F131</f>
        <v>0</v>
      </c>
    </row>
    <row r="5" spans="1:21" ht="15">
      <c r="A5" s="185"/>
      <c r="B5" s="63"/>
    </row>
    <row r="6" spans="1:21" ht="15">
      <c r="A6" s="185"/>
      <c r="B6" s="63"/>
    </row>
    <row r="7" spans="1:21" ht="15">
      <c r="A7" s="185"/>
      <c r="B7" s="63"/>
    </row>
    <row r="8" spans="1:21" ht="15">
      <c r="A8" s="185"/>
      <c r="B8" s="63" t="s">
        <v>522</v>
      </c>
      <c r="C8" s="67">
        <f>SUM(C2:C7)</f>
        <v>72780.509999999995</v>
      </c>
      <c r="D8" s="67">
        <f>SUM(D2:D7)</f>
        <v>84455.69</v>
      </c>
      <c r="E8">
        <f t="shared" ref="E8:I8" si="1">SUM(E2:E7)</f>
        <v>84400</v>
      </c>
      <c r="F8">
        <f t="shared" si="1"/>
        <v>84400</v>
      </c>
      <c r="G8">
        <f t="shared" si="1"/>
        <v>84400</v>
      </c>
      <c r="H8">
        <f t="shared" si="1"/>
        <v>84400</v>
      </c>
      <c r="I8">
        <f t="shared" si="1"/>
        <v>84400</v>
      </c>
    </row>
    <row r="9" spans="1:21" ht="15">
      <c r="A9" s="150"/>
      <c r="B9" s="63" t="s">
        <v>520</v>
      </c>
      <c r="C9" s="67">
        <v>40000</v>
      </c>
      <c r="D9" s="67">
        <f>(3*3100+9*3300+1.2+1.2+2)+14000+3000</f>
        <v>56004.399999999994</v>
      </c>
      <c r="E9" s="67">
        <v>45000</v>
      </c>
      <c r="F9" s="67">
        <v>45000</v>
      </c>
      <c r="G9" s="67">
        <v>45000</v>
      </c>
      <c r="H9" s="67">
        <v>45000</v>
      </c>
      <c r="I9" s="67">
        <v>45000</v>
      </c>
    </row>
    <row r="12" spans="1:21" ht="15">
      <c r="A12" s="123" t="s">
        <v>467</v>
      </c>
      <c r="B12" s="124" t="s">
        <v>482</v>
      </c>
      <c r="C12" s="130">
        <f>(2/12)*7600</f>
        <v>1266.6666666666665</v>
      </c>
      <c r="D12">
        <v>7600</v>
      </c>
      <c r="E12">
        <v>7600</v>
      </c>
      <c r="F12">
        <v>7600</v>
      </c>
      <c r="G12">
        <v>7600</v>
      </c>
      <c r="H12">
        <v>7600</v>
      </c>
      <c r="I12">
        <v>7600</v>
      </c>
      <c r="J12">
        <v>7600</v>
      </c>
      <c r="K12">
        <v>7600</v>
      </c>
      <c r="L12">
        <v>7600</v>
      </c>
      <c r="M12">
        <v>7600</v>
      </c>
      <c r="N12">
        <v>7600</v>
      </c>
      <c r="O12">
        <v>7600</v>
      </c>
      <c r="P12">
        <v>7600</v>
      </c>
      <c r="Q12">
        <v>7600</v>
      </c>
      <c r="R12">
        <v>7600</v>
      </c>
      <c r="S12">
        <v>7600</v>
      </c>
      <c r="T12">
        <v>7600</v>
      </c>
      <c r="U12">
        <v>7600</v>
      </c>
    </row>
    <row r="13" spans="1:21" ht="15">
      <c r="A13" s="123"/>
      <c r="B13" s="63" t="s">
        <v>480</v>
      </c>
      <c r="E13">
        <f>20000/20</f>
        <v>1000</v>
      </c>
      <c r="F13">
        <f t="shared" ref="F13:U13" si="2">20000/20</f>
        <v>1000</v>
      </c>
      <c r="G13">
        <f t="shared" si="2"/>
        <v>1000</v>
      </c>
      <c r="H13">
        <f t="shared" si="2"/>
        <v>1000</v>
      </c>
      <c r="I13">
        <f t="shared" si="2"/>
        <v>1000</v>
      </c>
      <c r="J13">
        <f t="shared" si="2"/>
        <v>1000</v>
      </c>
      <c r="K13">
        <f t="shared" si="2"/>
        <v>1000</v>
      </c>
      <c r="L13">
        <f t="shared" si="2"/>
        <v>1000</v>
      </c>
      <c r="M13">
        <f t="shared" si="2"/>
        <v>1000</v>
      </c>
      <c r="N13">
        <f t="shared" si="2"/>
        <v>1000</v>
      </c>
      <c r="O13">
        <f t="shared" si="2"/>
        <v>1000</v>
      </c>
      <c r="P13">
        <f t="shared" si="2"/>
        <v>1000</v>
      </c>
      <c r="Q13">
        <f t="shared" si="2"/>
        <v>1000</v>
      </c>
      <c r="R13">
        <f t="shared" si="2"/>
        <v>1000</v>
      </c>
      <c r="S13">
        <f t="shared" si="2"/>
        <v>1000</v>
      </c>
      <c r="T13">
        <f t="shared" si="2"/>
        <v>1000</v>
      </c>
      <c r="U13">
        <f t="shared" si="2"/>
        <v>1000</v>
      </c>
    </row>
    <row r="14" spans="1:21" ht="15">
      <c r="A14" s="123"/>
      <c r="B14" s="63" t="s">
        <v>481</v>
      </c>
      <c r="D14">
        <f>19000/10</f>
        <v>1900</v>
      </c>
      <c r="E14">
        <f t="shared" ref="E14:M14" si="3">19000/10</f>
        <v>1900</v>
      </c>
      <c r="F14">
        <f t="shared" si="3"/>
        <v>1900</v>
      </c>
      <c r="G14">
        <f t="shared" si="3"/>
        <v>1900</v>
      </c>
      <c r="H14">
        <f t="shared" si="3"/>
        <v>1900</v>
      </c>
      <c r="I14">
        <f t="shared" si="3"/>
        <v>1900</v>
      </c>
      <c r="J14">
        <f t="shared" si="3"/>
        <v>1900</v>
      </c>
      <c r="K14">
        <f t="shared" si="3"/>
        <v>1900</v>
      </c>
      <c r="L14">
        <f t="shared" si="3"/>
        <v>1900</v>
      </c>
      <c r="M14">
        <f t="shared" si="3"/>
        <v>1900</v>
      </c>
      <c r="N14">
        <v>0</v>
      </c>
    </row>
    <row r="15" spans="1:21" ht="15">
      <c r="A15" s="123"/>
      <c r="B15" s="63" t="s">
        <v>504</v>
      </c>
      <c r="D15">
        <v>802</v>
      </c>
      <c r="E15">
        <v>802</v>
      </c>
      <c r="F15">
        <v>802</v>
      </c>
      <c r="G15">
        <v>802</v>
      </c>
      <c r="H15">
        <v>802</v>
      </c>
      <c r="I15">
        <v>802</v>
      </c>
      <c r="J15">
        <v>802</v>
      </c>
      <c r="K15">
        <v>802</v>
      </c>
      <c r="L15">
        <v>802</v>
      </c>
      <c r="M15">
        <v>802</v>
      </c>
      <c r="N15">
        <v>802</v>
      </c>
      <c r="O15">
        <v>802</v>
      </c>
      <c r="P15">
        <v>802</v>
      </c>
      <c r="Q15">
        <v>802</v>
      </c>
      <c r="R15">
        <v>802</v>
      </c>
      <c r="S15">
        <v>802</v>
      </c>
      <c r="T15">
        <v>802</v>
      </c>
      <c r="U15">
        <v>802</v>
      </c>
    </row>
    <row r="16" spans="1:21" ht="15">
      <c r="A16" s="123"/>
      <c r="B16" s="63" t="s">
        <v>470</v>
      </c>
    </row>
    <row r="17" spans="1:21" ht="15">
      <c r="A17" s="123"/>
      <c r="B17" s="63" t="s">
        <v>531</v>
      </c>
      <c r="C17" s="130">
        <v>2022.15</v>
      </c>
      <c r="D17">
        <f>800+40</f>
        <v>840</v>
      </c>
      <c r="E17">
        <v>0</v>
      </c>
    </row>
    <row r="18" spans="1:21" ht="15">
      <c r="A18" s="123"/>
      <c r="B18" s="63" t="s">
        <v>532</v>
      </c>
      <c r="D18">
        <v>5000</v>
      </c>
    </row>
    <row r="19" spans="1:21" ht="15">
      <c r="A19" s="123"/>
      <c r="B19" s="63" t="s">
        <v>483</v>
      </c>
      <c r="E19">
        <v>5000</v>
      </c>
    </row>
    <row r="20" spans="1:21" ht="15">
      <c r="A20" s="123"/>
      <c r="B20" s="124" t="s">
        <v>479</v>
      </c>
      <c r="D20">
        <v>7000</v>
      </c>
    </row>
    <row r="21" spans="1:21" ht="15">
      <c r="A21" s="123"/>
      <c r="B21" s="63" t="s">
        <v>490</v>
      </c>
    </row>
    <row r="22" spans="1:21" ht="15">
      <c r="A22" s="123"/>
      <c r="B22" s="63"/>
    </row>
    <row r="23" spans="1:21" ht="15">
      <c r="A23" s="123"/>
      <c r="B23" s="63" t="s">
        <v>426</v>
      </c>
      <c r="C23" s="130">
        <f>SUM(C12:C22)</f>
        <v>3288.8166666666666</v>
      </c>
      <c r="D23">
        <f>SUM(D12:D22)</f>
        <v>23142</v>
      </c>
      <c r="E23">
        <f>SUM(E12:E22)</f>
        <v>16302</v>
      </c>
      <c r="F23">
        <f t="shared" ref="F23:M23" si="4">SUM(F12:F22)</f>
        <v>11302</v>
      </c>
      <c r="G23">
        <f t="shared" si="4"/>
        <v>11302</v>
      </c>
      <c r="H23">
        <f t="shared" si="4"/>
        <v>11302</v>
      </c>
      <c r="I23">
        <f t="shared" si="4"/>
        <v>11302</v>
      </c>
      <c r="J23">
        <f t="shared" si="4"/>
        <v>11302</v>
      </c>
      <c r="K23">
        <f t="shared" si="4"/>
        <v>11302</v>
      </c>
      <c r="L23">
        <f t="shared" si="4"/>
        <v>11302</v>
      </c>
      <c r="M23">
        <f t="shared" si="4"/>
        <v>11302</v>
      </c>
      <c r="N23">
        <f t="shared" ref="N23:U23" si="5">SUM(N12:N22)</f>
        <v>9402</v>
      </c>
      <c r="O23">
        <f t="shared" si="5"/>
        <v>9402</v>
      </c>
      <c r="P23">
        <f t="shared" si="5"/>
        <v>9402</v>
      </c>
      <c r="Q23">
        <f t="shared" si="5"/>
        <v>9402</v>
      </c>
      <c r="R23">
        <f t="shared" si="5"/>
        <v>9402</v>
      </c>
      <c r="S23">
        <f t="shared" si="5"/>
        <v>9402</v>
      </c>
      <c r="T23">
        <f t="shared" si="5"/>
        <v>9402</v>
      </c>
      <c r="U23">
        <f t="shared" si="5"/>
        <v>9402</v>
      </c>
    </row>
    <row r="29" spans="1:21" ht="15">
      <c r="A29" s="151" t="s">
        <v>467</v>
      </c>
      <c r="B29" s="124" t="s">
        <v>484</v>
      </c>
      <c r="C29" s="130">
        <v>30</v>
      </c>
    </row>
    <row r="30" spans="1:21" ht="15">
      <c r="A30" s="151"/>
      <c r="B30" s="63"/>
    </row>
    <row r="31" spans="1:21" ht="15">
      <c r="A31" s="151"/>
      <c r="B31" s="63"/>
    </row>
    <row r="32" spans="1:21" ht="15">
      <c r="A32" s="151"/>
      <c r="B32" s="63"/>
    </row>
    <row r="33" spans="1:8" ht="15">
      <c r="A33" s="151"/>
      <c r="B33" s="63"/>
    </row>
    <row r="34" spans="1:8" ht="15">
      <c r="A34" s="151"/>
      <c r="B34" s="63"/>
    </row>
    <row r="35" spans="1:8" ht="15">
      <c r="A35" s="151"/>
      <c r="B35" s="63"/>
    </row>
    <row r="36" spans="1:8" ht="15">
      <c r="A36" s="151"/>
      <c r="B36" s="124"/>
    </row>
    <row r="37" spans="1:8" ht="15">
      <c r="A37" s="151"/>
      <c r="B37" s="63"/>
    </row>
    <row r="38" spans="1:8" ht="15">
      <c r="A38" s="151"/>
      <c r="B38" s="63"/>
    </row>
    <row r="39" spans="1:8" ht="15">
      <c r="A39" s="151"/>
      <c r="B39" s="63" t="s">
        <v>426</v>
      </c>
      <c r="C39" s="130">
        <f>SUM(C29:C38)</f>
        <v>30</v>
      </c>
      <c r="D39" s="130">
        <f t="shared" ref="D39:H39" si="6">SUM(D29:D38)</f>
        <v>0</v>
      </c>
      <c r="E39" s="130">
        <f t="shared" si="6"/>
        <v>0</v>
      </c>
      <c r="F39" s="130">
        <f t="shared" si="6"/>
        <v>0</v>
      </c>
      <c r="G39" s="130">
        <f t="shared" si="6"/>
        <v>0</v>
      </c>
      <c r="H39" s="130">
        <f t="shared" si="6"/>
        <v>0</v>
      </c>
    </row>
  </sheetData>
  <mergeCells count="1">
    <mergeCell ref="A2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Z20"/>
  <sheetViews>
    <sheetView topLeftCell="N1" workbookViewId="0">
      <selection activeCell="Z6" sqref="Z6"/>
    </sheetView>
  </sheetViews>
  <sheetFormatPr defaultRowHeight="12.75"/>
  <cols>
    <col min="1" max="1" width="7.5703125" style="165" customWidth="1"/>
    <col min="2" max="2" width="15.140625" style="162" customWidth="1"/>
    <col min="3" max="3" width="12.5703125" style="46" customWidth="1"/>
    <col min="4" max="4" width="10.5703125" style="46" customWidth="1"/>
    <col min="5" max="5" width="13.85546875" style="80" customWidth="1"/>
    <col min="6" max="6" width="8" style="81" customWidth="1"/>
    <col min="7" max="7" width="11.5703125" style="82" customWidth="1"/>
    <col min="8" max="8" width="9.85546875" style="152" customWidth="1"/>
    <col min="9" max="9" width="9.85546875" style="167" customWidth="1"/>
    <col min="10" max="10" width="10" style="82" customWidth="1"/>
    <col min="11" max="11" width="11.28515625" style="83" customWidth="1"/>
    <col min="12" max="12" width="13.85546875" style="160" customWidth="1"/>
    <col min="13" max="13" width="11.140625" style="80" customWidth="1"/>
    <col min="14" max="14" width="21.42578125" customWidth="1"/>
    <col min="20" max="20" width="12.85546875" customWidth="1"/>
    <col min="21" max="21" width="12.5703125" customWidth="1"/>
    <col min="22" max="22" width="14.42578125" customWidth="1"/>
  </cols>
  <sheetData>
    <row r="1" spans="1:26" ht="14.25">
      <c r="A1" s="163" t="s">
        <v>244</v>
      </c>
      <c r="B1" s="161" t="s">
        <v>250</v>
      </c>
      <c r="C1" s="153" t="s">
        <v>505</v>
      </c>
      <c r="D1" s="153" t="s">
        <v>249</v>
      </c>
      <c r="E1" s="154" t="s">
        <v>246</v>
      </c>
      <c r="F1" s="155" t="s">
        <v>245</v>
      </c>
      <c r="G1" s="156" t="s">
        <v>524</v>
      </c>
      <c r="H1" s="157" t="s">
        <v>526</v>
      </c>
      <c r="I1" s="166" t="s">
        <v>527</v>
      </c>
      <c r="J1" s="156" t="s">
        <v>525</v>
      </c>
      <c r="K1" s="158" t="s">
        <v>342</v>
      </c>
      <c r="L1" s="159" t="s">
        <v>247</v>
      </c>
      <c r="M1" s="154" t="s">
        <v>248</v>
      </c>
      <c r="N1" s="76" t="s">
        <v>420</v>
      </c>
      <c r="O1" s="76"/>
      <c r="P1" s="76"/>
      <c r="T1" s="76" t="s">
        <v>457</v>
      </c>
      <c r="U1" s="76" t="s">
        <v>458</v>
      </c>
      <c r="V1" s="76" t="s">
        <v>459</v>
      </c>
      <c r="X1" s="46"/>
      <c r="Y1" s="181" t="s">
        <v>541</v>
      </c>
      <c r="Z1" s="181" t="s">
        <v>545</v>
      </c>
    </row>
    <row r="2" spans="1:26" ht="15">
      <c r="A2" s="164">
        <v>2024</v>
      </c>
      <c r="B2" s="78">
        <f>65+90</f>
        <v>155</v>
      </c>
      <c r="C2" s="46">
        <f>13*3.05+1</f>
        <v>40.65</v>
      </c>
      <c r="D2" s="46">
        <f>13*3.5+7</f>
        <v>52.5</v>
      </c>
      <c r="E2" s="79">
        <f t="shared" ref="E2:E13" si="0">C2+D2</f>
        <v>93.15</v>
      </c>
      <c r="F2" s="81">
        <f>12*1.2</f>
        <v>14.399999999999999</v>
      </c>
      <c r="G2" s="82">
        <f>12*0.4</f>
        <v>4.8000000000000007</v>
      </c>
      <c r="H2" s="152">
        <f>12*0.6</f>
        <v>7.1999999999999993</v>
      </c>
      <c r="I2" s="167">
        <f>12*0.2</f>
        <v>2.4000000000000004</v>
      </c>
      <c r="K2" s="83">
        <v>10</v>
      </c>
      <c r="L2" s="160">
        <f>SUM(F2:K2)</f>
        <v>38.799999999999997</v>
      </c>
      <c r="M2" s="80">
        <f t="shared" ref="M2:M13" si="1">E2-L2</f>
        <v>54.350000000000009</v>
      </c>
      <c r="T2" s="46"/>
      <c r="U2" s="46">
        <v>50</v>
      </c>
      <c r="V2" s="46"/>
      <c r="X2" s="46" t="s">
        <v>542</v>
      </c>
      <c r="Y2" s="46">
        <f>12*1150-Z2</f>
        <v>6960</v>
      </c>
      <c r="Z2" s="46">
        <f>12*570</f>
        <v>6840</v>
      </c>
    </row>
    <row r="3" spans="1:26" ht="15">
      <c r="A3" s="164">
        <v>2025</v>
      </c>
      <c r="B3" s="78">
        <f>((3*5)+(9*5.5)+5000+1.2+1.2)+90</f>
        <v>5156.8999999999996</v>
      </c>
      <c r="C3" s="46">
        <f>(3*3.1+9*3.25+2+1)</f>
        <v>41.55</v>
      </c>
      <c r="D3" s="46">
        <f>12*3.7+6</f>
        <v>50.400000000000006</v>
      </c>
      <c r="E3" s="79">
        <f t="shared" si="0"/>
        <v>91.95</v>
      </c>
      <c r="F3" s="81">
        <f>12*1.2</f>
        <v>14.399999999999999</v>
      </c>
      <c r="G3" s="82">
        <f>12*0.4</f>
        <v>4.8000000000000007</v>
      </c>
      <c r="H3" s="152">
        <f>12*0.7</f>
        <v>8.3999999999999986</v>
      </c>
      <c r="I3" s="167">
        <f>12*0.23</f>
        <v>2.7600000000000002</v>
      </c>
      <c r="J3" s="82">
        <v>0</v>
      </c>
      <c r="K3" s="83">
        <v>10</v>
      </c>
      <c r="L3" s="160">
        <f>SUM(F3:K3)</f>
        <v>40.36</v>
      </c>
      <c r="M3" s="80">
        <f t="shared" si="1"/>
        <v>51.59</v>
      </c>
      <c r="N3" t="s">
        <v>523</v>
      </c>
      <c r="T3" s="46">
        <v>300</v>
      </c>
      <c r="U3" s="46">
        <v>70</v>
      </c>
      <c r="V3" s="46">
        <f>T3+U3</f>
        <v>370</v>
      </c>
      <c r="X3" s="46" t="s">
        <v>543</v>
      </c>
      <c r="Y3" s="46">
        <f>12*20</f>
        <v>240</v>
      </c>
      <c r="Z3" s="46"/>
    </row>
    <row r="4" spans="1:26" ht="15">
      <c r="A4" s="164">
        <v>2026</v>
      </c>
      <c r="B4" s="78">
        <f>((13*5)+1.2+1.2)+90</f>
        <v>157.4</v>
      </c>
      <c r="C4" s="46">
        <f>12*3.2+4</f>
        <v>42.400000000000006</v>
      </c>
      <c r="D4" s="46">
        <f>12*3.7+6</f>
        <v>50.400000000000006</v>
      </c>
      <c r="E4" s="79">
        <f t="shared" si="0"/>
        <v>92.800000000000011</v>
      </c>
      <c r="F4" s="81">
        <f>12*1.5</f>
        <v>18</v>
      </c>
      <c r="G4" s="82">
        <v>8</v>
      </c>
      <c r="H4" s="152">
        <f>12*0.75</f>
        <v>9</v>
      </c>
      <c r="I4" s="167">
        <f>12*0.25</f>
        <v>3</v>
      </c>
      <c r="J4" s="82">
        <f>20+20</f>
        <v>40</v>
      </c>
      <c r="K4" s="83">
        <v>12</v>
      </c>
      <c r="L4" s="160">
        <f>SUM(F4:K4)</f>
        <v>90</v>
      </c>
      <c r="M4" s="80">
        <f t="shared" si="1"/>
        <v>2.8000000000000114</v>
      </c>
      <c r="N4" t="s">
        <v>421</v>
      </c>
      <c r="T4" s="46">
        <v>330</v>
      </c>
      <c r="U4" s="46">
        <v>90</v>
      </c>
      <c r="V4" s="46">
        <f t="shared" ref="V4:V13" si="2">T4+U4</f>
        <v>420</v>
      </c>
      <c r="X4" s="46" t="s">
        <v>544</v>
      </c>
      <c r="Y4" s="46">
        <f>120</f>
        <v>120</v>
      </c>
      <c r="Z4" s="46"/>
    </row>
    <row r="5" spans="1:26" ht="15">
      <c r="A5" s="164">
        <v>2027</v>
      </c>
      <c r="B5" s="78">
        <f>68+92</f>
        <v>160</v>
      </c>
      <c r="E5" s="79">
        <f t="shared" si="0"/>
        <v>0</v>
      </c>
      <c r="F5" s="81">
        <v>30</v>
      </c>
      <c r="G5" s="82">
        <v>8</v>
      </c>
      <c r="K5" s="83">
        <v>15</v>
      </c>
      <c r="L5" s="160">
        <f t="shared" ref="L5:L13" si="3">SUM(F5:K5)</f>
        <v>53</v>
      </c>
      <c r="M5" s="80">
        <f t="shared" si="1"/>
        <v>-53</v>
      </c>
      <c r="T5" s="46">
        <v>360</v>
      </c>
      <c r="U5" s="46">
        <v>110</v>
      </c>
      <c r="V5" s="46">
        <f t="shared" si="2"/>
        <v>470</v>
      </c>
      <c r="X5" s="46" t="s">
        <v>546</v>
      </c>
      <c r="Y5" s="46"/>
      <c r="Z5" s="46">
        <f>12*53</f>
        <v>636</v>
      </c>
    </row>
    <row r="6" spans="1:26" ht="15">
      <c r="A6" s="164">
        <v>2028</v>
      </c>
      <c r="B6" s="78">
        <f>68+92</f>
        <v>160</v>
      </c>
      <c r="E6" s="79">
        <f t="shared" si="0"/>
        <v>0</v>
      </c>
      <c r="F6" s="81">
        <v>30</v>
      </c>
      <c r="G6" s="82">
        <v>8</v>
      </c>
      <c r="K6" s="83">
        <v>15</v>
      </c>
      <c r="L6" s="160">
        <f t="shared" si="3"/>
        <v>53</v>
      </c>
      <c r="M6" s="80">
        <f t="shared" si="1"/>
        <v>-53</v>
      </c>
      <c r="T6" s="46">
        <v>400</v>
      </c>
      <c r="U6" s="46">
        <v>130</v>
      </c>
      <c r="V6" s="46">
        <f t="shared" si="2"/>
        <v>530</v>
      </c>
      <c r="X6" s="46" t="s">
        <v>547</v>
      </c>
      <c r="Y6" s="46"/>
      <c r="Z6" s="46">
        <f>12*50</f>
        <v>600</v>
      </c>
    </row>
    <row r="7" spans="1:26" ht="15">
      <c r="A7" s="164">
        <v>2029</v>
      </c>
      <c r="B7" s="78">
        <f>68+92</f>
        <v>160</v>
      </c>
      <c r="E7" s="79">
        <f t="shared" si="0"/>
        <v>0</v>
      </c>
      <c r="F7" s="81">
        <v>30</v>
      </c>
      <c r="G7" s="82">
        <v>8</v>
      </c>
      <c r="K7" s="83">
        <v>20</v>
      </c>
      <c r="L7" s="160">
        <f t="shared" si="3"/>
        <v>58</v>
      </c>
      <c r="M7" s="80">
        <f t="shared" si="1"/>
        <v>-58</v>
      </c>
      <c r="T7" s="46">
        <v>440</v>
      </c>
      <c r="U7" s="46">
        <v>150</v>
      </c>
      <c r="V7" s="46">
        <f t="shared" si="2"/>
        <v>590</v>
      </c>
      <c r="X7" s="46"/>
      <c r="Y7" s="46"/>
      <c r="Z7" s="46">
        <f>-12*50</f>
        <v>-600</v>
      </c>
    </row>
    <row r="8" spans="1:26" ht="15">
      <c r="A8" s="164">
        <v>2030</v>
      </c>
      <c r="B8" s="78">
        <f>68+92</f>
        <v>160</v>
      </c>
      <c r="E8" s="79">
        <f t="shared" si="0"/>
        <v>0</v>
      </c>
      <c r="F8" s="81">
        <v>30</v>
      </c>
      <c r="G8" s="82">
        <v>8</v>
      </c>
      <c r="K8" s="83">
        <v>20</v>
      </c>
      <c r="L8" s="160">
        <f t="shared" si="3"/>
        <v>58</v>
      </c>
      <c r="M8" s="80">
        <f t="shared" si="1"/>
        <v>-58</v>
      </c>
      <c r="T8" s="46">
        <v>480</v>
      </c>
      <c r="U8" s="46">
        <v>180</v>
      </c>
      <c r="V8" s="46">
        <f t="shared" si="2"/>
        <v>660</v>
      </c>
      <c r="X8" s="46" t="s">
        <v>548</v>
      </c>
      <c r="Y8" s="46">
        <f>SUM(Y2:Y7)</f>
        <v>7320</v>
      </c>
      <c r="Z8" s="46">
        <f>SUM(Z2:Z7)</f>
        <v>7476</v>
      </c>
    </row>
    <row r="9" spans="1:26" ht="15">
      <c r="A9" s="164">
        <v>2031</v>
      </c>
      <c r="B9" s="78">
        <v>220</v>
      </c>
      <c r="E9" s="79">
        <f t="shared" si="0"/>
        <v>0</v>
      </c>
      <c r="F9" s="81">
        <v>30</v>
      </c>
      <c r="G9" s="82">
        <v>8</v>
      </c>
      <c r="K9" s="83">
        <v>20</v>
      </c>
      <c r="L9" s="160">
        <f t="shared" si="3"/>
        <v>58</v>
      </c>
      <c r="M9" s="80">
        <f t="shared" si="1"/>
        <v>-58</v>
      </c>
      <c r="T9" s="46">
        <v>520</v>
      </c>
      <c r="U9" s="46">
        <v>200</v>
      </c>
      <c r="V9" s="46">
        <f t="shared" si="2"/>
        <v>720</v>
      </c>
    </row>
    <row r="10" spans="1:26" ht="15">
      <c r="A10" s="164">
        <v>2032</v>
      </c>
      <c r="B10" s="78">
        <v>220</v>
      </c>
      <c r="E10" s="79">
        <f t="shared" si="0"/>
        <v>0</v>
      </c>
      <c r="F10" s="81">
        <v>30</v>
      </c>
      <c r="G10" s="82">
        <v>25</v>
      </c>
      <c r="K10" s="83">
        <v>20</v>
      </c>
      <c r="L10" s="160">
        <f t="shared" si="3"/>
        <v>75</v>
      </c>
      <c r="M10" s="80">
        <f t="shared" si="1"/>
        <v>-75</v>
      </c>
      <c r="T10" s="46">
        <v>600</v>
      </c>
      <c r="U10" s="46">
        <v>220</v>
      </c>
      <c r="V10" s="46">
        <f t="shared" si="2"/>
        <v>820</v>
      </c>
    </row>
    <row r="11" spans="1:26" ht="15">
      <c r="A11" s="164">
        <v>2033</v>
      </c>
      <c r="B11" s="78">
        <v>220</v>
      </c>
      <c r="E11" s="79">
        <f t="shared" si="0"/>
        <v>0</v>
      </c>
      <c r="F11" s="81">
        <v>30</v>
      </c>
      <c r="G11" s="82">
        <v>25</v>
      </c>
      <c r="K11" s="83">
        <v>20</v>
      </c>
      <c r="L11" s="160">
        <f t="shared" si="3"/>
        <v>75</v>
      </c>
      <c r="M11" s="80">
        <f t="shared" si="1"/>
        <v>-75</v>
      </c>
      <c r="T11" s="46">
        <v>650</v>
      </c>
      <c r="U11" s="46">
        <v>250</v>
      </c>
      <c r="V11" s="46">
        <f t="shared" si="2"/>
        <v>900</v>
      </c>
    </row>
    <row r="12" spans="1:26" ht="15">
      <c r="A12" s="164">
        <v>2034</v>
      </c>
      <c r="B12" s="78">
        <v>220</v>
      </c>
      <c r="E12" s="79">
        <f t="shared" si="0"/>
        <v>0</v>
      </c>
      <c r="F12" s="81">
        <v>30</v>
      </c>
      <c r="G12" s="82">
        <v>25</v>
      </c>
      <c r="K12" s="83">
        <v>20</v>
      </c>
      <c r="L12" s="160">
        <f t="shared" si="3"/>
        <v>75</v>
      </c>
      <c r="M12" s="80">
        <f t="shared" si="1"/>
        <v>-75</v>
      </c>
      <c r="T12" s="46">
        <v>700</v>
      </c>
      <c r="U12" s="46">
        <v>260</v>
      </c>
      <c r="V12" s="46">
        <f t="shared" si="2"/>
        <v>960</v>
      </c>
    </row>
    <row r="13" spans="1:26" ht="15">
      <c r="A13" s="164">
        <v>2035</v>
      </c>
      <c r="B13" s="78">
        <v>220</v>
      </c>
      <c r="E13" s="79">
        <f t="shared" si="0"/>
        <v>0</v>
      </c>
      <c r="F13" s="81">
        <v>30</v>
      </c>
      <c r="G13" s="82">
        <v>25</v>
      </c>
      <c r="K13" s="83">
        <v>20</v>
      </c>
      <c r="L13" s="160">
        <f t="shared" si="3"/>
        <v>75</v>
      </c>
      <c r="M13" s="80">
        <f t="shared" si="1"/>
        <v>-75</v>
      </c>
      <c r="T13" s="46">
        <v>720</v>
      </c>
      <c r="U13" s="46">
        <v>280</v>
      </c>
      <c r="V13" s="46">
        <f t="shared" si="2"/>
        <v>1000</v>
      </c>
    </row>
    <row r="14" spans="1:26">
      <c r="T14" s="46"/>
      <c r="U14" s="46"/>
    </row>
    <row r="15" spans="1:26">
      <c r="T15" s="46"/>
      <c r="U15" s="46"/>
    </row>
    <row r="16" spans="1:26">
      <c r="T16" s="46"/>
      <c r="U16" s="46"/>
    </row>
    <row r="17" spans="20:21">
      <c r="T17" s="46"/>
      <c r="U17" s="46"/>
    </row>
    <row r="18" spans="20:21">
      <c r="T18" s="46"/>
      <c r="U18" s="46"/>
    </row>
    <row r="19" spans="20:21">
      <c r="T19" s="46"/>
      <c r="U19" s="46"/>
    </row>
    <row r="20" spans="20:21">
      <c r="T20" s="46"/>
      <c r="U20" s="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Portfolio Ned</vt:lpstr>
      <vt:lpstr>Dividends per year</vt:lpstr>
      <vt:lpstr>Performance Action tracker</vt:lpstr>
      <vt:lpstr>Dividendenkalender</vt:lpstr>
      <vt:lpstr>Trading_Calc</vt:lpstr>
      <vt:lpstr>Portfolio_NW</vt:lpstr>
      <vt:lpstr>Portfolio_Ni</vt:lpstr>
      <vt:lpstr>Income_Ned</vt:lpstr>
      <vt:lpstr>Living_costs</vt:lpstr>
      <vt:lpstr>Apartment1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2025-02-12T15:46:03Z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