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481" documentId="11_0B82D11B6A48B65002E97C353EDCE6B220F4367A" xr6:coauthVersionLast="47" xr6:coauthVersionMax="47" xr10:uidLastSave="{E8A842D9-66F5-44D0-904F-1B4737431A0C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years Action track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4" i="1"/>
  <c r="H18" i="1"/>
  <c r="H35" i="1"/>
  <c r="H53" i="1"/>
  <c r="H19" i="1"/>
  <c r="H28" i="1"/>
  <c r="H66" i="1"/>
  <c r="H43" i="1"/>
  <c r="H88" i="1"/>
  <c r="J88" i="1" s="1"/>
  <c r="H32" i="1"/>
  <c r="H22" i="1"/>
  <c r="H33" i="1"/>
  <c r="H2" i="1"/>
  <c r="H54" i="1"/>
  <c r="H69" i="1"/>
  <c r="C69" i="2" s="1"/>
  <c r="B69" i="2" s="1"/>
  <c r="H68" i="1"/>
  <c r="J68" i="1" s="1"/>
  <c r="H61" i="1"/>
  <c r="C61" i="2" s="1"/>
  <c r="B61" i="2" s="1"/>
  <c r="H24" i="1"/>
  <c r="C24" i="2" s="1"/>
  <c r="B24" i="2" s="1"/>
  <c r="H58" i="1"/>
  <c r="H15" i="1"/>
  <c r="H26" i="1"/>
  <c r="C26" i="2" s="1"/>
  <c r="B26" i="2" s="1"/>
  <c r="H84" i="1"/>
  <c r="H97" i="1"/>
  <c r="J97" i="1" s="1"/>
  <c r="H5" i="1"/>
  <c r="C5" i="2" s="1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 s="1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H107" i="1"/>
  <c r="C107" i="2" s="1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G97" i="1"/>
  <c r="H96" i="1"/>
  <c r="J96" i="1" s="1"/>
  <c r="G96" i="1"/>
  <c r="H95" i="1"/>
  <c r="J95" i="1" s="1"/>
  <c r="G95" i="1"/>
  <c r="H94" i="1"/>
  <c r="C94" i="2" s="1"/>
  <c r="B94" i="2" s="1"/>
  <c r="G94" i="1"/>
  <c r="H93" i="1"/>
  <c r="C93" i="2" s="1"/>
  <c r="B93" i="2" s="1"/>
  <c r="G93" i="1"/>
  <c r="H92" i="1"/>
  <c r="J92" i="1" s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J84" i="1"/>
  <c r="G84" i="1"/>
  <c r="H83" i="1"/>
  <c r="J83" i="1" s="1"/>
  <c r="G83" i="1"/>
  <c r="I83" i="1" s="1"/>
  <c r="H82" i="1"/>
  <c r="G82" i="1"/>
  <c r="H81" i="1"/>
  <c r="C81" i="2" s="1"/>
  <c r="B81" i="2" s="1"/>
  <c r="G81" i="1"/>
  <c r="H80" i="1"/>
  <c r="C80" i="2" s="1"/>
  <c r="B80" i="2" s="1"/>
  <c r="G80" i="1"/>
  <c r="H79" i="1"/>
  <c r="J79" i="1" s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I75" i="1" s="1"/>
  <c r="H74" i="1"/>
  <c r="G74" i="1"/>
  <c r="H73" i="1"/>
  <c r="C73" i="2" s="1"/>
  <c r="B73" i="2" s="1"/>
  <c r="G73" i="1"/>
  <c r="H72" i="1"/>
  <c r="C72" i="2" s="1"/>
  <c r="B72" i="2" s="1"/>
  <c r="G72" i="1"/>
  <c r="H71" i="1"/>
  <c r="C71" i="2" s="1"/>
  <c r="B71" i="2" s="1"/>
  <c r="G71" i="1"/>
  <c r="H70" i="1"/>
  <c r="G70" i="1"/>
  <c r="G69" i="1"/>
  <c r="G68" i="1"/>
  <c r="H67" i="1"/>
  <c r="J67" i="1" s="1"/>
  <c r="G67" i="1"/>
  <c r="G66" i="1"/>
  <c r="H65" i="1"/>
  <c r="C65" i="2" s="1"/>
  <c r="B65" i="2" s="1"/>
  <c r="G65" i="1"/>
  <c r="H64" i="1"/>
  <c r="C64" i="2" s="1"/>
  <c r="B64" i="2" s="1"/>
  <c r="G64" i="1"/>
  <c r="H63" i="1"/>
  <c r="J63" i="1" s="1"/>
  <c r="G63" i="1"/>
  <c r="I63" i="1" s="1"/>
  <c r="H62" i="1"/>
  <c r="G62" i="1"/>
  <c r="G61" i="1"/>
  <c r="H60" i="1"/>
  <c r="J60" i="1" s="1"/>
  <c r="G60" i="1"/>
  <c r="H59" i="1"/>
  <c r="C59" i="2" s="1"/>
  <c r="B59" i="2" s="1"/>
  <c r="G59" i="1"/>
  <c r="G58" i="1"/>
  <c r="I58" i="1" s="1"/>
  <c r="H57" i="1"/>
  <c r="J57" i="1" s="1"/>
  <c r="G57" i="1"/>
  <c r="H56" i="1"/>
  <c r="C56" i="2" s="1"/>
  <c r="B56" i="2" s="1"/>
  <c r="G56" i="1"/>
  <c r="H55" i="1"/>
  <c r="J55" i="1" s="1"/>
  <c r="G55" i="1"/>
  <c r="C54" i="2"/>
  <c r="B54" i="2" s="1"/>
  <c r="G54" i="1"/>
  <c r="G53" i="1"/>
  <c r="H52" i="1"/>
  <c r="G52" i="1"/>
  <c r="I52" i="1" s="1"/>
  <c r="H51" i="1"/>
  <c r="C51" i="2" s="1"/>
  <c r="B51" i="2" s="1"/>
  <c r="G51" i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H46" i="1"/>
  <c r="C46" i="2" s="1"/>
  <c r="B46" i="2" s="1"/>
  <c r="G46" i="1"/>
  <c r="H45" i="1"/>
  <c r="J45" i="1" s="1"/>
  <c r="G45" i="1"/>
  <c r="H44" i="1"/>
  <c r="G44" i="1"/>
  <c r="C43" i="2"/>
  <c r="B43" i="2" s="1"/>
  <c r="G43" i="1"/>
  <c r="H42" i="1"/>
  <c r="C42" i="2" s="1"/>
  <c r="B42" i="2" s="1"/>
  <c r="G42" i="1"/>
  <c r="H41" i="1"/>
  <c r="G41" i="1"/>
  <c r="H40" i="1"/>
  <c r="G40" i="1"/>
  <c r="H39" i="1"/>
  <c r="J39" i="1" s="1"/>
  <c r="G39" i="1"/>
  <c r="H38" i="1"/>
  <c r="C38" i="2" s="1"/>
  <c r="B38" i="2" s="1"/>
  <c r="G38" i="1"/>
  <c r="J37" i="1"/>
  <c r="G37" i="1"/>
  <c r="H36" i="1"/>
  <c r="C36" i="2" s="1"/>
  <c r="B36" i="2" s="1"/>
  <c r="G36" i="1"/>
  <c r="J35" i="1"/>
  <c r="G35" i="1"/>
  <c r="H34" i="1"/>
  <c r="C34" i="2" s="1"/>
  <c r="B34" i="2" s="1"/>
  <c r="G34" i="1"/>
  <c r="J33" i="1"/>
  <c r="G33" i="1"/>
  <c r="C32" i="2"/>
  <c r="B32" i="2" s="1"/>
  <c r="G32" i="1"/>
  <c r="H31" i="1"/>
  <c r="J31" i="1" s="1"/>
  <c r="G31" i="1"/>
  <c r="J30" i="1"/>
  <c r="H29" i="1"/>
  <c r="C29" i="2" s="1"/>
  <c r="B29" i="2" s="1"/>
  <c r="G29" i="1"/>
  <c r="C28" i="2"/>
  <c r="B28" i="2" s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H17" i="1"/>
  <c r="J17" i="1" s="1"/>
  <c r="G17" i="1"/>
  <c r="I17" i="1" s="1"/>
  <c r="H16" i="1"/>
  <c r="C16" i="2" s="1"/>
  <c r="B16" i="2" s="1"/>
  <c r="G16" i="1"/>
  <c r="C15" i="2"/>
  <c r="B15" i="2" s="1"/>
  <c r="G15" i="1"/>
  <c r="H14" i="1"/>
  <c r="C14" i="2" s="1"/>
  <c r="B14" i="2" s="1"/>
  <c r="G14" i="1"/>
  <c r="H13" i="1"/>
  <c r="C13" i="2" s="1"/>
  <c r="B13" i="2" s="1"/>
  <c r="G13" i="1"/>
  <c r="H12" i="1"/>
  <c r="C12" i="2" s="1"/>
  <c r="B12" i="2" s="1"/>
  <c r="H11" i="1"/>
  <c r="J11" i="1" s="1"/>
  <c r="G11" i="1"/>
  <c r="H10" i="1"/>
  <c r="C10" i="2" s="1"/>
  <c r="B10" i="2" s="1"/>
  <c r="G10" i="1"/>
  <c r="J9" i="1"/>
  <c r="G9" i="1"/>
  <c r="I9" i="1" s="1"/>
  <c r="H8" i="1"/>
  <c r="C8" i="2" s="1"/>
  <c r="B8" i="2" s="1"/>
  <c r="G8" i="1"/>
  <c r="H7" i="1"/>
  <c r="C7" i="2" s="1"/>
  <c r="B7" i="2" s="1"/>
  <c r="G7" i="1"/>
  <c r="H6" i="1"/>
  <c r="C6" i="2" s="1"/>
  <c r="B6" i="2" s="1"/>
  <c r="G6" i="1"/>
  <c r="G5" i="1"/>
  <c r="H4" i="1"/>
  <c r="C4" i="2" s="1"/>
  <c r="B4" i="2" s="1"/>
  <c r="H3" i="1"/>
  <c r="J3" i="1" s="1"/>
  <c r="G3" i="1"/>
  <c r="C2" i="2"/>
  <c r="B2" i="2" s="1"/>
  <c r="G2" i="1"/>
  <c r="J12" i="1" l="1"/>
  <c r="C55" i="2"/>
  <c r="B55" i="2" s="1"/>
  <c r="J46" i="1"/>
  <c r="I47" i="1"/>
  <c r="I51" i="1"/>
  <c r="I73" i="1"/>
  <c r="I77" i="1"/>
  <c r="I107" i="1"/>
  <c r="I40" i="1"/>
  <c r="I91" i="1"/>
  <c r="N19" i="3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V19" i="3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V54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F2" i="4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<sst xmlns="http://schemas.openxmlformats.org/spreadsheetml/2006/main" count="504" uniqueCount="381">
  <si>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</si>
  <si>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</si>
  <si>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</si>
  <si>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</si>
  <si>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</si>
  <si>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</si>
  <si>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</si>
  <si>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</si>
  <si>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</si>
  <si>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</si>
  <si>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</si>
  <si>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</si>
  <si>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</si>
  <si>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</si>
  <si>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</si>
  <si>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</si>
  <si>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</si>
  <si>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</si>
  <si>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</si>
  <si>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</si>
  <si>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</si>
  <si>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</si>
  <si>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</si>
  <si>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</si>
  <si>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</si>
  <si>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</si>
  <si>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</si>
  <si>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</si>
  <si>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</si>
  <si>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</si>
  <si>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</si>
  <si>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</si>
  <si>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</si>
  <si>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</si>
  <si>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</si>
  <si>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</si>
  <si>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</si>
  <si>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</si>
  <si>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</si>
  <si>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</si>
  <si>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</si>
  <si>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</si>
  <si>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</si>
  <si>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</si>
  <si>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</si>
  <si>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</si>
  <si>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</si>
  <si>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</si>
  <si>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</si>
  <si>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</si>
  <si>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</si>
  <si>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</si>
  <si>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</si>
  <si>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</si>
  <si>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</si>
  <si>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</si>
  <si>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</si>
  <si>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</si>
  <si>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</si>
  <si>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</si>
  <si>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</si>
  <si>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</si>
  <si>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</si>
  <si>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</si>
  <si>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</si>
  <si>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</si>
  <si>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</si>
  <si>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</si>
  <si>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</si>
  <si>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</si>
  <si>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</si>
  <si>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</si>
  <si>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</si>
  <si>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</si>
  <si>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</si>
  <si>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</si>
  <si>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</si>
  <si>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</si>
  <si>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</si>
  <si>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</si>
  <si>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</si>
  <si>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</si>
  <si>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</si>
  <si>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</si>
  <si>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</si>
  <si>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</si>
  <si>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</si>
  <si>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</si>
  <si>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</si>
  <si>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</si>
  <si>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</si>
  <si>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</si>
  <si>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</si>
  <si>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</si>
  <si>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</si>
  <si>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</si>
  <si>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</si>
  <si>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</si>
  <si>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</si>
  <si>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</si>
  <si>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</si>
  <si>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</si>
  <si>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</si>
  <si>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</si>
  <si>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</si>
  <si>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</si>
  <si>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</si>
  <si>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</si>
  <si>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</si>
  <si>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</si>
  <si>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</si>
  <si>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</si>
  <si>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</si>
  <si>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</si>
  <si>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</si>
  <si>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</si>
  <si>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</si>
  <si>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</si>
  <si>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</si>
  <si>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</si>
  <si>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</si>
  <si>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</si>
  <si>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</si>
  <si>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</si>
  <si>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</si>
  <si>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</si>
  <si>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</si>
  <si>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</si>
  <si>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</si>
  <si>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</si>
  <si>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</si>
  <si>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</si>
  <si>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</si>
  <si>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</si>
  <si>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</si>
  <si>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</si>
  <si>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</si>
  <si>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</si>
  <si>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</si>
  <si>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</si>
  <si>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</si>
  <si>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</si>
  <si>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</si>
  <si>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</si>
  <si>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</si>
  <si>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</si>
  <si>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</si>
  <si>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</si>
  <si>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</si>
  <si>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</si>
  <si>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</si>
  <si>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</si>
  <si>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</si>
  <si>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</si>
  <si>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</si>
  <si>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</si>
  <si>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</si>
  <si>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</si>
  <si>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</si>
  <si>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</si>
  <si>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</si>
  <si>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</si>
  <si>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</si>
  <si>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</si>
  <si>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</si>
  <si>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</si>
  <si>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</si>
  <si>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</si>
  <si>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</si>
  <si>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</si>
  <si>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</si>
  <si>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</si>
  <si>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</si>
  <si>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</si>
  <si>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</si>
  <si>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</si>
  <si>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</si>
  <si>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</si>
  <si>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</si>
  <si>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</si>
  <si>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</si>
  <si>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</si>
  <si>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</si>
  <si>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</si>
  <si>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</si>
  <si>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</si>
  <si>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</si>
  <si>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</si>
  <si>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</si>
  <si>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</si>
  <si>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</si>
  <si>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</si>
  <si>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</si>
  <si>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</si>
  <si>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</si>
  <si>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</si>
  <si>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</si>
  <si>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</si>
  <si>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</si>
  <si>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</si>
  <si>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</si>
  <si>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</si>
  <si>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</si>
  <si>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</si>
  <si>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</si>
  <si>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</si>
  <si>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</si>
  <si>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</si>
  <si>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</si>
  <si>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</si>
  <si>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</si>
  <si>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</si>
  <si>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</si>
  <si>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</si>
  <si>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</si>
  <si>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</si>
  <si>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</si>
  <si>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</si>
  <si>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</si>
  <si>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</si>
  <si>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</si>
  <si>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</si>
  <si>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</si>
  <si>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</si>
  <si>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</si>
  <si>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</si>
  <si>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</si>
  <si>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</si>
  <si>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</si>
  <si>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</si>
  <si>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</si>
  <si>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</si>
  <si>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</si>
  <si>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</si>
  <si>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</si>
  <si>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</si>
  <si>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</si>
  <si>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</si>
  <si>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</si>
  <si>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</si>
  <si>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</si>
  <si>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</si>
  <si>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</si>
  <si>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</si>
  <si>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</si>
  <si>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</si>
  <si>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</si>
  <si>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</si>
  <si>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</si>
  <si>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</si>
  <si>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</si>
  <si>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</si>
  <si>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</si>
  <si>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</si>
  <si>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</si>
  <si>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</si>
  <si>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</si>
  <si>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</si>
  <si>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</si>
  <si>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</si>
  <si>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</si>
  <si>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</si>
  <si>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</si>
  <si>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</si>
  <si>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</si>
  <si>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</si>
  <si>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</si>
  <si>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</si>
  <si>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Dividends per 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</si>
  <si>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</si>
  <si>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</si>
  <si>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</si>
  <si>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</si>
  <si>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</si>
  <si>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</si>
  <si>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Verkauf Adler Real Estate, Verlust, Totaler Verlust (einmal Dividende von 98 Euro)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</si>
  <si>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</si>
  <si>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</si>
  <si>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</si>
  <si>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</si>
  <si>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</si>
  <si>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</si>
  <si>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</si>
  <si>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</si>
  <si>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</si>
  <si>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</si>
  <si>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</si>
  <si>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</si>
  <si>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</si>
  <si>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</si>
  <si>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</si>
  <si>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</si>
  <si>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</si>
  <si>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</si>
  <si>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</si>
  <si>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</si>
  <si>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</si>
  <si>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</si>
  <si>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</si>
  <si>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</si>
  <si>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</si>
  <si>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</si>
  <si>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</si>
  <si>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</si>
  <si>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</si>
  <si>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</si>
  <si>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</si>
  <si>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</si>
  <si>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</si>
  <si>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</si>
  <si>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</si>
  <si>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</si>
  <si>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</si>
  <si>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</si>
  <si>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</si>
  <si>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</si>
  <si>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</si>
  <si>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</si>
  <si>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</si>
  <si>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</si>
  <si>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</si>
  <si>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</si>
  <si>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</si>
  <si>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</si>
  <si>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</si>
  <si>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</si>
  <si>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</si>
  <si>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</si>
  <si>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</si>
  <si>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</si>
  <si>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</si>
  <si>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</si>
  <si>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</si>
  <si>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</si>
  <si>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</si>
  <si>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</si>
  <si>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</si>
  <si>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</si>
  <si>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</si>
  <si>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</si>
  <si>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</si>
  <si>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</si>
  <si>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</si>
  <si>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</si>
  <si>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</si>
  <si>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</si>
  <si>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</si>
  <si>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</si>
  <si>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</si>
  <si>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</si>
  <si>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</si>
  <si>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</si>
  <si>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</si>
  <si>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</si>
  <si>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</si>
  <si>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</si>
  <si>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</si>
  <si>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</si>
  <si>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</si>
  <si>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</si>
  <si>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</si>
  <si>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</si>
  <si>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</si>
  <si>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</si>
  <si>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</si>
  <si>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</si>
  <si>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</si>
  <si>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</si>
  <si>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</si>
  <si>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</si>
  <si>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</si>
  <si>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</si>
  <si>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</si>
  <si>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</si>
  <si>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</si>
  <si>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</si>
  <si>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</si>
  <si>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Ball Corp, 20.09</t>
  </si>
  <si>
    <t>Spin-off Continental, 01.09.2021</t>
  </si>
  <si>
    <t>Spin-off, Realty Income</t>
  </si>
  <si>
    <t>Date_of_Purchase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</si>
</sst>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2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633.06999999999994</c:v>
                </c:pt>
                <c:pt idx="1">
                  <c:v>36.54</c:v>
                </c:pt>
                <c:pt idx="2">
                  <c:v>0</c:v>
                </c:pt>
                <c:pt idx="3">
                  <c:v>622.29999999999995</c:v>
                </c:pt>
                <c:pt idx="4">
                  <c:v>279.34999999999997</c:v>
                </c:pt>
                <c:pt idx="5">
                  <c:v>1462.33</c:v>
                </c:pt>
                <c:pt idx="6">
                  <c:v>19.190000000000001</c:v>
                </c:pt>
                <c:pt idx="7">
                  <c:v>0</c:v>
                </c:pt>
                <c:pt idx="8">
                  <c:v>449.51000000000005</c:v>
                </c:pt>
                <c:pt idx="9">
                  <c:v>0</c:v>
                </c:pt>
                <c:pt idx="10">
                  <c:v>23.04</c:v>
                </c:pt>
                <c:pt idx="11">
                  <c:v>123.82000000000001</c:v>
                </c:pt>
                <c:pt idx="12">
                  <c:v>65.289999999999992</c:v>
                </c:pt>
                <c:pt idx="13">
                  <c:v>436.90999999999997</c:v>
                </c:pt>
                <c:pt idx="14">
                  <c:v>50.58</c:v>
                </c:pt>
                <c:pt idx="15">
                  <c:v>127.14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151.07999999999998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99.710000000000022</c:v>
                </c:pt>
                <c:pt idx="30">
                  <c:v>182.58999999999997</c:v>
                </c:pt>
                <c:pt idx="31">
                  <c:v>188.72</c:v>
                </c:pt>
                <c:pt idx="32">
                  <c:v>39.56</c:v>
                </c:pt>
                <c:pt idx="33">
                  <c:v>22.67</c:v>
                </c:pt>
                <c:pt idx="34">
                  <c:v>123.36999999999999</c:v>
                </c:pt>
                <c:pt idx="35">
                  <c:v>0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140.02999999999997</c:v>
                </c:pt>
                <c:pt idx="40">
                  <c:v>90.38000000000001</c:v>
                </c:pt>
                <c:pt idx="41">
                  <c:v>132.60999999999999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46.940000000000012</c:v>
                </c:pt>
                <c:pt idx="51">
                  <c:v>359.14000000000004</c:v>
                </c:pt>
                <c:pt idx="52">
                  <c:v>43.49</c:v>
                </c:pt>
                <c:pt idx="53">
                  <c:v>0.42000000000000004</c:v>
                </c:pt>
                <c:pt idx="54">
                  <c:v>226.19</c:v>
                </c:pt>
                <c:pt idx="55">
                  <c:v>31.97</c:v>
                </c:pt>
                <c:pt idx="56">
                  <c:v>211.33999999999997</c:v>
                </c:pt>
                <c:pt idx="57">
                  <c:v>98.92</c:v>
                </c:pt>
                <c:pt idx="58">
                  <c:v>144</c:v>
                </c:pt>
                <c:pt idx="59">
                  <c:v>35.96</c:v>
                </c:pt>
                <c:pt idx="60">
                  <c:v>35.760000000000005</c:v>
                </c:pt>
                <c:pt idx="61">
                  <c:v>35.639999999999993</c:v>
                </c:pt>
                <c:pt idx="62">
                  <c:v>0</c:v>
                </c:pt>
                <c:pt idx="63">
                  <c:v>59.250000000000007</c:v>
                </c:pt>
                <c:pt idx="64">
                  <c:v>248.33</c:v>
                </c:pt>
                <c:pt idx="65">
                  <c:v>0</c:v>
                </c:pt>
                <c:pt idx="66">
                  <c:v>16.89</c:v>
                </c:pt>
                <c:pt idx="67">
                  <c:v>30.64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53.269999999999996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7.8199999999999994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95.718779269442678</c:v>
                </c:pt>
                <c:pt idx="1">
                  <c:v>80.894885436003378</c:v>
                </c:pt>
                <c:pt idx="2">
                  <c:v>262.87255642561985</c:v>
                </c:pt>
                <c:pt idx="3">
                  <c:v>182.94000904043503</c:v>
                </c:pt>
                <c:pt idx="4">
                  <c:v>643.18027223360298</c:v>
                </c:pt>
                <c:pt idx="5">
                  <c:v>292.40600285579501</c:v>
                </c:pt>
                <c:pt idx="6">
                  <c:v>166.6700611843363</c:v>
                </c:pt>
                <c:pt idx="7">
                  <c:v>84.842285436003394</c:v>
                </c:pt>
                <c:pt idx="8">
                  <c:v>291.31831881869385</c:v>
                </c:pt>
                <c:pt idx="9">
                  <c:v>76.791909040435058</c:v>
                </c:pt>
                <c:pt idx="10">
                  <c:v>45.242805772664198</c:v>
                </c:pt>
                <c:pt idx="11">
                  <c:v>243.06515642561988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494242</xdr:colOff>
      <xdr:row>14</xdr:row>
      <xdr:rowOff>42332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2" sqref="L82"/>
    </sheetView>
  </sheetViews>
  <sheetFormatPr baseColWidth="10"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19.140625" customWidth="1"/>
  </cols>
  <sheetData>
    <row r="1" spans="1:13" ht="18">
      <c r="A1" s="1" t="s">
        <v>0</v>
      </c>
      <c r="B1" s="84" t="s">
        <v>276</v>
      </c>
      <c r="C1" s="2" t="s">
        <v>282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380</v>
      </c>
      <c r="M1" s="2" t="s">
        <v>375</v>
      </c>
    </row>
    <row r="2" spans="1:13" ht="15.75" customHeight="1">
      <c r="A2" s="5" t="s">
        <v>9</v>
      </c>
      <c r="B2" s="86" t="s">
        <v>277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</f>
        <v>633.06999999999994</v>
      </c>
      <c r="I2" s="7">
        <f t="shared" ref="I2:I29" si="1">(G2-(F2*E2)+H2)</f>
        <v>1689.5847999999999</v>
      </c>
      <c r="J2" s="8">
        <f t="shared" ref="J2:J101" si="2">((D2*F2)+H2)/(E2*F2)-100%</f>
        <v>0.20646274279325394</v>
      </c>
      <c r="K2" s="10" t="s">
        <v>10</v>
      </c>
      <c r="L2" s="95">
        <v>43135</v>
      </c>
      <c r="M2" s="94" t="s">
        <v>377</v>
      </c>
    </row>
    <row r="3" spans="1:13" ht="15.75" customHeight="1">
      <c r="A3" s="5" t="s">
        <v>13</v>
      </c>
      <c r="B3" s="86" t="s">
        <v>278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</f>
        <v>36.54</v>
      </c>
      <c r="I3" s="7">
        <f t="shared" si="1"/>
        <v>2312.04</v>
      </c>
      <c r="J3" s="8">
        <f t="shared" si="2"/>
        <v>1.2884034550013932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279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283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</f>
        <v>622.29999999999995</v>
      </c>
      <c r="I5" s="7">
        <f t="shared" si="1"/>
        <v>4684.0999999999995</v>
      </c>
      <c r="J5" s="8">
        <f t="shared" si="2"/>
        <v>0.49629166578372974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280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</f>
        <v>279.34999999999997</v>
      </c>
      <c r="I6" s="7">
        <f t="shared" si="1"/>
        <v>1785.85</v>
      </c>
      <c r="J6" s="8">
        <f t="shared" si="2"/>
        <v>0.34725246947188304</v>
      </c>
      <c r="K6" s="10" t="s">
        <v>22</v>
      </c>
      <c r="L6" s="96">
        <v>43594</v>
      </c>
    </row>
    <row r="7" spans="1:13" ht="15">
      <c r="A7" s="5" t="s">
        <v>24</v>
      </c>
      <c r="B7" s="86" t="s">
        <v>281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284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</f>
        <v>19.190000000000001</v>
      </c>
      <c r="I8" s="7">
        <f t="shared" si="1"/>
        <v>3030.5899999999997</v>
      </c>
      <c r="J8" s="8">
        <f t="shared" si="2"/>
        <v>2.0358659142818749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285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286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</f>
        <v>449.51000000000005</v>
      </c>
      <c r="I10" s="7">
        <f t="shared" si="1"/>
        <v>343.37999000000019</v>
      </c>
      <c r="J10" s="8">
        <f t="shared" si="2"/>
        <v>6.595686034356274E-2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287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288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</f>
        <v>23.04</v>
      </c>
      <c r="I12" s="7">
        <f t="shared" si="1"/>
        <v>6031.2944096800002</v>
      </c>
      <c r="J12" s="8">
        <f t="shared" si="2"/>
        <v>0.74357660776541401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307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</f>
        <v>123.82000000000001</v>
      </c>
      <c r="I13" s="7">
        <f t="shared" si="1"/>
        <v>119.32000000000001</v>
      </c>
      <c r="J13" s="8">
        <f t="shared" si="2"/>
        <v>0.11315315315315311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289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290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</f>
        <v>436.90999999999997</v>
      </c>
      <c r="I15" s="7">
        <f t="shared" si="1"/>
        <v>589.60999999999956</v>
      </c>
      <c r="J15" s="8">
        <f t="shared" si="2"/>
        <v>0.32533796832753947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291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</f>
        <v>127.14</v>
      </c>
      <c r="I17" s="7">
        <f t="shared" si="1"/>
        <v>496.64</v>
      </c>
      <c r="J17" s="8">
        <f t="shared" si="2"/>
        <v>0.68172958133150319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292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308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298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297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</f>
        <v>151.07999999999998</v>
      </c>
      <c r="I22" s="7">
        <f t="shared" si="1"/>
        <v>149.57999999999998</v>
      </c>
      <c r="J22" s="8">
        <f t="shared" si="2"/>
        <v>0.20731808731808732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318</v>
      </c>
      <c r="C23" s="86" t="s">
        <v>319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293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296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295</v>
      </c>
      <c r="C26" s="86" t="s">
        <v>294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301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300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299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</f>
        <v>29.500000000000004</v>
      </c>
      <c r="I29" s="7">
        <f t="shared" si="1"/>
        <v>454.1</v>
      </c>
      <c r="J29" s="8">
        <f t="shared" si="2"/>
        <v>0.56990461847389562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320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4" si="3">F31*D31</f>
        <v>525</v>
      </c>
      <c r="H31" s="6">
        <f>9.83+11.19+12.33+7.31+8.03+7.71+14.93+15.21+13.17</f>
        <v>99.710000000000022</v>
      </c>
      <c r="I31" s="7">
        <f t="shared" ref="I31:I84" si="4">(G31-(F31*E31)+H31)</f>
        <v>40.870092999999983</v>
      </c>
      <c r="J31" s="8">
        <f t="shared" si="2"/>
        <v>7.0002225798518447E-2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302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</f>
        <v>182.58999999999997</v>
      </c>
      <c r="I32" s="7">
        <f t="shared" si="4"/>
        <v>1497.76</v>
      </c>
      <c r="J32" s="8">
        <f t="shared" si="2"/>
        <v>0.41548699938693368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309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</f>
        <v>188.72</v>
      </c>
      <c r="I33" s="7">
        <f t="shared" si="4"/>
        <v>116.38000199999985</v>
      </c>
      <c r="J33" s="8">
        <f t="shared" si="2"/>
        <v>0.10178949586612807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317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si="2"/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316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2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315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</f>
        <v>123.36999999999999</v>
      </c>
      <c r="I36" s="7">
        <f t="shared" si="4"/>
        <v>-15.459998999999826</v>
      </c>
      <c r="J36" s="8">
        <f t="shared" si="2"/>
        <v>-1.4716660493204858E-2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310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0</v>
      </c>
      <c r="I37" s="7">
        <f t="shared" si="4"/>
        <v>0.11999999999989086</v>
      </c>
      <c r="J37" s="8">
        <f t="shared" si="2"/>
        <v>6.5221644889756902E-5</v>
      </c>
      <c r="K37" s="10" t="s">
        <v>86</v>
      </c>
      <c r="L37" s="96">
        <v>43692</v>
      </c>
    </row>
    <row r="38" spans="1:12" ht="15">
      <c r="A38" s="16" t="s">
        <v>87</v>
      </c>
      <c r="B38" s="86" t="s">
        <v>311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2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312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2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313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</f>
        <v>35.53</v>
      </c>
      <c r="I40" s="7">
        <f t="shared" si="4"/>
        <v>-273.24499999999966</v>
      </c>
      <c r="J40" s="8">
        <f t="shared" si="2"/>
        <v>-0.10087401131507767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314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</f>
        <v>140.02999999999997</v>
      </c>
      <c r="I41" s="7">
        <f t="shared" si="4"/>
        <v>201.29999999999995</v>
      </c>
      <c r="J41" s="8">
        <f t="shared" si="2"/>
        <v>0.18321152603460344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321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</f>
        <v>90.38000000000001</v>
      </c>
      <c r="I42" s="7">
        <f t="shared" si="4"/>
        <v>139.18000999999992</v>
      </c>
      <c r="J42" s="8">
        <f t="shared" si="2"/>
        <v>0.11876440923939247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322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2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323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</f>
        <v>7.55</v>
      </c>
      <c r="I44" s="7">
        <f t="shared" si="4"/>
        <v>-292.97000300000008</v>
      </c>
      <c r="J44" s="8">
        <f t="shared" si="2"/>
        <v>-0.22047380558584206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324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</f>
        <v>48.62</v>
      </c>
      <c r="I45" s="7">
        <f t="shared" si="4"/>
        <v>58.090000000000025</v>
      </c>
      <c r="J45" s="8">
        <f t="shared" si="2"/>
        <v>7.8762897780429331E-2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325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2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326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</f>
        <v>49.64</v>
      </c>
      <c r="I47" s="7">
        <f t="shared" si="4"/>
        <v>-84.36999999999999</v>
      </c>
      <c r="J47" s="8">
        <f t="shared" si="2"/>
        <v>-0.14827507425177067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327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2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328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2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329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2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330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</f>
        <v>11.060000000000002</v>
      </c>
      <c r="I51" s="7">
        <f t="shared" si="4"/>
        <v>45.760000000000048</v>
      </c>
      <c r="J51" s="8">
        <f t="shared" si="2"/>
        <v>5.9793545015026872E-2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331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</f>
        <v>46.940000000000012</v>
      </c>
      <c r="I52" s="7">
        <f t="shared" si="4"/>
        <v>39.140000000000057</v>
      </c>
      <c r="J52" s="8">
        <f t="shared" si="2"/>
        <v>5.0976816879395814E-2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332</v>
      </c>
      <c r="C53" s="86" t="s">
        <v>12</v>
      </c>
      <c r="D53" s="6">
        <v>62</v>
      </c>
      <c r="E53" s="7">
        <v>44</v>
      </c>
      <c r="F53" s="6">
        <v>75</v>
      </c>
      <c r="G53" s="6">
        <f t="shared" si="3"/>
        <v>4650</v>
      </c>
      <c r="H53" s="6">
        <f>264.69+15.17+14.79+12.99+12.89+12.52+12.92+13.17</f>
        <v>359.14000000000004</v>
      </c>
      <c r="I53" s="7">
        <f t="shared" si="4"/>
        <v>1709.14</v>
      </c>
      <c r="J53" s="8">
        <f t="shared" si="2"/>
        <v>0.51792121212121223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303</v>
      </c>
      <c r="C54" s="86" t="s">
        <v>304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</f>
        <v>43.49</v>
      </c>
      <c r="I54" s="7">
        <f t="shared" si="4"/>
        <v>224.30999999999995</v>
      </c>
      <c r="J54" s="8">
        <f t="shared" si="2"/>
        <v>0.27382260309089568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305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</f>
        <v>0.42000000000000004</v>
      </c>
      <c r="I55" s="7">
        <f t="shared" si="4"/>
        <v>326.74500000000006</v>
      </c>
      <c r="J55" s="8">
        <f t="shared" si="2"/>
        <v>0.25734538366117321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333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2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306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2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334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</f>
        <v>211.33999999999997</v>
      </c>
      <c r="I58" s="7">
        <f t="shared" si="4"/>
        <v>72.729995999999858</v>
      </c>
      <c r="J58" s="8">
        <f t="shared" si="2"/>
        <v>3.1313908006399771E-2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335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</f>
        <v>98.92</v>
      </c>
      <c r="I59" s="7">
        <f t="shared" si="4"/>
        <v>81.219999999999956</v>
      </c>
      <c r="J59" s="8">
        <f t="shared" si="2"/>
        <v>7.2022701072980366E-2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</f>
        <v>144</v>
      </c>
      <c r="I60" s="7">
        <f t="shared" si="4"/>
        <v>131.87999700000012</v>
      </c>
      <c r="J60" s="8">
        <f t="shared" si="2"/>
        <v>0.17925297186734257</v>
      </c>
      <c r="K60" s="10" t="s">
        <v>132</v>
      </c>
      <c r="L60" s="96">
        <v>43992</v>
      </c>
    </row>
    <row r="61" spans="1:12" ht="15">
      <c r="A61" s="16" t="s">
        <v>376</v>
      </c>
      <c r="B61" s="86" t="s">
        <v>336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</f>
        <v>35.96</v>
      </c>
      <c r="I61" s="7">
        <f t="shared" si="4"/>
        <v>29.239970000000049</v>
      </c>
      <c r="J61" s="8">
        <f t="shared" si="2"/>
        <v>3.9743338236964965E-2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338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</f>
        <v>35.760000000000005</v>
      </c>
      <c r="I62" s="7">
        <f t="shared" si="4"/>
        <v>245.42999999999995</v>
      </c>
      <c r="J62" s="8">
        <f t="shared" si="2"/>
        <v>0.33241233594734054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339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</f>
        <v>35.639999999999993</v>
      </c>
      <c r="I63" s="7">
        <f t="shared" si="4"/>
        <v>74.75</v>
      </c>
      <c r="J63" s="8">
        <f t="shared" si="2"/>
        <v>0.1864601262191623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340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4"/>
        <v>117.20000000000005</v>
      </c>
      <c r="J64" s="8">
        <f t="shared" si="2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341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</f>
        <v>59.250000000000007</v>
      </c>
      <c r="I65" s="7">
        <f t="shared" si="4"/>
        <v>55.51</v>
      </c>
      <c r="J65" s="8">
        <f t="shared" si="2"/>
        <v>6.7387767985043867E-2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342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</f>
        <v>248.33</v>
      </c>
      <c r="I66" s="7">
        <f t="shared" si="4"/>
        <v>607.73245549939986</v>
      </c>
      <c r="J66" s="8">
        <f t="shared" si="2"/>
        <v>0.62503981131197217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343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4"/>
        <v>404.88</v>
      </c>
      <c r="J67" s="8">
        <f t="shared" si="2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337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</f>
        <v>16.89</v>
      </c>
      <c r="I68" s="7">
        <f t="shared" si="4"/>
        <v>97.899999999999991</v>
      </c>
      <c r="J68" s="8">
        <f t="shared" si="2"/>
        <v>0.11599663503122071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344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4"/>
        <v>26.38000000000001</v>
      </c>
      <c r="J69" s="8">
        <f t="shared" si="2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345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4"/>
        <v>170.25000000000006</v>
      </c>
      <c r="J70" s="8">
        <f t="shared" si="2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346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</f>
        <v>64.400000000000006</v>
      </c>
      <c r="I71" s="7">
        <f t="shared" si="4"/>
        <v>159.9200000000001</v>
      </c>
      <c r="J71" s="8">
        <f t="shared" si="2"/>
        <v>0.19878679395385856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347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4"/>
        <v>477.09000200000003</v>
      </c>
      <c r="J72" s="8">
        <f t="shared" si="2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348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4"/>
        <v>87.36999999999999</v>
      </c>
      <c r="J73" s="8">
        <f t="shared" si="2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349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</f>
        <v>19.490000000000002</v>
      </c>
      <c r="I74" s="7">
        <f t="shared" si="4"/>
        <v>203.5</v>
      </c>
      <c r="J74" s="8">
        <f t="shared" si="2"/>
        <v>0.48109884394430136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350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4"/>
        <v>112.53000000000003</v>
      </c>
      <c r="J75" s="8">
        <f t="shared" si="2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351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4"/>
        <v>17.139999999999979</v>
      </c>
      <c r="J76" s="8">
        <f t="shared" si="2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374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4"/>
        <v>222.26</v>
      </c>
      <c r="J77" s="8">
        <f t="shared" si="2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373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4"/>
        <v>352.72700000000026</v>
      </c>
      <c r="J78" s="8">
        <f t="shared" si="2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352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</f>
        <v>68.58</v>
      </c>
      <c r="I79" s="7">
        <f t="shared" si="4"/>
        <v>61.229999999999976</v>
      </c>
      <c r="J79" s="8">
        <f t="shared" si="2"/>
        <v>0.15920436817472683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353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</f>
        <v>53.269999999999996</v>
      </c>
      <c r="I80" s="7">
        <f t="shared" si="4"/>
        <v>42.409999999999982</v>
      </c>
      <c r="J80" s="8">
        <f t="shared" si="2"/>
        <v>0.10320994865055599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354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4"/>
        <v>-7.4700000000000042</v>
      </c>
      <c r="J81" s="8">
        <f t="shared" si="2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355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4"/>
        <v>21.949999999999953</v>
      </c>
      <c r="J82" s="8">
        <f t="shared" si="2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356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</f>
        <v>52.940000000000012</v>
      </c>
      <c r="I83" s="7">
        <f t="shared" si="4"/>
        <v>53.540000000000035</v>
      </c>
      <c r="J83" s="8">
        <f t="shared" si="2"/>
        <v>5.7607058317193927E-2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357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</f>
        <v>110.58000000000001</v>
      </c>
      <c r="I84" s="7">
        <f t="shared" si="4"/>
        <v>96.341772999999733</v>
      </c>
      <c r="J84" s="8">
        <f t="shared" si="2"/>
        <v>2.3751507581263098E-2</v>
      </c>
      <c r="K84" s="10" t="s">
        <v>178</v>
      </c>
      <c r="L84" s="96">
        <v>44580</v>
      </c>
    </row>
    <row r="85" spans="1:12" ht="15">
      <c r="B85" s="86"/>
      <c r="C85" s="86"/>
      <c r="J85" s="8" t="e">
        <f t="shared" si="2"/>
        <v>#DIV/0!</v>
      </c>
      <c r="L85" s="96"/>
    </row>
    <row r="86" spans="1:12" ht="15">
      <c r="B86" s="86"/>
      <c r="C86" s="86"/>
      <c r="J86" s="8" t="e">
        <f t="shared" si="2"/>
        <v>#DIV/0!</v>
      </c>
      <c r="L86" s="96"/>
    </row>
    <row r="87" spans="1:12" ht="15">
      <c r="B87" s="86"/>
      <c r="C87" s="86"/>
      <c r="J87" s="8" t="e">
        <f t="shared" si="2"/>
        <v>#DIV/0!</v>
      </c>
      <c r="L87" s="96"/>
    </row>
    <row r="88" spans="1:12" ht="15">
      <c r="A88" s="16" t="s">
        <v>179</v>
      </c>
      <c r="B88" s="86" t="s">
        <v>358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5">F88*D88</f>
        <v>274.5</v>
      </c>
      <c r="H88" s="6">
        <f>2.31+2.36+3.61+2.75+3.46+2.59</f>
        <v>17.079999999999998</v>
      </c>
      <c r="I88" s="7">
        <f t="shared" ref="I88:I98" si="6">(G88-(F88*E88)+H88)</f>
        <v>-14.070049999999966</v>
      </c>
      <c r="J88" s="8">
        <f t="shared" si="2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359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5"/>
        <v>420</v>
      </c>
      <c r="H89" s="6">
        <f>0.8+0.84+4.39+0.8</f>
        <v>6.8299999999999992</v>
      </c>
      <c r="I89" s="7">
        <f t="shared" si="6"/>
        <v>4.8899999999999446</v>
      </c>
      <c r="J89" s="8">
        <f t="shared" si="2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360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5"/>
        <v>440</v>
      </c>
      <c r="H90" s="6">
        <f t="shared" ref="H90:H91" si="7">0</f>
        <v>0</v>
      </c>
      <c r="I90" s="7">
        <f t="shared" si="6"/>
        <v>-12.129997000000003</v>
      </c>
      <c r="J90" s="8">
        <f t="shared" si="2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361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5"/>
        <v>346</v>
      </c>
      <c r="H91" s="6">
        <f t="shared" si="7"/>
        <v>0</v>
      </c>
      <c r="I91" s="7">
        <f t="shared" si="6"/>
        <v>-8.7699999999999818</v>
      </c>
      <c r="J91" s="8">
        <f t="shared" si="2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362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5"/>
        <v>356</v>
      </c>
      <c r="H92" s="6">
        <f>1.61+2.99+3.08+4.87+3.53+3.71+3.62+12.48+4.17+4.71</f>
        <v>44.77</v>
      </c>
      <c r="I92" s="7">
        <f t="shared" si="6"/>
        <v>39.37999999999996</v>
      </c>
      <c r="J92" s="8">
        <f t="shared" si="2"/>
        <v>0.10896815075126587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363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5"/>
        <v>338</v>
      </c>
      <c r="H93" s="6">
        <f>1.7+1.68+1.01+2+1.43</f>
        <v>7.8199999999999994</v>
      </c>
      <c r="I93" s="7">
        <f t="shared" si="6"/>
        <v>-9.9600000000000293</v>
      </c>
      <c r="J93" s="8">
        <f t="shared" si="2"/>
        <v>-2.7994828264658045E-2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364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5"/>
        <v>390</v>
      </c>
      <c r="H94" s="6">
        <f>0</f>
        <v>0</v>
      </c>
      <c r="I94" s="7">
        <f t="shared" si="6"/>
        <v>-17.909999999999968</v>
      </c>
      <c r="J94" s="8">
        <f t="shared" si="2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365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5"/>
        <v>438</v>
      </c>
      <c r="H95" s="6">
        <f>3.38+3.52+3.86+3.83+3.92</f>
        <v>18.509999999999998</v>
      </c>
      <c r="I95" s="7">
        <f t="shared" si="6"/>
        <v>12.509999999999998</v>
      </c>
      <c r="J95" s="8">
        <f t="shared" si="2"/>
        <v>2.8175675675675693E-2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366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5"/>
        <v>336</v>
      </c>
      <c r="H96" s="6">
        <f>0</f>
        <v>0</v>
      </c>
      <c r="I96" s="7">
        <f t="shared" si="6"/>
        <v>-20.780000099999995</v>
      </c>
      <c r="J96" s="8">
        <f t="shared" si="2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367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5"/>
        <v>457.5</v>
      </c>
      <c r="H97" s="6">
        <f>4.71+3.81+5.01+2.61+3.71</f>
        <v>19.850000000000001</v>
      </c>
      <c r="I97" s="7">
        <f t="shared" si="6"/>
        <v>1.139999999999965</v>
      </c>
      <c r="J97" s="8">
        <f t="shared" si="2"/>
        <v>2.3939018500240827E-3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368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5"/>
        <v>1008.9999999999999</v>
      </c>
      <c r="H98" s="6">
        <f>26.97+6.99+25.06</f>
        <v>59.019999999999996</v>
      </c>
      <c r="I98" s="7">
        <f t="shared" si="6"/>
        <v>50.089999999999932</v>
      </c>
      <c r="J98" s="8">
        <f t="shared" si="2"/>
        <v>4.9207705834389381E-2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2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2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2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369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 t="shared" ref="I105:I108" si="8">(G105-(F105*E105)+H105)</f>
        <v>-4.6260000000000057</v>
      </c>
      <c r="J105" s="8">
        <f t="shared" ref="J105:J108" si="9"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370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 t="shared" si="8"/>
        <v>0</v>
      </c>
      <c r="J106" s="8">
        <f t="shared" si="9"/>
        <v>-0.20490724117295012</v>
      </c>
      <c r="K106" s="10" t="s">
        <v>378</v>
      </c>
      <c r="L106" s="96">
        <v>44440</v>
      </c>
    </row>
    <row r="107" spans="1:12" ht="15">
      <c r="A107" s="16" t="s">
        <v>207</v>
      </c>
      <c r="B107" s="86" t="s">
        <v>371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08" si="10">F107*D107</f>
        <v>32.74</v>
      </c>
      <c r="H107" s="6">
        <f>0.16+0.15+0.15+0.16+0.15+0.14+0.15</f>
        <v>1.06</v>
      </c>
      <c r="I107" s="7">
        <f t="shared" si="8"/>
        <v>1.800000000000002</v>
      </c>
      <c r="J107" s="8">
        <f t="shared" si="9"/>
        <v>5.6250000000000133E-2</v>
      </c>
      <c r="K107" s="10" t="s">
        <v>379</v>
      </c>
      <c r="L107" s="96">
        <v>44657</v>
      </c>
    </row>
    <row r="108" spans="1:12" ht="15">
      <c r="A108" s="16" t="s">
        <v>209</v>
      </c>
      <c r="B108" s="86" t="s">
        <v>372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0"/>
        <v>14.66</v>
      </c>
      <c r="H108" s="6">
        <f>3.54-2.56</f>
        <v>0.98</v>
      </c>
      <c r="I108" s="7">
        <f t="shared" si="8"/>
        <v>-84.57</v>
      </c>
      <c r="J108" s="8">
        <f t="shared" si="9"/>
        <v>-0.84392775172138501</v>
      </c>
      <c r="K108" s="10" t="s">
        <v>210</v>
      </c>
      <c r="L108" s="96">
        <v>43831</v>
      </c>
    </row>
    <row r="109" spans="1:12" ht="15">
      <c r="B109" s="86"/>
      <c r="C109" s="86"/>
      <c r="K109" s="10"/>
      <c r="L109" s="96"/>
    </row>
    <row r="110" spans="1:12" ht="15">
      <c r="A110" s="16"/>
      <c r="B110" s="86"/>
      <c r="C110" s="86"/>
      <c r="D110" s="6"/>
      <c r="E110" s="7"/>
      <c r="F110" s="6"/>
      <c r="G110" s="6"/>
      <c r="H110" s="6"/>
      <c r="I110" s="7"/>
      <c r="J110" s="8"/>
      <c r="K110" s="10"/>
      <c r="L110" s="96"/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60" zoomScaleNormal="60" workbookViewId="0">
      <pane xSplit="2" topLeftCell="C1" activePane="topRight" state="frozen"/>
      <selection pane="topRight" activeCell="E6" sqref="E6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633.06999999999994</v>
      </c>
      <c r="C2" s="23">
        <f>'Portfolio Ned'!H2:H108</f>
        <v>633.06999999999994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36.54</v>
      </c>
      <c r="C3" s="23">
        <f>'Portfolio Ned'!H3:H109</f>
        <v>36.54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622.29999999999995</v>
      </c>
      <c r="C5" s="23">
        <f>'Portfolio Ned'!H5:H111</f>
        <v>622.29999999999995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279.34999999999997</v>
      </c>
      <c r="C6" s="23">
        <f>'Portfolio Ned'!H6:H112</f>
        <v>279.34999999999997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19.190000000000001</v>
      </c>
      <c r="C8" s="23">
        <f>'Portfolio Ned'!H8:H114</f>
        <v>19.190000000000001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449.51000000000005</v>
      </c>
      <c r="C10" s="23">
        <f>'Portfolio Ned'!H10:H116</f>
        <v>449.51000000000005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23.04</v>
      </c>
      <c r="C12" s="23">
        <f>'Portfolio Ned'!H12:H118</f>
        <v>23.04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123.82000000000001</v>
      </c>
      <c r="C13" s="23">
        <f>'Portfolio Ned'!H13:H119</f>
        <v>123.82000000000001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436.90999999999997</v>
      </c>
      <c r="C15" s="23">
        <f>'Portfolio Ned'!H15:H119</f>
        <v>436.90999999999997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127.14</v>
      </c>
      <c r="C17" s="23">
        <f>'Portfolio Ned'!H17:H119</f>
        <v>127.14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151.07999999999998</v>
      </c>
      <c r="C22" s="23">
        <f>'Portfolio Ned'!H22:H119</f>
        <v>151.07999999999998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29.500000000000004</v>
      </c>
      <c r="C29" s="23">
        <f>'Portfolio Ned'!H29:H135</f>
        <v>29.500000000000004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99.710000000000022</v>
      </c>
      <c r="C31" s="23">
        <f>'Portfolio Ned'!H31:H137</f>
        <v>99.710000000000022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182.58999999999997</v>
      </c>
      <c r="C32" s="23">
        <f>'Portfolio Ned'!H32:H138</f>
        <v>182.58999999999997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188.72</v>
      </c>
      <c r="C33" s="23">
        <f>'Portfolio Ned'!H33:H139</f>
        <v>188.72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123.36999999999999</v>
      </c>
      <c r="C36" s="23">
        <f>'Portfolio Ned'!H36:H142</f>
        <v>123.36999999999999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0</v>
      </c>
      <c r="C37" s="23">
        <f>'Portfolio Ned'!H37:H143</f>
        <v>0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35.53</v>
      </c>
      <c r="C40" s="23">
        <f>'Portfolio Ned'!H40:H146</f>
        <v>35.53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140.02999999999997</v>
      </c>
      <c r="C41" s="23">
        <f>'Portfolio Ned'!H41:H147</f>
        <v>140.02999999999997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90.38000000000001</v>
      </c>
      <c r="C42" s="23">
        <f>'Portfolio Ned'!H42:H148</f>
        <v>90.38000000000001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7.55</v>
      </c>
      <c r="C44" s="23">
        <f>'Portfolio Ned'!H44:H150</f>
        <v>7.55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48.62</v>
      </c>
      <c r="C45" s="23">
        <f>'Portfolio Ned'!H45:H151</f>
        <v>48.62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49.64</v>
      </c>
      <c r="C47" s="23">
        <f>'Portfolio Ned'!H47:H153</f>
        <v>49.64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11.060000000000002</v>
      </c>
      <c r="C51" s="23">
        <f>'Portfolio Ned'!H51:H157</f>
        <v>11.060000000000002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46.940000000000012</v>
      </c>
      <c r="C52" s="23">
        <f>'Portfolio Ned'!H52:H158</f>
        <v>46.940000000000012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359.14000000000004</v>
      </c>
      <c r="C53" s="23">
        <f>'Portfolio Ned'!H53:H159</f>
        <v>359.14000000000004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43.49</v>
      </c>
      <c r="C54" s="23">
        <f>'Portfolio Ned'!H54:H160</f>
        <v>43.49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0.42000000000000004</v>
      </c>
      <c r="C55" s="23">
        <f>'Portfolio Ned'!H55:H161</f>
        <v>0.42000000000000004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211.33999999999997</v>
      </c>
      <c r="C58" s="23">
        <f>'Portfolio Ned'!H58:H164</f>
        <v>211.33999999999997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98.92</v>
      </c>
      <c r="C59" s="23">
        <f>'Portfolio Ned'!H59:H165</f>
        <v>98.92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144</v>
      </c>
      <c r="C60" s="23">
        <f>'Portfolio Ned'!H60:H166</f>
        <v>144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35.96</v>
      </c>
      <c r="C61" s="23">
        <f>'Portfolio Ned'!H61:H167</f>
        <v>35.96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35.760000000000005</v>
      </c>
      <c r="C62" s="23">
        <f>'Portfolio Ned'!H62:H168</f>
        <v>35.760000000000005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35.639999999999993</v>
      </c>
      <c r="C63" s="23">
        <f>'Portfolio Ned'!H63:H169</f>
        <v>35.639999999999993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59.250000000000007</v>
      </c>
      <c r="C65" s="23">
        <f>'Portfolio Ned'!H65:H171</f>
        <v>59.250000000000007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248.33</v>
      </c>
      <c r="C66" s="23">
        <f>'Portfolio Ned'!H66:H172</f>
        <v>248.33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16.89</v>
      </c>
      <c r="C68" s="23">
        <f>'Portfolio Ned'!H68:H174</f>
        <v>16.89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64.400000000000006</v>
      </c>
      <c r="C71" s="23">
        <f>'Portfolio Ned'!H71:H177</f>
        <v>64.400000000000006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19.490000000000002</v>
      </c>
      <c r="C74" s="23">
        <f>'Portfolio Ned'!H74:H180</f>
        <v>19.490000000000002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68.58</v>
      </c>
      <c r="C79" s="23">
        <f>'Portfolio Ned'!H79:H185</f>
        <v>68.58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53.269999999999996</v>
      </c>
      <c r="C80" s="23">
        <f>'Portfolio Ned'!H80:H186</f>
        <v>53.269999999999996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 t="e">
        <f t="shared" si="0"/>
        <v>#VALUE!</v>
      </c>
      <c r="C83" s="23" t="e">
        <f>'Portfolio Ned'!H89:H189</f>
        <v>#VALUE!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 t="e">
        <f t="shared" si="0"/>
        <v>#VALUE!</v>
      </c>
      <c r="C84" s="23" t="e">
        <f>'Portfolio Ned'!H90:H190</f>
        <v>#VALUE!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>
        <f>'Portfolio Ned'!A:A</f>
        <v>0</v>
      </c>
      <c r="B85" s="22" t="e">
        <f t="shared" si="0"/>
        <v>#VALUE!</v>
      </c>
      <c r="C85" s="23" t="e">
        <f>'Portfolio Ned'!H91:H191</f>
        <v>#VALUE!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 t="e">
        <f t="shared" si="0"/>
        <v>#VALUE!</v>
      </c>
      <c r="C86" s="23" t="e">
        <f>'Portfolio Ned'!H92:H192</f>
        <v>#VALUE!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 t="e">
        <f t="shared" si="0"/>
        <v>#VALUE!</v>
      </c>
      <c r="C87" s="23" t="e">
        <f>'Portfolio Ned'!H93:H193</f>
        <v>#VALUE!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 t="e">
        <f t="shared" si="0"/>
        <v>#VALUE!</v>
      </c>
      <c r="C88" s="23" t="e">
        <f>'Portfolio Ned'!H94:H194</f>
        <v>#VALUE!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 t="e">
        <f t="shared" si="0"/>
        <v>#VALUE!</v>
      </c>
      <c r="C89" s="23" t="e">
        <f>'Portfolio Ned'!H95:H195</f>
        <v>#VALUE!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 t="e">
        <f t="shared" si="0"/>
        <v>#VALUE!</v>
      </c>
      <c r="C90" s="23" t="e">
        <f>'Portfolio Ned'!H96:H196</f>
        <v>#VALUE!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 t="e">
        <f t="shared" si="0"/>
        <v>#VALUE!</v>
      </c>
      <c r="C91" s="23" t="e">
        <f>'Portfolio Ned'!H97:H197</f>
        <v>#VALUE!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 t="e">
        <f t="shared" si="0"/>
        <v>#VALUE!</v>
      </c>
      <c r="C92" s="23" t="e">
        <f>'Portfolio Ned'!H98:H198</f>
        <v>#VALUE!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7.8199999999999994</v>
      </c>
      <c r="C93" s="23">
        <f>'Portfolio Ned'!H82:H199</f>
        <v>7.8199999999999994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3">
        <f>'Portfolio Ned'!H83:H200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18.509999999999998</v>
      </c>
      <c r="C95" s="23">
        <f>'Portfolio Ned'!H84:H201</f>
        <v>18.509999999999998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3" t="e">
        <f>'Portfolio Ned'!H99:H202</f>
        <v>#VALUE!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3" t="e">
        <f>'Portfolio Ned'!H99:H203</f>
        <v>#VALUE!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3" t="e">
        <f>'Portfolio Ned'!H99:H204</f>
        <v>#VALUE!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3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3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3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3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1.06</v>
      </c>
      <c r="C107" s="23">
        <f>'Portfolio Ned'!H107:H213</f>
        <v>1.06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>
        <f>'Portfolio Ned'!A:A</f>
        <v>0</v>
      </c>
      <c r="B109" s="22"/>
      <c r="C109" s="23">
        <f>'Portfolio Ned'!H109:H215</f>
        <v>0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>
        <f>'Portfolio Ned'!A:A</f>
        <v>0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2"/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/>
      <c r="C128" s="21" t="e">
        <f>SUM(C2:C108)/6</f>
        <v>#VALUE!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95.718779269442678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80.894885436003378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262.87255642561985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182.94000904043503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643.18027223360298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292.40600285579501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166.6700611843363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84.842285436003394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291.31831881869385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76.791909040435058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45.242805772664198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243.06515642561988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2465.9430419386545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1999.7589901958311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205.49525349488786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166.64658251631926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1540.1239884743861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7.1446020928086398E-2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2.1650309372147395E-3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3.211856995703246E-2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0.153896498639988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1.823183947128202E-3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4.4098261721163386E-2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8.5461747521634462E-3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7.8063441339124347E-3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3.2475464058221111E-2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4.0146912688692523E-3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9.9135627125095972E-3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2.2789799339102525E-3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4.7098816973765809E-3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6.8695828378429434E-3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1.1212581274838441E-2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1.0540098239438656E-2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3.7562994583761125E-2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12.987086776859506</v>
      </c>
      <c r="C53" s="7">
        <f>'Portfolio Ned'!$F$53*$O$53*$AC$2*0.85</f>
        <v>12.987086776859506</v>
      </c>
      <c r="D53" s="7">
        <f>'Portfolio Ned'!$F$53*$O$53*$AC$2*0.85</f>
        <v>12.987086776859506</v>
      </c>
      <c r="E53" s="7">
        <f>'Portfolio Ned'!$F$53*$O$53*$AC$2*0.85</f>
        <v>12.987086776859506</v>
      </c>
      <c r="F53" s="7">
        <f>'Portfolio Ned'!$F$53*$O$53*$AC$2*0.85</f>
        <v>12.987086776859506</v>
      </c>
      <c r="G53" s="7">
        <f>'Portfolio Ned'!$F$53*$O$53*$AC$2*0.85</f>
        <v>12.987086776859506</v>
      </c>
      <c r="H53" s="7">
        <f>'Portfolio Ned'!$F$53*$O$53*$AC$2*0.85</f>
        <v>12.987086776859506</v>
      </c>
      <c r="I53" s="7">
        <f>'Portfolio Ned'!$F$53*$O$53*$AC$2*0.85</f>
        <v>12.987086776859506</v>
      </c>
      <c r="J53" s="7">
        <f>'Portfolio Ned'!$F$53*$O$53*$AC$2*0.85</f>
        <v>12.987086776859506</v>
      </c>
      <c r="K53" s="7">
        <f>'Portfolio Ned'!$F$53*$O$53*$AC$2*0.85</f>
        <v>12.987086776859506</v>
      </c>
      <c r="L53" s="7">
        <f>'Portfolio Ned'!$F$53*$O$53*$AC$2*0.85</f>
        <v>12.987086776859506</v>
      </c>
      <c r="M53" s="7">
        <f>'Portfolio Ned'!$F$53*$O$53*$AC$2*0.85</f>
        <v>12.987086776859506</v>
      </c>
      <c r="N53" s="32">
        <f t="shared" si="6"/>
        <v>155.84504132231413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1.7924177180204136E-2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1.297677985897132E-2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1.0543633635414197E-2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1.7548145491108943E-2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3.1575180000359602E-3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4.1840192640370125E-3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5.0593354532807604E-2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1.7046769905648688E-2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4.1021638810384547E-3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1.9143431444846122E-3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1.3161109118331708E-2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5.5962363141813824E-3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5.6205677764169524E-3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8.6474202521573083E-3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9.7231767288307354E-3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8.2043277620769094E-3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1.037847461902729E-2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1.622097482371415E-3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3.2015338009564616E-3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5.1277048512980679E-3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9.5622646585794922E-3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7.2994386706713675E-3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3.674050797571255E-3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1.1964644653028825E-3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1.3934507627818271E-3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6.3198962292248723E-2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2.9221609057426229E-3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4.0552437059285372E-2</v>
      </c>
    </row>
    <row r="85" spans="1:25">
      <c r="A85" s="5">
        <f>'Portfolio Ned'!A:A</f>
        <v>0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3.5886473651244003E-3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2.5289384530615293E-2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1.1907670154681069E-2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2.0631471284046344E-2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4.4611032206293179E-3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4.8314374598897357E-3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4.7858578612115302E-3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7.1787867918172944E-3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2.6627355987719519E-2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1.823183947128202E-3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2.8202376682139375E-3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2.4128700050274799E-3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8.2726971600942164E-3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8.1185978992689319E-3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6.0731329739985773E-3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1.6817095648485646E-3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3.9548358717697461E-3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1.8508132273857846E-2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4.2580058912249641E-3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>
        <f>'Portfolio Ned'!A:A</f>
        <v>0</v>
      </c>
      <c r="N109" s="32">
        <f t="shared" si="9"/>
        <v>0</v>
      </c>
      <c r="O109" s="21"/>
      <c r="V109" s="70"/>
      <c r="Y109" s="9">
        <f t="shared" si="4"/>
        <v>2.5852178625294427E-3</v>
      </c>
    </row>
    <row r="110" spans="1:25" ht="15">
      <c r="A110" s="5">
        <f>'Portfolio Ned'!A:A</f>
        <v>0</v>
      </c>
      <c r="N110" s="71"/>
      <c r="O110" s="21"/>
      <c r="V110" s="70"/>
      <c r="Y110" s="9">
        <f t="shared" si="4"/>
        <v>1.2942267146580438E-3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1.0786948257769909E-2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8.3752512571201761E-3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2.6242453938976562E-2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12.5703125" defaultRowHeight="15.75" customHeight="1"/>
  <cols>
    <col min="2" max="2" width="94.5703125" customWidth="1"/>
    <col min="3" max="3" width="48.140625" customWidth="1"/>
    <col min="4" max="4" width="19.28515625" customWidth="1"/>
    <col min="5" max="5" width="32.85546875" customWidth="1"/>
    <col min="6" max="6" width="26.7109375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/>
      <c r="E1" s="90" t="s">
        <v>267</v>
      </c>
      <c r="F1" s="90" t="s">
        <v>268</v>
      </c>
    </row>
    <row r="2" spans="1:6" ht="15.75" customHeight="1">
      <c r="A2" s="93">
        <v>2018</v>
      </c>
      <c r="B2" s="87" t="s">
        <v>269</v>
      </c>
      <c r="C2" s="88">
        <v>387.64</v>
      </c>
      <c r="D2" s="89"/>
      <c r="E2" s="88" t="s">
        <v>212</v>
      </c>
      <c r="F2" s="75" t="e">
        <f>SUM('Dividends per year'!C:C)</f>
        <v>#VALUE!</v>
      </c>
    </row>
    <row r="3" spans="1:6" ht="15.75" customHeight="1">
      <c r="A3" s="93">
        <v>2019</v>
      </c>
      <c r="B3" s="87" t="s">
        <v>270</v>
      </c>
      <c r="C3" s="88">
        <f>42+201.18+53.37</f>
        <v>296.55</v>
      </c>
      <c r="D3" s="89"/>
      <c r="E3" s="88">
        <v>2024</v>
      </c>
      <c r="F3" s="76"/>
    </row>
    <row r="4" spans="1:6" ht="15.75" customHeight="1">
      <c r="A4" s="93">
        <v>2020</v>
      </c>
      <c r="B4" s="87" t="s">
        <v>271</v>
      </c>
      <c r="C4" s="88">
        <f>1042.24+6.04+12.91+54.22</f>
        <v>1115.4100000000001</v>
      </c>
      <c r="D4" s="89"/>
      <c r="E4" s="88">
        <v>2025</v>
      </c>
      <c r="F4" s="76"/>
    </row>
    <row r="5" spans="1:6" ht="15.75" customHeight="1">
      <c r="A5" s="93">
        <v>2021</v>
      </c>
      <c r="B5" s="87" t="s">
        <v>272</v>
      </c>
      <c r="C5" s="88">
        <f>115.57+530.98</f>
        <v>646.54999999999995</v>
      </c>
      <c r="D5" s="89"/>
      <c r="E5" s="88">
        <v>2026</v>
      </c>
      <c r="F5" s="76"/>
    </row>
    <row r="6" spans="1:6" ht="15.75" customHeight="1">
      <c r="A6" s="93">
        <v>2022</v>
      </c>
      <c r="B6" s="87" t="s">
        <v>273</v>
      </c>
      <c r="C6" s="88">
        <f>(55.78+52.9)</f>
        <v>108.68</v>
      </c>
      <c r="D6" s="89"/>
      <c r="E6" s="88">
        <v>2027</v>
      </c>
      <c r="F6" s="76"/>
    </row>
    <row r="7" spans="1:6" ht="15.75" customHeight="1">
      <c r="A7" s="93">
        <v>2023</v>
      </c>
      <c r="B7" s="87" t="s">
        <v>274</v>
      </c>
      <c r="C7" s="88">
        <v>0</v>
      </c>
      <c r="D7" s="89"/>
      <c r="E7" s="88">
        <v>2028</v>
      </c>
      <c r="F7" s="76"/>
    </row>
    <row r="8" spans="1:6" ht="15.75" customHeight="1">
      <c r="A8" s="93">
        <v>2024</v>
      </c>
      <c r="B8" s="87" t="s">
        <v>275</v>
      </c>
      <c r="C8" s="88">
        <v>-1000</v>
      </c>
      <c r="D8" s="89"/>
      <c r="E8" s="88">
        <v>2029</v>
      </c>
      <c r="F8" s="76"/>
    </row>
    <row r="9" spans="1:6" ht="15.75" customHeight="1">
      <c r="A9" s="93">
        <v>2024</v>
      </c>
      <c r="B9" s="87"/>
      <c r="C9" s="88"/>
      <c r="D9" s="89"/>
      <c r="E9" s="88">
        <v>2030</v>
      </c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years Action tracke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2023-09-21T15:08:04Z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