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4068" documentId="11_0B82D11B6A48B65002E97C353EDCE6B220F4367A" xr6:coauthVersionLast="47" xr6:coauthVersionMax="47" xr10:uidLastSave="{EF257E43-59D7-4795-95A1-A4323E092A80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D9" i="4"/>
  <c r="G9" i="4" s="1"/>
  <c r="F14" i="7"/>
  <c r="G14" i="7" s="1"/>
  <c r="F9" i="7"/>
  <c r="G9" i="7" s="1"/>
  <c r="F4" i="7"/>
  <c r="G4" i="7" s="1"/>
  <c r="F19" i="7"/>
  <c r="G19" i="7"/>
  <c r="F24" i="7"/>
  <c r="G24" i="7" s="1"/>
  <c r="E24" i="7"/>
  <c r="M47" i="6"/>
  <c r="M21" i="6"/>
  <c r="N21" i="9"/>
  <c r="O21" i="9"/>
  <c r="P21" i="9"/>
  <c r="Q21" i="9"/>
  <c r="R21" i="9"/>
  <c r="S21" i="9"/>
  <c r="T21" i="9"/>
  <c r="U21" i="9"/>
  <c r="U12" i="9"/>
  <c r="T12" i="9"/>
  <c r="F12" i="9"/>
  <c r="F21" i="9" s="1"/>
  <c r="G12" i="9"/>
  <c r="H12" i="9"/>
  <c r="I12" i="9"/>
  <c r="J12" i="9"/>
  <c r="J21" i="9" s="1"/>
  <c r="K12" i="9"/>
  <c r="L12" i="9"/>
  <c r="L21" i="9" s="1"/>
  <c r="M12" i="9"/>
  <c r="M21" i="9" s="1"/>
  <c r="N12" i="9"/>
  <c r="O12" i="9"/>
  <c r="P12" i="9"/>
  <c r="Q12" i="9"/>
  <c r="R12" i="9"/>
  <c r="S12" i="9"/>
  <c r="E12" i="9"/>
  <c r="G21" i="9"/>
  <c r="H21" i="9"/>
  <c r="I21" i="9"/>
  <c r="K21" i="9"/>
  <c r="K13" i="9"/>
  <c r="L13" i="9"/>
  <c r="M13" i="9"/>
  <c r="F13" i="9"/>
  <c r="G13" i="9"/>
  <c r="H13" i="9"/>
  <c r="I13" i="9"/>
  <c r="J13" i="9"/>
  <c r="E13" i="9"/>
  <c r="D13" i="9"/>
  <c r="G21" i="6"/>
  <c r="D19" i="2"/>
  <c r="D5" i="2"/>
  <c r="C2" i="9"/>
  <c r="B6" i="2"/>
  <c r="I6" i="1" s="1"/>
  <c r="L6" i="1" s="1"/>
  <c r="A10" i="2"/>
  <c r="A11" i="2"/>
  <c r="C21" i="9"/>
  <c r="D21" i="9"/>
  <c r="C11" i="9"/>
  <c r="D86" i="2"/>
  <c r="D12" i="2"/>
  <c r="D54" i="2"/>
  <c r="B54" i="2" s="1"/>
  <c r="I54" i="1" s="1"/>
  <c r="D92" i="2"/>
  <c r="D61" i="2"/>
  <c r="B61" i="2" s="1"/>
  <c r="I61" i="1" s="1"/>
  <c r="C8" i="9"/>
  <c r="E8" i="9"/>
  <c r="E3" i="9"/>
  <c r="D3" i="9"/>
  <c r="H14" i="1"/>
  <c r="I14" i="1"/>
  <c r="L14" i="1"/>
  <c r="D17" i="2"/>
  <c r="D66" i="2"/>
  <c r="D95" i="2"/>
  <c r="D13" i="2"/>
  <c r="M35" i="6"/>
  <c r="M29" i="6"/>
  <c r="M54" i="6"/>
  <c r="M45" i="6"/>
  <c r="M42" i="6"/>
  <c r="M25" i="6"/>
  <c r="M18" i="6"/>
  <c r="I10" i="1"/>
  <c r="L10" i="1" s="1"/>
  <c r="I11" i="1"/>
  <c r="H10" i="1"/>
  <c r="H11" i="1"/>
  <c r="H12" i="1"/>
  <c r="H13" i="1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E133" i="2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F130" i="2"/>
  <c r="D5" i="3"/>
  <c r="F15" i="6"/>
  <c r="M15" i="6" s="1"/>
  <c r="M5" i="3"/>
  <c r="J5" i="3"/>
  <c r="G5" i="3"/>
  <c r="N5" i="3" s="1"/>
  <c r="G5" i="1"/>
  <c r="H5" i="1" s="1"/>
  <c r="D8" i="4"/>
  <c r="D20" i="2"/>
  <c r="D47" i="2"/>
  <c r="B19" i="2"/>
  <c r="I19" i="1" s="1"/>
  <c r="D110" i="2"/>
  <c r="D51" i="2"/>
  <c r="B10" i="2"/>
  <c r="E8" i="4"/>
  <c r="D8" i="9"/>
  <c r="D7" i="9"/>
  <c r="D97" i="2"/>
  <c r="D45" i="2"/>
  <c r="D107" i="2"/>
  <c r="D3" i="2"/>
  <c r="B3" i="2" s="1"/>
  <c r="I3" i="1" s="1"/>
  <c r="L3" i="1" s="1"/>
  <c r="D71" i="2"/>
  <c r="D9" i="2"/>
  <c r="B9" i="2" s="1"/>
  <c r="I9" i="1" s="1"/>
  <c r="L9" i="1" s="1"/>
  <c r="D59" i="2"/>
  <c r="D8" i="2"/>
  <c r="D63" i="2"/>
  <c r="B63" i="2" s="1"/>
  <c r="D23" i="2"/>
  <c r="D37" i="2"/>
  <c r="D80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G37" i="8"/>
  <c r="I37" i="8" s="1"/>
  <c r="G4" i="8"/>
  <c r="G5" i="8"/>
  <c r="G6" i="8"/>
  <c r="G7" i="8"/>
  <c r="G8" i="8"/>
  <c r="G9" i="8"/>
  <c r="G10" i="8"/>
  <c r="I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H112" i="1"/>
  <c r="I84" i="1"/>
  <c r="D32" i="2"/>
  <c r="D36" i="2"/>
  <c r="B36" i="2" s="1"/>
  <c r="I36" i="1" s="1"/>
  <c r="L36" i="1" s="1"/>
  <c r="B20" i="2"/>
  <c r="I20" i="1" s="1"/>
  <c r="D88" i="2"/>
  <c r="D22" i="2"/>
  <c r="B22" i="2" s="1"/>
  <c r="I22" i="1" s="1"/>
  <c r="D2" i="2"/>
  <c r="D33" i="2"/>
  <c r="D58" i="2"/>
  <c r="D68" i="2"/>
  <c r="D69" i="2"/>
  <c r="D46" i="2"/>
  <c r="D84" i="2"/>
  <c r="F6" i="4"/>
  <c r="G6" i="4" s="1"/>
  <c r="F7" i="4"/>
  <c r="G7" i="4"/>
  <c r="G2" i="4"/>
  <c r="G3" i="4"/>
  <c r="G4" i="4"/>
  <c r="G5" i="4"/>
  <c r="F8" i="4"/>
  <c r="H16" i="1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I85" i="1" s="1"/>
  <c r="D98" i="2"/>
  <c r="B98" i="2" s="1"/>
  <c r="I98" i="1" s="1"/>
  <c r="L98" i="1" s="1"/>
  <c r="D16" i="2"/>
  <c r="B16" i="2" s="1"/>
  <c r="I16" i="1" s="1"/>
  <c r="D15" i="2"/>
  <c r="B15" i="2" s="1"/>
  <c r="L15" i="1" s="1"/>
  <c r="D14" i="2"/>
  <c r="B14" i="2" s="1"/>
  <c r="B12" i="2"/>
  <c r="I12" i="1" s="1"/>
  <c r="N26" i="3"/>
  <c r="B36" i="3"/>
  <c r="E19" i="7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D70" i="2"/>
  <c r="B47" i="2"/>
  <c r="I47" i="1" s="1"/>
  <c r="B110" i="2"/>
  <c r="I110" i="1" s="1"/>
  <c r="B51" i="2"/>
  <c r="I51" i="1" s="1"/>
  <c r="D77" i="2"/>
  <c r="B77" i="2" s="1"/>
  <c r="I77" i="1" s="1"/>
  <c r="M13" i="6"/>
  <c r="M12" i="6"/>
  <c r="M9" i="6"/>
  <c r="M10" i="6"/>
  <c r="M7" i="6"/>
  <c r="M6" i="6"/>
  <c r="M3" i="6"/>
  <c r="M16" i="6"/>
  <c r="M2" i="6"/>
  <c r="G3" i="5"/>
  <c r="F16" i="3"/>
  <c r="N16" i="3" s="1"/>
  <c r="B23" i="2"/>
  <c r="I23" i="1" s="1"/>
  <c r="B27" i="2"/>
  <c r="I27" i="1" s="1"/>
  <c r="L27" i="1" s="1"/>
  <c r="B31" i="2"/>
  <c r="I31" i="1" s="1"/>
  <c r="B23" i="3"/>
  <c r="K23" i="3"/>
  <c r="H23" i="3"/>
  <c r="E23" i="3"/>
  <c r="D78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H19" i="1"/>
  <c r="H23" i="1"/>
  <c r="M2" i="5"/>
  <c r="L2" i="5"/>
  <c r="B107" i="2"/>
  <c r="I107" i="1" s="1"/>
  <c r="B59" i="2"/>
  <c r="I59" i="1" s="1"/>
  <c r="D11" i="2"/>
  <c r="D50" i="2"/>
  <c r="D48" i="2"/>
  <c r="B8" i="2"/>
  <c r="I8" i="1" s="1"/>
  <c r="L8" i="1" s="1"/>
  <c r="B37" i="2"/>
  <c r="I37" i="1" s="1"/>
  <c r="B65" i="2"/>
  <c r="I65" i="1" s="1"/>
  <c r="L112" i="1"/>
  <c r="K112" i="1"/>
  <c r="B87" i="2"/>
  <c r="I87" i="1" s="1"/>
  <c r="D40" i="2"/>
  <c r="B83" i="2"/>
  <c r="K42" i="1"/>
  <c r="K53" i="1"/>
  <c r="I85" i="6"/>
  <c r="J19" i="6"/>
  <c r="J20" i="6"/>
  <c r="J57" i="6"/>
  <c r="J58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B34" i="2"/>
  <c r="B28" i="2"/>
  <c r="I28" i="1" s="1"/>
  <c r="L28" i="1" s="1"/>
  <c r="B18" i="2"/>
  <c r="I18" i="1" s="1"/>
  <c r="L42" i="1"/>
  <c r="H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I38" i="1" s="1"/>
  <c r="D25" i="2"/>
  <c r="B25" i="2" s="1"/>
  <c r="I25" i="1" s="1"/>
  <c r="B33" i="2"/>
  <c r="D29" i="2"/>
  <c r="B29" i="2" s="1"/>
  <c r="B96" i="2"/>
  <c r="I96" i="1" s="1"/>
  <c r="L96" i="1" s="1"/>
  <c r="B100" i="2"/>
  <c r="B58" i="2"/>
  <c r="B5" i="2"/>
  <c r="I5" i="1" s="1"/>
  <c r="B13" i="2"/>
  <c r="I13" i="1" s="1"/>
  <c r="B92" i="2"/>
  <c r="I92" i="1" s="1"/>
  <c r="L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I17" i="1" s="1"/>
  <c r="D105" i="2"/>
  <c r="B105" i="2" s="1"/>
  <c r="I105" i="1" s="1"/>
  <c r="D73" i="2"/>
  <c r="B73" i="2" s="1"/>
  <c r="I73" i="1" s="1"/>
  <c r="D79" i="2"/>
  <c r="D60" i="2"/>
  <c r="B60" i="2" s="1"/>
  <c r="D109" i="2"/>
  <c r="B109" i="2" s="1"/>
  <c r="I109" i="1" s="1"/>
  <c r="D82" i="2"/>
  <c r="D81" i="2"/>
  <c r="B81" i="2" s="1"/>
  <c r="I81" i="1" s="1"/>
  <c r="D75" i="2"/>
  <c r="B75" i="2" s="1"/>
  <c r="I75" i="1" s="1"/>
  <c r="F5" i="6"/>
  <c r="J5" i="6" s="1"/>
  <c r="J16" i="6"/>
  <c r="J17" i="6"/>
  <c r="J55" i="6"/>
  <c r="J59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21" i="6"/>
  <c r="J54" i="6"/>
  <c r="J61" i="6"/>
  <c r="J62" i="6"/>
  <c r="J63" i="6"/>
  <c r="J64" i="6"/>
  <c r="J65" i="6"/>
  <c r="J66" i="6"/>
  <c r="J67" i="6"/>
  <c r="G16" i="6"/>
  <c r="I16" i="6" s="1"/>
  <c r="G17" i="6"/>
  <c r="I17" i="6" s="1"/>
  <c r="G55" i="6"/>
  <c r="I55" i="6" s="1"/>
  <c r="G19" i="6"/>
  <c r="I19" i="6" s="1"/>
  <c r="G20" i="6"/>
  <c r="I20" i="6" s="1"/>
  <c r="G57" i="6"/>
  <c r="I57" i="6" s="1"/>
  <c r="G58" i="6"/>
  <c r="I58" i="6" s="1"/>
  <c r="G59" i="6"/>
  <c r="I59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I21" i="6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49" i="2"/>
  <c r="D56" i="2"/>
  <c r="B56" i="2" s="1"/>
  <c r="I56" i="1" s="1"/>
  <c r="B50" i="2"/>
  <c r="I50" i="1" s="1"/>
  <c r="D21" i="2"/>
  <c r="B21" i="2" s="1"/>
  <c r="I21" i="1" s="1"/>
  <c r="L21" i="1" s="1"/>
  <c r="D106" i="2"/>
  <c r="B106" i="2" s="1"/>
  <c r="I106" i="1" s="1"/>
  <c r="B88" i="2"/>
  <c r="I88" i="1" s="1"/>
  <c r="L88" i="1" s="1"/>
  <c r="D57" i="2"/>
  <c r="B57" i="2" s="1"/>
  <c r="B71" i="2"/>
  <c r="I71" i="1" s="1"/>
  <c r="D74" i="2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H111" i="1"/>
  <c r="D52" i="2"/>
  <c r="D26" i="2"/>
  <c r="B26" i="2" s="1"/>
  <c r="I26" i="1" s="1"/>
  <c r="L26" i="1" s="1"/>
  <c r="D111" i="2"/>
  <c r="B111" i="2" s="1"/>
  <c r="I111" i="1" s="1"/>
  <c r="L111" i="1" s="1"/>
  <c r="B80" i="2"/>
  <c r="I80" i="1" s="1"/>
  <c r="B43" i="2"/>
  <c r="I43" i="1" s="1"/>
  <c r="L43" i="1" s="1"/>
  <c r="D76" i="2"/>
  <c r="D72" i="2"/>
  <c r="B72" i="2" s="1"/>
  <c r="I72" i="1" s="1"/>
  <c r="D39" i="2"/>
  <c r="B86" i="2"/>
  <c r="I86" i="1" s="1"/>
  <c r="B24" i="2"/>
  <c r="A24" i="2"/>
  <c r="K86" i="3"/>
  <c r="H86" i="3"/>
  <c r="E86" i="3"/>
  <c r="B86" i="3"/>
  <c r="B84" i="2"/>
  <c r="D89" i="2"/>
  <c r="B89" i="2" s="1"/>
  <c r="I89" i="1" s="1"/>
  <c r="B112" i="2"/>
  <c r="A111" i="2"/>
  <c r="A112" i="2"/>
  <c r="A113" i="2"/>
  <c r="I102" i="1"/>
  <c r="I103" i="1"/>
  <c r="I104" i="1"/>
  <c r="B91" i="2"/>
  <c r="I91" i="1" s="1"/>
  <c r="L91" i="1" s="1"/>
  <c r="H110" i="1"/>
  <c r="H109" i="1"/>
  <c r="H4" i="1"/>
  <c r="B69" i="2"/>
  <c r="I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E5" i="3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I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I108" i="1" s="1"/>
  <c r="H108" i="1"/>
  <c r="H107" i="1"/>
  <c r="H106" i="1"/>
  <c r="H105" i="1"/>
  <c r="H98" i="1"/>
  <c r="H97" i="1"/>
  <c r="H96" i="1"/>
  <c r="H95" i="1"/>
  <c r="B94" i="2"/>
  <c r="I94" i="1" s="1"/>
  <c r="H94" i="1"/>
  <c r="B93" i="2"/>
  <c r="I93" i="1" s="1"/>
  <c r="H93" i="1"/>
  <c r="H92" i="1"/>
  <c r="H91" i="1"/>
  <c r="H90" i="1"/>
  <c r="H89" i="1"/>
  <c r="H88" i="1"/>
  <c r="H46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4" i="1"/>
  <c r="H64" i="1"/>
  <c r="H63" i="1"/>
  <c r="H62" i="1"/>
  <c r="H61" i="1"/>
  <c r="H59" i="1"/>
  <c r="H58" i="1"/>
  <c r="H57" i="1"/>
  <c r="H56" i="1"/>
  <c r="H55" i="1"/>
  <c r="H54" i="1"/>
  <c r="H20" i="1"/>
  <c r="H99" i="1"/>
  <c r="H51" i="1"/>
  <c r="H50" i="1"/>
  <c r="H49" i="1"/>
  <c r="H48" i="1"/>
  <c r="H47" i="1"/>
  <c r="B46" i="2"/>
  <c r="I100" i="1" s="1"/>
  <c r="H100" i="1"/>
  <c r="H45" i="1"/>
  <c r="H44" i="1"/>
  <c r="H43" i="1"/>
  <c r="H9" i="1"/>
  <c r="H41" i="1"/>
  <c r="H40" i="1"/>
  <c r="H39" i="1"/>
  <c r="H38" i="1"/>
  <c r="H37" i="1"/>
  <c r="H35" i="1"/>
  <c r="H34" i="1"/>
  <c r="H33" i="1"/>
  <c r="H32" i="1"/>
  <c r="H87" i="1"/>
  <c r="H29" i="1"/>
  <c r="H28" i="1"/>
  <c r="H27" i="1"/>
  <c r="H86" i="1"/>
  <c r="H25" i="1"/>
  <c r="H84" i="1"/>
  <c r="H22" i="1"/>
  <c r="H21" i="1"/>
  <c r="H52" i="1"/>
  <c r="H36" i="1"/>
  <c r="H18" i="1"/>
  <c r="H17" i="1"/>
  <c r="H60" i="1"/>
  <c r="H26" i="1"/>
  <c r="H30" i="1"/>
  <c r="H31" i="1"/>
  <c r="H8" i="1"/>
  <c r="B7" i="2"/>
  <c r="I7" i="1" s="1"/>
  <c r="L7" i="1" s="1"/>
  <c r="H7" i="1"/>
  <c r="H6" i="1"/>
  <c r="B4" i="2"/>
  <c r="I4" i="1" s="1"/>
  <c r="L4" i="1" s="1"/>
  <c r="H3" i="1"/>
  <c r="B2" i="2"/>
  <c r="I2" i="1" s="1"/>
  <c r="H2" i="1"/>
  <c r="O5" i="1" l="1"/>
  <c r="K9" i="1"/>
  <c r="E21" i="9"/>
  <c r="K14" i="1"/>
  <c r="K86" i="1"/>
  <c r="N23" i="3"/>
  <c r="C7" i="9"/>
  <c r="L13" i="1"/>
  <c r="M5" i="6"/>
  <c r="L12" i="1"/>
  <c r="K10" i="1"/>
  <c r="J15" i="6"/>
  <c r="G15" i="6"/>
  <c r="I15" i="6" s="1"/>
  <c r="L5" i="1"/>
  <c r="V5" i="3"/>
  <c r="AG5" i="3"/>
  <c r="AH5" i="3" s="1"/>
  <c r="G8" i="4"/>
  <c r="K20" i="1"/>
  <c r="K16" i="1"/>
  <c r="D128" i="2"/>
  <c r="I46" i="1"/>
  <c r="K46" i="1" s="1"/>
  <c r="B30" i="2"/>
  <c r="I30" i="1" s="1"/>
  <c r="K85" i="1"/>
  <c r="L85" i="1"/>
  <c r="H9" i="5"/>
  <c r="K19" i="1"/>
  <c r="L19" i="1"/>
  <c r="G5" i="6"/>
  <c r="I5" i="6" s="1"/>
  <c r="K25" i="1"/>
  <c r="L25" i="1"/>
  <c r="K84" i="1"/>
  <c r="L84" i="1"/>
  <c r="L22" i="1"/>
  <c r="K22" i="1"/>
  <c r="K17" i="1"/>
  <c r="L17" i="1"/>
  <c r="K23" i="1"/>
  <c r="L23" i="1"/>
  <c r="K18" i="1"/>
  <c r="L18" i="1"/>
  <c r="L16" i="1"/>
  <c r="K21" i="1"/>
  <c r="L20" i="1"/>
  <c r="K38" i="1"/>
  <c r="K15" i="1"/>
  <c r="K27" i="1"/>
  <c r="K36" i="1"/>
  <c r="K28" i="1"/>
  <c r="I32" i="1"/>
  <c r="K32" i="1" s="1"/>
  <c r="K31" i="1"/>
  <c r="K26" i="1"/>
  <c r="L37" i="1"/>
  <c r="K37" i="1"/>
  <c r="I34" i="1"/>
  <c r="K34" i="1" s="1"/>
  <c r="L38" i="1"/>
  <c r="K54" i="1"/>
  <c r="K47" i="1"/>
  <c r="K50" i="1"/>
  <c r="K2" i="1"/>
  <c r="K51" i="1"/>
  <c r="V23" i="3"/>
  <c r="K43" i="1"/>
  <c r="K111" i="1"/>
  <c r="I29" i="1"/>
  <c r="K29" i="1" s="1"/>
  <c r="C2" i="5"/>
  <c r="B97" i="2"/>
  <c r="I97" i="1" s="1"/>
  <c r="L97" i="1" s="1"/>
  <c r="L89" i="1"/>
  <c r="H4" i="5"/>
  <c r="H10" i="5"/>
  <c r="H8" i="5"/>
  <c r="K13" i="1"/>
  <c r="N9" i="3"/>
  <c r="V9" i="3" s="1"/>
  <c r="B99" i="2"/>
  <c r="L31" i="1"/>
  <c r="C128" i="2"/>
  <c r="N4" i="3"/>
  <c r="V4" i="3" s="1"/>
  <c r="H3" i="5"/>
  <c r="H2" i="5"/>
  <c r="N86" i="3"/>
  <c r="V86" i="3" s="1"/>
  <c r="K110" i="1"/>
  <c r="L110" i="1"/>
  <c r="N30" i="3"/>
  <c r="V30" i="3" s="1"/>
  <c r="L109" i="1"/>
  <c r="K109" i="1"/>
  <c r="K75" i="1"/>
  <c r="B55" i="2"/>
  <c r="I55" i="1" s="1"/>
  <c r="L55" i="1" s="1"/>
  <c r="L100" i="1"/>
  <c r="K73" i="1"/>
  <c r="K77" i="1"/>
  <c r="K107" i="1"/>
  <c r="K91" i="1"/>
  <c r="L69" i="1"/>
  <c r="K90" i="1"/>
  <c r="L71" i="1"/>
  <c r="K69" i="1"/>
  <c r="L75" i="1"/>
  <c r="N41" i="3"/>
  <c r="V41" i="3" s="1"/>
  <c r="N78" i="3"/>
  <c r="V78" i="3" s="1"/>
  <c r="L47" i="1"/>
  <c r="L77" i="1"/>
  <c r="L107" i="1"/>
  <c r="N45" i="3"/>
  <c r="V45" i="3" s="1"/>
  <c r="N54" i="3"/>
  <c r="V54" i="3" s="1"/>
  <c r="K7" i="1"/>
  <c r="K61" i="1"/>
  <c r="K94" i="1"/>
  <c r="AH57" i="3" s="1"/>
  <c r="K12" i="1"/>
  <c r="K56" i="1"/>
  <c r="L73" i="1"/>
  <c r="L90" i="1"/>
  <c r="K59" i="1"/>
  <c r="K64" i="1"/>
  <c r="L51" i="1"/>
  <c r="K81" i="1"/>
  <c r="K89" i="1"/>
  <c r="K93" i="1"/>
  <c r="K105" i="1"/>
  <c r="I33" i="1"/>
  <c r="K33" i="1" s="1"/>
  <c r="B67" i="2"/>
  <c r="I67" i="1" s="1"/>
  <c r="L67" i="1" s="1"/>
  <c r="B79" i="2"/>
  <c r="I79" i="1" s="1"/>
  <c r="L79" i="1" s="1"/>
  <c r="B39" i="2"/>
  <c r="I39" i="1" s="1"/>
  <c r="K39" i="1" s="1"/>
  <c r="B95" i="2"/>
  <c r="I95" i="1" s="1"/>
  <c r="L95" i="1" s="1"/>
  <c r="L65" i="1"/>
  <c r="K72" i="1"/>
  <c r="L81" i="1"/>
  <c r="L93" i="1"/>
  <c r="I57" i="1"/>
  <c r="L57" i="1" s="1"/>
  <c r="I63" i="1"/>
  <c r="L63" i="1" s="1"/>
  <c r="L61" i="1"/>
  <c r="L106" i="1"/>
  <c r="K8" i="1"/>
  <c r="L59" i="1"/>
  <c r="K71" i="1"/>
  <c r="B41" i="2"/>
  <c r="I41" i="1" s="1"/>
  <c r="K41" i="1" s="1"/>
  <c r="L50" i="1"/>
  <c r="L54" i="1"/>
  <c r="K92" i="1"/>
  <c r="B11" i="2"/>
  <c r="L11" i="1" s="1"/>
  <c r="K5" i="1"/>
  <c r="B45" i="2"/>
  <c r="I45" i="1" s="1"/>
  <c r="K45" i="1" s="1"/>
  <c r="I58" i="1"/>
  <c r="K58" i="1" s="1"/>
  <c r="V16" i="3"/>
  <c r="V25" i="3"/>
  <c r="G40" i="3"/>
  <c r="E29" i="3"/>
  <c r="L40" i="3"/>
  <c r="K29" i="3"/>
  <c r="B53" i="2"/>
  <c r="V21" i="3"/>
  <c r="K4" i="1"/>
  <c r="K6" i="1"/>
  <c r="B40" i="2"/>
  <c r="I40" i="1" s="1"/>
  <c r="K40" i="1" s="1"/>
  <c r="K100" i="1"/>
  <c r="K65" i="1"/>
  <c r="B70" i="2"/>
  <c r="I70" i="1" s="1"/>
  <c r="L70" i="1" s="1"/>
  <c r="K88" i="1"/>
  <c r="L108" i="1"/>
  <c r="L87" i="1"/>
  <c r="B49" i="2"/>
  <c r="I49" i="1" s="1"/>
  <c r="K96" i="1"/>
  <c r="K106" i="1"/>
  <c r="I35" i="1"/>
  <c r="K35" i="1" s="1"/>
  <c r="L2" i="1"/>
  <c r="K3" i="1"/>
  <c r="B44" i="2"/>
  <c r="I44" i="1" s="1"/>
  <c r="K44" i="1" s="1"/>
  <c r="I62" i="1"/>
  <c r="L62" i="1" s="1"/>
  <c r="K80" i="1"/>
  <c r="K98" i="1"/>
  <c r="H6" i="3"/>
  <c r="E6" i="3"/>
  <c r="B6" i="3"/>
  <c r="I24" i="3"/>
  <c r="N24" i="3" s="1"/>
  <c r="V37" i="3"/>
  <c r="B78" i="2"/>
  <c r="B48" i="2"/>
  <c r="I48" i="1" s="1"/>
  <c r="B74" i="2"/>
  <c r="I74" i="1" s="1"/>
  <c r="L74" i="1" s="1"/>
  <c r="B82" i="2"/>
  <c r="I82" i="1" s="1"/>
  <c r="L82" i="1" s="1"/>
  <c r="B52" i="2"/>
  <c r="V7" i="3"/>
  <c r="V14" i="3"/>
  <c r="V46" i="3"/>
  <c r="V52" i="3"/>
  <c r="V70" i="3"/>
  <c r="K108" i="1"/>
  <c r="I60" i="1"/>
  <c r="L60" i="1" s="1"/>
  <c r="B68" i="2"/>
  <c r="I68" i="1" s="1"/>
  <c r="L68" i="1" s="1"/>
  <c r="B76" i="2"/>
  <c r="I76" i="1" s="1"/>
  <c r="L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L56" i="1"/>
  <c r="L64" i="1"/>
  <c r="L72" i="1"/>
  <c r="L80" i="1"/>
  <c r="L94" i="1"/>
  <c r="L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3" i="1" l="1"/>
  <c r="J14" i="1"/>
  <c r="J75" i="1"/>
  <c r="J20" i="1"/>
  <c r="J92" i="1"/>
  <c r="J37" i="1"/>
  <c r="J109" i="1"/>
  <c r="J62" i="1"/>
  <c r="J31" i="1"/>
  <c r="J119" i="1"/>
  <c r="J104" i="1"/>
  <c r="J49" i="1"/>
  <c r="J11" i="1"/>
  <c r="J28" i="1"/>
  <c r="J100" i="1"/>
  <c r="J45" i="1"/>
  <c r="J42" i="1"/>
  <c r="J70" i="1"/>
  <c r="J39" i="1"/>
  <c r="J26" i="1"/>
  <c r="J112" i="1"/>
  <c r="J81" i="1"/>
  <c r="J36" i="1"/>
  <c r="J47" i="1"/>
  <c r="J27" i="1"/>
  <c r="J99" i="1"/>
  <c r="J44" i="1"/>
  <c r="J50" i="1"/>
  <c r="J69" i="1"/>
  <c r="J98" i="1"/>
  <c r="J110" i="1"/>
  <c r="J55" i="1"/>
  <c r="J32" i="1"/>
  <c r="J10" i="1"/>
  <c r="J97" i="1"/>
  <c r="J19" i="1"/>
  <c r="J108" i="1"/>
  <c r="J61" i="1"/>
  <c r="J78" i="1"/>
  <c r="J89" i="1"/>
  <c r="J35" i="1"/>
  <c r="J107" i="1"/>
  <c r="J60" i="1"/>
  <c r="J5" i="1"/>
  <c r="J77" i="1"/>
  <c r="J6" i="1"/>
  <c r="J118" i="1"/>
  <c r="J63" i="1"/>
  <c r="J40" i="1"/>
  <c r="J17" i="1"/>
  <c r="J105" i="1"/>
  <c r="J91" i="1"/>
  <c r="J74" i="1"/>
  <c r="J24" i="1"/>
  <c r="J120" i="1"/>
  <c r="J43" i="1"/>
  <c r="J58" i="1"/>
  <c r="J68" i="1"/>
  <c r="J13" i="1"/>
  <c r="J85" i="1"/>
  <c r="J34" i="1"/>
  <c r="J95" i="1"/>
  <c r="J48" i="1"/>
  <c r="J25" i="1"/>
  <c r="J113" i="1"/>
  <c r="J59" i="1"/>
  <c r="J4" i="1"/>
  <c r="J76" i="1"/>
  <c r="J21" i="1"/>
  <c r="J93" i="1"/>
  <c r="J46" i="1"/>
  <c r="J82" i="1"/>
  <c r="J103" i="1"/>
  <c r="J64" i="1"/>
  <c r="J33" i="1"/>
  <c r="J67" i="1"/>
  <c r="J12" i="1"/>
  <c r="J84" i="1"/>
  <c r="J29" i="1"/>
  <c r="J101" i="1"/>
  <c r="J54" i="1"/>
  <c r="J106" i="1"/>
  <c r="J111" i="1"/>
  <c r="J96" i="1"/>
  <c r="J41" i="1"/>
  <c r="J22" i="1"/>
  <c r="J86" i="1"/>
  <c r="J7" i="1"/>
  <c r="J71" i="1"/>
  <c r="J90" i="1"/>
  <c r="J72" i="1"/>
  <c r="J66" i="1"/>
  <c r="J57" i="1"/>
  <c r="J2" i="1"/>
  <c r="J30" i="1"/>
  <c r="J94" i="1"/>
  <c r="J15" i="1"/>
  <c r="J79" i="1"/>
  <c r="J8" i="1"/>
  <c r="J80" i="1"/>
  <c r="J114" i="1"/>
  <c r="J65" i="1"/>
  <c r="J18" i="1"/>
  <c r="J51" i="1"/>
  <c r="J115" i="1"/>
  <c r="J52" i="1"/>
  <c r="J116" i="1"/>
  <c r="J53" i="1"/>
  <c r="J117" i="1"/>
  <c r="J38" i="1"/>
  <c r="J102" i="1"/>
  <c r="J23" i="1"/>
  <c r="J87" i="1"/>
  <c r="J16" i="1"/>
  <c r="J88" i="1"/>
  <c r="J9" i="1"/>
  <c r="J73" i="1"/>
  <c r="J56" i="1"/>
  <c r="N18" i="3"/>
  <c r="V18" i="3" s="1"/>
  <c r="N19" i="3"/>
  <c r="V19" i="3" s="1"/>
  <c r="N20" i="3"/>
  <c r="V20" i="3" s="1"/>
  <c r="N22" i="3"/>
  <c r="L46" i="1"/>
  <c r="L30" i="1"/>
  <c r="K30" i="1"/>
  <c r="L32" i="1"/>
  <c r="L34" i="1"/>
  <c r="L29" i="1"/>
  <c r="K97" i="1"/>
  <c r="L39" i="1"/>
  <c r="L33" i="1"/>
  <c r="I78" i="1"/>
  <c r="K78" i="1" s="1"/>
  <c r="L49" i="1"/>
  <c r="K49" i="1"/>
  <c r="L35" i="1"/>
  <c r="L48" i="1"/>
  <c r="K48" i="1"/>
  <c r="I99" i="1"/>
  <c r="L99" i="1" s="1"/>
  <c r="I52" i="1"/>
  <c r="K52" i="1" s="1"/>
  <c r="K60" i="1"/>
  <c r="Q9" i="3"/>
  <c r="Q8" i="3"/>
  <c r="Q3" i="3"/>
  <c r="Q4" i="3"/>
  <c r="Q13" i="3"/>
  <c r="Q6" i="3"/>
  <c r="Q12" i="3"/>
  <c r="L86" i="1"/>
  <c r="Q20" i="3"/>
  <c r="Q11" i="3"/>
  <c r="Q5" i="3"/>
  <c r="Q7" i="3"/>
  <c r="N13" i="3"/>
  <c r="V13" i="3" s="1"/>
  <c r="Q10" i="3"/>
  <c r="L45" i="1"/>
  <c r="L44" i="1"/>
  <c r="K82" i="1"/>
  <c r="K57" i="1"/>
  <c r="L40" i="1"/>
  <c r="K67" i="1"/>
  <c r="K87" i="1"/>
  <c r="K70" i="1"/>
  <c r="K63" i="1"/>
  <c r="K95" i="1"/>
  <c r="K62" i="1"/>
  <c r="L58" i="1"/>
  <c r="K79" i="1"/>
  <c r="K74" i="1"/>
  <c r="K68" i="1"/>
  <c r="K11" i="1"/>
  <c r="L41" i="1"/>
  <c r="K76" i="1"/>
  <c r="K55" i="1"/>
  <c r="B66" i="2"/>
  <c r="I66" i="1" s="1"/>
  <c r="N68" i="3"/>
  <c r="V68" i="3" s="1"/>
  <c r="N15" i="3"/>
  <c r="V15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L78" i="1" l="1"/>
  <c r="K99" i="1"/>
  <c r="L52" i="1"/>
  <c r="Y90" i="3"/>
  <c r="L66" i="1"/>
  <c r="K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<sst xmlns="http://schemas.openxmlformats.org/spreadsheetml/2006/main" count="1102" uniqueCount="564">
  <si>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</si>
  <si>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</si>
  <si>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</si>
  <si>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</si>
  <si>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</si>
  <si>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</si>
  <si>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</si>
  <si>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</si>
  <si>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</si>
  <si>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</si>
  <si>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</si>
  <si>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</si>
  <si>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</si>
  <si>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</si>
  <si>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</si>
  <si>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</si>
  <si>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</si>
  <si>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</si>
  <si>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</si>
  <si>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</si>
  <si>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</si>
  <si>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</si>
  <si>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</si>
  <si>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</si>
  <si>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</si>
  <si>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</si>
  <si>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</si>
  <si>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</si>
  <si>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</si>
  <si>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</si>
  <si>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</si>
  <si>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</si>
  <si>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</si>
  <si>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</si>
  <si>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</si>
  <si>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</si>
  <si>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</si>
  <si>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</si>
  <si>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</si>
  <si>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</si>
  <si>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</si>
  <si>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</si>
  <si>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</si>
  <si>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</si>
  <si>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</si>
  <si>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</si>
  <si>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</si>
  <si>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</si>
  <si>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</si>
  <si>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</si>
  <si>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</si>
  <si>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</si>
  <si>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</si>
  <si>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</si>
  <si>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</si>
  <si>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</si>
  <si>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</si>
  <si>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</si>
  <si>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</si>
  <si>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</si>
  <si>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</si>
  <si>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</si>
  <si>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</si>
  <si>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</si>
  <si>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</si>
  <si>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</si>
  <si>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</si>
  <si>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</si>
  <si>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</si>
  <si>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</si>
  <si>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</si>
  <si>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</si>
  <si>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</si>
  <si>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</si>
  <si>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</si>
  <si>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</si>
  <si>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</si>
  <si>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</si>
  <si>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</si>
  <si>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</si>
  <si>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</si>
  <si>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</si>
  <si>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</si>
  <si>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</si>
  <si>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</si>
  <si>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</si>
  <si>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</si>
  <si>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</si>
  <si>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</si>
  <si>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</si>
  <si>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</si>
  <si>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</si>
  <si>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</si>
  <si>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</si>
  <si>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</si>
  <si>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</si>
  <si>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</si>
  <si>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</si>
  <si>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</si>
  <si>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</si>
  <si>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</si>
  <si>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</si>
  <si>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</si>
  <si>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</si>
  <si>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</si>
  <si>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</si>
  <si>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</si>
  <si>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</si>
  <si>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</si>
  <si>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</si>
  <si>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</si>
  <si>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</si>
  <si>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</si>
  <si>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</si>
  <si>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</si>
  <si>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</si>
  <si>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</si>
  <si>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</si>
  <si>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</si>
  <si>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</si>
  <si>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</si>
  <si>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</si>
  <si>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</si>
  <si>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</si>
  <si>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</si>
  <si>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</si>
  <si>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</si>
  <si>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</si>
  <si>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</si>
  <si>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</si>
  <si>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</si>
  <si>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</si>
  <si>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</si>
  <si>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</si>
  <si>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</si>
  <si>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</si>
  <si>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</si>
  <si>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</si>
  <si>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</si>
  <si>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</si>
  <si>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</si>
  <si>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</si>
  <si>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</si>
  <si>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</si>
  <si>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</si>
  <si>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</si>
  <si>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</si>
  <si>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</si>
  <si>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</si>
  <si>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</si>
  <si>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</si>
  <si>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</si>
  <si>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</si>
  <si>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</si>
  <si>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</si>
  <si>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</si>
  <si>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</si>
  <si>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</si>
  <si>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</si>
  <si>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</si>
  <si>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</si>
  <si>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</si>
  <si>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</si>
  <si>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</si>
  <si>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</si>
  <si>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</si>
  <si>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</si>
  <si>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</si>
  <si>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</si>
  <si>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</si>
  <si>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</si>
  <si>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</si>
  <si>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</si>
  <si>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</si>
  <si>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</si>
  <si>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</si>
  <si>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</si>
  <si>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</si>
  <si>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</si>
  <si>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</si>
  <si>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</si>
  <si>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</si>
  <si>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</si>
  <si>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</si>
  <si>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</si>
  <si>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</si>
  <si>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</si>
  <si>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</si>
  <si>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</si>
  <si>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</si>
  <si>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</si>
  <si>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</si>
  <si>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</si>
  <si>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</si>
  <si>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</si>
  <si>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</si>
  <si>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</si>
  <si>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</si>
  <si>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</si>
  <si>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</si>
  <si>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</si>
  <si>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</si>
  <si>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</si>
  <si>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</si>
  <si>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</si>
  <si>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</si>
  <si>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</si>
  <si>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</si>
  <si>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</si>
  <si>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</si>
  <si>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</si>
  <si>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</si>
  <si>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</si>
  <si>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</si>
  <si>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</si>
  <si>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</si>
  <si>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</si>
  <si>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</si>
  <si>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</si>
  <si>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</si>
  <si>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</si>
  <si>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</si>
  <si>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</si>
  <si>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</si>
  <si>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</si>
  <si>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</si>
  <si>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</si>
  <si>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</si>
  <si>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</si>
  <si>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</si>
  <si>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</si>
  <si>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</si>
  <si>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</si>
  <si>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</si>
  <si>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</si>
  <si>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</si>
  <si>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</si>
  <si>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</si>
  <si>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</si>
  <si>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</si>
  <si>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</si>
  <si>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</si>
  <si>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</si>
  <si>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</si>
  <si>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</si>
  <si>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</si>
  <si>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</si>
  <si>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</si>
  <si>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</si>
  <si>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</si>
  <si>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</si>
  <si>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</si>
  <si>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</si>
  <si>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</si>
  <si>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</si>
  <si>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</si>
  <si>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</si>
  <si>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</si>
  <si>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</si>
  <si>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</si>
  <si>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</si>
  <si>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</si>
  <si>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</si>
  <si>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</si>
  <si>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</si>
  <si>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</si>
  <si>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</si>
  <si>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</si>
  <si>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</si>
  <si>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</si>
  <si>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</si>
  <si>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</si>
  <si>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</si>
  <si>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</si>
  <si>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</si>
  <si>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</si>
  <si>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</si>
  <si>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</si>
  <si>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</si>
  <si>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</si>
  <si>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</si>
  <si>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</si>
  <si>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</si>
  <si>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</si>
  <si>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</si>
  <si>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</si>
  <si>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</si>
  <si>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</si>
  <si>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</si>
  <si>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</si>
  <si>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</si>
  <si>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</si>
  <si>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</si>
  <si>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</si>
  <si>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</si>
  <si>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</si>
  <si>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</si>
  <si>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</si>
  <si>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</si>
  <si>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</si>
  <si>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</si>
  <si>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</si>
  <si>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</si>
  <si>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</si>
  <si>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</si>
  <si>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</si>
  <si>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</si>
  <si>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</si>
  <si>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</si>
  <si>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</si>
  <si>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</si>
  <si>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</si>
  <si>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</si>
  <si>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</si>
  <si>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</si>
  <si>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</si>
  <si>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</si>
  <si>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</si>
  <si>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</si>
  <si>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</si>
  <si>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</si>
  <si>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</si>
  <si>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</si>
  <si>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</si>
  <si>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</si>
  <si>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</si>
  <si>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</si>
  <si>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</si>
  <si>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</si>
  <si>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</si>
  <si>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</si>
  <si>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</si>
  <si>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</si>
  <si>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</si>
  <si>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</si>
  <si>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</si>
  <si>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</si>
  <si>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</si>
  <si>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</si>
  <si>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</si>
  <si>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</si>
  <si>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</si>
  <si>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</si>
  <si>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</si>
  <si>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</si>
  <si>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</si>
  <si>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</si>
  <si>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</si>
  <si>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</si>
  <si>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</si>
  <si>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</si>
  <si>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</si>
  <si>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</si>
  <si>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</si>
  <si>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</si>
  <si>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</si>
  <si>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</si>
  <si>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</si>
  <si>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</si>
  <si>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</si>
  <si>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</si>
  <si>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</si>
  <si>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</si>
  <si>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</si>
  <si>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</si>
  <si>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</si>
  <si>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</si>
  <si>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</si>
  <si>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</si>
  <si>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</si>
  <si>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</si>
  <si>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</si>
  <si>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</si>
  <si>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</si>
  <si>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</si>
  <si>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</si>
  <si>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</si>
  <si>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</si>
  <si>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</si>
  <si>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</si>
  <si>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</si>
  <si>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</si>
  <si>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</si>
  <si>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</si>
  <si>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</si>
  <si>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</si>
  <si>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</si>
  <si>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</si>
  <si>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</si>
  <si>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</si>
  <si>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</si>
  <si>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</si>
  <si>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</si>
  <si>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</si>
  <si>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</si>
  <si>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</si>
  <si>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</si>
  <si>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</si>
  <si>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</si>
  <si>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</si>
  <si>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</si>
  <si>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</si>
  <si>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</si>
  <si>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</si>
  <si>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</si>
  <si>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</si>
  <si>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</si>
  <si>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</si>
  <si>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</si>
  <si>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</si>
  <si>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</si>
  <si>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</si>
  <si>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</si>
  <si>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</si>
  <si>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</si>
  <si>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</si>
  <si>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</si>
  <si>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</si>
  <si>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</si>
  <si>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</si>
  <si>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</si>
  <si>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</si>
  <si>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</si>
  <si>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</si>
  <si>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</si>
  <si>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</si>
  <si>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</si>
  <si>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</si>
  <si>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</si>
  <si>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</si>
  <si>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</si>
  <si>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</si>
  <si>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</si>
  <si>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</si>
  <si>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</si>
  <si>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</si>
  <si>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</si>
  <si>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</si>
  <si>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</si>
  <si>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</si>
  <si>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</si>
  <si>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</si>
  <si>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</si>
  <si>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</si>
  <si>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</si>
  <si>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</si>
  <si>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</si>
  <si>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</si>
  <si>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</si>
  <si>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</si>
  <si>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</si>
  <si>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</si>
  <si>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</si>
  <si>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</si>
  <si>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</si>
  <si>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</si>
  <si>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</si>
  <si>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</si>
  <si>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</si>
  <si>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</si>
  <si>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</si>
  <si>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</si>
  <si>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</si>
  <si>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</si>
  <si>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</si>
  <si>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</si>
  <si>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</si>
  <si>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</si>
  <si>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</si>
  <si>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</si>
  <si>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</si>
  <si>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</si>
  <si>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</si>
  <si>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</si>
  <si>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</si>
  <si>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</si>
  <si>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</si>
  <si>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</si>
  <si>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</si>
  <si>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</si>
  <si>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</si>
  <si>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</si>
  <si>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</si>
  <si>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</si>
  <si>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</si>
  <si>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</si>
  <si>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</si>
  <si>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</si>
  <si>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</si>
  <si>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</si>
  <si>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</si>
  <si>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</si>
  <si>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</si>
  <si>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</si>
  <si>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</si>
  <si>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</si>
  <si>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</si>
  <si>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</si>
  <si>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</si>
  <si>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</si>
  <si>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415 USD to 425 USD</t>
  </si>
  <si>
    <t>518 USD to 540 USD</t>
  </si>
  <si>
    <t>buy keep until 2027</t>
  </si>
  <si>
    <t>sum_netto</t>
  </si>
  <si>
    <t>Dividendkalender</t>
  </si>
  <si>
    <t>GRAL</t>
  </si>
  <si>
    <t>ON Semiconductor</t>
  </si>
  <si>
    <t>Axcelis</t>
  </si>
  <si>
    <t>Lam Research</t>
  </si>
  <si>
    <t>Applied Materials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</si>
  <si>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</si>
  <si>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</si>
  <si>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</si>
  <si>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</si>
  <si>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</si>
  <si>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</si>
  <si>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</si>
  <si>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</si>
  <si>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</si>
  <si>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</si>
  <si>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</si>
  <si>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</si>
  <si>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</si>
  <si>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</si>
  <si>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</si>
  <si>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</si>
  <si>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</si>
  <si>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</si>
  <si>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</si>
  <si>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</si>
  <si>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</si>
  <si>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</si>
  <si>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</si>
  <si>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profit 700 EUR, sell after oil boom</t>
  </si>
  <si>
    <t>setup_04</t>
  </si>
  <si>
    <t>setup_05</t>
  </si>
  <si>
    <t>buy, Lithography-Supplier, 2024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</si>
  <si>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</t>
  </si>
  <si>
    <t>Schaeffler</t>
  </si>
  <si>
    <t>Pepsi</t>
  </si>
  <si>
    <t>Pie %</t>
  </si>
  <si>
    <t>Brutto_Dividend_year_EUR</t>
  </si>
  <si>
    <t>profit 300 eur, cleanup</t>
  </si>
  <si>
    <t>Sum total EUR</t>
  </si>
  <si>
    <t>Absturzsicherung</t>
  </si>
  <si>
    <t>Solaranlage 20J</t>
  </si>
  <si>
    <t>Küche 10J</t>
  </si>
  <si>
    <t>2% AfA</t>
  </si>
  <si>
    <t>Gartenhaus</t>
  </si>
  <si>
    <t>Kapital</t>
  </si>
  <si>
    <t>Fahrten</t>
  </si>
  <si>
    <t>14.12.2024, 5km</t>
  </si>
  <si>
    <t xml:space="preserve">Notar </t>
  </si>
  <si>
    <t>04.12.2024 LTC</t>
  </si>
  <si>
    <t>DHL</t>
  </si>
  <si>
    <t>Bechtle</t>
  </si>
  <si>
    <t>Alexandria REIT</t>
  </si>
  <si>
    <t>Target</t>
  </si>
  <si>
    <t>Ideas:</t>
  </si>
  <si>
    <t>Sanierung</t>
  </si>
  <si>
    <t>Bank</t>
  </si>
  <si>
    <t>ING</t>
  </si>
  <si>
    <t>Gesamt 2025: Umzug nach Scalable für Trading,</t>
  </si>
  <si>
    <t>Verkauf Novavax (-4.800), Verkauf Exxon (+700), Verkauf NVIDIA bei 5T valuation (+50.000), Verschieben 50k auf Tradingaccount, Küchenkauf 17k, Zaunkauf 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</si>
</sst>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9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19" fillId="41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14" borderId="0" xfId="0" applyNumberFormat="1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0" fillId="0" borderId="0" xfId="0" applyNumberFormat="1"/>
    <xf numFmtId="1" fontId="24" fillId="35" borderId="14" xfId="0" applyNumberFormat="1" applyFont="1" applyFill="1" applyBorder="1" applyAlignment="1">
      <alignment horizontal="center"/>
    </xf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1662.01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3020.45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0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889.68999999999994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31.43</c:v>
                </c:pt>
                <c:pt idx="17">
                  <c:v>530.74</c:v>
                </c:pt>
                <c:pt idx="18">
                  <c:v>745.91000000000008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72.569999999999993</c:v>
                </c:pt>
                <c:pt idx="44">
                  <c:v>185.73000000000002</c:v>
                </c:pt>
                <c:pt idx="45">
                  <c:v>64.710000000000008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15.560000000000002</c:v>
                </c:pt>
                <c:pt idx="50">
                  <c:v>94.28</c:v>
                </c:pt>
                <c:pt idx="51">
                  <c:v>0</c:v>
                </c:pt>
                <c:pt idx="52">
                  <c:v>62.430000000000007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142.38</c:v>
                </c:pt>
                <c:pt idx="58">
                  <c:v>58.75</c:v>
                </c:pt>
                <c:pt idx="59">
                  <c:v>52.2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309.16000000000003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ColWidth="12.5703125" defaultRowHeight="15.75" customHeight="1"/>
  <cols>
    <col min="1" max="1" width="26.140625" customWidth="1"/>
    <col min="2" max="2" width="12.85546875" style="153" customWidth="1"/>
    <col min="3" max="4" width="12.42578125" style="77" customWidth="1"/>
    <col min="6" max="6" width="13.140625" customWidth="1"/>
    <col min="9" max="9" width="15.42578125" customWidth="1"/>
    <col min="10" max="10" width="10.28515625" style="182" customWidth="1"/>
    <col min="13" max="13" width="40.7109375" style="141" customWidth="1"/>
    <col min="14" max="14" width="24.85546875" customWidth="1"/>
    <col min="15" max="15" width="27" customWidth="1"/>
    <col min="16" max="16" width="25.42578125" customWidth="1"/>
    <col min="17" max="17" width="15.5703125" customWidth="1"/>
  </cols>
  <sheetData>
    <row r="1" spans="1:38" ht="18">
      <c r="A1" s="1" t="s">
        <v>0</v>
      </c>
      <c r="B1" s="142" t="s">
        <v>1</v>
      </c>
      <c r="C1" s="73" t="s">
        <v>2</v>
      </c>
      <c r="D1" s="73" t="s">
        <v>560</v>
      </c>
      <c r="E1" s="73" t="s">
        <v>3</v>
      </c>
      <c r="F1" s="75" t="s">
        <v>4</v>
      </c>
      <c r="G1" s="73" t="s">
        <v>5</v>
      </c>
      <c r="H1" s="73" t="s">
        <v>6</v>
      </c>
      <c r="I1" s="73" t="s">
        <v>7</v>
      </c>
      <c r="J1" s="181" t="s">
        <v>540</v>
      </c>
      <c r="K1" s="3" t="s">
        <v>8</v>
      </c>
      <c r="L1" s="3" t="s">
        <v>9</v>
      </c>
      <c r="M1" s="74" t="s">
        <v>10</v>
      </c>
      <c r="N1" s="2" t="s">
        <v>11</v>
      </c>
      <c r="O1" s="73" t="s">
        <v>12</v>
      </c>
      <c r="Q1" t="s">
        <v>286</v>
      </c>
      <c r="R1" t="s">
        <v>285</v>
      </c>
    </row>
    <row r="2" spans="1:38" ht="15.75" customHeight="1">
      <c r="A2" s="101" t="s">
        <v>13</v>
      </c>
      <c r="B2" s="143" t="s">
        <v>14</v>
      </c>
      <c r="C2" s="76" t="s">
        <v>15</v>
      </c>
      <c r="D2" s="76" t="s">
        <v>561</v>
      </c>
      <c r="E2" s="6">
        <v>147</v>
      </c>
      <c r="F2" s="7">
        <v>123.9922</v>
      </c>
      <c r="G2" s="6">
        <v>66</v>
      </c>
      <c r="H2" s="6">
        <f t="shared" ref="H2:H29" si="0">G2*E2</f>
        <v>9702</v>
      </c>
      <c r="I2" s="6">
        <f>'Dividends per year'!B2</f>
        <v>859.02</v>
      </c>
      <c r="J2" s="8">
        <f>H2/$O$5</f>
        <v>3.672711075516949E-2</v>
      </c>
      <c r="K2" s="7">
        <f>(H2-(G2*F2)+I2)</f>
        <v>2377.5347999999999</v>
      </c>
      <c r="L2" s="8">
        <f t="shared" ref="L2:L34" si="1">((E2*G2)+I2)/(F2*G2)-100%</f>
        <v>0.29052839247512785</v>
      </c>
      <c r="M2" s="10" t="s">
        <v>411</v>
      </c>
      <c r="N2" s="86">
        <v>43135</v>
      </c>
      <c r="O2" s="87" t="s">
        <v>553</v>
      </c>
      <c r="Q2" t="s">
        <v>287</v>
      </c>
      <c r="R2" s="90"/>
    </row>
    <row r="3" spans="1:38" ht="15.75" customHeight="1">
      <c r="A3" s="101" t="s">
        <v>16</v>
      </c>
      <c r="B3" s="143" t="s">
        <v>17</v>
      </c>
      <c r="C3" s="76" t="s">
        <v>15</v>
      </c>
      <c r="D3" s="76" t="s">
        <v>561</v>
      </c>
      <c r="E3" s="6">
        <v>503</v>
      </c>
      <c r="F3" s="7">
        <v>179.45</v>
      </c>
      <c r="G3" s="6">
        <v>10</v>
      </c>
      <c r="H3" s="6">
        <f t="shared" si="0"/>
        <v>5030</v>
      </c>
      <c r="I3" s="6">
        <f>'Dividends per year'!B3</f>
        <v>50.150000000000006</v>
      </c>
      <c r="J3" s="8">
        <f t="shared" ref="J3:J66" si="2">H3/$O$5</f>
        <v>1.904116337853046E-2</v>
      </c>
      <c r="K3" s="7">
        <f t="shared" ref="K3:K54" si="3">(H3-(G3*F3)+I3)</f>
        <v>3285.65</v>
      </c>
      <c r="L3" s="8">
        <f t="shared" si="1"/>
        <v>1.8309556979660071</v>
      </c>
      <c r="M3" s="10" t="s">
        <v>429</v>
      </c>
      <c r="N3" s="86">
        <v>43251</v>
      </c>
      <c r="Q3" t="s">
        <v>288</v>
      </c>
      <c r="R3" s="118"/>
    </row>
    <row r="4" spans="1:38" ht="15">
      <c r="A4" s="101" t="s">
        <v>18</v>
      </c>
      <c r="B4" s="144" t="s">
        <v>19</v>
      </c>
      <c r="C4" s="76" t="s">
        <v>15</v>
      </c>
      <c r="D4" s="76" t="s">
        <v>561</v>
      </c>
      <c r="E4" s="6">
        <v>150</v>
      </c>
      <c r="F4" s="7">
        <v>60.848999999999997</v>
      </c>
      <c r="G4" s="6">
        <v>80</v>
      </c>
      <c r="H4" s="6">
        <f>G4*E4</f>
        <v>12000</v>
      </c>
      <c r="I4" s="6">
        <f>'Dividends per year'!B4</f>
        <v>21.740000000000002</v>
      </c>
      <c r="J4" s="8">
        <f t="shared" si="2"/>
        <v>4.5426234700271476E-2</v>
      </c>
      <c r="K4" s="7">
        <f t="shared" si="3"/>
        <v>7153.82</v>
      </c>
      <c r="L4" s="8">
        <f t="shared" si="1"/>
        <v>1.4695845453499645</v>
      </c>
      <c r="M4" s="10" t="s">
        <v>412</v>
      </c>
      <c r="N4" s="86">
        <v>43767</v>
      </c>
      <c r="O4" s="180" t="s">
        <v>543</v>
      </c>
      <c r="Q4" s="66" t="s">
        <v>291</v>
      </c>
      <c r="R4" s="91"/>
    </row>
    <row r="5" spans="1:38" ht="15.75" customHeight="1">
      <c r="A5" s="101" t="s">
        <v>20</v>
      </c>
      <c r="B5" s="145" t="s">
        <v>21</v>
      </c>
      <c r="C5" s="76" t="s">
        <v>22</v>
      </c>
      <c r="D5" s="76" t="s">
        <v>561</v>
      </c>
      <c r="E5" s="6">
        <v>825</v>
      </c>
      <c r="F5" s="7">
        <v>827.55399999999997</v>
      </c>
      <c r="G5" s="6">
        <f>10+15+33</f>
        <v>58</v>
      </c>
      <c r="H5" s="6">
        <f t="shared" si="0"/>
        <v>47850</v>
      </c>
      <c r="I5" s="6">
        <f>'Dividends per year'!B5</f>
        <v>889.68999999999994</v>
      </c>
      <c r="J5" s="8">
        <f t="shared" si="2"/>
        <v>0.1811371108673325</v>
      </c>
      <c r="K5" s="7">
        <f t="shared" si="3"/>
        <v>741.55800000000215</v>
      </c>
      <c r="L5" s="8">
        <f t="shared" si="1"/>
        <v>1.5449726251846707E-2</v>
      </c>
      <c r="M5" s="10" t="s">
        <v>413</v>
      </c>
      <c r="N5" s="71">
        <v>43679</v>
      </c>
      <c r="O5" s="183">
        <f>SUM(H2:H121)</f>
        <v>264164.53133696079</v>
      </c>
      <c r="Q5" t="s">
        <v>393</v>
      </c>
      <c r="R5" s="93"/>
    </row>
    <row r="6" spans="1:38" ht="15.75" customHeight="1">
      <c r="A6" s="101" t="s">
        <v>23</v>
      </c>
      <c r="B6" s="146" t="s">
        <v>24</v>
      </c>
      <c r="C6" s="76" t="s">
        <v>15</v>
      </c>
      <c r="D6" s="76" t="s">
        <v>561</v>
      </c>
      <c r="E6" s="6">
        <v>55</v>
      </c>
      <c r="F6" s="7">
        <v>22.36</v>
      </c>
      <c r="G6" s="6">
        <v>230</v>
      </c>
      <c r="H6" s="6">
        <f t="shared" si="0"/>
        <v>12650</v>
      </c>
      <c r="I6" s="6">
        <f>'Dividends per year'!B6</f>
        <v>437.96</v>
      </c>
      <c r="J6" s="8">
        <f t="shared" si="2"/>
        <v>4.7886822413202849E-2</v>
      </c>
      <c r="K6" s="7">
        <f t="shared" si="3"/>
        <v>7945.16</v>
      </c>
      <c r="L6" s="8">
        <f t="shared" si="1"/>
        <v>1.5449093878820874</v>
      </c>
      <c r="M6" s="10" t="s">
        <v>414</v>
      </c>
      <c r="N6" s="71">
        <v>43594</v>
      </c>
      <c r="Q6" t="s">
        <v>289</v>
      </c>
      <c r="R6" s="92"/>
    </row>
    <row r="7" spans="1:38" ht="15">
      <c r="A7" s="101" t="s">
        <v>25</v>
      </c>
      <c r="B7" s="147" t="s">
        <v>26</v>
      </c>
      <c r="C7" s="76" t="s">
        <v>22</v>
      </c>
      <c r="D7" s="76" t="s">
        <v>561</v>
      </c>
      <c r="E7" s="6">
        <v>44</v>
      </c>
      <c r="F7" s="7">
        <v>59.619370000000004</v>
      </c>
      <c r="G7" s="6">
        <v>115</v>
      </c>
      <c r="H7" s="6">
        <f t="shared" si="0"/>
        <v>5060</v>
      </c>
      <c r="I7" s="6">
        <f>'Dividends per year'!B7</f>
        <v>1846</v>
      </c>
      <c r="J7" s="8">
        <f t="shared" si="2"/>
        <v>1.9154728965281139E-2</v>
      </c>
      <c r="K7" s="7">
        <f t="shared" si="3"/>
        <v>49.77244999999948</v>
      </c>
      <c r="L7" s="8">
        <f t="shared" si="1"/>
        <v>7.259451299862274E-3</v>
      </c>
      <c r="M7" s="10" t="s">
        <v>415</v>
      </c>
      <c r="N7" s="71">
        <v>43434</v>
      </c>
      <c r="Q7" s="66" t="s">
        <v>290</v>
      </c>
      <c r="R7" s="94"/>
    </row>
    <row r="8" spans="1:38" ht="15.75" customHeight="1">
      <c r="A8" s="101" t="s">
        <v>483</v>
      </c>
      <c r="B8" s="144" t="s">
        <v>27</v>
      </c>
      <c r="C8" s="76" t="s">
        <v>15</v>
      </c>
      <c r="D8" s="76" t="s">
        <v>561</v>
      </c>
      <c r="E8" s="6">
        <v>130</v>
      </c>
      <c r="F8" s="6">
        <v>3.7214999999999998</v>
      </c>
      <c r="G8" s="6">
        <v>400</v>
      </c>
      <c r="H8" s="6">
        <f t="shared" si="0"/>
        <v>52000</v>
      </c>
      <c r="I8" s="6">
        <f>'Dividends per year'!B8</f>
        <v>28.550000000000004</v>
      </c>
      <c r="J8" s="8">
        <f t="shared" si="2"/>
        <v>0.19684701703450974</v>
      </c>
      <c r="K8" s="7">
        <f t="shared" si="3"/>
        <v>50539.950000000004</v>
      </c>
      <c r="L8" s="8">
        <f t="shared" si="1"/>
        <v>33.951330108827086</v>
      </c>
      <c r="M8" s="10" t="s">
        <v>392</v>
      </c>
      <c r="N8" s="71">
        <v>43608</v>
      </c>
      <c r="Q8" s="66" t="s">
        <v>372</v>
      </c>
      <c r="R8" s="107"/>
    </row>
    <row r="9" spans="1:38" s="88" customFormat="1" ht="15">
      <c r="A9" s="101" t="s">
        <v>377</v>
      </c>
      <c r="B9" s="146" t="s">
        <v>14</v>
      </c>
      <c r="C9" s="76" t="s">
        <v>15</v>
      </c>
      <c r="D9" s="76" t="s">
        <v>561</v>
      </c>
      <c r="E9" s="6">
        <v>40</v>
      </c>
      <c r="F9" s="6">
        <v>39.851999999999997</v>
      </c>
      <c r="G9" s="6">
        <v>30</v>
      </c>
      <c r="H9" s="6">
        <f>G9*F9</f>
        <v>1195.56</v>
      </c>
      <c r="I9" s="6">
        <f>'Dividends per year'!B9</f>
        <v>134.28000000000003</v>
      </c>
      <c r="J9" s="8">
        <f t="shared" si="2"/>
        <v>4.5258157631880474E-3</v>
      </c>
      <c r="K9" s="7">
        <f t="shared" si="3"/>
        <v>134.28000000000003</v>
      </c>
      <c r="L9" s="8">
        <f t="shared" si="1"/>
        <v>0.11602930844123249</v>
      </c>
      <c r="M9" s="10" t="s">
        <v>481</v>
      </c>
      <c r="N9" s="71">
        <v>45527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customHeight="1">
      <c r="A10" s="101"/>
      <c r="B10" s="144"/>
      <c r="C10" s="76"/>
      <c r="D10" s="76"/>
      <c r="E10" s="6"/>
      <c r="F10" s="7"/>
      <c r="G10" s="6"/>
      <c r="H10" s="6">
        <f t="shared" ref="H10:H14" si="4">G10*F10</f>
        <v>0</v>
      </c>
      <c r="I10" s="6">
        <f>'Dividends per year'!B10</f>
        <v>0</v>
      </c>
      <c r="J10" s="8">
        <f t="shared" si="2"/>
        <v>0</v>
      </c>
      <c r="K10" s="7">
        <f t="shared" si="3"/>
        <v>0</v>
      </c>
      <c r="L10" s="8" t="e">
        <f t="shared" si="1"/>
        <v>#DIV/0!</v>
      </c>
      <c r="M10" s="10" t="s">
        <v>536</v>
      </c>
      <c r="N10" s="71">
        <v>45596</v>
      </c>
    </row>
    <row r="11" spans="1:38" ht="15">
      <c r="A11" s="101" t="s">
        <v>30</v>
      </c>
      <c r="B11" s="144" t="s">
        <v>31</v>
      </c>
      <c r="C11" s="76" t="s">
        <v>15</v>
      </c>
      <c r="D11" s="76" t="s">
        <v>561</v>
      </c>
      <c r="E11" s="6">
        <v>90</v>
      </c>
      <c r="F11" s="7">
        <v>173.46866700000001</v>
      </c>
      <c r="G11" s="6">
        <v>60</v>
      </c>
      <c r="H11" s="6">
        <f t="shared" si="4"/>
        <v>10408.12002</v>
      </c>
      <c r="I11" s="6">
        <f>'Dividends per year'!B11</f>
        <v>92.77000000000001</v>
      </c>
      <c r="J11" s="8">
        <f t="shared" si="2"/>
        <v>3.940014190142619E-2</v>
      </c>
      <c r="K11" s="7">
        <f t="shared" si="3"/>
        <v>92.77000000000001</v>
      </c>
      <c r="L11" s="8">
        <f t="shared" si="1"/>
        <v>-0.47226108178564219</v>
      </c>
      <c r="M11" s="10" t="s">
        <v>416</v>
      </c>
      <c r="N11" s="71">
        <v>43607</v>
      </c>
    </row>
    <row r="12" spans="1:38" s="89" customFormat="1" ht="15.75" customHeight="1">
      <c r="A12" s="101" t="s">
        <v>32</v>
      </c>
      <c r="B12" s="144" t="s">
        <v>33</v>
      </c>
      <c r="C12" s="76" t="s">
        <v>22</v>
      </c>
      <c r="D12" s="76" t="s">
        <v>561</v>
      </c>
      <c r="E12" s="6">
        <v>33</v>
      </c>
      <c r="F12" s="7">
        <v>20.821788999999999</v>
      </c>
      <c r="G12" s="14">
        <v>178.72720000000001</v>
      </c>
      <c r="H12" s="6">
        <f t="shared" si="4"/>
        <v>3721.4200469607999</v>
      </c>
      <c r="I12" s="6">
        <f>'Dividends per year'!B12</f>
        <v>45.22</v>
      </c>
      <c r="J12" s="8">
        <f t="shared" si="2"/>
        <v>1.408750837262805E-2</v>
      </c>
      <c r="K12" s="7">
        <f t="shared" si="3"/>
        <v>45.22</v>
      </c>
      <c r="L12" s="8">
        <f t="shared" si="1"/>
        <v>0.59702950083629847</v>
      </c>
      <c r="M12" s="10" t="s">
        <v>417</v>
      </c>
      <c r="N12" s="71">
        <v>43466</v>
      </c>
      <c r="O12" s="105"/>
    </row>
    <row r="13" spans="1:38" ht="15.75" customHeight="1">
      <c r="A13" s="101" t="s">
        <v>173</v>
      </c>
      <c r="B13" s="144" t="s">
        <v>174</v>
      </c>
      <c r="C13" s="76" t="s">
        <v>15</v>
      </c>
      <c r="D13" s="76" t="s">
        <v>561</v>
      </c>
      <c r="E13" s="7">
        <v>190</v>
      </c>
      <c r="F13" s="7">
        <v>145.71199999999999</v>
      </c>
      <c r="G13" s="6">
        <v>40</v>
      </c>
      <c r="H13" s="6">
        <f t="shared" si="4"/>
        <v>5828.48</v>
      </c>
      <c r="I13" s="6">
        <f>'Dividends per year'!B13</f>
        <v>207.23</v>
      </c>
      <c r="J13" s="8">
        <f t="shared" si="2"/>
        <v>2.2063825035486522E-2</v>
      </c>
      <c r="K13" s="7">
        <f t="shared" si="3"/>
        <v>207.23</v>
      </c>
      <c r="L13" s="8">
        <f t="shared" si="1"/>
        <v>0.33949674700779631</v>
      </c>
      <c r="M13" s="10" t="s">
        <v>482</v>
      </c>
      <c r="N13" s="71">
        <v>45214</v>
      </c>
    </row>
    <row r="14" spans="1:38" ht="15.75" customHeight="1">
      <c r="A14" s="101"/>
      <c r="B14" s="143"/>
      <c r="C14" s="77" t="s">
        <v>15</v>
      </c>
      <c r="D14" s="76"/>
      <c r="E14" s="6"/>
      <c r="F14" s="7"/>
      <c r="G14" s="6">
        <v>0</v>
      </c>
      <c r="H14" s="6">
        <f t="shared" si="4"/>
        <v>0</v>
      </c>
      <c r="I14" s="6">
        <f>'Dividends per year'!B14</f>
        <v>0</v>
      </c>
      <c r="J14" s="8">
        <f t="shared" si="2"/>
        <v>0</v>
      </c>
      <c r="K14" s="7">
        <f t="shared" si="3"/>
        <v>0</v>
      </c>
      <c r="L14" s="8" t="e">
        <f t="shared" si="1"/>
        <v>#DIV/0!</v>
      </c>
      <c r="M14" s="10" t="s">
        <v>418</v>
      </c>
      <c r="N14" s="71"/>
    </row>
    <row r="15" spans="1:38" ht="15.75" customHeight="1">
      <c r="A15" s="101"/>
      <c r="B15" s="147"/>
      <c r="D15" s="76"/>
      <c r="E15" s="6"/>
      <c r="F15" s="7"/>
      <c r="G15" s="6"/>
      <c r="H15" s="6"/>
      <c r="I15" s="6"/>
      <c r="J15" s="8">
        <f t="shared" si="2"/>
        <v>0</v>
      </c>
      <c r="K15" s="7">
        <f t="shared" si="3"/>
        <v>0</v>
      </c>
      <c r="L15" s="8" t="e">
        <f t="shared" si="1"/>
        <v>#DIV/0!</v>
      </c>
      <c r="M15" s="10" t="s">
        <v>473</v>
      </c>
      <c r="N15" s="71"/>
    </row>
    <row r="16" spans="1:38" ht="15.75" customHeight="1">
      <c r="A16" s="101"/>
      <c r="B16" s="144"/>
      <c r="C16" s="77" t="s">
        <v>15</v>
      </c>
      <c r="D16" s="76"/>
      <c r="E16" s="6"/>
      <c r="F16" s="7"/>
      <c r="G16" s="6"/>
      <c r="H16" s="6">
        <f t="shared" ref="H16" si="5">G16*E16</f>
        <v>0</v>
      </c>
      <c r="I16" s="6">
        <f>'Dividends per year'!B16</f>
        <v>0</v>
      </c>
      <c r="J16" s="8">
        <f t="shared" si="2"/>
        <v>0</v>
      </c>
      <c r="K16" s="7">
        <f t="shared" si="3"/>
        <v>0</v>
      </c>
      <c r="L16" s="8" t="e">
        <f t="shared" si="1"/>
        <v>#DIV/0!</v>
      </c>
      <c r="M16" s="10" t="s">
        <v>502</v>
      </c>
      <c r="N16" s="71">
        <v>45544</v>
      </c>
    </row>
    <row r="17" spans="1:14" ht="15.75" customHeight="1">
      <c r="A17" s="13" t="s">
        <v>43</v>
      </c>
      <c r="B17" s="148" t="s">
        <v>44</v>
      </c>
      <c r="C17" s="76" t="s">
        <v>15</v>
      </c>
      <c r="D17" s="76" t="s">
        <v>561</v>
      </c>
      <c r="E17" s="6">
        <v>156</v>
      </c>
      <c r="F17" s="7">
        <v>72.849999999999994</v>
      </c>
      <c r="G17" s="6">
        <v>10</v>
      </c>
      <c r="H17" s="6">
        <f t="shared" si="0"/>
        <v>1560</v>
      </c>
      <c r="I17" s="6">
        <f>'Dividends per year'!B17</f>
        <v>161.65</v>
      </c>
      <c r="J17" s="8">
        <f t="shared" si="2"/>
        <v>5.905410511035292E-3</v>
      </c>
      <c r="K17" s="7">
        <f t="shared" si="3"/>
        <v>993.15</v>
      </c>
      <c r="L17" s="8">
        <f t="shared" si="1"/>
        <v>1.3632807137954703</v>
      </c>
      <c r="M17" s="10" t="s">
        <v>419</v>
      </c>
      <c r="N17" s="71">
        <v>43123</v>
      </c>
    </row>
    <row r="18" spans="1:14" ht="15.75" customHeight="1">
      <c r="A18" s="13" t="s">
        <v>45</v>
      </c>
      <c r="B18" s="148" t="s">
        <v>46</v>
      </c>
      <c r="C18" s="76" t="s">
        <v>15</v>
      </c>
      <c r="D18" s="76" t="s">
        <v>561</v>
      </c>
      <c r="E18" s="6">
        <v>57</v>
      </c>
      <c r="F18" s="7">
        <v>29.92</v>
      </c>
      <c r="G18" s="6">
        <v>10</v>
      </c>
      <c r="H18" s="6">
        <f t="shared" si="0"/>
        <v>570</v>
      </c>
      <c r="I18" s="6">
        <f>'Dividends per year'!B18</f>
        <v>31.43</v>
      </c>
      <c r="J18" s="8">
        <f t="shared" si="2"/>
        <v>2.1577461482628949E-3</v>
      </c>
      <c r="K18" s="7">
        <f t="shared" si="3"/>
        <v>302.22999999999996</v>
      </c>
      <c r="L18" s="8">
        <f t="shared" si="1"/>
        <v>1.0101270053475933</v>
      </c>
      <c r="M18" s="10" t="s">
        <v>420</v>
      </c>
      <c r="N18" s="71">
        <v>43130</v>
      </c>
    </row>
    <row r="19" spans="1:14" ht="15.75" customHeight="1">
      <c r="A19" s="13" t="s">
        <v>39</v>
      </c>
      <c r="B19" s="146" t="s">
        <v>40</v>
      </c>
      <c r="C19" s="76" t="s">
        <v>15</v>
      </c>
      <c r="D19" s="76" t="s">
        <v>561</v>
      </c>
      <c r="E19" s="6">
        <v>36</v>
      </c>
      <c r="F19" s="7">
        <v>36.246000000000002</v>
      </c>
      <c r="G19" s="6">
        <v>50</v>
      </c>
      <c r="H19" s="6">
        <f>G19*E19</f>
        <v>1800</v>
      </c>
      <c r="I19" s="6">
        <f>'Dividends per year'!B19</f>
        <v>530.74</v>
      </c>
      <c r="J19" s="8">
        <f t="shared" si="2"/>
        <v>6.8139352050407215E-3</v>
      </c>
      <c r="K19" s="7">
        <f t="shared" si="3"/>
        <v>518.43999999999983</v>
      </c>
      <c r="L19" s="8">
        <f t="shared" si="1"/>
        <v>0.28606742813000041</v>
      </c>
      <c r="M19" s="10" t="s">
        <v>410</v>
      </c>
      <c r="N19" s="71">
        <v>43091</v>
      </c>
    </row>
    <row r="20" spans="1:14" ht="15.75" customHeight="1">
      <c r="A20" s="13" t="s">
        <v>112</v>
      </c>
      <c r="B20" s="146" t="s">
        <v>113</v>
      </c>
      <c r="C20" s="76" t="s">
        <v>15</v>
      </c>
      <c r="D20" s="76" t="s">
        <v>561</v>
      </c>
      <c r="E20" s="6">
        <v>56</v>
      </c>
      <c r="F20" s="7">
        <v>44</v>
      </c>
      <c r="G20" s="6">
        <v>150</v>
      </c>
      <c r="H20" s="6">
        <f>G20*E20</f>
        <v>8400</v>
      </c>
      <c r="I20" s="6">
        <f>'Dividends per year'!B20</f>
        <v>745.91000000000008</v>
      </c>
      <c r="J20" s="8">
        <f t="shared" si="2"/>
        <v>3.1798364290190034E-2</v>
      </c>
      <c r="K20" s="7">
        <f t="shared" si="3"/>
        <v>2545.91</v>
      </c>
      <c r="L20" s="8">
        <f t="shared" si="1"/>
        <v>0.38574393939393947</v>
      </c>
      <c r="M20" s="10" t="s">
        <v>376</v>
      </c>
      <c r="N20" s="71">
        <v>43908</v>
      </c>
    </row>
    <row r="21" spans="1:14" ht="15.75" customHeight="1">
      <c r="A21" s="13" t="s">
        <v>51</v>
      </c>
      <c r="B21" s="146" t="s">
        <v>52</v>
      </c>
      <c r="C21" s="76" t="s">
        <v>38</v>
      </c>
      <c r="D21" s="76" t="s">
        <v>561</v>
      </c>
      <c r="E21" s="6">
        <v>214</v>
      </c>
      <c r="F21" s="7">
        <v>169.9</v>
      </c>
      <c r="G21" s="6">
        <v>5</v>
      </c>
      <c r="H21" s="6">
        <f t="shared" si="0"/>
        <v>1070</v>
      </c>
      <c r="I21" s="6">
        <f>'Dividends per year'!B21</f>
        <v>80.06</v>
      </c>
      <c r="J21" s="8">
        <f t="shared" si="2"/>
        <v>4.0505059274408735E-3</v>
      </c>
      <c r="K21" s="7">
        <f t="shared" si="3"/>
        <v>300.56</v>
      </c>
      <c r="L21" s="8">
        <f t="shared" si="1"/>
        <v>0.35380812242495585</v>
      </c>
      <c r="M21" s="10" t="s">
        <v>422</v>
      </c>
      <c r="N21" s="71">
        <v>43196</v>
      </c>
    </row>
    <row r="22" spans="1:14" ht="15.75" customHeight="1">
      <c r="A22" s="13" t="s">
        <v>53</v>
      </c>
      <c r="B22" s="144" t="s">
        <v>53</v>
      </c>
      <c r="C22" s="76" t="s">
        <v>15</v>
      </c>
      <c r="D22" s="76" t="s">
        <v>561</v>
      </c>
      <c r="E22" s="6">
        <v>198</v>
      </c>
      <c r="F22" s="7">
        <v>100.208</v>
      </c>
      <c r="G22" s="6">
        <v>6</v>
      </c>
      <c r="H22" s="6">
        <f t="shared" si="0"/>
        <v>1188</v>
      </c>
      <c r="I22" s="6">
        <f>'Dividends per year'!B22</f>
        <v>179.26</v>
      </c>
      <c r="J22" s="8">
        <f t="shared" si="2"/>
        <v>4.4971972353268766E-3</v>
      </c>
      <c r="K22" s="7">
        <f t="shared" si="3"/>
        <v>766.01199999999994</v>
      </c>
      <c r="L22" s="8">
        <f t="shared" si="1"/>
        <v>1.2740366703922508</v>
      </c>
      <c r="M22" s="10" t="s">
        <v>423</v>
      </c>
      <c r="N22" s="71">
        <v>43209</v>
      </c>
    </row>
    <row r="23" spans="1:14" ht="15.75" customHeight="1">
      <c r="A23" s="13" t="s">
        <v>395</v>
      </c>
      <c r="B23" s="148" t="s">
        <v>403</v>
      </c>
      <c r="C23" s="77" t="s">
        <v>15</v>
      </c>
      <c r="D23" s="76" t="s">
        <v>561</v>
      </c>
      <c r="E23" s="6">
        <v>72</v>
      </c>
      <c r="F23" s="6">
        <v>66.128</v>
      </c>
      <c r="G23" s="6">
        <v>30</v>
      </c>
      <c r="H23" s="6">
        <f t="shared" si="0"/>
        <v>2160</v>
      </c>
      <c r="I23" s="6">
        <f>'Dividends per year'!B23</f>
        <v>7.48</v>
      </c>
      <c r="J23" s="8">
        <f t="shared" si="2"/>
        <v>8.1767222460488662E-3</v>
      </c>
      <c r="K23" s="7">
        <f t="shared" si="3"/>
        <v>183.64000000000007</v>
      </c>
      <c r="L23" s="8">
        <f t="shared" si="1"/>
        <v>9.2567949028147467E-2</v>
      </c>
      <c r="M23" s="10" t="s">
        <v>424</v>
      </c>
      <c r="N23" s="71">
        <v>45497</v>
      </c>
    </row>
    <row r="24" spans="1:14" ht="15.75" customHeight="1">
      <c r="D24" s="76"/>
      <c r="J24" s="8">
        <f t="shared" si="2"/>
        <v>0</v>
      </c>
    </row>
    <row r="25" spans="1:14" ht="15.75" customHeight="1">
      <c r="A25" s="13" t="s">
        <v>59</v>
      </c>
      <c r="B25" s="148" t="s">
        <v>60</v>
      </c>
      <c r="C25" s="76" t="s">
        <v>22</v>
      </c>
      <c r="D25" s="76" t="s">
        <v>561</v>
      </c>
      <c r="E25" s="6">
        <v>33</v>
      </c>
      <c r="F25" s="7">
        <v>63.225000000000001</v>
      </c>
      <c r="G25" s="6">
        <v>20</v>
      </c>
      <c r="H25" s="6">
        <f t="shared" si="0"/>
        <v>660</v>
      </c>
      <c r="I25" s="6">
        <f>'Dividends per year'!B25</f>
        <v>219.32</v>
      </c>
      <c r="J25" s="8">
        <f t="shared" si="2"/>
        <v>2.4984429085149313E-3</v>
      </c>
      <c r="K25" s="7">
        <f t="shared" si="3"/>
        <v>-385.18</v>
      </c>
      <c r="L25" s="8">
        <f t="shared" si="1"/>
        <v>-0.30461051799130101</v>
      </c>
      <c r="M25" s="10" t="s">
        <v>409</v>
      </c>
      <c r="N25" s="71">
        <v>43251</v>
      </c>
    </row>
    <row r="26" spans="1:14" ht="15.75" customHeight="1">
      <c r="A26" s="13" t="s">
        <v>36</v>
      </c>
      <c r="B26" s="147" t="s">
        <v>37</v>
      </c>
      <c r="C26" s="76" t="s">
        <v>38</v>
      </c>
      <c r="D26" s="76" t="s">
        <v>561</v>
      </c>
      <c r="E26" s="6">
        <v>287</v>
      </c>
      <c r="F26" s="7">
        <v>134.42400000000001</v>
      </c>
      <c r="G26" s="6">
        <v>10</v>
      </c>
      <c r="H26" s="6">
        <f>G26*E26</f>
        <v>2870</v>
      </c>
      <c r="I26" s="6">
        <f>'Dividends per year'!B26</f>
        <v>92.859999999999985</v>
      </c>
      <c r="J26" s="8">
        <f t="shared" si="2"/>
        <v>1.0864441132481594E-2</v>
      </c>
      <c r="K26" s="7">
        <f t="shared" si="3"/>
        <v>1618.62</v>
      </c>
      <c r="L26" s="8">
        <f t="shared" si="1"/>
        <v>1.2041153365470452</v>
      </c>
      <c r="M26" s="10" t="s">
        <v>408</v>
      </c>
      <c r="N26" s="71">
        <v>43614</v>
      </c>
    </row>
    <row r="27" spans="1:14" ht="15.75" customHeight="1">
      <c r="A27" s="13" t="s">
        <v>64</v>
      </c>
      <c r="B27" s="147" t="s">
        <v>65</v>
      </c>
      <c r="C27" s="76" t="s">
        <v>22</v>
      </c>
      <c r="D27" s="76" t="s">
        <v>561</v>
      </c>
      <c r="E27" s="6">
        <v>47</v>
      </c>
      <c r="F27" s="7">
        <v>73.34</v>
      </c>
      <c r="G27" s="6">
        <v>20</v>
      </c>
      <c r="H27" s="6">
        <f t="shared" si="0"/>
        <v>940</v>
      </c>
      <c r="I27" s="6">
        <f>'Dividends per year'!B27</f>
        <v>159.26999999999998</v>
      </c>
      <c r="J27" s="8">
        <f t="shared" si="2"/>
        <v>3.5583883848545991E-3</v>
      </c>
      <c r="K27" s="7">
        <f t="shared" si="3"/>
        <v>-367.5300000000002</v>
      </c>
      <c r="L27" s="8">
        <f t="shared" si="1"/>
        <v>-0.25056585764930472</v>
      </c>
      <c r="M27" s="10" t="s">
        <v>383</v>
      </c>
      <c r="N27" s="71">
        <v>43272</v>
      </c>
    </row>
    <row r="28" spans="1:14" ht="15.75" customHeight="1">
      <c r="A28" s="13" t="s">
        <v>66</v>
      </c>
      <c r="B28" s="150" t="s">
        <v>67</v>
      </c>
      <c r="C28" s="76" t="s">
        <v>15</v>
      </c>
      <c r="D28" s="76" t="s">
        <v>561</v>
      </c>
      <c r="E28" s="6">
        <v>76</v>
      </c>
      <c r="F28" s="7">
        <v>38.668750000000003</v>
      </c>
      <c r="G28" s="6">
        <v>40</v>
      </c>
      <c r="H28" s="6">
        <f t="shared" si="0"/>
        <v>3040</v>
      </c>
      <c r="I28" s="6">
        <f>'Dividends per year'!B28</f>
        <v>261.84000000000003</v>
      </c>
      <c r="J28" s="8">
        <f t="shared" si="2"/>
        <v>1.1507979457402107E-2</v>
      </c>
      <c r="K28" s="7">
        <f t="shared" si="3"/>
        <v>1755.0900000000001</v>
      </c>
      <c r="L28" s="8">
        <f t="shared" si="1"/>
        <v>1.134695328915468</v>
      </c>
      <c r="M28" s="10" t="s">
        <v>407</v>
      </c>
      <c r="N28" s="71">
        <v>43433</v>
      </c>
    </row>
    <row r="29" spans="1:14" ht="15.75" customHeight="1">
      <c r="A29" s="13" t="s">
        <v>68</v>
      </c>
      <c r="B29" s="144" t="s">
        <v>69</v>
      </c>
      <c r="C29" s="76" t="s">
        <v>15</v>
      </c>
      <c r="D29" s="76" t="s">
        <v>561</v>
      </c>
      <c r="E29" s="6">
        <v>83</v>
      </c>
      <c r="F29" s="7">
        <v>39.840000000000003</v>
      </c>
      <c r="G29" s="6">
        <v>20</v>
      </c>
      <c r="H29" s="6">
        <f t="shared" si="0"/>
        <v>1660</v>
      </c>
      <c r="I29" s="6">
        <f>'Dividends per year'!B29</f>
        <v>37.130000000000003</v>
      </c>
      <c r="J29" s="8">
        <f t="shared" si="2"/>
        <v>6.2839624668708871E-3</v>
      </c>
      <c r="K29" s="7">
        <f t="shared" si="3"/>
        <v>900.32999999999993</v>
      </c>
      <c r="L29" s="8">
        <f t="shared" si="1"/>
        <v>1.1299322289156626</v>
      </c>
      <c r="M29" s="10" t="s">
        <v>406</v>
      </c>
      <c r="N29" s="71">
        <v>43554</v>
      </c>
    </row>
    <row r="30" spans="1:14" ht="15.75" customHeight="1">
      <c r="A30" s="13" t="s">
        <v>34</v>
      </c>
      <c r="B30" s="147" t="s">
        <v>35</v>
      </c>
      <c r="C30" s="76" t="s">
        <v>15</v>
      </c>
      <c r="D30" s="76" t="s">
        <v>561</v>
      </c>
      <c r="E30" s="6">
        <v>4.8</v>
      </c>
      <c r="F30" s="7">
        <v>3.5150000000000001</v>
      </c>
      <c r="G30" s="6">
        <v>300</v>
      </c>
      <c r="H30" s="6">
        <f>G30*E30</f>
        <v>1440</v>
      </c>
      <c r="I30" s="6">
        <f>'Dividends per year'!B30</f>
        <v>210.81</v>
      </c>
      <c r="J30" s="8">
        <f t="shared" si="2"/>
        <v>5.4511481640325769E-3</v>
      </c>
      <c r="K30" s="7">
        <f t="shared" si="3"/>
        <v>596.30999999999995</v>
      </c>
      <c r="L30" s="8">
        <f t="shared" si="1"/>
        <v>0.56549075391180659</v>
      </c>
      <c r="M30" s="10" t="s">
        <v>405</v>
      </c>
      <c r="N30" s="71">
        <v>44312</v>
      </c>
    </row>
    <row r="31" spans="1:14" ht="15.75" customHeight="1">
      <c r="A31" s="13" t="s">
        <v>28</v>
      </c>
      <c r="B31" s="143" t="s">
        <v>29</v>
      </c>
      <c r="C31" s="76" t="s">
        <v>15</v>
      </c>
      <c r="D31" s="76" t="s">
        <v>561</v>
      </c>
      <c r="E31" s="6">
        <v>135</v>
      </c>
      <c r="F31" s="7">
        <v>315.46100000000001</v>
      </c>
      <c r="G31" s="6">
        <v>13</v>
      </c>
      <c r="H31" s="6">
        <f>G31*E31</f>
        <v>1755</v>
      </c>
      <c r="I31" s="6">
        <f>'Dividends per year'!B31</f>
        <v>0</v>
      </c>
      <c r="J31" s="8">
        <f t="shared" si="2"/>
        <v>6.6435868249147033E-3</v>
      </c>
      <c r="K31" s="7">
        <f t="shared" si="3"/>
        <v>-2345.9930000000004</v>
      </c>
      <c r="L31" s="8">
        <f t="shared" si="1"/>
        <v>-0.57205486573617659</v>
      </c>
      <c r="M31" s="10" t="s">
        <v>404</v>
      </c>
      <c r="N31" s="71">
        <v>43686</v>
      </c>
    </row>
    <row r="32" spans="1:14" ht="15.75" customHeight="1">
      <c r="A32" s="13" t="s">
        <v>73</v>
      </c>
      <c r="B32" s="147" t="s">
        <v>74</v>
      </c>
      <c r="C32" s="76" t="s">
        <v>15</v>
      </c>
      <c r="D32" s="76" t="s">
        <v>561</v>
      </c>
      <c r="E32" s="6">
        <v>120</v>
      </c>
      <c r="F32" s="7">
        <v>120.161</v>
      </c>
      <c r="G32" s="6">
        <v>30</v>
      </c>
      <c r="H32" s="6">
        <f t="shared" ref="H32:H82" si="6">G32*E32</f>
        <v>3600</v>
      </c>
      <c r="I32" s="6">
        <f>'Dividends per year'!B32</f>
        <v>276.27</v>
      </c>
      <c r="J32" s="8">
        <f t="shared" si="2"/>
        <v>1.3627870410081443E-2</v>
      </c>
      <c r="K32" s="7">
        <f t="shared" si="3"/>
        <v>271.44000000000005</v>
      </c>
      <c r="L32" s="8">
        <f t="shared" si="1"/>
        <v>7.5298973876715358E-2</v>
      </c>
      <c r="M32" s="10" t="s">
        <v>426</v>
      </c>
      <c r="N32" s="71">
        <v>43594</v>
      </c>
    </row>
    <row r="33" spans="1:15" ht="15.75" customHeight="1">
      <c r="A33" s="13" t="s">
        <v>75</v>
      </c>
      <c r="B33" s="147" t="s">
        <v>76</v>
      </c>
      <c r="C33" s="76" t="s">
        <v>15</v>
      </c>
      <c r="D33" s="76" t="s">
        <v>561</v>
      </c>
      <c r="E33" s="6">
        <v>108</v>
      </c>
      <c r="F33" s="7">
        <v>67.255294000000006</v>
      </c>
      <c r="G33" s="6">
        <v>17</v>
      </c>
      <c r="H33" s="6">
        <f t="shared" si="6"/>
        <v>1836</v>
      </c>
      <c r="I33" s="6">
        <f>'Dividends per year'!B33</f>
        <v>235.79</v>
      </c>
      <c r="J33" s="8">
        <f t="shared" si="2"/>
        <v>6.9502139091415357E-3</v>
      </c>
      <c r="K33" s="7">
        <f t="shared" si="3"/>
        <v>928.45000199999981</v>
      </c>
      <c r="L33" s="8">
        <f t="shared" si="1"/>
        <v>0.81205066176649199</v>
      </c>
      <c r="M33" s="10" t="s">
        <v>477</v>
      </c>
      <c r="N33" s="71">
        <v>43608</v>
      </c>
      <c r="O33" s="66" t="s">
        <v>533</v>
      </c>
    </row>
    <row r="34" spans="1:15" ht="15.75" customHeight="1">
      <c r="A34" s="13" t="s">
        <v>77</v>
      </c>
      <c r="B34" s="147" t="s">
        <v>78</v>
      </c>
      <c r="C34" s="76" t="s">
        <v>15</v>
      </c>
      <c r="D34" s="76" t="s">
        <v>561</v>
      </c>
      <c r="E34" s="6">
        <v>71</v>
      </c>
      <c r="F34" s="7">
        <v>61.805833</v>
      </c>
      <c r="G34" s="6">
        <v>12</v>
      </c>
      <c r="H34" s="6">
        <f t="shared" si="6"/>
        <v>852</v>
      </c>
      <c r="I34" s="6">
        <f>'Dividends per year'!B34</f>
        <v>52.22</v>
      </c>
      <c r="J34" s="8">
        <f t="shared" si="2"/>
        <v>3.2252626637192749E-3</v>
      </c>
      <c r="K34" s="7">
        <f t="shared" si="3"/>
        <v>162.55000400000003</v>
      </c>
      <c r="L34" s="8">
        <f t="shared" si="1"/>
        <v>0.21916756087838296</v>
      </c>
      <c r="M34" s="10" t="s">
        <v>427</v>
      </c>
      <c r="N34" s="71">
        <v>43623</v>
      </c>
      <c r="O34" s="66" t="s">
        <v>370</v>
      </c>
    </row>
    <row r="35" spans="1:15" ht="15.75" customHeight="1">
      <c r="A35" s="13" t="s">
        <v>79</v>
      </c>
      <c r="B35" s="145" t="s">
        <v>80</v>
      </c>
      <c r="C35" s="76" t="s">
        <v>15</v>
      </c>
      <c r="D35" s="76" t="s">
        <v>561</v>
      </c>
      <c r="E35" s="6">
        <v>50</v>
      </c>
      <c r="F35" s="7">
        <v>20.601666999999999</v>
      </c>
      <c r="G35" s="6">
        <v>12</v>
      </c>
      <c r="H35" s="6">
        <f t="shared" si="6"/>
        <v>600</v>
      </c>
      <c r="I35" s="6">
        <f>'Dividends per year'!B35</f>
        <v>28.160000000000004</v>
      </c>
      <c r="J35" s="8">
        <f t="shared" si="2"/>
        <v>2.2713117350135737E-3</v>
      </c>
      <c r="K35" s="7">
        <f t="shared" si="3"/>
        <v>380.93999600000001</v>
      </c>
      <c r="L35" s="8">
        <f t="shared" ref="L35:L65" si="7">((E35*G35)+I35)/(F35*G35)-100%</f>
        <v>1.5408947085042519</v>
      </c>
      <c r="M35" s="10" t="s">
        <v>428</v>
      </c>
      <c r="N35" s="71">
        <v>43624</v>
      </c>
    </row>
    <row r="36" spans="1:15" ht="15.75" customHeight="1">
      <c r="A36" s="13" t="s">
        <v>47</v>
      </c>
      <c r="B36" s="148" t="s">
        <v>48</v>
      </c>
      <c r="C36" s="76" t="s">
        <v>15</v>
      </c>
      <c r="D36" s="76" t="s">
        <v>561</v>
      </c>
      <c r="E36" s="6">
        <v>55</v>
      </c>
      <c r="F36" s="7">
        <v>68.150000000000006</v>
      </c>
      <c r="G36" s="6">
        <v>10</v>
      </c>
      <c r="H36" s="6">
        <f>G36*E36</f>
        <v>550</v>
      </c>
      <c r="I36" s="6">
        <f>'Dividends per year'!B36</f>
        <v>117.30000000000001</v>
      </c>
      <c r="J36" s="8">
        <f t="shared" si="2"/>
        <v>2.0820357570957761E-3</v>
      </c>
      <c r="K36" s="7">
        <f t="shared" si="3"/>
        <v>-14.199999999999989</v>
      </c>
      <c r="L36" s="8">
        <f t="shared" si="7"/>
        <v>-2.083639031548068E-2</v>
      </c>
      <c r="M36" s="10" t="s">
        <v>421</v>
      </c>
      <c r="N36" s="71">
        <v>43158</v>
      </c>
      <c r="O36" s="66"/>
    </row>
    <row r="37" spans="1:15" ht="15.75" customHeight="1">
      <c r="A37" s="13" t="s">
        <v>81</v>
      </c>
      <c r="B37" s="146" t="s">
        <v>82</v>
      </c>
      <c r="C37" s="76" t="s">
        <v>15</v>
      </c>
      <c r="D37" s="76" t="s">
        <v>561</v>
      </c>
      <c r="E37" s="6">
        <v>98</v>
      </c>
      <c r="F37" s="7">
        <v>91.994</v>
      </c>
      <c r="G37" s="6">
        <v>20</v>
      </c>
      <c r="H37" s="6">
        <f t="shared" si="6"/>
        <v>1960</v>
      </c>
      <c r="I37" s="6">
        <f>'Dividends per year'!B37</f>
        <v>102.27</v>
      </c>
      <c r="J37" s="8">
        <f t="shared" si="2"/>
        <v>7.4196183343776742E-3</v>
      </c>
      <c r="K37" s="7">
        <f t="shared" si="3"/>
        <v>222.38999999999987</v>
      </c>
      <c r="L37" s="8">
        <f t="shared" si="7"/>
        <v>0.12087201339217768</v>
      </c>
      <c r="M37" s="10" t="s">
        <v>430</v>
      </c>
      <c r="N37" s="71">
        <v>45153</v>
      </c>
    </row>
    <row r="38" spans="1:15" ht="15">
      <c r="A38" s="13" t="s">
        <v>83</v>
      </c>
      <c r="B38" s="147" t="s">
        <v>84</v>
      </c>
      <c r="C38" s="76" t="s">
        <v>22</v>
      </c>
      <c r="D38" s="76" t="s">
        <v>561</v>
      </c>
      <c r="E38" s="6">
        <v>70</v>
      </c>
      <c r="F38" s="7">
        <v>101.74</v>
      </c>
      <c r="G38" s="6">
        <v>1</v>
      </c>
      <c r="H38" s="6">
        <f t="shared" si="6"/>
        <v>70</v>
      </c>
      <c r="I38" s="6">
        <f>'Dividends per year'!B38</f>
        <v>9.9600000000000009</v>
      </c>
      <c r="J38" s="8">
        <f t="shared" si="2"/>
        <v>2.6498636908491697E-4</v>
      </c>
      <c r="K38" s="7">
        <f t="shared" si="3"/>
        <v>-21.779999999999994</v>
      </c>
      <c r="L38" s="8">
        <f t="shared" si="7"/>
        <v>-0.2140750933752702</v>
      </c>
      <c r="M38" s="10" t="s">
        <v>431</v>
      </c>
      <c r="N38" s="71">
        <v>43657</v>
      </c>
    </row>
    <row r="39" spans="1:15" ht="15">
      <c r="A39" s="13" t="s">
        <v>85</v>
      </c>
      <c r="B39" s="143" t="s">
        <v>86</v>
      </c>
      <c r="C39" s="76" t="s">
        <v>15</v>
      </c>
      <c r="D39" s="76" t="s">
        <v>561</v>
      </c>
      <c r="E39" s="6">
        <v>92</v>
      </c>
      <c r="F39" s="7">
        <v>65.44</v>
      </c>
      <c r="G39" s="6">
        <v>6</v>
      </c>
      <c r="H39" s="6">
        <f t="shared" si="6"/>
        <v>552</v>
      </c>
      <c r="I39" s="6">
        <f>'Dividends per year'!B39</f>
        <v>68.900000000000006</v>
      </c>
      <c r="J39" s="8">
        <f t="shared" si="2"/>
        <v>2.0896067962124878E-3</v>
      </c>
      <c r="K39" s="7">
        <f t="shared" si="3"/>
        <v>228.26000000000002</v>
      </c>
      <c r="L39" s="8">
        <f t="shared" si="7"/>
        <v>0.58134678076609614</v>
      </c>
      <c r="M39" s="10" t="s">
        <v>432</v>
      </c>
      <c r="N39" s="71">
        <v>43165</v>
      </c>
    </row>
    <row r="40" spans="1:15" ht="15">
      <c r="A40" s="13" t="s">
        <v>87</v>
      </c>
      <c r="B40" s="144" t="s">
        <v>88</v>
      </c>
      <c r="C40" s="76" t="s">
        <v>15</v>
      </c>
      <c r="D40" s="76" t="s">
        <v>561</v>
      </c>
      <c r="E40" s="6">
        <v>51</v>
      </c>
      <c r="F40" s="7">
        <v>36.116999999999997</v>
      </c>
      <c r="G40" s="6">
        <v>75</v>
      </c>
      <c r="H40" s="6">
        <f t="shared" si="6"/>
        <v>3825</v>
      </c>
      <c r="I40" s="6">
        <f>'Dividends per year'!B40</f>
        <v>51.44</v>
      </c>
      <c r="J40" s="8">
        <f t="shared" si="2"/>
        <v>1.4479612310711532E-2</v>
      </c>
      <c r="K40" s="7">
        <f t="shared" si="3"/>
        <v>1167.6650000000004</v>
      </c>
      <c r="L40" s="8">
        <f t="shared" si="7"/>
        <v>0.43106754898431965</v>
      </c>
      <c r="M40" s="10" t="s">
        <v>433</v>
      </c>
      <c r="N40" s="71">
        <v>43697</v>
      </c>
    </row>
    <row r="41" spans="1:15" ht="15">
      <c r="A41" s="13" t="s">
        <v>89</v>
      </c>
      <c r="B41" s="151" t="s">
        <v>90</v>
      </c>
      <c r="C41" s="76" t="s">
        <v>91</v>
      </c>
      <c r="D41" s="76" t="s">
        <v>561</v>
      </c>
      <c r="E41" s="6">
        <v>4.7</v>
      </c>
      <c r="F41" s="7">
        <v>5.4936499999999997</v>
      </c>
      <c r="G41" s="6">
        <v>200</v>
      </c>
      <c r="H41" s="6">
        <f t="shared" si="6"/>
        <v>940</v>
      </c>
      <c r="I41" s="6">
        <f>'Dividends per year'!B41</f>
        <v>196.26</v>
      </c>
      <c r="J41" s="8">
        <f t="shared" si="2"/>
        <v>3.5583883848545991E-3</v>
      </c>
      <c r="K41" s="7">
        <f t="shared" si="3"/>
        <v>37.529999999999973</v>
      </c>
      <c r="L41" s="8">
        <f t="shared" si="7"/>
        <v>3.4157618341175588E-2</v>
      </c>
      <c r="M41" s="10" t="s">
        <v>476</v>
      </c>
      <c r="N41" s="71">
        <v>43700</v>
      </c>
      <c r="O41" s="66"/>
    </row>
    <row r="42" spans="1:15" ht="15">
      <c r="A42" s="13"/>
      <c r="B42" s="152"/>
      <c r="C42" s="76" t="s">
        <v>15</v>
      </c>
      <c r="D42" s="76"/>
      <c r="J42" s="8">
        <f t="shared" si="2"/>
        <v>0</v>
      </c>
      <c r="K42" s="7">
        <f t="shared" si="3"/>
        <v>0</v>
      </c>
      <c r="L42" s="8" t="e">
        <f t="shared" si="7"/>
        <v>#DIV/0!</v>
      </c>
    </row>
    <row r="43" spans="1:15" ht="15">
      <c r="A43" s="13" t="s">
        <v>92</v>
      </c>
      <c r="B43" s="150" t="s">
        <v>93</v>
      </c>
      <c r="C43" s="76" t="s">
        <v>22</v>
      </c>
      <c r="D43" s="76" t="s">
        <v>561</v>
      </c>
      <c r="E43" s="6">
        <v>30.6</v>
      </c>
      <c r="F43" s="7">
        <v>25.0008892</v>
      </c>
      <c r="G43" s="6">
        <v>45</v>
      </c>
      <c r="H43" s="6">
        <f t="shared" si="6"/>
        <v>1377</v>
      </c>
      <c r="I43" s="6">
        <f>'Dividends per year'!B43</f>
        <v>167.03</v>
      </c>
      <c r="J43" s="8">
        <f t="shared" si="2"/>
        <v>5.2126604318561516E-3</v>
      </c>
      <c r="K43" s="7">
        <f t="shared" si="3"/>
        <v>418.98998600000004</v>
      </c>
      <c r="L43" s="8">
        <f t="shared" si="7"/>
        <v>0.37242229679485872</v>
      </c>
      <c r="M43" s="10" t="s">
        <v>475</v>
      </c>
      <c r="N43" s="71">
        <v>43703</v>
      </c>
    </row>
    <row r="44" spans="1:15" ht="15">
      <c r="A44" s="13" t="s">
        <v>94</v>
      </c>
      <c r="B44" s="144" t="s">
        <v>95</v>
      </c>
      <c r="C44" s="76" t="s">
        <v>15</v>
      </c>
      <c r="D44" s="76" t="s">
        <v>561</v>
      </c>
      <c r="E44" s="6">
        <v>146.9</v>
      </c>
      <c r="F44" s="7">
        <v>189.83142900000001</v>
      </c>
      <c r="G44" s="6">
        <v>7</v>
      </c>
      <c r="H44" s="6">
        <f t="shared" si="6"/>
        <v>1028.3</v>
      </c>
      <c r="I44" s="6">
        <f>'Dividends per year'!B44</f>
        <v>9.61</v>
      </c>
      <c r="J44" s="8">
        <f t="shared" si="2"/>
        <v>3.8926497618574298E-3</v>
      </c>
      <c r="K44" s="7">
        <f t="shared" si="3"/>
        <v>-290.91000300000007</v>
      </c>
      <c r="L44" s="8">
        <f t="shared" si="7"/>
        <v>-0.2189235580012564</v>
      </c>
      <c r="M44" s="10" t="s">
        <v>434</v>
      </c>
      <c r="N44" s="71">
        <v>43728</v>
      </c>
    </row>
    <row r="45" spans="1:15" ht="15">
      <c r="A45" s="13" t="s">
        <v>96</v>
      </c>
      <c r="B45" s="145" t="s">
        <v>97</v>
      </c>
      <c r="C45" s="76" t="s">
        <v>15</v>
      </c>
      <c r="D45" s="76" t="s">
        <v>561</v>
      </c>
      <c r="E45" s="6">
        <v>27</v>
      </c>
      <c r="F45" s="7">
        <v>36.8765</v>
      </c>
      <c r="G45" s="6">
        <v>20</v>
      </c>
      <c r="H45" s="6">
        <f t="shared" si="6"/>
        <v>540</v>
      </c>
      <c r="I45" s="6">
        <f>'Dividends per year'!B45</f>
        <v>72.569999999999993</v>
      </c>
      <c r="J45" s="8">
        <f t="shared" si="2"/>
        <v>2.0441805615122165E-3</v>
      </c>
      <c r="K45" s="7">
        <f t="shared" si="3"/>
        <v>-124.95999999999998</v>
      </c>
      <c r="L45" s="8">
        <f t="shared" si="7"/>
        <v>-0.16943039605168608</v>
      </c>
      <c r="M45" s="10" t="s">
        <v>387</v>
      </c>
      <c r="N45" s="71">
        <v>43733</v>
      </c>
    </row>
    <row r="46" spans="1:15" ht="15">
      <c r="A46" s="13" t="s">
        <v>171</v>
      </c>
      <c r="B46" s="145" t="s">
        <v>172</v>
      </c>
      <c r="C46" s="76" t="s">
        <v>15</v>
      </c>
      <c r="D46" s="76" t="s">
        <v>561</v>
      </c>
      <c r="E46" s="7">
        <v>89</v>
      </c>
      <c r="F46" s="7">
        <v>86.302941000000004</v>
      </c>
      <c r="G46" s="6">
        <v>47</v>
      </c>
      <c r="H46" s="6">
        <f>G46*E46</f>
        <v>4183</v>
      </c>
      <c r="I46" s="6">
        <f>'Dividends per year'!B46</f>
        <v>185.73000000000002</v>
      </c>
      <c r="J46" s="8">
        <f t="shared" si="2"/>
        <v>1.5834828312602967E-2</v>
      </c>
      <c r="K46" s="7">
        <f>(H46-(G46*F46)+I46)</f>
        <v>312.49177299999974</v>
      </c>
      <c r="L46" s="8">
        <f>((E46*G46)+I46)/(F46*G46)-100%</f>
        <v>7.7039797840256163E-2</v>
      </c>
      <c r="M46" s="10" t="s">
        <v>474</v>
      </c>
      <c r="N46" s="71">
        <v>44580</v>
      </c>
    </row>
    <row r="47" spans="1:15" ht="15">
      <c r="A47" s="13" t="s">
        <v>100</v>
      </c>
      <c r="B47" s="149" t="s">
        <v>101</v>
      </c>
      <c r="C47" s="76" t="s">
        <v>15</v>
      </c>
      <c r="D47" s="76" t="s">
        <v>561</v>
      </c>
      <c r="E47" s="6">
        <v>192</v>
      </c>
      <c r="F47" s="7">
        <v>113.80200000000001</v>
      </c>
      <c r="G47" s="6">
        <v>5</v>
      </c>
      <c r="H47" s="6">
        <f t="shared" si="6"/>
        <v>960</v>
      </c>
      <c r="I47" s="6">
        <f>'Dividends per year'!B47</f>
        <v>64.710000000000008</v>
      </c>
      <c r="J47" s="8">
        <f t="shared" si="2"/>
        <v>3.6340987760217179E-3</v>
      </c>
      <c r="K47" s="7">
        <f t="shared" si="3"/>
        <v>455.70000000000005</v>
      </c>
      <c r="L47" s="8">
        <f t="shared" si="7"/>
        <v>0.80086465967206211</v>
      </c>
      <c r="M47" s="10" t="s">
        <v>374</v>
      </c>
      <c r="N47" s="71">
        <v>43768</v>
      </c>
    </row>
    <row r="48" spans="1:15" ht="15">
      <c r="A48" s="13" t="s">
        <v>102</v>
      </c>
      <c r="B48" s="147" t="s">
        <v>103</v>
      </c>
      <c r="C48" s="76" t="s">
        <v>22</v>
      </c>
      <c r="D48" s="76" t="s">
        <v>561</v>
      </c>
      <c r="E48" s="6">
        <v>107</v>
      </c>
      <c r="F48" s="7">
        <v>108.1686</v>
      </c>
      <c r="G48" s="6">
        <v>6</v>
      </c>
      <c r="H48" s="6">
        <f t="shared" si="6"/>
        <v>642</v>
      </c>
      <c r="I48" s="6">
        <f>'Dividends per year'!B48</f>
        <v>106.77000000000001</v>
      </c>
      <c r="J48" s="8">
        <f t="shared" si="2"/>
        <v>2.4303035564645242E-3</v>
      </c>
      <c r="K48" s="7">
        <f t="shared" si="3"/>
        <v>99.758399999999966</v>
      </c>
      <c r="L48" s="8">
        <f t="shared" si="7"/>
        <v>0.15370819258084123</v>
      </c>
      <c r="M48" s="10" t="s">
        <v>388</v>
      </c>
      <c r="N48" s="71">
        <v>43858</v>
      </c>
    </row>
    <row r="49" spans="1:15" ht="15">
      <c r="A49" s="13" t="s">
        <v>104</v>
      </c>
      <c r="B49" s="147" t="s">
        <v>105</v>
      </c>
      <c r="C49" s="76" t="s">
        <v>22</v>
      </c>
      <c r="D49" s="76" t="s">
        <v>561</v>
      </c>
      <c r="E49" s="6">
        <v>59</v>
      </c>
      <c r="F49" s="7">
        <v>100.26860000000001</v>
      </c>
      <c r="G49" s="6">
        <v>6</v>
      </c>
      <c r="H49" s="6">
        <f t="shared" si="6"/>
        <v>354</v>
      </c>
      <c r="I49" s="6">
        <f>'Dividends per year'!B49</f>
        <v>52.370000000000005</v>
      </c>
      <c r="J49" s="8">
        <f t="shared" si="2"/>
        <v>1.3400739236580086E-3</v>
      </c>
      <c r="K49" s="7">
        <f t="shared" si="3"/>
        <v>-195.24160000000006</v>
      </c>
      <c r="L49" s="8">
        <f t="shared" si="7"/>
        <v>-0.32453097646388473</v>
      </c>
      <c r="M49" s="10" t="s">
        <v>389</v>
      </c>
      <c r="N49" s="71">
        <v>43859</v>
      </c>
    </row>
    <row r="50" spans="1:15" ht="15">
      <c r="A50" s="13" t="s">
        <v>106</v>
      </c>
      <c r="B50" s="145" t="s">
        <v>107</v>
      </c>
      <c r="C50" s="76" t="s">
        <v>22</v>
      </c>
      <c r="D50" s="76" t="s">
        <v>561</v>
      </c>
      <c r="E50" s="6">
        <v>330</v>
      </c>
      <c r="F50" s="7">
        <v>259.24329999999998</v>
      </c>
      <c r="G50" s="6">
        <v>3</v>
      </c>
      <c r="H50" s="6">
        <f t="shared" si="6"/>
        <v>990</v>
      </c>
      <c r="I50" s="6">
        <f>'Dividends per year'!B50</f>
        <v>51.260000000000005</v>
      </c>
      <c r="J50" s="8">
        <f t="shared" si="2"/>
        <v>3.7476643627723967E-3</v>
      </c>
      <c r="K50" s="7">
        <f t="shared" si="3"/>
        <v>263.53010000000006</v>
      </c>
      <c r="L50" s="8">
        <f t="shared" si="7"/>
        <v>0.33884527263256836</v>
      </c>
      <c r="M50" s="10" t="s">
        <v>390</v>
      </c>
      <c r="N50" s="71">
        <v>43861</v>
      </c>
    </row>
    <row r="51" spans="1:15" ht="15">
      <c r="A51" s="13" t="s">
        <v>108</v>
      </c>
      <c r="B51" s="144" t="s">
        <v>109</v>
      </c>
      <c r="C51" s="76" t="s">
        <v>15</v>
      </c>
      <c r="D51" s="76" t="s">
        <v>561</v>
      </c>
      <c r="E51" s="6">
        <v>246</v>
      </c>
      <c r="F51" s="7">
        <v>153.06</v>
      </c>
      <c r="G51" s="6">
        <v>5</v>
      </c>
      <c r="H51" s="6">
        <f t="shared" si="6"/>
        <v>1230</v>
      </c>
      <c r="I51" s="6">
        <f>'Dividends per year'!B51</f>
        <v>15.560000000000002</v>
      </c>
      <c r="J51" s="8">
        <f t="shared" si="2"/>
        <v>4.6561890567778262E-3</v>
      </c>
      <c r="K51" s="7">
        <f t="shared" si="3"/>
        <v>480.26000000000005</v>
      </c>
      <c r="L51" s="8">
        <f t="shared" si="7"/>
        <v>0.62754475369136298</v>
      </c>
      <c r="M51" s="10" t="s">
        <v>382</v>
      </c>
      <c r="N51" s="71">
        <v>43880</v>
      </c>
    </row>
    <row r="52" spans="1:15" ht="15">
      <c r="A52" s="13" t="s">
        <v>49</v>
      </c>
      <c r="B52" s="146" t="s">
        <v>50</v>
      </c>
      <c r="C52" s="76" t="s">
        <v>38</v>
      </c>
      <c r="D52" s="76" t="s">
        <v>561</v>
      </c>
      <c r="E52" s="6">
        <v>520</v>
      </c>
      <c r="F52" s="7">
        <v>412.5</v>
      </c>
      <c r="G52" s="6">
        <v>1</v>
      </c>
      <c r="H52" s="6">
        <f>G52*E52</f>
        <v>520</v>
      </c>
      <c r="I52" s="6">
        <f>'Dividends per year'!B52</f>
        <v>94.28</v>
      </c>
      <c r="J52" s="8">
        <f t="shared" si="2"/>
        <v>1.9684701703450973E-3</v>
      </c>
      <c r="K52" s="7">
        <f t="shared" si="3"/>
        <v>201.78</v>
      </c>
      <c r="L52" s="8">
        <f>((E52*G52)+I52)/(F52*G52)-100%</f>
        <v>0.48916363636363625</v>
      </c>
      <c r="M52" s="10" t="s">
        <v>454</v>
      </c>
      <c r="N52" s="71">
        <v>43179</v>
      </c>
    </row>
    <row r="53" spans="1:15" ht="15">
      <c r="A53" s="13"/>
      <c r="D53" s="76" t="s">
        <v>561</v>
      </c>
      <c r="J53" s="8">
        <f t="shared" si="2"/>
        <v>0</v>
      </c>
      <c r="K53" s="7">
        <f t="shared" si="3"/>
        <v>0</v>
      </c>
    </row>
    <row r="54" spans="1:15" ht="15">
      <c r="A54" s="13" t="s">
        <v>114</v>
      </c>
      <c r="B54" s="145" t="s">
        <v>115</v>
      </c>
      <c r="C54" s="76" t="s">
        <v>116</v>
      </c>
      <c r="D54" s="76" t="s">
        <v>561</v>
      </c>
      <c r="E54" s="6">
        <v>16</v>
      </c>
      <c r="F54" s="7">
        <v>16.383600000000001</v>
      </c>
      <c r="G54" s="6">
        <v>50</v>
      </c>
      <c r="H54" s="6">
        <f t="shared" si="6"/>
        <v>800</v>
      </c>
      <c r="I54" s="6">
        <f>'Dividends per year'!B54</f>
        <v>62.430000000000007</v>
      </c>
      <c r="J54" s="8">
        <f t="shared" si="2"/>
        <v>3.0284156466847652E-3</v>
      </c>
      <c r="K54" s="7">
        <f t="shared" si="3"/>
        <v>43.249999999999943</v>
      </c>
      <c r="L54" s="8">
        <f t="shared" si="7"/>
        <v>5.2796699138162539E-2</v>
      </c>
      <c r="M54" s="10" t="s">
        <v>380</v>
      </c>
      <c r="N54" s="71">
        <v>43998</v>
      </c>
    </row>
    <row r="55" spans="1:15" ht="15">
      <c r="A55" s="13" t="s">
        <v>117</v>
      </c>
      <c r="B55" s="146" t="s">
        <v>118</v>
      </c>
      <c r="C55" s="76" t="s">
        <v>15</v>
      </c>
      <c r="D55" s="76" t="s">
        <v>561</v>
      </c>
      <c r="E55" s="6">
        <v>41</v>
      </c>
      <c r="F55" s="7">
        <v>22.274999999999999</v>
      </c>
      <c r="G55" s="6">
        <v>57</v>
      </c>
      <c r="H55" s="6">
        <f t="shared" si="6"/>
        <v>2337</v>
      </c>
      <c r="I55" s="6">
        <f>'Dividends per year'!B55</f>
        <v>38.770000000000003</v>
      </c>
      <c r="J55" s="8">
        <f t="shared" si="2"/>
        <v>8.8467592078778703E-3</v>
      </c>
      <c r="K55" s="7">
        <f t="shared" ref="K55:K62" si="8">(H55-(G55*F55)+I55)</f>
        <v>1106.095</v>
      </c>
      <c r="L55" s="8">
        <f t="shared" si="7"/>
        <v>0.87116388052060567</v>
      </c>
      <c r="M55" s="10" t="s">
        <v>381</v>
      </c>
      <c r="N55" s="71">
        <v>44002</v>
      </c>
    </row>
    <row r="56" spans="1:15" ht="15">
      <c r="A56" s="13" t="s">
        <v>119</v>
      </c>
      <c r="B56" s="143" t="s">
        <v>120</v>
      </c>
      <c r="C56" s="76" t="s">
        <v>22</v>
      </c>
      <c r="D56" s="76" t="s">
        <v>561</v>
      </c>
      <c r="E56" s="7">
        <v>20</v>
      </c>
      <c r="F56" s="7">
        <v>48.903599999999997</v>
      </c>
      <c r="G56" s="6">
        <v>50</v>
      </c>
      <c r="H56" s="6">
        <f t="shared" si="6"/>
        <v>1000</v>
      </c>
      <c r="I56" s="6">
        <f>'Dividends per year'!B56</f>
        <v>230.24</v>
      </c>
      <c r="J56" s="8">
        <f t="shared" si="2"/>
        <v>3.7855195583559563E-3</v>
      </c>
      <c r="K56" s="7">
        <f t="shared" si="8"/>
        <v>-1214.9399999999998</v>
      </c>
      <c r="L56" s="8">
        <f t="shared" si="7"/>
        <v>-0.49687139597084873</v>
      </c>
      <c r="M56" s="10" t="s">
        <v>435</v>
      </c>
      <c r="N56" s="71">
        <v>43965</v>
      </c>
    </row>
    <row r="57" spans="1:15" ht="15">
      <c r="A57" s="13" t="s">
        <v>121</v>
      </c>
      <c r="B57" s="145" t="s">
        <v>122</v>
      </c>
      <c r="C57" s="76" t="s">
        <v>15</v>
      </c>
      <c r="D57" s="76" t="s">
        <v>561</v>
      </c>
      <c r="E57" s="7">
        <v>80</v>
      </c>
      <c r="F57" s="7">
        <v>96.773499999999999</v>
      </c>
      <c r="G57" s="6">
        <v>6</v>
      </c>
      <c r="H57" s="6">
        <f t="shared" si="6"/>
        <v>480</v>
      </c>
      <c r="I57" s="6">
        <f>'Dividends per year'!B57</f>
        <v>43.879999999999995</v>
      </c>
      <c r="J57" s="8">
        <f t="shared" si="2"/>
        <v>1.817049388010859E-3</v>
      </c>
      <c r="K57" s="7">
        <f t="shared" si="8"/>
        <v>-56.760999999999967</v>
      </c>
      <c r="L57" s="8">
        <f t="shared" si="7"/>
        <v>-9.7755756138474537E-2</v>
      </c>
      <c r="M57" s="10" t="s">
        <v>399</v>
      </c>
      <c r="N57" s="71">
        <v>43978</v>
      </c>
    </row>
    <row r="58" spans="1:15" ht="15">
      <c r="A58" s="13" t="s">
        <v>123</v>
      </c>
      <c r="B58" s="145" t="s">
        <v>124</v>
      </c>
      <c r="C58" s="76" t="s">
        <v>15</v>
      </c>
      <c r="D58" s="76" t="s">
        <v>561</v>
      </c>
      <c r="E58" s="6">
        <v>55</v>
      </c>
      <c r="F58" s="7">
        <v>44.665576999999999</v>
      </c>
      <c r="G58" s="6">
        <v>52</v>
      </c>
      <c r="H58" s="6">
        <f t="shared" si="6"/>
        <v>2860</v>
      </c>
      <c r="I58" s="6">
        <f>'Dividends per year'!B58</f>
        <v>282.86999999999995</v>
      </c>
      <c r="J58" s="8">
        <f t="shared" si="2"/>
        <v>1.0826585936898035E-2</v>
      </c>
      <c r="K58" s="7">
        <f t="shared" si="8"/>
        <v>820.25999599999977</v>
      </c>
      <c r="L58" s="8">
        <f t="shared" si="7"/>
        <v>0.35316303408120509</v>
      </c>
      <c r="M58" s="10" t="s">
        <v>375</v>
      </c>
      <c r="N58" s="71">
        <v>43377</v>
      </c>
    </row>
    <row r="59" spans="1:15" ht="15">
      <c r="A59" s="13" t="s">
        <v>125</v>
      </c>
      <c r="B59" s="152" t="s">
        <v>126</v>
      </c>
      <c r="C59" s="76" t="s">
        <v>15</v>
      </c>
      <c r="D59" s="76" t="s">
        <v>561</v>
      </c>
      <c r="E59" s="7">
        <v>285</v>
      </c>
      <c r="F59" s="7">
        <v>225.54</v>
      </c>
      <c r="G59" s="6">
        <v>5</v>
      </c>
      <c r="H59" s="6">
        <f t="shared" si="6"/>
        <v>1425</v>
      </c>
      <c r="I59" s="6">
        <f>'Dividends per year'!B59</f>
        <v>142.38</v>
      </c>
      <c r="J59" s="8">
        <f t="shared" si="2"/>
        <v>5.3943653706572375E-3</v>
      </c>
      <c r="K59" s="7">
        <f t="shared" si="8"/>
        <v>439.67999999999995</v>
      </c>
      <c r="L59" s="8">
        <f t="shared" si="7"/>
        <v>0.38989092843841444</v>
      </c>
      <c r="M59" s="10" t="s">
        <v>371</v>
      </c>
      <c r="N59" s="71">
        <v>43985</v>
      </c>
      <c r="O59" s="66" t="s">
        <v>542</v>
      </c>
    </row>
    <row r="60" spans="1:15" ht="15">
      <c r="A60" s="13" t="s">
        <v>41</v>
      </c>
      <c r="B60" s="147" t="s">
        <v>42</v>
      </c>
      <c r="C60" s="76" t="s">
        <v>22</v>
      </c>
      <c r="D60" s="76" t="s">
        <v>561</v>
      </c>
      <c r="E60" s="6">
        <v>42</v>
      </c>
      <c r="F60" s="7">
        <v>44.8</v>
      </c>
      <c r="G60" s="6">
        <v>10</v>
      </c>
      <c r="H60" s="6">
        <f>G60*E60</f>
        <v>420</v>
      </c>
      <c r="I60" s="6">
        <f>'Dividends per year'!B60</f>
        <v>58.75</v>
      </c>
      <c r="J60" s="8">
        <f t="shared" si="2"/>
        <v>1.5899182145095016E-3</v>
      </c>
      <c r="K60" s="7">
        <f>(H60-(G60*F60)+I60)</f>
        <v>30.75</v>
      </c>
      <c r="L60" s="8">
        <f>((E60*G60)+I60)/(F60*G60)-100%</f>
        <v>6.8638392857142794E-2</v>
      </c>
      <c r="M60" s="10" t="s">
        <v>400</v>
      </c>
      <c r="N60" s="71">
        <v>43109</v>
      </c>
    </row>
    <row r="61" spans="1:15" ht="15">
      <c r="A61" s="13" t="s">
        <v>127</v>
      </c>
      <c r="B61" s="146" t="s">
        <v>128</v>
      </c>
      <c r="C61" s="76" t="s">
        <v>15</v>
      </c>
      <c r="D61" s="76" t="s">
        <v>561</v>
      </c>
      <c r="E61" s="7">
        <v>116</v>
      </c>
      <c r="F61" s="7">
        <v>27.248889999999999</v>
      </c>
      <c r="G61" s="6">
        <v>27</v>
      </c>
      <c r="H61" s="6">
        <f t="shared" si="6"/>
        <v>3132</v>
      </c>
      <c r="I61" s="6">
        <f>'Dividends per year'!B61</f>
        <v>52.2</v>
      </c>
      <c r="J61" s="8">
        <f t="shared" si="2"/>
        <v>1.1856247256770855E-2</v>
      </c>
      <c r="K61" s="7">
        <f t="shared" si="8"/>
        <v>2448.4799699999999</v>
      </c>
      <c r="L61" s="8">
        <f t="shared" si="7"/>
        <v>3.3280050428965486</v>
      </c>
      <c r="M61" s="10" t="s">
        <v>391</v>
      </c>
      <c r="N61" s="71">
        <v>43993</v>
      </c>
    </row>
    <row r="62" spans="1:15" ht="15">
      <c r="A62" s="13" t="s">
        <v>129</v>
      </c>
      <c r="B62" s="150" t="s">
        <v>130</v>
      </c>
      <c r="C62" s="76" t="s">
        <v>22</v>
      </c>
      <c r="D62" s="76" t="s">
        <v>561</v>
      </c>
      <c r="E62" s="7">
        <v>421</v>
      </c>
      <c r="F62" s="7">
        <v>184.58250000000001</v>
      </c>
      <c r="G62" s="6">
        <v>4</v>
      </c>
      <c r="H62" s="6">
        <f t="shared" si="6"/>
        <v>1684</v>
      </c>
      <c r="I62" s="6">
        <f>'Dividends per year'!B62</f>
        <v>55.150000000000006</v>
      </c>
      <c r="J62" s="8">
        <f t="shared" si="2"/>
        <v>6.3748149362714305E-3</v>
      </c>
      <c r="K62" s="7">
        <f t="shared" si="8"/>
        <v>1000.8199999999999</v>
      </c>
      <c r="L62" s="8">
        <f t="shared" si="7"/>
        <v>1.3555185350723931</v>
      </c>
      <c r="M62" s="10" t="s">
        <v>436</v>
      </c>
      <c r="N62" s="71">
        <v>43994</v>
      </c>
    </row>
    <row r="63" spans="1:15" ht="15">
      <c r="A63" s="13" t="s">
        <v>131</v>
      </c>
      <c r="B63" s="145" t="s">
        <v>132</v>
      </c>
      <c r="C63" s="76" t="s">
        <v>15</v>
      </c>
      <c r="D63" s="76" t="s">
        <v>561</v>
      </c>
      <c r="E63" s="7">
        <v>60</v>
      </c>
      <c r="F63" s="7">
        <v>40.088999999999999</v>
      </c>
      <c r="G63" s="6">
        <v>10</v>
      </c>
      <c r="H63" s="6">
        <f t="shared" si="6"/>
        <v>600</v>
      </c>
      <c r="I63" s="6">
        <f>'Dividends per year'!B63</f>
        <v>52.849999999999987</v>
      </c>
      <c r="J63" s="8">
        <f t="shared" si="2"/>
        <v>2.2713117350135737E-3</v>
      </c>
      <c r="K63" s="7">
        <f t="shared" ref="K63:K86" si="9">(H63-(G63*F63)+I63)</f>
        <v>251.96</v>
      </c>
      <c r="L63" s="8">
        <f t="shared" si="7"/>
        <v>0.62850158397565425</v>
      </c>
      <c r="M63" s="10" t="s">
        <v>437</v>
      </c>
      <c r="N63" s="71">
        <v>44019</v>
      </c>
    </row>
    <row r="64" spans="1:15" ht="15">
      <c r="A64" s="13" t="s">
        <v>133</v>
      </c>
      <c r="B64" s="144" t="s">
        <v>134</v>
      </c>
      <c r="C64" s="76" t="s">
        <v>15</v>
      </c>
      <c r="D64" s="76" t="s">
        <v>561</v>
      </c>
      <c r="E64" s="7">
        <v>520</v>
      </c>
      <c r="F64" s="7">
        <v>372.4</v>
      </c>
      <c r="G64" s="6">
        <v>2</v>
      </c>
      <c r="H64" s="6">
        <f t="shared" si="6"/>
        <v>1040</v>
      </c>
      <c r="I64" s="6">
        <f>'Dividends per year'!B64</f>
        <v>0</v>
      </c>
      <c r="J64" s="8">
        <f t="shared" si="2"/>
        <v>3.9369403406901947E-3</v>
      </c>
      <c r="K64" s="7">
        <f t="shared" si="9"/>
        <v>295.20000000000005</v>
      </c>
      <c r="L64" s="8">
        <f t="shared" si="7"/>
        <v>0.39634801288936639</v>
      </c>
      <c r="M64" s="10" t="s">
        <v>401</v>
      </c>
      <c r="N64" s="71">
        <v>44026</v>
      </c>
      <c r="O64" t="s">
        <v>402</v>
      </c>
    </row>
    <row r="65" spans="1:14" ht="15">
      <c r="A65" s="13" t="s">
        <v>135</v>
      </c>
      <c r="B65" s="146" t="s">
        <v>136</v>
      </c>
      <c r="C65" s="76" t="s">
        <v>15</v>
      </c>
      <c r="D65" s="76" t="s">
        <v>561</v>
      </c>
      <c r="E65" s="7">
        <v>110</v>
      </c>
      <c r="F65" s="7">
        <v>82.373999999999995</v>
      </c>
      <c r="G65" s="6">
        <v>10</v>
      </c>
      <c r="H65" s="6">
        <f t="shared" si="6"/>
        <v>1100</v>
      </c>
      <c r="I65" s="6">
        <f>'Dividends per year'!B65</f>
        <v>92.780000000000015</v>
      </c>
      <c r="J65" s="8">
        <f t="shared" si="2"/>
        <v>4.1640715141915523E-3</v>
      </c>
      <c r="K65" s="7">
        <f t="shared" si="9"/>
        <v>369.04</v>
      </c>
      <c r="L65" s="8">
        <f t="shared" si="7"/>
        <v>0.44800543860926978</v>
      </c>
      <c r="M65" s="10" t="s">
        <v>438</v>
      </c>
      <c r="N65" s="71">
        <v>44027</v>
      </c>
    </row>
    <row r="66" spans="1:14" ht="15">
      <c r="A66" s="13" t="s">
        <v>137</v>
      </c>
      <c r="B66" s="146" t="s">
        <v>138</v>
      </c>
      <c r="C66" s="76" t="s">
        <v>15</v>
      </c>
      <c r="D66" s="76" t="s">
        <v>561</v>
      </c>
      <c r="E66" s="7">
        <v>53</v>
      </c>
      <c r="F66" s="7">
        <v>38.696364000000003</v>
      </c>
      <c r="G66" s="7">
        <v>25.126650000000001</v>
      </c>
      <c r="H66" s="14">
        <f t="shared" si="6"/>
        <v>1331.71245</v>
      </c>
      <c r="I66" s="6">
        <f>'Dividends per year'!B66</f>
        <v>309.16000000000003</v>
      </c>
      <c r="J66" s="8">
        <f t="shared" si="2"/>
        <v>5.0412235255811282E-3</v>
      </c>
      <c r="K66" s="7">
        <f t="shared" si="9"/>
        <v>668.5624554993999</v>
      </c>
      <c r="L66" s="8">
        <f t="shared" ref="L66:L98" si="10">((E66*G66)+I66)/(F66*G66)-100%</f>
        <v>0.68760216317923195</v>
      </c>
      <c r="M66" s="10" t="s">
        <v>440</v>
      </c>
      <c r="N66" s="71">
        <v>44062</v>
      </c>
    </row>
    <row r="67" spans="1:14" ht="15">
      <c r="A67" s="13" t="s">
        <v>139</v>
      </c>
      <c r="B67" s="146" t="s">
        <v>140</v>
      </c>
      <c r="C67" s="76" t="s">
        <v>22</v>
      </c>
      <c r="D67" s="76" t="s">
        <v>561</v>
      </c>
      <c r="E67" s="7">
        <v>52</v>
      </c>
      <c r="F67" s="7">
        <v>35.8048</v>
      </c>
      <c r="G67" s="6">
        <v>25</v>
      </c>
      <c r="H67" s="6">
        <f t="shared" si="6"/>
        <v>1300</v>
      </c>
      <c r="I67" s="6">
        <f>'Dividends per year'!B67</f>
        <v>0</v>
      </c>
      <c r="J67" s="8">
        <f t="shared" ref="J67:J120" si="11">H67/$O$5</f>
        <v>4.9211754258627434E-3</v>
      </c>
      <c r="K67" s="7">
        <f t="shared" si="9"/>
        <v>404.88</v>
      </c>
      <c r="L67" s="8">
        <f t="shared" si="10"/>
        <v>0.45231924211278929</v>
      </c>
      <c r="M67" s="10" t="s">
        <v>439</v>
      </c>
      <c r="N67" s="71">
        <v>44036</v>
      </c>
    </row>
    <row r="68" spans="1:14" ht="15">
      <c r="A68" s="13" t="s">
        <v>141</v>
      </c>
      <c r="B68" s="144" t="s">
        <v>142</v>
      </c>
      <c r="C68" s="76" t="s">
        <v>15</v>
      </c>
      <c r="D68" s="76" t="s">
        <v>561</v>
      </c>
      <c r="E68" s="7">
        <v>300</v>
      </c>
      <c r="F68" s="7">
        <v>168.798</v>
      </c>
      <c r="G68" s="6">
        <v>5</v>
      </c>
      <c r="H68" s="6">
        <f t="shared" si="6"/>
        <v>1500</v>
      </c>
      <c r="I68" s="6">
        <f>'Dividends per year'!B68</f>
        <v>24.21</v>
      </c>
      <c r="J68" s="8">
        <f t="shared" si="11"/>
        <v>5.6782793375339344E-3</v>
      </c>
      <c r="K68" s="7">
        <f t="shared" si="9"/>
        <v>680.22</v>
      </c>
      <c r="L68" s="8">
        <f t="shared" si="10"/>
        <v>0.80595741655706821</v>
      </c>
      <c r="M68" s="10" t="s">
        <v>441</v>
      </c>
      <c r="N68" s="71">
        <v>44037</v>
      </c>
    </row>
    <row r="69" spans="1:14" ht="15">
      <c r="A69" s="13" t="s">
        <v>143</v>
      </c>
      <c r="B69" s="145" t="s">
        <v>144</v>
      </c>
      <c r="C69" s="76" t="s">
        <v>15</v>
      </c>
      <c r="D69" s="76" t="s">
        <v>561</v>
      </c>
      <c r="E69" s="7">
        <v>72</v>
      </c>
      <c r="F69" s="7">
        <v>36.903300000000002</v>
      </c>
      <c r="G69" s="6">
        <v>18</v>
      </c>
      <c r="H69" s="6">
        <f t="shared" si="6"/>
        <v>1296</v>
      </c>
      <c r="I69" s="6">
        <f>'Dividends per year'!B69</f>
        <v>41.32</v>
      </c>
      <c r="J69" s="8">
        <f t="shared" si="11"/>
        <v>4.9060333476293192E-3</v>
      </c>
      <c r="K69" s="7">
        <f t="shared" si="9"/>
        <v>673.06060000000002</v>
      </c>
      <c r="L69" s="8">
        <f t="shared" si="10"/>
        <v>1.0132496431364011</v>
      </c>
      <c r="M69" s="10" t="s">
        <v>442</v>
      </c>
      <c r="N69" s="71">
        <v>44043</v>
      </c>
    </row>
    <row r="70" spans="1:14" ht="15">
      <c r="A70" s="13" t="s">
        <v>145</v>
      </c>
      <c r="B70" s="145" t="s">
        <v>146</v>
      </c>
      <c r="C70" s="76" t="s">
        <v>22</v>
      </c>
      <c r="D70" s="76" t="s">
        <v>561</v>
      </c>
      <c r="E70" s="7">
        <v>91</v>
      </c>
      <c r="F70" s="7">
        <v>77.441999999999993</v>
      </c>
      <c r="G70" s="6">
        <v>10</v>
      </c>
      <c r="H70" s="6">
        <f t="shared" si="6"/>
        <v>910</v>
      </c>
      <c r="I70" s="6">
        <f>'Dividends per year'!B70</f>
        <v>47.56</v>
      </c>
      <c r="J70" s="8">
        <f t="shared" si="11"/>
        <v>3.4448227981039204E-3</v>
      </c>
      <c r="K70" s="7">
        <f t="shared" si="9"/>
        <v>183.14000000000004</v>
      </c>
      <c r="L70" s="8">
        <f t="shared" si="10"/>
        <v>0.23648666098499516</v>
      </c>
      <c r="M70" s="10" t="s">
        <v>443</v>
      </c>
      <c r="N70" s="71">
        <v>44049</v>
      </c>
    </row>
    <row r="71" spans="1:14" ht="15">
      <c r="A71" s="13" t="s">
        <v>147</v>
      </c>
      <c r="B71" s="146" t="s">
        <v>148</v>
      </c>
      <c r="C71" s="76" t="s">
        <v>22</v>
      </c>
      <c r="D71" s="76" t="s">
        <v>561</v>
      </c>
      <c r="E71" s="7">
        <v>101</v>
      </c>
      <c r="F71" s="7">
        <v>80.447999999999993</v>
      </c>
      <c r="G71" s="6">
        <v>10</v>
      </c>
      <c r="H71" s="6">
        <f t="shared" si="6"/>
        <v>1010</v>
      </c>
      <c r="I71" s="6">
        <f>'Dividends per year'!B71</f>
        <v>103.22</v>
      </c>
      <c r="J71" s="8">
        <f t="shared" si="11"/>
        <v>3.8233747539395159E-3</v>
      </c>
      <c r="K71" s="7">
        <f t="shared" si="9"/>
        <v>308.74000000000012</v>
      </c>
      <c r="L71" s="8">
        <f t="shared" si="10"/>
        <v>0.38377585521081969</v>
      </c>
      <c r="M71" s="10" t="s">
        <v>444</v>
      </c>
      <c r="N71" s="71">
        <v>44074</v>
      </c>
    </row>
    <row r="72" spans="1:14" ht="15">
      <c r="A72" s="13" t="s">
        <v>149</v>
      </c>
      <c r="B72" s="145" t="s">
        <v>150</v>
      </c>
      <c r="C72" s="76" t="s">
        <v>15</v>
      </c>
      <c r="D72" s="76" t="s">
        <v>561</v>
      </c>
      <c r="E72" s="7">
        <v>176</v>
      </c>
      <c r="F72" s="7">
        <v>114.985714</v>
      </c>
      <c r="G72" s="6">
        <v>7</v>
      </c>
      <c r="H72" s="6">
        <f t="shared" si="6"/>
        <v>1232</v>
      </c>
      <c r="I72" s="6">
        <f>'Dividends per year'!B72</f>
        <v>68.44</v>
      </c>
      <c r="J72" s="8">
        <f t="shared" si="11"/>
        <v>4.6637600958945383E-3</v>
      </c>
      <c r="K72" s="7">
        <f t="shared" si="9"/>
        <v>495.54000200000002</v>
      </c>
      <c r="L72" s="8">
        <f t="shared" si="10"/>
        <v>0.61565412253858653</v>
      </c>
      <c r="M72" s="10" t="s">
        <v>445</v>
      </c>
      <c r="N72" s="71">
        <v>44095</v>
      </c>
    </row>
    <row r="73" spans="1:14" ht="15">
      <c r="A73" s="13" t="s">
        <v>151</v>
      </c>
      <c r="B73" s="145" t="s">
        <v>152</v>
      </c>
      <c r="C73" s="76" t="s">
        <v>15</v>
      </c>
      <c r="D73" s="76" t="s">
        <v>561</v>
      </c>
      <c r="E73" s="7">
        <v>17</v>
      </c>
      <c r="F73" s="7">
        <v>14.056125</v>
      </c>
      <c r="G73" s="6">
        <v>80</v>
      </c>
      <c r="H73" s="6">
        <f t="shared" si="6"/>
        <v>1360</v>
      </c>
      <c r="I73" s="6">
        <f>'Dividends per year'!B73</f>
        <v>104.4</v>
      </c>
      <c r="J73" s="8">
        <f t="shared" si="11"/>
        <v>5.1483065993641009E-3</v>
      </c>
      <c r="K73" s="7">
        <f t="shared" si="9"/>
        <v>339.90999999999997</v>
      </c>
      <c r="L73" s="8">
        <f t="shared" si="10"/>
        <v>0.30227925548470869</v>
      </c>
      <c r="M73" s="10" t="s">
        <v>379</v>
      </c>
      <c r="N73" s="71">
        <v>44096</v>
      </c>
    </row>
    <row r="74" spans="1:14" ht="15">
      <c r="A74" s="13" t="s">
        <v>153</v>
      </c>
      <c r="B74" s="145" t="s">
        <v>154</v>
      </c>
      <c r="C74" s="76" t="s">
        <v>22</v>
      </c>
      <c r="D74" s="76" t="s">
        <v>561</v>
      </c>
      <c r="E74" s="7">
        <v>607</v>
      </c>
      <c r="F74" s="7">
        <v>422.99</v>
      </c>
      <c r="G74" s="6">
        <v>1</v>
      </c>
      <c r="H74" s="6">
        <f t="shared" si="6"/>
        <v>607</v>
      </c>
      <c r="I74" s="6">
        <f>'Dividends per year'!B74</f>
        <v>28.490000000000002</v>
      </c>
      <c r="J74" s="8">
        <f t="shared" si="11"/>
        <v>2.2978103719220656E-3</v>
      </c>
      <c r="K74" s="7">
        <f t="shared" si="9"/>
        <v>212.5</v>
      </c>
      <c r="L74" s="8">
        <f t="shared" si="10"/>
        <v>0.50237594269368069</v>
      </c>
      <c r="M74" s="10" t="s">
        <v>446</v>
      </c>
      <c r="N74" s="71">
        <v>44131</v>
      </c>
    </row>
    <row r="75" spans="1:14" ht="15">
      <c r="A75" s="13" t="s">
        <v>155</v>
      </c>
      <c r="B75" s="145" t="s">
        <v>156</v>
      </c>
      <c r="C75" s="76" t="s">
        <v>22</v>
      </c>
      <c r="D75" s="76" t="s">
        <v>561</v>
      </c>
      <c r="E75" s="7">
        <v>280</v>
      </c>
      <c r="F75" s="7">
        <v>543.65</v>
      </c>
      <c r="G75" s="6">
        <v>1</v>
      </c>
      <c r="H75" s="6">
        <f t="shared" si="6"/>
        <v>280</v>
      </c>
      <c r="I75" s="6">
        <f>'Dividends per year'!B75</f>
        <v>32.450000000000003</v>
      </c>
      <c r="J75" s="8">
        <f t="shared" si="11"/>
        <v>1.0599454763396679E-3</v>
      </c>
      <c r="K75" s="7">
        <f t="shared" si="9"/>
        <v>-231.2</v>
      </c>
      <c r="L75" s="8">
        <f t="shared" si="10"/>
        <v>-0.42527361353812199</v>
      </c>
      <c r="M75" s="10" t="s">
        <v>446</v>
      </c>
      <c r="N75" s="71">
        <v>44132</v>
      </c>
    </row>
    <row r="76" spans="1:14" ht="15">
      <c r="A76" s="13" t="s">
        <v>157</v>
      </c>
      <c r="B76" s="143" t="s">
        <v>158</v>
      </c>
      <c r="C76" s="76" t="s">
        <v>38</v>
      </c>
      <c r="D76" s="76" t="s">
        <v>561</v>
      </c>
      <c r="E76" s="7">
        <v>320</v>
      </c>
      <c r="F76" s="7">
        <v>302.8</v>
      </c>
      <c r="G76" s="6">
        <v>2</v>
      </c>
      <c r="H76" s="6">
        <f t="shared" si="6"/>
        <v>640</v>
      </c>
      <c r="I76" s="6">
        <f>'Dividends per year'!B76</f>
        <v>47.650000000000006</v>
      </c>
      <c r="J76" s="8">
        <f t="shared" si="11"/>
        <v>2.4227325173478121E-3</v>
      </c>
      <c r="K76" s="7">
        <f t="shared" si="9"/>
        <v>82.049999999999983</v>
      </c>
      <c r="L76" s="8">
        <f t="shared" si="10"/>
        <v>0.1354854689564069</v>
      </c>
      <c r="M76" s="10" t="s">
        <v>447</v>
      </c>
      <c r="N76" s="71">
        <v>44103</v>
      </c>
    </row>
    <row r="77" spans="1:14" ht="15">
      <c r="A77" s="13" t="s">
        <v>159</v>
      </c>
      <c r="B77" s="146" t="s">
        <v>160</v>
      </c>
      <c r="C77" s="76" t="s">
        <v>15</v>
      </c>
      <c r="D77" s="76" t="s">
        <v>561</v>
      </c>
      <c r="E77" s="7">
        <v>5.8</v>
      </c>
      <c r="F77" s="7">
        <v>4.0960999999999999</v>
      </c>
      <c r="G77" s="6">
        <v>100</v>
      </c>
      <c r="H77" s="6">
        <f t="shared" si="6"/>
        <v>580</v>
      </c>
      <c r="I77" s="6">
        <f>'Dividends per year'!B77</f>
        <v>71.89</v>
      </c>
      <c r="J77" s="8">
        <f t="shared" si="11"/>
        <v>2.1956013438464545E-3</v>
      </c>
      <c r="K77" s="7">
        <f t="shared" si="9"/>
        <v>242.27999999999997</v>
      </c>
      <c r="L77" s="8">
        <f t="shared" si="10"/>
        <v>0.59148946558921889</v>
      </c>
      <c r="M77" s="10" t="s">
        <v>449</v>
      </c>
      <c r="N77" s="71">
        <v>44129</v>
      </c>
    </row>
    <row r="78" spans="1:14" ht="15">
      <c r="A78" s="13" t="s">
        <v>161</v>
      </c>
      <c r="B78" s="151" t="s">
        <v>162</v>
      </c>
      <c r="C78" s="76" t="s">
        <v>15</v>
      </c>
      <c r="D78" s="76" t="s">
        <v>561</v>
      </c>
      <c r="E78" s="7">
        <v>7</v>
      </c>
      <c r="F78" s="7">
        <v>6.8310000000000004</v>
      </c>
      <c r="G78" s="6">
        <v>163</v>
      </c>
      <c r="H78" s="6">
        <f t="shared" si="6"/>
        <v>1141</v>
      </c>
      <c r="I78" s="6">
        <f>'Dividends per year'!B78</f>
        <v>135.38999999999999</v>
      </c>
      <c r="J78" s="8">
        <f t="shared" si="11"/>
        <v>4.3192778160841463E-3</v>
      </c>
      <c r="K78" s="7">
        <f t="shared" si="9"/>
        <v>162.93700000000001</v>
      </c>
      <c r="L78" s="8">
        <f t="shared" si="10"/>
        <v>0.1463348699945124</v>
      </c>
      <c r="M78" s="10" t="s">
        <v>448</v>
      </c>
      <c r="N78" s="71">
        <v>45226</v>
      </c>
    </row>
    <row r="79" spans="1:14" ht="15">
      <c r="A79" s="13" t="s">
        <v>163</v>
      </c>
      <c r="B79" s="146" t="s">
        <v>164</v>
      </c>
      <c r="C79" s="76" t="s">
        <v>22</v>
      </c>
      <c r="D79" s="76" t="s">
        <v>561</v>
      </c>
      <c r="E79" s="7">
        <v>32</v>
      </c>
      <c r="F79" s="7">
        <v>25.64</v>
      </c>
      <c r="G79" s="6">
        <v>15</v>
      </c>
      <c r="H79" s="14">
        <f t="shared" si="6"/>
        <v>480</v>
      </c>
      <c r="I79" s="6">
        <f>'Dividends per year'!B79</f>
        <v>99.57</v>
      </c>
      <c r="J79" s="8">
        <f t="shared" si="11"/>
        <v>1.817049388010859E-3</v>
      </c>
      <c r="K79" s="7">
        <f t="shared" si="9"/>
        <v>194.96999999999997</v>
      </c>
      <c r="L79" s="8">
        <f t="shared" si="10"/>
        <v>0.50694227769110745</v>
      </c>
      <c r="M79" s="10" t="s">
        <v>450</v>
      </c>
      <c r="N79" s="71">
        <v>44126</v>
      </c>
    </row>
    <row r="80" spans="1:14" ht="15">
      <c r="A80" s="13" t="s">
        <v>165</v>
      </c>
      <c r="B80" s="149" t="s">
        <v>166</v>
      </c>
      <c r="C80" s="76" t="s">
        <v>58</v>
      </c>
      <c r="D80" s="76" t="s">
        <v>561</v>
      </c>
      <c r="E80" s="7">
        <v>88</v>
      </c>
      <c r="F80" s="7">
        <v>41.091000000000001</v>
      </c>
      <c r="G80" s="6">
        <v>10</v>
      </c>
      <c r="H80" s="14">
        <f t="shared" si="6"/>
        <v>880</v>
      </c>
      <c r="I80" s="6">
        <f>'Dividends per year'!B80</f>
        <v>88.179999999999993</v>
      </c>
      <c r="J80" s="8">
        <f t="shared" si="11"/>
        <v>3.3312572113532416E-3</v>
      </c>
      <c r="K80" s="7">
        <f t="shared" si="9"/>
        <v>557.27</v>
      </c>
      <c r="L80" s="8">
        <f t="shared" si="10"/>
        <v>1.3561850526879362</v>
      </c>
      <c r="M80" s="10" t="s">
        <v>451</v>
      </c>
      <c r="N80" s="71">
        <v>44132</v>
      </c>
    </row>
    <row r="81" spans="1:14" ht="15">
      <c r="A81" s="13" t="s">
        <v>167</v>
      </c>
      <c r="B81" s="145" t="s">
        <v>168</v>
      </c>
      <c r="C81" s="76" t="s">
        <v>15</v>
      </c>
      <c r="D81" s="76" t="s">
        <v>561</v>
      </c>
      <c r="E81" s="7">
        <v>52</v>
      </c>
      <c r="F81" s="7">
        <v>53.107999999999997</v>
      </c>
      <c r="G81" s="6">
        <v>15</v>
      </c>
      <c r="H81" s="6">
        <f t="shared" si="6"/>
        <v>780</v>
      </c>
      <c r="I81" s="6">
        <f>'Dividends per year'!B81</f>
        <v>14.52</v>
      </c>
      <c r="J81" s="8">
        <f t="shared" si="11"/>
        <v>2.952705255517646E-3</v>
      </c>
      <c r="K81" s="7">
        <f t="shared" si="9"/>
        <v>-2.100000000000005</v>
      </c>
      <c r="L81" s="8">
        <f t="shared" si="10"/>
        <v>-2.6361376817052307E-3</v>
      </c>
      <c r="M81" s="10" t="s">
        <v>452</v>
      </c>
      <c r="N81" s="71">
        <v>44327</v>
      </c>
    </row>
    <row r="82" spans="1:14" ht="15">
      <c r="A82" s="5" t="s">
        <v>169</v>
      </c>
      <c r="B82" s="150" t="s">
        <v>170</v>
      </c>
      <c r="C82" s="76" t="s">
        <v>22</v>
      </c>
      <c r="D82" s="76" t="s">
        <v>561</v>
      </c>
      <c r="E82" s="7">
        <v>4</v>
      </c>
      <c r="F82" s="7">
        <v>5.1372499999999999</v>
      </c>
      <c r="G82" s="6">
        <v>200</v>
      </c>
      <c r="H82" s="6">
        <f t="shared" si="6"/>
        <v>800</v>
      </c>
      <c r="I82" s="6">
        <f>'Dividends per year'!B82</f>
        <v>70.64</v>
      </c>
      <c r="J82" s="8">
        <f t="shared" si="11"/>
        <v>3.0284156466847652E-3</v>
      </c>
      <c r="K82" s="7">
        <f t="shared" si="9"/>
        <v>-156.81000000000006</v>
      </c>
      <c r="L82" s="8">
        <f t="shared" si="10"/>
        <v>-0.15262056547763891</v>
      </c>
      <c r="M82" s="10" t="s">
        <v>453</v>
      </c>
      <c r="N82" s="71">
        <v>43935</v>
      </c>
    </row>
    <row r="83" spans="1:14" ht="15">
      <c r="A83" s="5"/>
      <c r="B83" s="145"/>
      <c r="C83" s="76"/>
      <c r="D83" s="76"/>
      <c r="E83" s="7"/>
      <c r="F83" s="6"/>
      <c r="G83" s="6"/>
      <c r="H83" s="6"/>
      <c r="I83" s="6"/>
      <c r="J83" s="8"/>
      <c r="K83" s="7"/>
      <c r="L83" s="8"/>
      <c r="M83" s="10"/>
      <c r="N83" s="71"/>
    </row>
    <row r="84" spans="1:14" ht="15">
      <c r="A84" s="5" t="s">
        <v>280</v>
      </c>
      <c r="B84" s="149" t="s">
        <v>57</v>
      </c>
      <c r="C84" s="76" t="s">
        <v>58</v>
      </c>
      <c r="D84" s="76" t="s">
        <v>561</v>
      </c>
      <c r="E84" s="6">
        <v>2.1459999999999999</v>
      </c>
      <c r="F84" s="7">
        <v>2.7789999999999999</v>
      </c>
      <c r="G84" s="6">
        <v>500</v>
      </c>
      <c r="H84" s="6">
        <f>G84*E84</f>
        <v>1073</v>
      </c>
      <c r="I84" s="6">
        <f>'Dividends per year'!B84</f>
        <v>430.46</v>
      </c>
      <c r="J84" s="8">
        <f t="shared" si="11"/>
        <v>4.0618624861159412E-3</v>
      </c>
      <c r="K84" s="7">
        <f>(H84-(G84*F84)+I84)</f>
        <v>113.95999999999998</v>
      </c>
      <c r="L84" s="8">
        <f>((E84*G84)+I84)/(F84*G84)-100%</f>
        <v>8.2015113350125901E-2</v>
      </c>
      <c r="M84" s="10" t="s">
        <v>425</v>
      </c>
      <c r="N84" s="71">
        <v>43251</v>
      </c>
    </row>
    <row r="85" spans="1:14" ht="15">
      <c r="A85" s="99" t="s">
        <v>54</v>
      </c>
      <c r="B85" s="149" t="s">
        <v>55</v>
      </c>
      <c r="C85" s="76" t="s">
        <v>56</v>
      </c>
      <c r="D85" s="76" t="s">
        <v>561</v>
      </c>
      <c r="E85" s="6">
        <v>0.48</v>
      </c>
      <c r="F85" s="7">
        <v>0.73850000000000005</v>
      </c>
      <c r="G85" s="6">
        <v>1000</v>
      </c>
      <c r="H85" s="6">
        <f>G85*E85</f>
        <v>480</v>
      </c>
      <c r="I85" s="6">
        <f>'Dividends per year'!B85</f>
        <v>169.45000000000002</v>
      </c>
      <c r="J85" s="8">
        <f t="shared" si="11"/>
        <v>1.817049388010859E-3</v>
      </c>
      <c r="K85" s="7">
        <f t="shared" si="9"/>
        <v>-89.049999999999983</v>
      </c>
      <c r="L85" s="8">
        <f t="shared" si="10"/>
        <v>-0.12058226134055516</v>
      </c>
      <c r="M85" s="10" t="s">
        <v>455</v>
      </c>
      <c r="N85" s="71">
        <v>43608</v>
      </c>
    </row>
    <row r="86" spans="1:14" ht="15">
      <c r="A86" s="99" t="s">
        <v>61</v>
      </c>
      <c r="B86" s="146" t="s">
        <v>62</v>
      </c>
      <c r="C86" s="76" t="s">
        <v>63</v>
      </c>
      <c r="D86" s="76" t="s">
        <v>561</v>
      </c>
      <c r="E86" s="6">
        <v>2.3570000000000002</v>
      </c>
      <c r="F86" s="7">
        <v>1.7</v>
      </c>
      <c r="G86" s="6">
        <v>500</v>
      </c>
      <c r="H86" s="6">
        <f>G86*E86</f>
        <v>1178.5</v>
      </c>
      <c r="I86" s="6">
        <f>'Dividends per year'!B86</f>
        <v>239.37</v>
      </c>
      <c r="J86" s="8">
        <f t="shared" si="11"/>
        <v>4.4612347995224948E-3</v>
      </c>
      <c r="K86" s="7">
        <f t="shared" si="9"/>
        <v>567.87</v>
      </c>
      <c r="L86" s="8">
        <f t="shared" si="10"/>
        <v>0.66808235294117635</v>
      </c>
      <c r="M86" s="10" t="s">
        <v>456</v>
      </c>
      <c r="N86" s="71">
        <v>43270</v>
      </c>
    </row>
    <row r="87" spans="1:14" ht="15">
      <c r="A87" s="99" t="s">
        <v>70</v>
      </c>
      <c r="B87" s="145" t="s">
        <v>71</v>
      </c>
      <c r="C87" s="76" t="s">
        <v>72</v>
      </c>
      <c r="D87" s="76" t="s">
        <v>561</v>
      </c>
      <c r="E87" s="6">
        <v>8.4</v>
      </c>
      <c r="F87" s="7">
        <v>8.3405701000000008</v>
      </c>
      <c r="G87" s="6">
        <v>70</v>
      </c>
      <c r="H87" s="6">
        <f>G87*E87</f>
        <v>588</v>
      </c>
      <c r="I87" s="6">
        <f>'Dividends per year'!B87</f>
        <v>147.82000000000002</v>
      </c>
      <c r="J87" s="8">
        <f t="shared" si="11"/>
        <v>2.2258855003133024E-3</v>
      </c>
      <c r="K87" s="7">
        <f>(H87-(G87*F87)+I87)</f>
        <v>151.98009299999998</v>
      </c>
      <c r="L87" s="8">
        <f>((E87*G87)+I87)/(F87*G87)-100%</f>
        <v>0.26031124487692825</v>
      </c>
      <c r="M87" s="10" t="s">
        <v>457</v>
      </c>
      <c r="N87" s="71">
        <v>43591</v>
      </c>
    </row>
    <row r="88" spans="1:14" ht="15">
      <c r="A88" s="99" t="s">
        <v>175</v>
      </c>
      <c r="B88" s="146" t="s">
        <v>176</v>
      </c>
      <c r="C88" s="76" t="s">
        <v>22</v>
      </c>
      <c r="D88" s="76" t="s">
        <v>561</v>
      </c>
      <c r="E88" s="7">
        <v>1.83</v>
      </c>
      <c r="F88" s="7">
        <v>2.0376669999999999</v>
      </c>
      <c r="G88" s="6">
        <v>150</v>
      </c>
      <c r="H88" s="14">
        <f t="shared" ref="H88:H98" si="12">G88*E88</f>
        <v>274.5</v>
      </c>
      <c r="I88" s="6">
        <f>'Dividends per year'!B88</f>
        <v>23.189999999999998</v>
      </c>
      <c r="J88" s="8">
        <f t="shared" si="11"/>
        <v>1.03912511876871E-3</v>
      </c>
      <c r="K88" s="7">
        <f t="shared" ref="K88:K98" si="13">(H88-(G88*F88)+I88)</f>
        <v>-7.960049999999967</v>
      </c>
      <c r="L88" s="8">
        <f t="shared" si="10"/>
        <v>-2.6043018805329665E-2</v>
      </c>
      <c r="M88" s="10" t="s">
        <v>458</v>
      </c>
      <c r="N88" s="71">
        <v>44211</v>
      </c>
    </row>
    <row r="89" spans="1:14" ht="15">
      <c r="A89" s="99" t="s">
        <v>177</v>
      </c>
      <c r="B89" s="144" t="s">
        <v>178</v>
      </c>
      <c r="C89" s="76" t="s">
        <v>15</v>
      </c>
      <c r="D89" s="76" t="s">
        <v>561</v>
      </c>
      <c r="E89" s="7">
        <v>5.25</v>
      </c>
      <c r="F89" s="7">
        <v>5.2742500000000003</v>
      </c>
      <c r="G89" s="6">
        <v>80</v>
      </c>
      <c r="H89" s="6">
        <f t="shared" si="12"/>
        <v>420</v>
      </c>
      <c r="I89" s="6">
        <f>'Dividends per year'!B89</f>
        <v>7.629999999999999</v>
      </c>
      <c r="J89" s="8">
        <f t="shared" si="11"/>
        <v>1.5899182145095016E-3</v>
      </c>
      <c r="K89" s="7">
        <f t="shared" si="13"/>
        <v>5.6899999999999444</v>
      </c>
      <c r="L89" s="8">
        <f t="shared" si="10"/>
        <v>1.3485329667725088E-2</v>
      </c>
      <c r="M89" s="10" t="s">
        <v>459</v>
      </c>
      <c r="N89" s="71">
        <v>44215</v>
      </c>
    </row>
    <row r="90" spans="1:14" ht="15">
      <c r="A90" s="99" t="s">
        <v>179</v>
      </c>
      <c r="B90" s="144" t="s">
        <v>180</v>
      </c>
      <c r="C90" s="76" t="s">
        <v>15</v>
      </c>
      <c r="D90" s="76" t="s">
        <v>561</v>
      </c>
      <c r="E90" s="7">
        <v>40</v>
      </c>
      <c r="F90" s="7">
        <v>41.102727000000002</v>
      </c>
      <c r="G90" s="6">
        <v>11</v>
      </c>
      <c r="H90" s="6">
        <f t="shared" si="12"/>
        <v>440</v>
      </c>
      <c r="I90" s="6">
        <f>'Dividends per year'!B90</f>
        <v>0</v>
      </c>
      <c r="J90" s="8">
        <f t="shared" si="11"/>
        <v>1.6656286056766208E-3</v>
      </c>
      <c r="K90" s="7">
        <f t="shared" si="13"/>
        <v>-12.129997000000003</v>
      </c>
      <c r="L90" s="8">
        <f t="shared" si="10"/>
        <v>-2.6828560547819569E-2</v>
      </c>
      <c r="M90" s="10" t="s">
        <v>460</v>
      </c>
      <c r="N90" s="71">
        <v>44222</v>
      </c>
    </row>
    <row r="91" spans="1:14" ht="15">
      <c r="A91" s="100" t="s">
        <v>181</v>
      </c>
      <c r="B91" s="144" t="s">
        <v>182</v>
      </c>
      <c r="C91" s="76" t="s">
        <v>15</v>
      </c>
      <c r="D91" s="76" t="s">
        <v>561</v>
      </c>
      <c r="E91" s="7">
        <v>40</v>
      </c>
      <c r="F91" s="7">
        <v>177.38499999999999</v>
      </c>
      <c r="G91" s="6">
        <v>2</v>
      </c>
      <c r="H91" s="6">
        <f t="shared" si="12"/>
        <v>80</v>
      </c>
      <c r="I91" s="6">
        <f>'Dividends per year'!B91</f>
        <v>0</v>
      </c>
      <c r="J91" s="8">
        <f t="shared" si="11"/>
        <v>3.0284156466847651E-4</v>
      </c>
      <c r="K91" s="7">
        <f t="shared" si="13"/>
        <v>-274.77</v>
      </c>
      <c r="L91" s="8">
        <f t="shared" si="10"/>
        <v>-0.77450178989204277</v>
      </c>
      <c r="M91" s="10" t="s">
        <v>463</v>
      </c>
      <c r="N91" s="71">
        <v>44223</v>
      </c>
    </row>
    <row r="92" spans="1:14" ht="15">
      <c r="A92" s="100" t="s">
        <v>183</v>
      </c>
      <c r="B92" s="149" t="s">
        <v>184</v>
      </c>
      <c r="C92" s="76" t="s">
        <v>15</v>
      </c>
      <c r="D92" s="76" t="s">
        <v>561</v>
      </c>
      <c r="E92" s="7">
        <v>17.8</v>
      </c>
      <c r="F92" s="7">
        <v>18.069500000000001</v>
      </c>
      <c r="G92" s="6">
        <v>20</v>
      </c>
      <c r="H92" s="6">
        <f t="shared" si="12"/>
        <v>356</v>
      </c>
      <c r="I92" s="6">
        <f>'Dividends per year'!B92</f>
        <v>75.02</v>
      </c>
      <c r="J92" s="8">
        <f t="shared" si="11"/>
        <v>1.3476449627747205E-3</v>
      </c>
      <c r="K92" s="7">
        <f t="shared" si="13"/>
        <v>69.629999999999953</v>
      </c>
      <c r="L92" s="8">
        <f t="shared" si="10"/>
        <v>0.19267273582556221</v>
      </c>
      <c r="M92" s="10" t="s">
        <v>461</v>
      </c>
      <c r="N92" s="71">
        <v>44277</v>
      </c>
    </row>
    <row r="93" spans="1:14" ht="15">
      <c r="A93" s="100" t="s">
        <v>185</v>
      </c>
      <c r="B93" s="145" t="s">
        <v>186</v>
      </c>
      <c r="C93" s="76" t="s">
        <v>72</v>
      </c>
      <c r="D93" s="76" t="s">
        <v>561</v>
      </c>
      <c r="E93" s="7">
        <v>7</v>
      </c>
      <c r="F93" s="7">
        <v>17.789000000000001</v>
      </c>
      <c r="G93" s="6">
        <v>20</v>
      </c>
      <c r="H93" s="6">
        <f t="shared" si="12"/>
        <v>140</v>
      </c>
      <c r="I93" s="6">
        <f>'Dividends per year'!B93</f>
        <v>11.569999999999999</v>
      </c>
      <c r="J93" s="8">
        <f t="shared" si="11"/>
        <v>5.2997273816983393E-4</v>
      </c>
      <c r="K93" s="7">
        <f t="shared" si="13"/>
        <v>-204.21000000000004</v>
      </c>
      <c r="L93" s="8">
        <f t="shared" si="10"/>
        <v>-0.57397830119736915</v>
      </c>
      <c r="M93" s="10" t="s">
        <v>462</v>
      </c>
      <c r="N93" s="71">
        <v>44252</v>
      </c>
    </row>
    <row r="94" spans="1:14" ht="15">
      <c r="A94" s="100" t="s">
        <v>187</v>
      </c>
      <c r="B94" s="144" t="s">
        <v>188</v>
      </c>
      <c r="C94" s="76" t="s">
        <v>72</v>
      </c>
      <c r="D94" s="76" t="s">
        <v>561</v>
      </c>
      <c r="E94" s="7">
        <v>2.6</v>
      </c>
      <c r="F94" s="7">
        <v>2.7193999999999998</v>
      </c>
      <c r="G94" s="6">
        <v>150</v>
      </c>
      <c r="H94" s="6">
        <f t="shared" si="12"/>
        <v>390</v>
      </c>
      <c r="I94" s="6">
        <f>'Dividends per year'!B94</f>
        <v>0</v>
      </c>
      <c r="J94" s="8">
        <f t="shared" si="11"/>
        <v>1.476352627758823E-3</v>
      </c>
      <c r="K94" s="7">
        <f t="shared" si="13"/>
        <v>-17.909999999999968</v>
      </c>
      <c r="L94" s="8">
        <f t="shared" si="10"/>
        <v>-4.3906744134735498E-2</v>
      </c>
      <c r="M94" s="10" t="s">
        <v>464</v>
      </c>
      <c r="N94" s="71">
        <v>44252</v>
      </c>
    </row>
    <row r="95" spans="1:14" ht="15">
      <c r="A95" s="100" t="s">
        <v>189</v>
      </c>
      <c r="B95" s="144" t="s">
        <v>190</v>
      </c>
      <c r="C95" s="76" t="s">
        <v>15</v>
      </c>
      <c r="D95" s="76" t="s">
        <v>561</v>
      </c>
      <c r="E95" s="7">
        <v>14.6</v>
      </c>
      <c r="F95" s="7">
        <v>14.8</v>
      </c>
      <c r="G95" s="6">
        <v>30</v>
      </c>
      <c r="H95" s="6">
        <f t="shared" si="12"/>
        <v>438</v>
      </c>
      <c r="I95" s="6">
        <f>'Dividends per year'!B95</f>
        <v>33.909999999999997</v>
      </c>
      <c r="J95" s="8">
        <f t="shared" si="11"/>
        <v>1.6580575665599089E-3</v>
      </c>
      <c r="K95" s="7">
        <f t="shared" si="13"/>
        <v>27.909999999999997</v>
      </c>
      <c r="L95" s="8">
        <f t="shared" si="10"/>
        <v>6.2860360360360357E-2</v>
      </c>
      <c r="M95" s="10" t="s">
        <v>465</v>
      </c>
      <c r="N95" s="71">
        <v>44243</v>
      </c>
    </row>
    <row r="96" spans="1:14" ht="15">
      <c r="A96" s="100" t="s">
        <v>191</v>
      </c>
      <c r="B96" s="144" t="s">
        <v>192</v>
      </c>
      <c r="C96" s="76" t="s">
        <v>22</v>
      </c>
      <c r="D96" s="76" t="s">
        <v>561</v>
      </c>
      <c r="E96" s="7">
        <v>112</v>
      </c>
      <c r="F96" s="7">
        <v>118.9266667</v>
      </c>
      <c r="G96" s="6">
        <v>3</v>
      </c>
      <c r="H96" s="6">
        <f t="shared" si="12"/>
        <v>336</v>
      </c>
      <c r="I96" s="6">
        <f>'Dividends per year'!B96</f>
        <v>0</v>
      </c>
      <c r="J96" s="8">
        <f t="shared" si="11"/>
        <v>1.2719345716076013E-3</v>
      </c>
      <c r="K96" s="7">
        <f t="shared" si="13"/>
        <v>-20.780000099999995</v>
      </c>
      <c r="L96" s="8">
        <f t="shared" si="10"/>
        <v>-5.8243175329827035E-2</v>
      </c>
      <c r="M96" s="10" t="s">
        <v>466</v>
      </c>
      <c r="N96" s="71">
        <v>44274</v>
      </c>
    </row>
    <row r="97" spans="1:14" ht="15">
      <c r="A97" s="100" t="s">
        <v>193</v>
      </c>
      <c r="B97" s="146" t="s">
        <v>194</v>
      </c>
      <c r="C97" s="76" t="s">
        <v>72</v>
      </c>
      <c r="D97" s="76" t="s">
        <v>561</v>
      </c>
      <c r="E97" s="7">
        <v>1.83</v>
      </c>
      <c r="F97" s="7">
        <v>1.9048400000000001</v>
      </c>
      <c r="G97" s="6">
        <v>250</v>
      </c>
      <c r="H97" s="6">
        <f t="shared" si="12"/>
        <v>457.5</v>
      </c>
      <c r="I97" s="6">
        <f>'Dividends per year'!B97</f>
        <v>42.78</v>
      </c>
      <c r="J97" s="8">
        <f t="shared" si="11"/>
        <v>1.7318751979478501E-3</v>
      </c>
      <c r="K97" s="7">
        <f t="shared" si="13"/>
        <v>24.069999999999965</v>
      </c>
      <c r="L97" s="8">
        <f t="shared" si="10"/>
        <v>5.0544927657965921E-2</v>
      </c>
      <c r="M97" s="10" t="s">
        <v>467</v>
      </c>
      <c r="N97" s="71">
        <v>44319</v>
      </c>
    </row>
    <row r="98" spans="1:14" ht="15">
      <c r="A98" s="100" t="s">
        <v>195</v>
      </c>
      <c r="B98" s="145" t="s">
        <v>196</v>
      </c>
      <c r="C98" s="76" t="s">
        <v>72</v>
      </c>
      <c r="D98" s="76" t="s">
        <v>561</v>
      </c>
      <c r="E98" s="7">
        <v>1.07</v>
      </c>
      <c r="F98" s="7">
        <v>1.01793</v>
      </c>
      <c r="G98" s="6">
        <v>1000</v>
      </c>
      <c r="H98" s="6">
        <f t="shared" si="12"/>
        <v>1070</v>
      </c>
      <c r="I98" s="6">
        <f>'Dividends per year'!B98</f>
        <v>91.42</v>
      </c>
      <c r="J98" s="8">
        <f t="shared" si="11"/>
        <v>4.0505059274408735E-3</v>
      </c>
      <c r="K98" s="7">
        <f t="shared" si="13"/>
        <v>143.49000000000007</v>
      </c>
      <c r="L98" s="8">
        <f t="shared" si="10"/>
        <v>0.14096254162859934</v>
      </c>
      <c r="M98" s="10" t="s">
        <v>468</v>
      </c>
      <c r="N98" s="71">
        <v>44566</v>
      </c>
    </row>
    <row r="99" spans="1:14" ht="15">
      <c r="A99" s="99" t="s">
        <v>110</v>
      </c>
      <c r="B99" s="149" t="s">
        <v>111</v>
      </c>
      <c r="C99" s="76" t="s">
        <v>72</v>
      </c>
      <c r="D99" s="76" t="s">
        <v>561</v>
      </c>
      <c r="E99" s="6">
        <v>5.9</v>
      </c>
      <c r="F99" s="7">
        <v>7.6779999999999999</v>
      </c>
      <c r="G99" s="6">
        <v>100</v>
      </c>
      <c r="H99" s="6">
        <f>G99*E99</f>
        <v>590</v>
      </c>
      <c r="I99" s="6">
        <f>'Dividends per year'!B52</f>
        <v>94.28</v>
      </c>
      <c r="J99" s="8">
        <f t="shared" si="11"/>
        <v>2.2334565394300141E-3</v>
      </c>
      <c r="K99" s="7">
        <f>(H99-(G99*F99)+I99)</f>
        <v>-83.519999999999953</v>
      </c>
      <c r="L99" s="8">
        <f>((E99*G99)+I99)/(F99*G99)-100%</f>
        <v>-0.10877832768950246</v>
      </c>
      <c r="M99" s="10" t="s">
        <v>469</v>
      </c>
      <c r="N99" s="71">
        <v>43902</v>
      </c>
    </row>
    <row r="100" spans="1:14" ht="15">
      <c r="A100" s="99" t="s">
        <v>98</v>
      </c>
      <c r="B100" s="144" t="s">
        <v>99</v>
      </c>
      <c r="C100" s="76" t="s">
        <v>15</v>
      </c>
      <c r="D100" s="76" t="s">
        <v>561</v>
      </c>
      <c r="E100" s="6">
        <v>78</v>
      </c>
      <c r="F100" s="7">
        <v>144.80500000000001</v>
      </c>
      <c r="G100" s="6">
        <v>11</v>
      </c>
      <c r="H100" s="6">
        <f>G100*E100</f>
        <v>858</v>
      </c>
      <c r="I100" s="6">
        <f>'Dividends per year'!B46</f>
        <v>185.73000000000002</v>
      </c>
      <c r="J100" s="8">
        <f t="shared" si="11"/>
        <v>3.2479757810694107E-3</v>
      </c>
      <c r="K100" s="7">
        <f>(H100-(G100*F100)+I100)</f>
        <v>-549.125</v>
      </c>
      <c r="L100" s="8">
        <f>((E100*G100)+I100)/(F100*G100)-100%</f>
        <v>-0.34474261624567204</v>
      </c>
      <c r="M100" s="10" t="s">
        <v>470</v>
      </c>
      <c r="N100" s="71">
        <v>43591</v>
      </c>
    </row>
    <row r="101" spans="1:14" ht="15">
      <c r="A101" s="13"/>
      <c r="B101" s="152"/>
      <c r="C101" s="76"/>
      <c r="D101" s="76"/>
      <c r="E101" s="6"/>
      <c r="F101" s="7"/>
      <c r="G101" s="6"/>
      <c r="H101" s="6"/>
      <c r="I101" s="6"/>
      <c r="J101" s="8">
        <f t="shared" si="11"/>
        <v>0</v>
      </c>
      <c r="K101" s="7"/>
      <c r="L101" s="8"/>
      <c r="M101" s="10"/>
      <c r="N101" s="71"/>
    </row>
    <row r="102" spans="1:14" ht="15">
      <c r="A102" s="15"/>
      <c r="B102" s="152"/>
      <c r="C102" s="76"/>
      <c r="D102" s="76"/>
      <c r="F102" s="16"/>
      <c r="I102" s="6">
        <f>'Dividends per year'!B102</f>
        <v>0</v>
      </c>
      <c r="J102" s="8">
        <f t="shared" si="11"/>
        <v>0</v>
      </c>
      <c r="K102" s="16"/>
      <c r="L102" s="8"/>
      <c r="N102" s="71"/>
    </row>
    <row r="103" spans="1:14" ht="15">
      <c r="A103" s="15"/>
      <c r="B103" s="152"/>
      <c r="C103" s="76"/>
      <c r="D103" s="76"/>
      <c r="F103" s="16"/>
      <c r="I103" s="6">
        <f>'Dividends per year'!B103</f>
        <v>0</v>
      </c>
      <c r="J103" s="8">
        <f t="shared" si="11"/>
        <v>0</v>
      </c>
      <c r="K103" s="16"/>
      <c r="L103" s="8"/>
      <c r="N103" s="71"/>
    </row>
    <row r="104" spans="1:14" ht="15">
      <c r="A104" s="13" t="s">
        <v>197</v>
      </c>
      <c r="B104" s="152"/>
      <c r="C104" s="76"/>
      <c r="D104" s="76"/>
      <c r="F104" s="16"/>
      <c r="I104" s="6">
        <f>'Dividends per year'!B104</f>
        <v>0</v>
      </c>
      <c r="J104" s="8">
        <f t="shared" si="11"/>
        <v>0</v>
      </c>
      <c r="K104" s="16"/>
      <c r="L104" s="8"/>
      <c r="N104" s="71"/>
    </row>
    <row r="105" spans="1:14" ht="15">
      <c r="A105" s="13" t="s">
        <v>198</v>
      </c>
      <c r="B105" s="152" t="s">
        <v>199</v>
      </c>
      <c r="C105" s="76" t="s">
        <v>38</v>
      </c>
      <c r="D105" s="76"/>
      <c r="E105" s="6">
        <v>51.15</v>
      </c>
      <c r="F105" s="7">
        <v>55.33</v>
      </c>
      <c r="G105" s="6">
        <v>1.2</v>
      </c>
      <c r="H105" s="6">
        <f>G105*E105</f>
        <v>61.379999999999995</v>
      </c>
      <c r="I105" s="6">
        <f>'Dividends per year'!B105</f>
        <v>0.55000000000000004</v>
      </c>
      <c r="J105" s="8">
        <f t="shared" si="11"/>
        <v>2.3235519049188857E-4</v>
      </c>
      <c r="K105" s="7">
        <f t="shared" ref="K105:K110" si="14">(H105-(G105*F105)+I105)</f>
        <v>-4.4660000000000055</v>
      </c>
      <c r="L105" s="8">
        <f t="shared" ref="L105:L112" si="15">((E105*G105)+I105)/(F105*G105)-100%</f>
        <v>-6.7263088137839766E-2</v>
      </c>
      <c r="M105" s="10" t="s">
        <v>200</v>
      </c>
      <c r="N105" s="71">
        <v>43564</v>
      </c>
    </row>
    <row r="106" spans="1:14" ht="15">
      <c r="A106" s="13" t="s">
        <v>538</v>
      </c>
      <c r="B106" s="152" t="s">
        <v>201</v>
      </c>
      <c r="C106" s="76" t="s">
        <v>22</v>
      </c>
      <c r="D106" s="76"/>
      <c r="E106" s="6">
        <v>4.24</v>
      </c>
      <c r="F106" s="7">
        <v>7.3295000000000003</v>
      </c>
      <c r="G106" s="6">
        <v>15.96</v>
      </c>
      <c r="H106" s="6">
        <f>G106*F106</f>
        <v>116.97882000000001</v>
      </c>
      <c r="I106" s="6">
        <f>'Dividends per year'!B106</f>
        <v>0.35</v>
      </c>
      <c r="J106" s="8">
        <f t="shared" si="11"/>
        <v>4.4282561102340097E-4</v>
      </c>
      <c r="K106" s="7">
        <f t="shared" si="14"/>
        <v>0.35</v>
      </c>
      <c r="L106" s="8">
        <f t="shared" si="15"/>
        <v>-0.41852379772680226</v>
      </c>
      <c r="M106" s="10" t="s">
        <v>202</v>
      </c>
      <c r="N106" s="71">
        <v>44440</v>
      </c>
    </row>
    <row r="107" spans="1:14" ht="15">
      <c r="A107" s="13" t="s">
        <v>203</v>
      </c>
      <c r="B107" s="152" t="s">
        <v>204</v>
      </c>
      <c r="C107" s="76" t="s">
        <v>15</v>
      </c>
      <c r="D107" s="76"/>
      <c r="E107" s="6">
        <v>16.37</v>
      </c>
      <c r="F107" s="7">
        <v>16</v>
      </c>
      <c r="G107" s="6">
        <v>2</v>
      </c>
      <c r="H107" s="6">
        <f t="shared" ref="H107:H110" si="16">G107*E107</f>
        <v>32.74</v>
      </c>
      <c r="I107" s="6">
        <f>'Dividends per year'!B107</f>
        <v>1.8000000000000003</v>
      </c>
      <c r="J107" s="8">
        <f t="shared" si="11"/>
        <v>1.2393791034057402E-4</v>
      </c>
      <c r="K107" s="7">
        <f t="shared" si="14"/>
        <v>2.5400000000000023</v>
      </c>
      <c r="L107" s="8">
        <f t="shared" si="15"/>
        <v>7.9374999999999973E-2</v>
      </c>
      <c r="M107" s="10" t="s">
        <v>205</v>
      </c>
      <c r="N107" s="71">
        <v>44657</v>
      </c>
    </row>
    <row r="108" spans="1:14" ht="15">
      <c r="A108" s="13" t="s">
        <v>206</v>
      </c>
      <c r="B108" s="152" t="s">
        <v>207</v>
      </c>
      <c r="C108" s="76" t="s">
        <v>15</v>
      </c>
      <c r="D108" s="76"/>
      <c r="E108" s="6">
        <v>14.66</v>
      </c>
      <c r="F108" s="7">
        <v>100.21</v>
      </c>
      <c r="G108" s="6">
        <v>1</v>
      </c>
      <c r="H108" s="6">
        <f t="shared" si="16"/>
        <v>14.66</v>
      </c>
      <c r="I108" s="6">
        <f>'Dividends per year'!B108</f>
        <v>0.98</v>
      </c>
      <c r="J108" s="8">
        <f t="shared" si="11"/>
        <v>5.5495716725498317E-5</v>
      </c>
      <c r="K108" s="7">
        <f t="shared" si="14"/>
        <v>-84.57</v>
      </c>
      <c r="L108" s="8">
        <f t="shared" si="15"/>
        <v>-0.84392775172138501</v>
      </c>
      <c r="M108" s="10" t="s">
        <v>208</v>
      </c>
      <c r="N108" s="71">
        <v>43831</v>
      </c>
    </row>
    <row r="109" spans="1:14" ht="15">
      <c r="A109" s="13" t="s">
        <v>209</v>
      </c>
      <c r="B109" s="152" t="s">
        <v>210</v>
      </c>
      <c r="C109" s="76" t="s">
        <v>15</v>
      </c>
      <c r="D109" s="76"/>
      <c r="E109" s="6">
        <v>25.68</v>
      </c>
      <c r="F109" s="7">
        <v>46.11</v>
      </c>
      <c r="G109" s="6">
        <v>1</v>
      </c>
      <c r="H109" s="6">
        <f t="shared" si="16"/>
        <v>25.68</v>
      </c>
      <c r="I109" s="6">
        <f>'Dividends per year'!B109</f>
        <v>5.44</v>
      </c>
      <c r="J109" s="8">
        <f t="shared" si="11"/>
        <v>9.7212142258580963E-5</v>
      </c>
      <c r="K109" s="7">
        <f t="shared" si="14"/>
        <v>-14.989999999999998</v>
      </c>
      <c r="L109" s="8">
        <f t="shared" si="15"/>
        <v>-0.32509217089568421</v>
      </c>
      <c r="M109" s="10" t="s">
        <v>211</v>
      </c>
      <c r="N109" s="71">
        <v>45201</v>
      </c>
    </row>
    <row r="110" spans="1:14" ht="15">
      <c r="A110" s="13" t="s">
        <v>212</v>
      </c>
      <c r="B110" s="152" t="s">
        <v>213</v>
      </c>
      <c r="C110" s="76" t="s">
        <v>15</v>
      </c>
      <c r="D110" s="76"/>
      <c r="E110" s="6">
        <v>97</v>
      </c>
      <c r="F110" s="7">
        <v>114.8</v>
      </c>
      <c r="G110" s="6">
        <v>1</v>
      </c>
      <c r="H110" s="6">
        <f t="shared" si="16"/>
        <v>97</v>
      </c>
      <c r="I110" s="6">
        <f>'Dividends per year'!B110</f>
        <v>45.57</v>
      </c>
      <c r="J110" s="8">
        <f t="shared" si="11"/>
        <v>3.6719539716052778E-4</v>
      </c>
      <c r="K110" s="7">
        <f t="shared" si="14"/>
        <v>27.770000000000003</v>
      </c>
      <c r="L110" s="8">
        <f t="shared" si="15"/>
        <v>0.24189895470383282</v>
      </c>
      <c r="M110" s="10" t="s">
        <v>214</v>
      </c>
      <c r="N110" s="71">
        <v>45202</v>
      </c>
    </row>
    <row r="111" spans="1:14" ht="15">
      <c r="A111" s="13" t="s">
        <v>282</v>
      </c>
      <c r="B111" s="152" t="s">
        <v>284</v>
      </c>
      <c r="C111" s="76" t="s">
        <v>15</v>
      </c>
      <c r="D111" s="76"/>
      <c r="E111" s="6">
        <v>64</v>
      </c>
      <c r="F111" s="7">
        <v>63</v>
      </c>
      <c r="G111" s="6">
        <v>7</v>
      </c>
      <c r="H111" s="6">
        <f>G111*E111</f>
        <v>448</v>
      </c>
      <c r="I111" s="6">
        <f>'Dividends per year'!B111</f>
        <v>7.0000000000000007E-2</v>
      </c>
      <c r="J111" s="8">
        <f t="shared" si="11"/>
        <v>1.6959127621434685E-3</v>
      </c>
      <c r="K111" s="7">
        <f>(H111-(G111*F111)+I111)</f>
        <v>7.07</v>
      </c>
      <c r="L111" s="8">
        <f t="shared" si="15"/>
        <v>1.6031746031746064E-2</v>
      </c>
      <c r="M111" s="10" t="s">
        <v>283</v>
      </c>
      <c r="N111" s="71">
        <v>45392</v>
      </c>
    </row>
    <row r="112" spans="1:14" ht="15">
      <c r="A112" s="13" t="s">
        <v>396</v>
      </c>
      <c r="B112" s="153" t="s">
        <v>505</v>
      </c>
      <c r="C112" s="77" t="s">
        <v>15</v>
      </c>
      <c r="E112" s="6">
        <v>12.5</v>
      </c>
      <c r="F112" s="7">
        <v>1</v>
      </c>
      <c r="G112" s="6">
        <v>2</v>
      </c>
      <c r="H112" s="6">
        <f>G112*E112</f>
        <v>25</v>
      </c>
      <c r="I112" s="6">
        <v>0</v>
      </c>
      <c r="J112" s="8">
        <f t="shared" si="11"/>
        <v>9.4637988958898913E-5</v>
      </c>
      <c r="K112" s="7">
        <f>(H112-(G112*F112)+I112)</f>
        <v>23</v>
      </c>
      <c r="L112" s="8">
        <f t="shared" si="15"/>
        <v>11.5</v>
      </c>
      <c r="M112" s="10" t="s">
        <v>397</v>
      </c>
      <c r="N112" s="71">
        <v>45449</v>
      </c>
    </row>
    <row r="113" spans="1:14" ht="15">
      <c r="A113" s="13"/>
      <c r="B113" s="152"/>
      <c r="C113" s="76"/>
      <c r="D113" s="76"/>
      <c r="E113" s="6"/>
      <c r="F113" s="7"/>
      <c r="H113" s="6"/>
      <c r="I113" s="6"/>
      <c r="J113" s="8">
        <f t="shared" si="11"/>
        <v>0</v>
      </c>
      <c r="K113" s="7"/>
      <c r="L113" s="8"/>
      <c r="M113" s="10"/>
      <c r="N113" s="71"/>
    </row>
    <row r="114" spans="1:14" ht="15">
      <c r="A114" s="13"/>
      <c r="B114" s="152"/>
      <c r="C114" s="76"/>
      <c r="D114" s="76"/>
      <c r="E114" s="6"/>
      <c r="F114" s="7"/>
      <c r="H114" s="6"/>
      <c r="I114" s="6"/>
      <c r="J114" s="8">
        <f t="shared" si="11"/>
        <v>0</v>
      </c>
      <c r="K114" s="7"/>
      <c r="L114" s="8"/>
      <c r="M114" s="10"/>
      <c r="N114" s="71"/>
    </row>
    <row r="115" spans="1:14" ht="15">
      <c r="A115" s="15"/>
      <c r="B115" s="152"/>
      <c r="C115" s="76"/>
      <c r="D115" s="76"/>
      <c r="E115" s="6"/>
      <c r="F115" s="7"/>
      <c r="H115" s="6"/>
      <c r="I115" s="6"/>
      <c r="J115" s="8">
        <f t="shared" si="11"/>
        <v>0</v>
      </c>
      <c r="K115" s="7"/>
      <c r="L115" s="8"/>
      <c r="N115" s="71"/>
    </row>
    <row r="116" spans="1:14" ht="15">
      <c r="A116" s="15"/>
      <c r="B116" s="152"/>
      <c r="C116" s="76"/>
      <c r="D116" s="76"/>
      <c r="F116" s="7"/>
      <c r="H116" s="6"/>
      <c r="I116" s="6"/>
      <c r="J116" s="8">
        <f t="shared" si="11"/>
        <v>0</v>
      </c>
      <c r="K116" s="7"/>
      <c r="L116" s="8"/>
      <c r="N116" s="71"/>
    </row>
    <row r="117" spans="1:14" ht="15">
      <c r="A117" s="15"/>
      <c r="B117" s="152"/>
      <c r="C117" s="76"/>
      <c r="D117" s="76"/>
      <c r="F117" s="7"/>
      <c r="J117" s="8">
        <f t="shared" si="11"/>
        <v>0</v>
      </c>
      <c r="K117" s="16"/>
      <c r="L117" s="9"/>
      <c r="N117" s="71"/>
    </row>
    <row r="118" spans="1:14" ht="15">
      <c r="A118" s="15"/>
      <c r="B118" s="152"/>
      <c r="C118" s="76"/>
      <c r="D118" s="76"/>
      <c r="F118" s="16"/>
      <c r="J118" s="8">
        <f t="shared" si="11"/>
        <v>0</v>
      </c>
      <c r="K118" s="16"/>
      <c r="L118" s="9"/>
      <c r="N118" s="71"/>
    </row>
    <row r="119" spans="1:14" ht="15">
      <c r="A119" s="15"/>
      <c r="B119" s="152"/>
      <c r="C119" s="76"/>
      <c r="D119" s="76"/>
      <c r="F119" s="16"/>
      <c r="J119" s="8">
        <f t="shared" si="11"/>
        <v>0</v>
      </c>
      <c r="K119" s="16"/>
      <c r="L119" s="9"/>
      <c r="N119" s="71"/>
    </row>
    <row r="120" spans="1:14" ht="15.75" customHeight="1">
      <c r="A120" s="15"/>
      <c r="B120" s="152"/>
      <c r="C120" s="76"/>
      <c r="D120" s="76"/>
      <c r="J120" s="8">
        <f t="shared" si="11"/>
        <v>0</v>
      </c>
      <c r="N120" s="71"/>
    </row>
    <row r="121" spans="1:14" ht="15.75" customHeight="1">
      <c r="B121" s="152"/>
      <c r="C121" s="76"/>
      <c r="D121" s="76"/>
      <c r="N121" s="71"/>
    </row>
    <row r="122" spans="1:14" ht="15.75" customHeight="1">
      <c r="B122" s="152"/>
      <c r="C122" s="76"/>
      <c r="D122" s="76"/>
      <c r="N122" s="71"/>
    </row>
    <row r="123" spans="1:14" ht="15.75" customHeight="1">
      <c r="N123" s="71"/>
    </row>
    <row r="124" spans="1:14" ht="15.75" customHeight="1">
      <c r="N124" s="71"/>
    </row>
    <row r="125" spans="1:14" ht="15.75" customHeight="1">
      <c r="N125" s="71"/>
    </row>
    <row r="126" spans="1:14" ht="15.75" customHeight="1">
      <c r="N126" s="71"/>
    </row>
    <row r="127" spans="1:14" ht="15.75" customHeight="1">
      <c r="N127" s="71"/>
    </row>
    <row r="128" spans="1:14" ht="15.75" customHeight="1">
      <c r="N128" s="71"/>
    </row>
    <row r="129" spans="1:14" ht="15.75" customHeight="1">
      <c r="N129" s="71"/>
    </row>
    <row r="130" spans="1:14" ht="15.75" customHeight="1">
      <c r="N130" s="71"/>
    </row>
    <row r="131" spans="1:14" ht="12.75">
      <c r="A131" s="15"/>
      <c r="B131" s="154"/>
      <c r="C131" s="78"/>
      <c r="D131" s="78"/>
      <c r="F131" s="16"/>
      <c r="K131" s="16"/>
      <c r="L131" s="9"/>
      <c r="N131" s="71"/>
    </row>
    <row r="132" spans="1:14" ht="12.75">
      <c r="A132" s="15"/>
      <c r="B132" s="154"/>
      <c r="C132" s="78"/>
      <c r="D132" s="78"/>
      <c r="F132" s="16"/>
      <c r="K132" s="16"/>
      <c r="L132" s="9"/>
      <c r="N132" s="71"/>
    </row>
    <row r="133" spans="1:14" ht="12.75">
      <c r="A133" s="15"/>
      <c r="B133" s="154"/>
      <c r="C133" s="78"/>
      <c r="D133" s="78"/>
      <c r="F133" s="16"/>
      <c r="K133" s="16"/>
      <c r="L133" s="9"/>
      <c r="N133" s="71"/>
    </row>
    <row r="134" spans="1:14" ht="12.75">
      <c r="A134" s="15"/>
      <c r="B134" s="154"/>
      <c r="C134" s="78"/>
      <c r="D134" s="78"/>
      <c r="F134" s="16"/>
      <c r="K134" s="16"/>
      <c r="L134" s="9"/>
      <c r="N134" s="71"/>
    </row>
    <row r="135" spans="1:14" ht="12.75">
      <c r="A135" s="15"/>
      <c r="B135" s="154"/>
      <c r="C135" s="78"/>
      <c r="D135" s="78"/>
      <c r="F135" s="16"/>
      <c r="K135" s="16"/>
      <c r="L135" s="9"/>
      <c r="N135" s="71"/>
    </row>
    <row r="136" spans="1:14" ht="12.75">
      <c r="A136" s="15"/>
      <c r="B136" s="154"/>
      <c r="C136" s="78"/>
      <c r="D136" s="78"/>
      <c r="F136" s="16"/>
      <c r="K136" s="16"/>
      <c r="L136" s="9"/>
      <c r="N136" s="71"/>
    </row>
    <row r="137" spans="1:14" ht="12.75">
      <c r="A137" s="15"/>
      <c r="B137" s="154"/>
      <c r="C137" s="78"/>
      <c r="D137" s="78"/>
      <c r="F137" s="16"/>
      <c r="K137" s="16"/>
      <c r="L137" s="9"/>
      <c r="N137" s="71"/>
    </row>
    <row r="138" spans="1:14" ht="12.75">
      <c r="A138" s="15"/>
      <c r="B138" s="154"/>
      <c r="C138" s="78"/>
      <c r="D138" s="78"/>
      <c r="F138" s="16"/>
      <c r="K138" s="16"/>
      <c r="L138" s="9"/>
      <c r="N138" s="71"/>
    </row>
    <row r="139" spans="1:14" ht="12.75">
      <c r="A139" s="15"/>
      <c r="B139" s="154"/>
      <c r="C139" s="78"/>
      <c r="D139" s="78"/>
      <c r="F139" s="16"/>
      <c r="K139" s="16"/>
      <c r="L139" s="9"/>
      <c r="N139" s="71"/>
    </row>
    <row r="140" spans="1:14" ht="12.75">
      <c r="A140" s="15"/>
      <c r="B140" s="154"/>
      <c r="C140" s="78"/>
      <c r="D140" s="78"/>
      <c r="F140" s="16"/>
      <c r="K140" s="16"/>
      <c r="L140" s="9"/>
      <c r="N140" s="71"/>
    </row>
    <row r="141" spans="1:14" ht="12.75">
      <c r="A141" s="15"/>
      <c r="B141" s="154"/>
      <c r="C141" s="78"/>
      <c r="D141" s="78"/>
      <c r="F141" s="16"/>
      <c r="K141" s="16"/>
      <c r="L141" s="9"/>
      <c r="N141" s="71"/>
    </row>
    <row r="142" spans="1:14" ht="12.75">
      <c r="A142" s="15"/>
      <c r="B142" s="154"/>
      <c r="C142" s="78"/>
      <c r="D142" s="78"/>
      <c r="F142" s="16"/>
      <c r="K142" s="16"/>
      <c r="L142" s="9"/>
      <c r="N142" s="71"/>
    </row>
    <row r="143" spans="1:14" ht="12.75">
      <c r="A143" s="15"/>
      <c r="B143" s="154"/>
      <c r="C143" s="78"/>
      <c r="D143" s="78"/>
      <c r="F143" s="16"/>
      <c r="K143" s="16"/>
      <c r="L143" s="9"/>
      <c r="N143" s="71"/>
    </row>
    <row r="144" spans="1:14" ht="12.75">
      <c r="A144" s="15"/>
      <c r="B144" s="154"/>
      <c r="C144" s="78"/>
      <c r="D144" s="78"/>
      <c r="F144" s="16"/>
      <c r="K144" s="16"/>
      <c r="L144" s="9"/>
      <c r="N144" s="71"/>
    </row>
    <row r="145" spans="1:14" ht="12.75">
      <c r="A145" s="15"/>
      <c r="B145" s="154"/>
      <c r="C145" s="78"/>
      <c r="D145" s="78"/>
      <c r="F145" s="16"/>
      <c r="K145" s="16"/>
      <c r="L145" s="9"/>
      <c r="N145" s="71"/>
    </row>
    <row r="146" spans="1:14" ht="12.75">
      <c r="A146" s="15"/>
      <c r="B146" s="154"/>
      <c r="C146" s="78"/>
      <c r="D146" s="78"/>
      <c r="F146" s="16"/>
      <c r="K146" s="16"/>
      <c r="L146" s="9"/>
      <c r="N146" s="71"/>
    </row>
    <row r="147" spans="1:14" ht="12.75">
      <c r="A147" s="15"/>
      <c r="B147" s="154"/>
      <c r="C147" s="78"/>
      <c r="D147" s="78"/>
      <c r="F147" s="16"/>
      <c r="K147" s="16"/>
      <c r="L147" s="9"/>
      <c r="N147" s="71"/>
    </row>
    <row r="148" spans="1:14" ht="12.75">
      <c r="A148" s="15"/>
      <c r="B148" s="154"/>
      <c r="C148" s="78"/>
      <c r="D148" s="78"/>
      <c r="F148" s="16"/>
      <c r="K148" s="16"/>
      <c r="L148" s="9"/>
      <c r="N148" s="71"/>
    </row>
    <row r="149" spans="1:14" ht="12.75">
      <c r="A149" s="15"/>
      <c r="B149" s="154"/>
      <c r="C149" s="78"/>
      <c r="D149" s="78"/>
      <c r="F149" s="16"/>
      <c r="K149" s="16"/>
      <c r="L149" s="9"/>
      <c r="N149" s="71"/>
    </row>
    <row r="150" spans="1:14" ht="12.75">
      <c r="A150" s="15"/>
      <c r="B150" s="154"/>
      <c r="C150" s="78"/>
      <c r="D150" s="78"/>
      <c r="F150" s="16"/>
      <c r="K150" s="16"/>
      <c r="L150" s="9"/>
      <c r="N150" s="71"/>
    </row>
    <row r="151" spans="1:14" ht="12.75">
      <c r="A151" s="15"/>
      <c r="B151" s="154"/>
      <c r="C151" s="78"/>
      <c r="D151" s="78"/>
      <c r="F151" s="16"/>
      <c r="K151" s="16"/>
      <c r="L151" s="9"/>
      <c r="N151" s="71"/>
    </row>
    <row r="152" spans="1:14" ht="12.75">
      <c r="A152" s="15"/>
      <c r="B152" s="154"/>
      <c r="C152" s="78"/>
      <c r="D152" s="78"/>
      <c r="F152" s="16"/>
      <c r="K152" s="16"/>
      <c r="L152" s="9"/>
      <c r="N152" s="71"/>
    </row>
    <row r="153" spans="1:14" ht="12.75">
      <c r="A153" s="15"/>
      <c r="B153" s="154"/>
      <c r="C153" s="78"/>
      <c r="D153" s="78"/>
      <c r="F153" s="16"/>
      <c r="K153" s="16"/>
      <c r="L153" s="9"/>
      <c r="N153" s="71"/>
    </row>
    <row r="154" spans="1:14" ht="12.75">
      <c r="A154" s="15"/>
      <c r="B154" s="154"/>
      <c r="C154" s="78"/>
      <c r="D154" s="78"/>
      <c r="F154" s="16"/>
      <c r="K154" s="16"/>
      <c r="L154" s="9"/>
      <c r="N154" s="71"/>
    </row>
    <row r="155" spans="1:14" ht="12.75">
      <c r="A155" s="15"/>
      <c r="B155" s="154"/>
      <c r="C155" s="78"/>
      <c r="D155" s="78"/>
      <c r="F155" s="16"/>
      <c r="K155" s="16"/>
      <c r="L155" s="9"/>
      <c r="N155" s="71"/>
    </row>
    <row r="156" spans="1:14" ht="12.75">
      <c r="A156" s="15"/>
      <c r="B156" s="154"/>
      <c r="C156" s="78"/>
      <c r="D156" s="78"/>
      <c r="F156" s="16"/>
      <c r="K156" s="16"/>
      <c r="L156" s="9"/>
      <c r="N156" s="71"/>
    </row>
    <row r="157" spans="1:14" ht="12.75">
      <c r="A157" s="15"/>
      <c r="B157" s="154"/>
      <c r="C157" s="78"/>
      <c r="D157" s="78"/>
      <c r="F157" s="16"/>
      <c r="K157" s="16"/>
      <c r="L157" s="9"/>
      <c r="N157" s="71"/>
    </row>
    <row r="158" spans="1:14" ht="12.75">
      <c r="A158" s="15"/>
      <c r="B158" s="154"/>
      <c r="C158" s="78"/>
      <c r="D158" s="78"/>
      <c r="F158" s="16"/>
      <c r="K158" s="16"/>
      <c r="L158" s="9"/>
      <c r="N158" s="71"/>
    </row>
    <row r="159" spans="1:14" ht="12.75">
      <c r="A159" s="15"/>
      <c r="B159" s="154"/>
      <c r="C159" s="78"/>
      <c r="D159" s="78"/>
      <c r="F159" s="16"/>
      <c r="K159" s="16"/>
      <c r="L159" s="9"/>
      <c r="N159" s="71"/>
    </row>
    <row r="160" spans="1:14" ht="12.75">
      <c r="A160" s="15"/>
      <c r="B160" s="154"/>
      <c r="C160" s="78"/>
      <c r="D160" s="78"/>
      <c r="F160" s="16"/>
      <c r="K160" s="16"/>
      <c r="L160" s="9"/>
      <c r="N160" s="71"/>
    </row>
    <row r="161" spans="1:14" ht="12.75">
      <c r="A161" s="15"/>
      <c r="B161" s="154"/>
      <c r="C161" s="78"/>
      <c r="D161" s="78"/>
      <c r="F161" s="16"/>
      <c r="K161" s="16"/>
      <c r="L161" s="9"/>
      <c r="N161" s="71"/>
    </row>
    <row r="162" spans="1:14" ht="12.75">
      <c r="A162" s="15"/>
      <c r="B162" s="154"/>
      <c r="C162" s="78"/>
      <c r="D162" s="78"/>
      <c r="F162" s="16"/>
      <c r="K162" s="16"/>
      <c r="L162" s="9"/>
      <c r="N162" s="71"/>
    </row>
    <row r="163" spans="1:14" ht="12.75">
      <c r="A163" s="15"/>
      <c r="B163" s="154"/>
      <c r="C163" s="78"/>
      <c r="D163" s="78"/>
      <c r="F163" s="16"/>
      <c r="K163" s="16"/>
      <c r="L163" s="9"/>
      <c r="N163" s="71"/>
    </row>
    <row r="164" spans="1:14" ht="12.75">
      <c r="A164" s="15"/>
      <c r="B164" s="154"/>
      <c r="C164" s="78"/>
      <c r="D164" s="78"/>
      <c r="F164" s="16"/>
      <c r="K164" s="16"/>
      <c r="L164" s="9"/>
      <c r="N164" s="71"/>
    </row>
    <row r="165" spans="1:14" ht="12.75">
      <c r="A165" s="15"/>
      <c r="B165" s="154"/>
      <c r="C165" s="78"/>
      <c r="D165" s="78"/>
      <c r="F165" s="16"/>
      <c r="K165" s="16"/>
      <c r="L165" s="9"/>
      <c r="N165" s="71"/>
    </row>
    <row r="166" spans="1:14" ht="12.75">
      <c r="A166" s="15"/>
      <c r="B166" s="154"/>
      <c r="C166" s="78"/>
      <c r="D166" s="78"/>
      <c r="F166" s="16"/>
      <c r="K166" s="16"/>
      <c r="L166" s="9"/>
      <c r="N166" s="71"/>
    </row>
    <row r="167" spans="1:14" ht="12.75">
      <c r="A167" s="15"/>
      <c r="B167" s="154"/>
      <c r="C167" s="78"/>
      <c r="D167" s="78"/>
      <c r="F167" s="16"/>
      <c r="K167" s="16"/>
      <c r="L167" s="9"/>
      <c r="N167" s="71"/>
    </row>
    <row r="168" spans="1:14" ht="12.75">
      <c r="A168" s="15"/>
      <c r="B168" s="154"/>
      <c r="C168" s="78"/>
      <c r="D168" s="78"/>
      <c r="F168" s="16"/>
      <c r="K168" s="16"/>
      <c r="L168" s="9"/>
      <c r="N168" s="71"/>
    </row>
    <row r="169" spans="1:14" ht="12.75">
      <c r="A169" s="15"/>
      <c r="B169" s="154"/>
      <c r="C169" s="78"/>
      <c r="D169" s="78"/>
      <c r="F169" s="16"/>
      <c r="K169" s="16"/>
      <c r="L169" s="9"/>
      <c r="N169" s="71"/>
    </row>
    <row r="170" spans="1:14" ht="12.75">
      <c r="A170" s="15"/>
      <c r="B170" s="154"/>
      <c r="C170" s="78"/>
      <c r="D170" s="78"/>
      <c r="F170" s="16"/>
      <c r="K170" s="16"/>
      <c r="L170" s="9"/>
      <c r="N170" s="71"/>
    </row>
    <row r="171" spans="1:14" ht="12.75">
      <c r="A171" s="15"/>
      <c r="B171" s="154"/>
      <c r="C171" s="78"/>
      <c r="D171" s="78"/>
      <c r="F171" s="16"/>
      <c r="K171" s="16"/>
      <c r="L171" s="9"/>
      <c r="N171" s="71"/>
    </row>
    <row r="172" spans="1:14" ht="12.75">
      <c r="A172" s="15"/>
      <c r="B172" s="154"/>
      <c r="C172" s="78"/>
      <c r="D172" s="78"/>
      <c r="F172" s="16"/>
      <c r="K172" s="16"/>
      <c r="L172" s="9"/>
      <c r="N172" s="71"/>
    </row>
    <row r="173" spans="1:14" ht="12.75">
      <c r="A173" s="15"/>
      <c r="B173" s="154"/>
      <c r="C173" s="78"/>
      <c r="D173" s="78"/>
      <c r="F173" s="16"/>
      <c r="K173" s="16"/>
      <c r="L173" s="9"/>
      <c r="N173" s="71"/>
    </row>
    <row r="174" spans="1:14" ht="12.75">
      <c r="A174" s="15"/>
      <c r="B174" s="154"/>
      <c r="C174" s="78"/>
      <c r="D174" s="78"/>
      <c r="F174" s="16"/>
      <c r="K174" s="16"/>
      <c r="L174" s="9"/>
      <c r="N174" s="71"/>
    </row>
    <row r="175" spans="1:14" ht="12.75">
      <c r="A175" s="15"/>
      <c r="B175" s="154"/>
      <c r="C175" s="78"/>
      <c r="D175" s="78"/>
      <c r="F175" s="16"/>
      <c r="K175" s="16"/>
      <c r="L175" s="9"/>
      <c r="N175" s="71"/>
    </row>
    <row r="176" spans="1:14" ht="12.75">
      <c r="A176" s="15"/>
      <c r="B176" s="154"/>
      <c r="C176" s="78"/>
      <c r="D176" s="78"/>
      <c r="F176" s="16"/>
      <c r="K176" s="16"/>
      <c r="L176" s="9"/>
      <c r="N176" s="71"/>
    </row>
    <row r="177" spans="1:14" ht="12.75">
      <c r="A177" s="15"/>
      <c r="B177" s="154"/>
      <c r="C177" s="78"/>
      <c r="D177" s="78"/>
      <c r="F177" s="16"/>
      <c r="K177" s="16"/>
      <c r="L177" s="9"/>
      <c r="N177" s="71"/>
    </row>
    <row r="178" spans="1:14" ht="12.75">
      <c r="A178" s="15"/>
      <c r="B178" s="154"/>
      <c r="C178" s="78"/>
      <c r="D178" s="78"/>
      <c r="F178" s="16"/>
      <c r="K178" s="16"/>
      <c r="L178" s="9"/>
      <c r="N178" s="71"/>
    </row>
    <row r="179" spans="1:14" ht="12.75">
      <c r="A179" s="15"/>
      <c r="B179" s="154"/>
      <c r="C179" s="78"/>
      <c r="D179" s="78"/>
      <c r="F179" s="16"/>
      <c r="K179" s="16"/>
      <c r="L179" s="9"/>
      <c r="N179" s="71"/>
    </row>
    <row r="180" spans="1:14" ht="12.75">
      <c r="A180" s="15"/>
      <c r="B180" s="154"/>
      <c r="C180" s="78"/>
      <c r="D180" s="78"/>
      <c r="F180" s="16"/>
      <c r="K180" s="16"/>
      <c r="L180" s="9"/>
      <c r="N180" s="71"/>
    </row>
    <row r="181" spans="1:14" ht="12.75">
      <c r="A181" s="15"/>
      <c r="B181" s="154"/>
      <c r="C181" s="78"/>
      <c r="D181" s="78"/>
      <c r="F181" s="16"/>
      <c r="K181" s="16"/>
      <c r="L181" s="9"/>
      <c r="N181" s="71"/>
    </row>
    <row r="182" spans="1:14" ht="12.75">
      <c r="A182" s="15"/>
      <c r="B182" s="154"/>
      <c r="C182" s="78"/>
      <c r="D182" s="78"/>
      <c r="F182" s="16"/>
      <c r="K182" s="16"/>
      <c r="L182" s="9"/>
      <c r="N182" s="71"/>
    </row>
    <row r="183" spans="1:14" ht="12.75">
      <c r="A183" s="15"/>
      <c r="B183" s="154"/>
      <c r="C183" s="78"/>
      <c r="D183" s="78"/>
      <c r="F183" s="16"/>
      <c r="K183" s="16"/>
      <c r="L183" s="9"/>
      <c r="N183" s="71"/>
    </row>
    <row r="184" spans="1:14" ht="12.75">
      <c r="A184" s="15"/>
      <c r="B184" s="154"/>
      <c r="C184" s="78"/>
      <c r="D184" s="78"/>
      <c r="F184" s="16"/>
      <c r="K184" s="16"/>
      <c r="L184" s="9"/>
      <c r="N184" s="71"/>
    </row>
    <row r="185" spans="1:14" ht="12.75">
      <c r="A185" s="15"/>
      <c r="B185" s="154"/>
      <c r="C185" s="78"/>
      <c r="D185" s="78"/>
      <c r="F185" s="16"/>
      <c r="K185" s="16"/>
      <c r="L185" s="9"/>
      <c r="N185" s="71"/>
    </row>
    <row r="186" spans="1:14" ht="12.75">
      <c r="A186" s="15"/>
      <c r="B186" s="154"/>
      <c r="C186" s="78"/>
      <c r="D186" s="78"/>
      <c r="F186" s="16"/>
      <c r="K186" s="16"/>
      <c r="L186" s="9"/>
      <c r="N186" s="71"/>
    </row>
    <row r="187" spans="1:14" ht="12.75">
      <c r="A187" s="15"/>
      <c r="B187" s="154"/>
      <c r="C187" s="78"/>
      <c r="D187" s="78"/>
      <c r="F187" s="16"/>
      <c r="K187" s="16"/>
      <c r="L187" s="9"/>
      <c r="N187" s="71"/>
    </row>
    <row r="188" spans="1:14" ht="12.75">
      <c r="A188" s="15"/>
      <c r="B188" s="154"/>
      <c r="C188" s="78"/>
      <c r="D188" s="78"/>
      <c r="F188" s="16"/>
      <c r="K188" s="16"/>
      <c r="L188" s="9"/>
      <c r="N188" s="71"/>
    </row>
    <row r="189" spans="1:14" ht="12.75">
      <c r="A189" s="15"/>
      <c r="B189" s="154"/>
      <c r="C189" s="78"/>
      <c r="D189" s="78"/>
      <c r="F189" s="16"/>
      <c r="K189" s="16"/>
      <c r="L189" s="9"/>
      <c r="N189" s="71"/>
    </row>
    <row r="190" spans="1:14" ht="12.75">
      <c r="A190" s="15"/>
      <c r="B190" s="154"/>
      <c r="C190" s="78"/>
      <c r="D190" s="78"/>
      <c r="F190" s="16"/>
      <c r="K190" s="16"/>
      <c r="L190" s="9"/>
      <c r="N190" s="71"/>
    </row>
    <row r="191" spans="1:14" ht="12.75">
      <c r="A191" s="15"/>
      <c r="B191" s="154"/>
      <c r="C191" s="78"/>
      <c r="D191" s="78"/>
      <c r="F191" s="16"/>
      <c r="K191" s="16"/>
      <c r="L191" s="9"/>
      <c r="N191" s="71"/>
    </row>
    <row r="192" spans="1:14" ht="12.75">
      <c r="A192" s="15"/>
      <c r="B192" s="154"/>
      <c r="C192" s="78"/>
      <c r="D192" s="78"/>
      <c r="F192" s="16"/>
      <c r="K192" s="16"/>
      <c r="L192" s="9"/>
      <c r="N192" s="71"/>
    </row>
    <row r="193" spans="1:14" ht="12.75">
      <c r="A193" s="15"/>
      <c r="B193" s="154"/>
      <c r="C193" s="78"/>
      <c r="D193" s="78"/>
      <c r="F193" s="16"/>
      <c r="K193" s="16"/>
      <c r="L193" s="9"/>
      <c r="N193" s="71"/>
    </row>
    <row r="194" spans="1:14" ht="12.75">
      <c r="A194" s="15"/>
      <c r="B194" s="154"/>
      <c r="C194" s="78"/>
      <c r="D194" s="78"/>
      <c r="F194" s="16"/>
      <c r="K194" s="16"/>
      <c r="L194" s="9"/>
      <c r="N194" s="71"/>
    </row>
    <row r="195" spans="1:14" ht="12.75">
      <c r="A195" s="15"/>
      <c r="B195" s="154"/>
      <c r="C195" s="78"/>
      <c r="D195" s="78"/>
      <c r="F195" s="16"/>
      <c r="K195" s="16"/>
      <c r="L195" s="9"/>
      <c r="N195" s="71"/>
    </row>
    <row r="196" spans="1:14" ht="12.75">
      <c r="A196" s="15"/>
      <c r="B196" s="154"/>
      <c r="C196" s="78"/>
      <c r="D196" s="78"/>
      <c r="F196" s="16"/>
      <c r="K196" s="16"/>
      <c r="L196" s="9"/>
      <c r="N196" s="71"/>
    </row>
    <row r="197" spans="1:14" ht="12.75">
      <c r="A197" s="15"/>
      <c r="B197" s="154"/>
      <c r="C197" s="78"/>
      <c r="D197" s="78"/>
      <c r="F197" s="16"/>
      <c r="K197" s="16"/>
      <c r="L197" s="9"/>
      <c r="N197" s="71"/>
    </row>
    <row r="198" spans="1:14" ht="12.75">
      <c r="A198" s="15"/>
      <c r="B198" s="154"/>
      <c r="C198" s="78"/>
      <c r="D198" s="78"/>
      <c r="F198" s="16"/>
      <c r="K198" s="16"/>
      <c r="L198" s="9"/>
      <c r="N198" s="71"/>
    </row>
    <row r="199" spans="1:14" ht="12.75">
      <c r="A199" s="15"/>
      <c r="B199" s="154"/>
      <c r="C199" s="78"/>
      <c r="D199" s="78"/>
      <c r="F199" s="16"/>
      <c r="K199" s="16"/>
      <c r="L199" s="9"/>
      <c r="N199" s="71"/>
    </row>
    <row r="200" spans="1:14" ht="12.75">
      <c r="A200" s="15"/>
      <c r="B200" s="154"/>
      <c r="C200" s="78"/>
      <c r="D200" s="78"/>
      <c r="F200" s="16"/>
      <c r="K200" s="16"/>
      <c r="L200" s="9"/>
      <c r="N200" s="71"/>
    </row>
    <row r="201" spans="1:14" ht="12.75">
      <c r="A201" s="15"/>
      <c r="B201" s="154"/>
      <c r="C201" s="78"/>
      <c r="D201" s="78"/>
      <c r="F201" s="16"/>
      <c r="K201" s="16"/>
      <c r="L201" s="9"/>
      <c r="N201" s="71"/>
    </row>
    <row r="202" spans="1:14" ht="12.75">
      <c r="A202" s="15"/>
      <c r="B202" s="154"/>
      <c r="C202" s="78"/>
      <c r="D202" s="78"/>
      <c r="F202" s="16"/>
      <c r="K202" s="16"/>
      <c r="L202" s="9"/>
      <c r="N202" s="71"/>
    </row>
    <row r="203" spans="1:14" ht="12.75">
      <c r="A203" s="15"/>
      <c r="B203" s="154"/>
      <c r="C203" s="78"/>
      <c r="D203" s="78"/>
      <c r="F203" s="16"/>
      <c r="K203" s="16"/>
      <c r="L203" s="9"/>
      <c r="N203" s="71"/>
    </row>
    <row r="204" spans="1:14" ht="12.75">
      <c r="A204" s="15"/>
      <c r="B204" s="154"/>
      <c r="C204" s="78"/>
      <c r="D204" s="78"/>
      <c r="F204" s="16"/>
      <c r="K204" s="16"/>
      <c r="L204" s="9"/>
      <c r="N204" s="71"/>
    </row>
    <row r="205" spans="1:14" ht="12.75">
      <c r="A205" s="15"/>
      <c r="B205" s="154"/>
      <c r="C205" s="78"/>
      <c r="D205" s="78"/>
      <c r="F205" s="16"/>
      <c r="K205" s="16"/>
      <c r="L205" s="9"/>
      <c r="N205" s="71"/>
    </row>
    <row r="206" spans="1:14" ht="12.75">
      <c r="A206" s="15"/>
      <c r="B206" s="154"/>
      <c r="C206" s="78"/>
      <c r="D206" s="78"/>
      <c r="F206" s="16"/>
      <c r="K206" s="16"/>
      <c r="L206" s="9"/>
      <c r="N206" s="71"/>
    </row>
    <row r="207" spans="1:14" ht="12.75">
      <c r="A207" s="15"/>
      <c r="B207" s="154"/>
      <c r="C207" s="78"/>
      <c r="D207" s="78"/>
      <c r="F207" s="16"/>
      <c r="K207" s="16"/>
      <c r="L207" s="9"/>
      <c r="N207" s="71"/>
    </row>
    <row r="208" spans="1:14" ht="12.75">
      <c r="A208" s="15"/>
      <c r="B208" s="154"/>
      <c r="C208" s="78"/>
      <c r="D208" s="78"/>
      <c r="F208" s="16"/>
      <c r="K208" s="16"/>
      <c r="L208" s="9"/>
      <c r="N208" s="71"/>
    </row>
    <row r="209" spans="1:14" ht="12.75">
      <c r="A209" s="15"/>
      <c r="B209" s="154"/>
      <c r="C209" s="78"/>
      <c r="D209" s="78"/>
      <c r="F209" s="16"/>
      <c r="K209" s="16"/>
      <c r="L209" s="9"/>
      <c r="N209" s="71"/>
    </row>
    <row r="210" spans="1:14" ht="12.75">
      <c r="A210" s="15"/>
      <c r="B210" s="154"/>
      <c r="C210" s="78"/>
      <c r="D210" s="78"/>
      <c r="F210" s="16"/>
      <c r="K210" s="16"/>
      <c r="L210" s="9"/>
      <c r="N210" s="71"/>
    </row>
    <row r="211" spans="1:14" ht="12.75">
      <c r="A211" s="15"/>
      <c r="B211" s="154"/>
      <c r="C211" s="78"/>
      <c r="D211" s="78"/>
      <c r="F211" s="16"/>
      <c r="K211" s="16"/>
      <c r="L211" s="9"/>
      <c r="N211" s="71"/>
    </row>
    <row r="212" spans="1:14" ht="12.75">
      <c r="A212" s="15"/>
      <c r="B212" s="154"/>
      <c r="C212" s="78"/>
      <c r="D212" s="78"/>
      <c r="F212" s="16"/>
      <c r="K212" s="16"/>
      <c r="L212" s="9"/>
      <c r="N212" s="71"/>
    </row>
    <row r="213" spans="1:14" ht="12.75">
      <c r="A213" s="15"/>
      <c r="B213" s="154"/>
      <c r="C213" s="78"/>
      <c r="D213" s="78"/>
      <c r="F213" s="16"/>
      <c r="K213" s="16"/>
      <c r="L213" s="9"/>
      <c r="N213" s="71"/>
    </row>
    <row r="214" spans="1:14" ht="12.75">
      <c r="A214" s="15"/>
      <c r="B214" s="154"/>
      <c r="C214" s="78"/>
      <c r="D214" s="78"/>
      <c r="F214" s="16"/>
      <c r="K214" s="16"/>
      <c r="L214" s="9"/>
      <c r="N214" s="71"/>
    </row>
    <row r="215" spans="1:14" ht="12.75">
      <c r="A215" s="15"/>
      <c r="B215" s="154"/>
      <c r="C215" s="78"/>
      <c r="D215" s="78"/>
      <c r="F215" s="16"/>
      <c r="K215" s="16"/>
      <c r="L215" s="9"/>
      <c r="N215" s="71"/>
    </row>
    <row r="216" spans="1:14" ht="12.75">
      <c r="A216" s="15"/>
      <c r="B216" s="154"/>
      <c r="C216" s="78"/>
      <c r="D216" s="78"/>
      <c r="F216" s="16"/>
      <c r="K216" s="16"/>
      <c r="L216" s="9"/>
      <c r="N216" s="71"/>
    </row>
    <row r="217" spans="1:14" ht="12.75">
      <c r="A217" s="15"/>
      <c r="B217" s="154"/>
      <c r="C217" s="78"/>
      <c r="D217" s="78"/>
      <c r="F217" s="16"/>
      <c r="K217" s="16"/>
      <c r="L217" s="9"/>
      <c r="N217" s="71"/>
    </row>
    <row r="218" spans="1:14" ht="12.75">
      <c r="A218" s="15"/>
      <c r="B218" s="154"/>
      <c r="C218" s="78"/>
      <c r="D218" s="78"/>
      <c r="F218" s="16"/>
      <c r="K218" s="16"/>
      <c r="L218" s="9"/>
      <c r="N218" s="71"/>
    </row>
    <row r="219" spans="1:14" ht="12.75">
      <c r="A219" s="15"/>
      <c r="B219" s="154"/>
      <c r="C219" s="78"/>
      <c r="D219" s="78"/>
      <c r="F219" s="16"/>
      <c r="K219" s="16"/>
      <c r="L219" s="9"/>
      <c r="N219" s="71"/>
    </row>
    <row r="220" spans="1:14" ht="12.75">
      <c r="A220" s="15"/>
      <c r="B220" s="154"/>
      <c r="C220" s="78"/>
      <c r="D220" s="78"/>
      <c r="F220" s="16"/>
      <c r="K220" s="16"/>
      <c r="L220" s="9"/>
      <c r="N220" s="71"/>
    </row>
    <row r="221" spans="1:14" ht="12.75">
      <c r="A221" s="15"/>
      <c r="B221" s="154"/>
      <c r="C221" s="78"/>
      <c r="D221" s="78"/>
      <c r="F221" s="16"/>
      <c r="K221" s="16"/>
      <c r="L221" s="9"/>
      <c r="N221" s="71"/>
    </row>
    <row r="222" spans="1:14" ht="12.75">
      <c r="A222" s="15"/>
      <c r="B222" s="154"/>
      <c r="C222" s="78"/>
      <c r="D222" s="78"/>
      <c r="F222" s="16"/>
      <c r="K222" s="16"/>
      <c r="L222" s="9"/>
      <c r="N222" s="71"/>
    </row>
    <row r="223" spans="1:14" ht="12.75">
      <c r="A223" s="15"/>
      <c r="B223" s="154"/>
      <c r="C223" s="78"/>
      <c r="D223" s="78"/>
      <c r="F223" s="16"/>
      <c r="K223" s="16"/>
      <c r="L223" s="9"/>
      <c r="N223" s="71"/>
    </row>
    <row r="224" spans="1:14" ht="12.75">
      <c r="A224" s="15"/>
      <c r="B224" s="154"/>
      <c r="C224" s="78"/>
      <c r="D224" s="78"/>
      <c r="F224" s="16"/>
      <c r="K224" s="16"/>
      <c r="L224" s="9"/>
      <c r="N224" s="71"/>
    </row>
    <row r="225" spans="1:14" ht="12.75">
      <c r="A225" s="15"/>
      <c r="B225" s="154"/>
      <c r="C225" s="78"/>
      <c r="D225" s="78"/>
      <c r="F225" s="16"/>
      <c r="K225" s="16"/>
      <c r="L225" s="9"/>
      <c r="N225" s="71"/>
    </row>
    <row r="226" spans="1:14" ht="12.75">
      <c r="A226" s="15"/>
      <c r="B226" s="154"/>
      <c r="C226" s="78"/>
      <c r="D226" s="78"/>
      <c r="F226" s="16"/>
      <c r="K226" s="16"/>
      <c r="L226" s="9"/>
      <c r="N226" s="71"/>
    </row>
    <row r="227" spans="1:14" ht="12.75">
      <c r="A227" s="15"/>
      <c r="B227" s="154"/>
      <c r="C227" s="78"/>
      <c r="D227" s="78"/>
      <c r="F227" s="16"/>
      <c r="K227" s="16"/>
      <c r="L227" s="9"/>
      <c r="N227" s="71"/>
    </row>
    <row r="228" spans="1:14" ht="12.75">
      <c r="A228" s="15"/>
      <c r="B228" s="154"/>
      <c r="C228" s="78"/>
      <c r="D228" s="78"/>
      <c r="F228" s="16"/>
      <c r="K228" s="16"/>
      <c r="L228" s="9"/>
      <c r="N228" s="71"/>
    </row>
    <row r="229" spans="1:14" ht="12.75">
      <c r="A229" s="15"/>
      <c r="B229" s="154"/>
      <c r="C229" s="78"/>
      <c r="D229" s="78"/>
      <c r="F229" s="16"/>
      <c r="K229" s="16"/>
      <c r="L229" s="9"/>
      <c r="N229" s="71"/>
    </row>
    <row r="230" spans="1:14" ht="12.75">
      <c r="A230" s="15"/>
      <c r="B230" s="154"/>
      <c r="C230" s="78"/>
      <c r="D230" s="78"/>
      <c r="F230" s="16"/>
      <c r="K230" s="16"/>
      <c r="L230" s="9"/>
      <c r="N230" s="71"/>
    </row>
    <row r="231" spans="1:14" ht="12.75">
      <c r="A231" s="15"/>
      <c r="B231" s="154"/>
      <c r="C231" s="78"/>
      <c r="D231" s="78"/>
      <c r="F231" s="16"/>
      <c r="K231" s="16"/>
      <c r="L231" s="9"/>
      <c r="N231" s="71"/>
    </row>
    <row r="232" spans="1:14" ht="12.75">
      <c r="A232" s="15"/>
      <c r="B232" s="154"/>
      <c r="C232" s="78"/>
      <c r="D232" s="78"/>
      <c r="F232" s="16"/>
      <c r="K232" s="16"/>
      <c r="L232" s="9"/>
      <c r="N232" s="71"/>
    </row>
    <row r="233" spans="1:14" ht="12.75">
      <c r="A233" s="15"/>
      <c r="B233" s="154"/>
      <c r="C233" s="78"/>
      <c r="D233" s="78"/>
      <c r="F233" s="16"/>
      <c r="K233" s="16"/>
      <c r="L233" s="9"/>
      <c r="N233" s="71"/>
    </row>
    <row r="234" spans="1:14" ht="12.75">
      <c r="A234" s="15"/>
      <c r="B234" s="154"/>
      <c r="C234" s="78"/>
      <c r="D234" s="78"/>
      <c r="F234" s="16"/>
      <c r="K234" s="16"/>
      <c r="L234" s="9"/>
      <c r="N234" s="71"/>
    </row>
    <row r="235" spans="1:14" ht="12.75">
      <c r="A235" s="15"/>
      <c r="B235" s="154"/>
      <c r="C235" s="78"/>
      <c r="D235" s="78"/>
      <c r="F235" s="16"/>
      <c r="K235" s="16"/>
      <c r="L235" s="9"/>
      <c r="N235" s="71"/>
    </row>
    <row r="236" spans="1:14" ht="12.75">
      <c r="A236" s="15"/>
      <c r="B236" s="154"/>
      <c r="C236" s="78"/>
      <c r="D236" s="78"/>
      <c r="F236" s="16"/>
      <c r="K236" s="16"/>
      <c r="L236" s="9"/>
      <c r="N236" s="71"/>
    </row>
    <row r="237" spans="1:14" ht="12.75">
      <c r="A237" s="15"/>
      <c r="B237" s="154"/>
      <c r="C237" s="78"/>
      <c r="D237" s="78"/>
      <c r="F237" s="16"/>
      <c r="K237" s="16"/>
      <c r="L237" s="9"/>
      <c r="N237" s="71"/>
    </row>
    <row r="238" spans="1:14" ht="12.75">
      <c r="A238" s="15"/>
      <c r="B238" s="154"/>
      <c r="C238" s="78"/>
      <c r="D238" s="78"/>
      <c r="F238" s="16"/>
      <c r="K238" s="16"/>
      <c r="L238" s="9"/>
      <c r="N238" s="71"/>
    </row>
    <row r="239" spans="1:14" ht="12.75">
      <c r="A239" s="15"/>
      <c r="B239" s="154"/>
      <c r="C239" s="78"/>
      <c r="D239" s="78"/>
      <c r="F239" s="16"/>
      <c r="K239" s="16"/>
      <c r="L239" s="9"/>
      <c r="N239" s="71"/>
    </row>
    <row r="240" spans="1:14" ht="12.75">
      <c r="A240" s="15"/>
      <c r="B240" s="154"/>
      <c r="C240" s="78"/>
      <c r="D240" s="78"/>
      <c r="F240" s="16"/>
      <c r="K240" s="16"/>
      <c r="L240" s="9"/>
      <c r="N240" s="71"/>
    </row>
    <row r="241" spans="1:14" ht="12.75">
      <c r="A241" s="15"/>
      <c r="B241" s="154"/>
      <c r="C241" s="78"/>
      <c r="D241" s="78"/>
      <c r="F241" s="16"/>
      <c r="K241" s="16"/>
      <c r="L241" s="9"/>
      <c r="N241" s="71"/>
    </row>
    <row r="242" spans="1:14" ht="12.75">
      <c r="A242" s="15"/>
      <c r="B242" s="154"/>
      <c r="C242" s="78"/>
      <c r="D242" s="78"/>
      <c r="F242" s="16"/>
      <c r="K242" s="16"/>
      <c r="L242" s="9"/>
      <c r="N242" s="71"/>
    </row>
    <row r="243" spans="1:14" ht="12.75">
      <c r="A243" s="15"/>
      <c r="B243" s="154"/>
      <c r="C243" s="78"/>
      <c r="D243" s="78"/>
      <c r="F243" s="16"/>
      <c r="K243" s="16"/>
      <c r="L243" s="9"/>
      <c r="N243" s="71"/>
    </row>
    <row r="244" spans="1:14" ht="12.75">
      <c r="A244" s="15"/>
      <c r="B244" s="154"/>
      <c r="C244" s="78"/>
      <c r="D244" s="78"/>
      <c r="F244" s="16"/>
      <c r="K244" s="16"/>
      <c r="L244" s="9"/>
      <c r="N244" s="71"/>
    </row>
    <row r="245" spans="1:14" ht="12.75">
      <c r="A245" s="15"/>
      <c r="B245" s="154"/>
      <c r="C245" s="78"/>
      <c r="D245" s="78"/>
      <c r="F245" s="16"/>
      <c r="K245" s="16"/>
      <c r="L245" s="9"/>
      <c r="N245" s="71"/>
    </row>
    <row r="246" spans="1:14" ht="12.75">
      <c r="A246" s="15"/>
      <c r="B246" s="154"/>
      <c r="C246" s="78"/>
      <c r="D246" s="78"/>
      <c r="F246" s="16"/>
      <c r="K246" s="16"/>
      <c r="L246" s="9"/>
      <c r="N246" s="71"/>
    </row>
    <row r="247" spans="1:14" ht="12.75">
      <c r="A247" s="15"/>
      <c r="B247" s="154"/>
      <c r="C247" s="78"/>
      <c r="D247" s="78"/>
      <c r="F247" s="16"/>
      <c r="K247" s="16"/>
      <c r="L247" s="9"/>
      <c r="N247" s="71"/>
    </row>
    <row r="248" spans="1:14" ht="12.75">
      <c r="A248" s="15"/>
      <c r="B248" s="154"/>
      <c r="C248" s="78"/>
      <c r="D248" s="78"/>
      <c r="F248" s="16"/>
      <c r="K248" s="16"/>
      <c r="L248" s="9"/>
      <c r="N248" s="71"/>
    </row>
    <row r="249" spans="1:14" ht="12.75">
      <c r="A249" s="15"/>
      <c r="B249" s="154"/>
      <c r="C249" s="78"/>
      <c r="D249" s="78"/>
      <c r="F249" s="16"/>
      <c r="K249" s="16"/>
      <c r="L249" s="9"/>
      <c r="N249" s="71"/>
    </row>
    <row r="250" spans="1:14" ht="12.75">
      <c r="A250" s="15"/>
      <c r="B250" s="154"/>
      <c r="C250" s="78"/>
      <c r="D250" s="78"/>
      <c r="F250" s="16"/>
      <c r="K250" s="16"/>
      <c r="L250" s="9"/>
      <c r="N250" s="71"/>
    </row>
    <row r="251" spans="1:14" ht="12.75">
      <c r="A251" s="15"/>
      <c r="B251" s="154"/>
      <c r="C251" s="78"/>
      <c r="D251" s="78"/>
      <c r="F251" s="16"/>
      <c r="K251" s="16"/>
      <c r="L251" s="9"/>
      <c r="N251" s="71"/>
    </row>
    <row r="252" spans="1:14" ht="12.75">
      <c r="A252" s="15"/>
      <c r="B252" s="154"/>
      <c r="C252" s="78"/>
      <c r="D252" s="78"/>
      <c r="F252" s="16"/>
      <c r="K252" s="16"/>
      <c r="L252" s="9"/>
      <c r="N252" s="71"/>
    </row>
    <row r="253" spans="1:14" ht="12.75">
      <c r="A253" s="15"/>
      <c r="B253" s="154"/>
      <c r="C253" s="78"/>
      <c r="D253" s="78"/>
      <c r="F253" s="16"/>
      <c r="K253" s="16"/>
      <c r="L253" s="9"/>
      <c r="N253" s="71"/>
    </row>
    <row r="254" spans="1:14" ht="12.75">
      <c r="A254" s="15"/>
      <c r="B254" s="154"/>
      <c r="C254" s="78"/>
      <c r="D254" s="78"/>
      <c r="F254" s="16"/>
      <c r="K254" s="16"/>
      <c r="L254" s="9"/>
      <c r="N254" s="71"/>
    </row>
    <row r="255" spans="1:14" ht="12.75">
      <c r="A255" s="15"/>
      <c r="B255" s="154"/>
      <c r="C255" s="78"/>
      <c r="D255" s="78"/>
      <c r="F255" s="16"/>
      <c r="K255" s="16"/>
      <c r="L255" s="9"/>
      <c r="N255" s="71"/>
    </row>
    <row r="256" spans="1:14" ht="12.75">
      <c r="A256" s="15"/>
      <c r="B256" s="154"/>
      <c r="C256" s="78"/>
      <c r="D256" s="78"/>
      <c r="F256" s="16"/>
      <c r="K256" s="16"/>
      <c r="L256" s="9"/>
      <c r="N256" s="71"/>
    </row>
    <row r="257" spans="1:14" ht="12.75">
      <c r="A257" s="15"/>
      <c r="B257" s="154"/>
      <c r="C257" s="78"/>
      <c r="D257" s="78"/>
      <c r="F257" s="16"/>
      <c r="K257" s="16"/>
      <c r="L257" s="9"/>
      <c r="N257" s="71"/>
    </row>
    <row r="258" spans="1:14" ht="12.75">
      <c r="A258" s="15"/>
      <c r="B258" s="154"/>
      <c r="C258" s="78"/>
      <c r="D258" s="78"/>
      <c r="F258" s="16"/>
      <c r="K258" s="16"/>
      <c r="L258" s="9"/>
      <c r="N258" s="71"/>
    </row>
    <row r="259" spans="1:14" ht="12.75">
      <c r="A259" s="15"/>
      <c r="B259" s="154"/>
      <c r="C259" s="78"/>
      <c r="D259" s="78"/>
      <c r="F259" s="16"/>
      <c r="K259" s="16"/>
      <c r="L259" s="9"/>
      <c r="N259" s="71"/>
    </row>
    <row r="260" spans="1:14" ht="12.75">
      <c r="A260" s="15"/>
      <c r="B260" s="154"/>
      <c r="C260" s="78"/>
      <c r="D260" s="78"/>
      <c r="F260" s="16"/>
      <c r="K260" s="16"/>
      <c r="L260" s="9"/>
      <c r="N260" s="71"/>
    </row>
    <row r="261" spans="1:14" ht="12.75">
      <c r="A261" s="15"/>
      <c r="B261" s="154"/>
      <c r="C261" s="78"/>
      <c r="D261" s="78"/>
      <c r="F261" s="16"/>
      <c r="K261" s="16"/>
      <c r="L261" s="9"/>
      <c r="N261" s="71"/>
    </row>
    <row r="262" spans="1:14" ht="12.75">
      <c r="A262" s="15"/>
      <c r="B262" s="154"/>
      <c r="C262" s="78"/>
      <c r="D262" s="78"/>
      <c r="F262" s="16"/>
      <c r="K262" s="16"/>
      <c r="L262" s="9"/>
      <c r="N262" s="71"/>
    </row>
    <row r="263" spans="1:14" ht="12.75">
      <c r="A263" s="15"/>
      <c r="B263" s="154"/>
      <c r="C263" s="78"/>
      <c r="D263" s="78"/>
      <c r="F263" s="16"/>
      <c r="K263" s="16"/>
      <c r="L263" s="9"/>
      <c r="N263" s="71"/>
    </row>
    <row r="264" spans="1:14" ht="12.75">
      <c r="A264" s="15"/>
      <c r="B264" s="154"/>
      <c r="C264" s="78"/>
      <c r="D264" s="78"/>
      <c r="F264" s="16"/>
      <c r="K264" s="16"/>
      <c r="L264" s="9"/>
      <c r="N264" s="71"/>
    </row>
    <row r="265" spans="1:14" ht="12.75">
      <c r="A265" s="15"/>
      <c r="B265" s="154"/>
      <c r="C265" s="78"/>
      <c r="D265" s="78"/>
      <c r="F265" s="16"/>
      <c r="K265" s="16"/>
      <c r="L265" s="9"/>
      <c r="N265" s="71"/>
    </row>
    <row r="266" spans="1:14" ht="12.75">
      <c r="A266" s="15"/>
      <c r="B266" s="154"/>
      <c r="C266" s="78"/>
      <c r="D266" s="78"/>
      <c r="F266" s="16"/>
      <c r="K266" s="16"/>
      <c r="L266" s="9"/>
      <c r="N266" s="71"/>
    </row>
    <row r="267" spans="1:14" ht="12.75">
      <c r="A267" s="15"/>
      <c r="B267" s="154"/>
      <c r="C267" s="78"/>
      <c r="D267" s="78"/>
      <c r="F267" s="16"/>
      <c r="K267" s="16"/>
      <c r="L267" s="9"/>
      <c r="N267" s="71"/>
    </row>
    <row r="268" spans="1:14" ht="12.75">
      <c r="A268" s="15"/>
      <c r="B268" s="154"/>
      <c r="C268" s="78"/>
      <c r="D268" s="78"/>
      <c r="F268" s="16"/>
      <c r="K268" s="16"/>
      <c r="L268" s="9"/>
      <c r="N268" s="71"/>
    </row>
    <row r="269" spans="1:14" ht="12.75">
      <c r="A269" s="15"/>
      <c r="B269" s="154"/>
      <c r="C269" s="78"/>
      <c r="D269" s="78"/>
      <c r="F269" s="16"/>
      <c r="K269" s="16"/>
      <c r="L269" s="9"/>
      <c r="N269" s="71"/>
    </row>
    <row r="270" spans="1:14" ht="12.75">
      <c r="A270" s="15"/>
      <c r="B270" s="154"/>
      <c r="C270" s="78"/>
      <c r="D270" s="78"/>
      <c r="F270" s="16"/>
      <c r="K270" s="16"/>
      <c r="L270" s="9"/>
      <c r="N270" s="71"/>
    </row>
    <row r="271" spans="1:14" ht="12.75">
      <c r="A271" s="15"/>
      <c r="B271" s="154"/>
      <c r="C271" s="78"/>
      <c r="D271" s="78"/>
      <c r="F271" s="16"/>
      <c r="K271" s="16"/>
      <c r="L271" s="9"/>
      <c r="N271" s="71"/>
    </row>
    <row r="272" spans="1:14" ht="12.75">
      <c r="A272" s="15"/>
      <c r="B272" s="154"/>
      <c r="C272" s="78"/>
      <c r="D272" s="78"/>
      <c r="F272" s="16"/>
      <c r="K272" s="16"/>
      <c r="L272" s="9"/>
      <c r="N272" s="71"/>
    </row>
    <row r="273" spans="1:14" ht="12.75">
      <c r="A273" s="15"/>
      <c r="B273" s="154"/>
      <c r="C273" s="78"/>
      <c r="D273" s="78"/>
      <c r="F273" s="16"/>
      <c r="K273" s="16"/>
      <c r="L273" s="9"/>
      <c r="N273" s="71"/>
    </row>
    <row r="274" spans="1:14" ht="12.75">
      <c r="A274" s="15"/>
      <c r="B274" s="154"/>
      <c r="C274" s="78"/>
      <c r="D274" s="78"/>
      <c r="F274" s="16"/>
      <c r="K274" s="16"/>
      <c r="L274" s="9"/>
      <c r="N274" s="71"/>
    </row>
    <row r="275" spans="1:14" ht="12.75">
      <c r="A275" s="15"/>
      <c r="B275" s="154"/>
      <c r="C275" s="78"/>
      <c r="D275" s="78"/>
      <c r="F275" s="16"/>
      <c r="K275" s="16"/>
      <c r="L275" s="9"/>
      <c r="N275" s="71"/>
    </row>
    <row r="276" spans="1:14" ht="12.75">
      <c r="A276" s="15"/>
      <c r="B276" s="154"/>
      <c r="C276" s="78"/>
      <c r="D276" s="78"/>
      <c r="F276" s="16"/>
      <c r="K276" s="16"/>
      <c r="L276" s="9"/>
      <c r="N276" s="71"/>
    </row>
    <row r="277" spans="1:14" ht="12.75">
      <c r="A277" s="15"/>
      <c r="B277" s="154"/>
      <c r="C277" s="78"/>
      <c r="D277" s="78"/>
      <c r="F277" s="16"/>
      <c r="K277" s="16"/>
      <c r="L277" s="9"/>
      <c r="N277" s="71"/>
    </row>
    <row r="278" spans="1:14" ht="12.75">
      <c r="A278" s="15"/>
      <c r="B278" s="154"/>
      <c r="C278" s="78"/>
      <c r="D278" s="78"/>
      <c r="F278" s="16"/>
      <c r="K278" s="16"/>
      <c r="L278" s="9"/>
      <c r="N278" s="71"/>
    </row>
    <row r="279" spans="1:14" ht="12.75">
      <c r="A279" s="15"/>
      <c r="B279" s="154"/>
      <c r="C279" s="78"/>
      <c r="D279" s="78"/>
      <c r="F279" s="16"/>
      <c r="K279" s="16"/>
      <c r="L279" s="9"/>
      <c r="N279" s="71"/>
    </row>
    <row r="280" spans="1:14" ht="12.75">
      <c r="A280" s="15"/>
      <c r="B280" s="154"/>
      <c r="C280" s="78"/>
      <c r="D280" s="78"/>
      <c r="F280" s="16"/>
      <c r="K280" s="16"/>
      <c r="L280" s="9"/>
      <c r="N280" s="71"/>
    </row>
    <row r="281" spans="1:14" ht="12.75">
      <c r="A281" s="15"/>
      <c r="B281" s="154"/>
      <c r="C281" s="78"/>
      <c r="D281" s="78"/>
      <c r="F281" s="16"/>
      <c r="K281" s="16"/>
      <c r="L281" s="9"/>
      <c r="N281" s="71"/>
    </row>
    <row r="282" spans="1:14" ht="12.75">
      <c r="A282" s="15"/>
      <c r="B282" s="154"/>
      <c r="C282" s="78"/>
      <c r="D282" s="78"/>
      <c r="F282" s="16"/>
      <c r="K282" s="16"/>
      <c r="L282" s="9"/>
      <c r="N282" s="71"/>
    </row>
    <row r="283" spans="1:14" ht="12.75">
      <c r="A283" s="15"/>
      <c r="B283" s="154"/>
      <c r="C283" s="78"/>
      <c r="D283" s="78"/>
      <c r="F283" s="16"/>
      <c r="K283" s="16"/>
      <c r="L283" s="9"/>
      <c r="N283" s="71"/>
    </row>
    <row r="284" spans="1:14" ht="12.75">
      <c r="A284" s="15"/>
      <c r="B284" s="154"/>
      <c r="C284" s="78"/>
      <c r="D284" s="78"/>
      <c r="F284" s="16"/>
      <c r="K284" s="16"/>
      <c r="L284" s="9"/>
      <c r="N284" s="71"/>
    </row>
    <row r="285" spans="1:14" ht="12.75">
      <c r="A285" s="15"/>
      <c r="B285" s="154"/>
      <c r="C285" s="78"/>
      <c r="D285" s="78"/>
      <c r="F285" s="16"/>
      <c r="K285" s="16"/>
      <c r="L285" s="9"/>
      <c r="N285" s="71"/>
    </row>
    <row r="286" spans="1:14" ht="12.75">
      <c r="A286" s="15"/>
      <c r="B286" s="154"/>
      <c r="C286" s="78"/>
      <c r="D286" s="78"/>
      <c r="F286" s="16"/>
      <c r="K286" s="16"/>
      <c r="L286" s="9"/>
      <c r="N286" s="71"/>
    </row>
    <row r="287" spans="1:14" ht="12.75">
      <c r="A287" s="15"/>
      <c r="B287" s="154"/>
      <c r="C287" s="78"/>
      <c r="D287" s="78"/>
      <c r="F287" s="16"/>
      <c r="K287" s="16"/>
      <c r="L287" s="9"/>
      <c r="N287" s="71"/>
    </row>
    <row r="288" spans="1:14" ht="12.75">
      <c r="A288" s="15"/>
      <c r="B288" s="154"/>
      <c r="C288" s="78"/>
      <c r="D288" s="78"/>
      <c r="F288" s="16"/>
      <c r="K288" s="16"/>
      <c r="L288" s="9"/>
      <c r="N288" s="71"/>
    </row>
    <row r="289" spans="1:14" ht="12.75">
      <c r="A289" s="15"/>
      <c r="B289" s="154"/>
      <c r="C289" s="78"/>
      <c r="D289" s="78"/>
      <c r="F289" s="16"/>
      <c r="K289" s="16"/>
      <c r="L289" s="9"/>
      <c r="N289" s="71"/>
    </row>
    <row r="290" spans="1:14" ht="12.75">
      <c r="A290" s="15"/>
      <c r="B290" s="154"/>
      <c r="C290" s="78"/>
      <c r="D290" s="78"/>
      <c r="F290" s="16"/>
      <c r="K290" s="16"/>
      <c r="L290" s="9"/>
      <c r="N290" s="71"/>
    </row>
    <row r="291" spans="1:14" ht="12.75">
      <c r="A291" s="15"/>
      <c r="B291" s="154"/>
      <c r="C291" s="78"/>
      <c r="D291" s="78"/>
      <c r="F291" s="16"/>
      <c r="K291" s="16"/>
      <c r="L291" s="9"/>
      <c r="N291" s="71"/>
    </row>
    <row r="292" spans="1:14" ht="12.75">
      <c r="A292" s="15"/>
      <c r="B292" s="154"/>
      <c r="C292" s="78"/>
      <c r="D292" s="78"/>
      <c r="F292" s="16"/>
      <c r="K292" s="16"/>
      <c r="L292" s="9"/>
      <c r="N292" s="71"/>
    </row>
    <row r="293" spans="1:14" ht="12.75">
      <c r="A293" s="15"/>
      <c r="B293" s="154"/>
      <c r="C293" s="78"/>
      <c r="D293" s="78"/>
      <c r="F293" s="16"/>
      <c r="K293" s="16"/>
      <c r="L293" s="9"/>
      <c r="N293" s="71"/>
    </row>
    <row r="294" spans="1:14" ht="12.75">
      <c r="A294" s="15"/>
      <c r="B294" s="154"/>
      <c r="C294" s="78"/>
      <c r="D294" s="78"/>
      <c r="F294" s="16"/>
      <c r="K294" s="16"/>
      <c r="L294" s="9"/>
      <c r="N294" s="71"/>
    </row>
    <row r="295" spans="1:14" ht="12.75">
      <c r="A295" s="15"/>
      <c r="B295" s="154"/>
      <c r="C295" s="78"/>
      <c r="D295" s="78"/>
      <c r="F295" s="16"/>
      <c r="K295" s="16"/>
      <c r="L295" s="9"/>
      <c r="N295" s="71"/>
    </row>
    <row r="296" spans="1:14" ht="12.75">
      <c r="A296" s="15"/>
      <c r="B296" s="154"/>
      <c r="C296" s="78"/>
      <c r="D296" s="78"/>
      <c r="F296" s="16"/>
      <c r="K296" s="16"/>
      <c r="L296" s="9"/>
      <c r="N296" s="71"/>
    </row>
    <row r="297" spans="1:14" ht="12.75">
      <c r="A297" s="15"/>
      <c r="B297" s="154"/>
      <c r="C297" s="78"/>
      <c r="D297" s="78"/>
      <c r="F297" s="16"/>
      <c r="K297" s="16"/>
      <c r="L297" s="9"/>
      <c r="N297" s="71"/>
    </row>
    <row r="298" spans="1:14" ht="12.75">
      <c r="A298" s="15"/>
      <c r="B298" s="154"/>
      <c r="C298" s="78"/>
      <c r="D298" s="78"/>
      <c r="F298" s="16"/>
      <c r="K298" s="16"/>
      <c r="L298" s="9"/>
      <c r="N298" s="71"/>
    </row>
    <row r="299" spans="1:14" ht="12.75">
      <c r="A299" s="15"/>
      <c r="B299" s="154"/>
      <c r="C299" s="78"/>
      <c r="D299" s="78"/>
      <c r="F299" s="16"/>
      <c r="K299" s="16"/>
      <c r="L299" s="9"/>
      <c r="N299" s="71"/>
    </row>
    <row r="300" spans="1:14" ht="12.75">
      <c r="A300" s="15"/>
      <c r="B300" s="154"/>
      <c r="C300" s="78"/>
      <c r="D300" s="78"/>
      <c r="F300" s="16"/>
      <c r="K300" s="16"/>
      <c r="L300" s="9"/>
      <c r="N300" s="71"/>
    </row>
    <row r="301" spans="1:14" ht="12.75">
      <c r="A301" s="15"/>
      <c r="B301" s="154"/>
      <c r="C301" s="78"/>
      <c r="D301" s="78"/>
      <c r="F301" s="16"/>
      <c r="K301" s="16"/>
      <c r="L301" s="9"/>
      <c r="N301" s="71"/>
    </row>
    <row r="302" spans="1:14" ht="12.75">
      <c r="A302" s="15"/>
      <c r="B302" s="154"/>
      <c r="C302" s="78"/>
      <c r="D302" s="78"/>
      <c r="F302" s="16"/>
      <c r="K302" s="16"/>
      <c r="L302" s="9"/>
      <c r="N302" s="71"/>
    </row>
    <row r="303" spans="1:14" ht="12.75">
      <c r="A303" s="15"/>
      <c r="B303" s="154"/>
      <c r="C303" s="78"/>
      <c r="D303" s="78"/>
      <c r="F303" s="16"/>
      <c r="K303" s="16"/>
      <c r="L303" s="9"/>
      <c r="N303" s="71"/>
    </row>
    <row r="304" spans="1:14" ht="12.75">
      <c r="A304" s="15"/>
      <c r="B304" s="154"/>
      <c r="C304" s="78"/>
      <c r="D304" s="78"/>
      <c r="F304" s="16"/>
      <c r="K304" s="16"/>
      <c r="L304" s="9"/>
      <c r="N304" s="71"/>
    </row>
    <row r="305" spans="1:14" ht="12.75">
      <c r="A305" s="15"/>
      <c r="B305" s="154"/>
      <c r="C305" s="78"/>
      <c r="D305" s="78"/>
      <c r="F305" s="16"/>
      <c r="K305" s="16"/>
      <c r="L305" s="9"/>
      <c r="N305" s="71"/>
    </row>
    <row r="306" spans="1:14" ht="12.75">
      <c r="A306" s="15"/>
      <c r="B306" s="154"/>
      <c r="C306" s="78"/>
      <c r="D306" s="78"/>
      <c r="F306" s="16"/>
      <c r="K306" s="16"/>
      <c r="L306" s="9"/>
      <c r="N306" s="71"/>
    </row>
    <row r="307" spans="1:14" ht="12.75">
      <c r="A307" s="15"/>
      <c r="B307" s="154"/>
      <c r="C307" s="78"/>
      <c r="D307" s="78"/>
      <c r="F307" s="16"/>
      <c r="K307" s="16"/>
      <c r="L307" s="9"/>
      <c r="N307" s="71"/>
    </row>
    <row r="308" spans="1:14" ht="12.75">
      <c r="A308" s="15"/>
      <c r="B308" s="154"/>
      <c r="C308" s="78"/>
      <c r="D308" s="78"/>
      <c r="F308" s="16"/>
      <c r="K308" s="16"/>
      <c r="L308" s="9"/>
      <c r="N308" s="71"/>
    </row>
    <row r="309" spans="1:14" ht="12.75">
      <c r="A309" s="15"/>
      <c r="B309" s="154"/>
      <c r="C309" s="78"/>
      <c r="D309" s="78"/>
      <c r="F309" s="16"/>
      <c r="K309" s="16"/>
      <c r="L309" s="9"/>
      <c r="N309" s="71"/>
    </row>
    <row r="310" spans="1:14" ht="12.75">
      <c r="A310" s="15"/>
      <c r="B310" s="154"/>
      <c r="C310" s="78"/>
      <c r="D310" s="78"/>
      <c r="F310" s="16"/>
      <c r="K310" s="16"/>
      <c r="L310" s="9"/>
      <c r="N310" s="71"/>
    </row>
    <row r="311" spans="1:14" ht="12.75">
      <c r="A311" s="15"/>
      <c r="B311" s="154"/>
      <c r="C311" s="78"/>
      <c r="D311" s="78"/>
      <c r="F311" s="16"/>
      <c r="K311" s="16"/>
      <c r="L311" s="9"/>
      <c r="N311" s="71"/>
    </row>
    <row r="312" spans="1:14" ht="12.75">
      <c r="A312" s="15"/>
      <c r="B312" s="154"/>
      <c r="C312" s="78"/>
      <c r="D312" s="78"/>
      <c r="F312" s="16"/>
      <c r="K312" s="16"/>
      <c r="L312" s="9"/>
      <c r="N312" s="71"/>
    </row>
    <row r="313" spans="1:14" ht="12.75">
      <c r="A313" s="15"/>
      <c r="B313" s="154"/>
      <c r="C313" s="78"/>
      <c r="D313" s="78"/>
      <c r="F313" s="16"/>
      <c r="K313" s="16"/>
      <c r="L313" s="9"/>
      <c r="N313" s="71"/>
    </row>
    <row r="314" spans="1:14" ht="12.75">
      <c r="A314" s="15"/>
      <c r="B314" s="154"/>
      <c r="C314" s="78"/>
      <c r="D314" s="78"/>
      <c r="F314" s="16"/>
      <c r="K314" s="16"/>
      <c r="L314" s="9"/>
      <c r="N314" s="71"/>
    </row>
    <row r="315" spans="1:14" ht="12.75">
      <c r="A315" s="15"/>
      <c r="B315" s="154"/>
      <c r="C315" s="78"/>
      <c r="D315" s="78"/>
      <c r="F315" s="16"/>
      <c r="K315" s="16"/>
      <c r="L315" s="9"/>
      <c r="N315" s="71"/>
    </row>
    <row r="316" spans="1:14" ht="12.75">
      <c r="A316" s="15"/>
      <c r="B316" s="154"/>
      <c r="C316" s="78"/>
      <c r="D316" s="78"/>
      <c r="F316" s="16"/>
      <c r="K316" s="16"/>
      <c r="L316" s="9"/>
      <c r="N316" s="71"/>
    </row>
    <row r="317" spans="1:14" ht="12.75">
      <c r="A317" s="15"/>
      <c r="B317" s="154"/>
      <c r="C317" s="78"/>
      <c r="D317" s="78"/>
      <c r="F317" s="16"/>
      <c r="K317" s="16"/>
      <c r="L317" s="9"/>
      <c r="N317" s="71"/>
    </row>
    <row r="318" spans="1:14" ht="12.75">
      <c r="A318" s="15"/>
      <c r="B318" s="154"/>
      <c r="C318" s="78"/>
      <c r="D318" s="78"/>
      <c r="F318" s="16"/>
      <c r="K318" s="16"/>
      <c r="L318" s="9"/>
      <c r="N318" s="71"/>
    </row>
    <row r="319" spans="1:14" ht="12.75">
      <c r="A319" s="15"/>
      <c r="B319" s="154"/>
      <c r="C319" s="78"/>
      <c r="D319" s="78"/>
      <c r="F319" s="16"/>
      <c r="K319" s="16"/>
      <c r="L319" s="9"/>
      <c r="N319" s="71"/>
    </row>
    <row r="320" spans="1:14" ht="12.75">
      <c r="A320" s="15"/>
      <c r="B320" s="154"/>
      <c r="C320" s="78"/>
      <c r="D320" s="78"/>
      <c r="F320" s="16"/>
      <c r="K320" s="16"/>
      <c r="L320" s="9"/>
      <c r="N320" s="71"/>
    </row>
    <row r="321" spans="1:14" ht="12.75">
      <c r="A321" s="15"/>
      <c r="B321" s="154"/>
      <c r="C321" s="78"/>
      <c r="D321" s="78"/>
      <c r="F321" s="16"/>
      <c r="K321" s="16"/>
      <c r="L321" s="9"/>
      <c r="N321" s="71"/>
    </row>
    <row r="322" spans="1:14" ht="12.75">
      <c r="A322" s="15"/>
      <c r="B322" s="154"/>
      <c r="C322" s="78"/>
      <c r="D322" s="78"/>
      <c r="F322" s="16"/>
      <c r="K322" s="16"/>
      <c r="L322" s="9"/>
      <c r="N322" s="71"/>
    </row>
    <row r="323" spans="1:14" ht="12.75">
      <c r="A323" s="15"/>
      <c r="B323" s="154"/>
      <c r="C323" s="78"/>
      <c r="D323" s="78"/>
      <c r="F323" s="16"/>
      <c r="K323" s="16"/>
      <c r="L323" s="9"/>
      <c r="N323" s="71"/>
    </row>
    <row r="324" spans="1:14" ht="12.75">
      <c r="A324" s="15"/>
      <c r="B324" s="154"/>
      <c r="C324" s="78"/>
      <c r="D324" s="78"/>
      <c r="F324" s="16"/>
      <c r="K324" s="16"/>
      <c r="L324" s="9"/>
      <c r="N324" s="71"/>
    </row>
    <row r="325" spans="1:14" ht="12.75">
      <c r="A325" s="15"/>
      <c r="B325" s="154"/>
      <c r="C325" s="78"/>
      <c r="D325" s="78"/>
      <c r="F325" s="16"/>
      <c r="K325" s="16"/>
      <c r="L325" s="9"/>
      <c r="N325" s="71"/>
    </row>
    <row r="326" spans="1:14" ht="12.75">
      <c r="A326" s="15"/>
      <c r="B326" s="154"/>
      <c r="C326" s="78"/>
      <c r="D326" s="78"/>
      <c r="F326" s="16"/>
      <c r="K326" s="16"/>
      <c r="L326" s="9"/>
      <c r="N326" s="71"/>
    </row>
    <row r="327" spans="1:14" ht="12.75">
      <c r="A327" s="15"/>
      <c r="B327" s="154"/>
      <c r="C327" s="78"/>
      <c r="D327" s="78"/>
      <c r="F327" s="16"/>
      <c r="K327" s="16"/>
      <c r="L327" s="9"/>
      <c r="N327" s="71"/>
    </row>
    <row r="328" spans="1:14" ht="12.75">
      <c r="A328" s="15"/>
      <c r="B328" s="154"/>
      <c r="C328" s="78"/>
      <c r="D328" s="78"/>
      <c r="F328" s="16"/>
      <c r="K328" s="16"/>
      <c r="L328" s="9"/>
      <c r="N328" s="71"/>
    </row>
    <row r="329" spans="1:14" ht="12.75">
      <c r="A329" s="15"/>
      <c r="B329" s="154"/>
      <c r="C329" s="78"/>
      <c r="D329" s="78"/>
      <c r="F329" s="16"/>
      <c r="K329" s="16"/>
      <c r="L329" s="9"/>
      <c r="N329" s="71"/>
    </row>
    <row r="330" spans="1:14" ht="12.75">
      <c r="A330" s="15"/>
      <c r="B330" s="154"/>
      <c r="C330" s="78"/>
      <c r="D330" s="78"/>
      <c r="F330" s="16"/>
      <c r="K330" s="16"/>
      <c r="L330" s="9"/>
      <c r="N330" s="71"/>
    </row>
    <row r="331" spans="1:14" ht="12.75">
      <c r="A331" s="15"/>
      <c r="B331" s="154"/>
      <c r="C331" s="78"/>
      <c r="D331" s="78"/>
      <c r="F331" s="16"/>
      <c r="K331" s="16"/>
      <c r="L331" s="9"/>
      <c r="N331" s="71"/>
    </row>
    <row r="332" spans="1:14" ht="12.75">
      <c r="A332" s="15"/>
      <c r="B332" s="154"/>
      <c r="C332" s="78"/>
      <c r="D332" s="78"/>
      <c r="F332" s="16"/>
      <c r="K332" s="16"/>
      <c r="L332" s="9"/>
      <c r="N332" s="71"/>
    </row>
    <row r="333" spans="1:14" ht="12.75">
      <c r="A333" s="15"/>
      <c r="B333" s="154"/>
      <c r="C333" s="78"/>
      <c r="D333" s="78"/>
      <c r="F333" s="16"/>
      <c r="K333" s="16"/>
      <c r="L333" s="9"/>
      <c r="N333" s="71"/>
    </row>
    <row r="334" spans="1:14" ht="12.75">
      <c r="A334" s="15"/>
      <c r="B334" s="154"/>
      <c r="C334" s="78"/>
      <c r="D334" s="78"/>
      <c r="F334" s="16"/>
      <c r="K334" s="16"/>
      <c r="L334" s="9"/>
      <c r="N334" s="71"/>
    </row>
    <row r="335" spans="1:14" ht="12.75">
      <c r="A335" s="15"/>
      <c r="B335" s="154"/>
      <c r="C335" s="78"/>
      <c r="D335" s="78"/>
      <c r="F335" s="16"/>
      <c r="K335" s="16"/>
      <c r="L335" s="9"/>
      <c r="N335" s="71"/>
    </row>
    <row r="336" spans="1:14" ht="12.75">
      <c r="A336" s="15"/>
      <c r="B336" s="154"/>
      <c r="C336" s="78"/>
      <c r="D336" s="78"/>
      <c r="F336" s="16"/>
      <c r="K336" s="16"/>
      <c r="L336" s="9"/>
      <c r="N336" s="71"/>
    </row>
    <row r="337" spans="1:14" ht="12.75">
      <c r="A337" s="15"/>
      <c r="B337" s="154"/>
      <c r="C337" s="78"/>
      <c r="D337" s="78"/>
      <c r="F337" s="16"/>
      <c r="K337" s="16"/>
      <c r="L337" s="9"/>
      <c r="N337" s="71"/>
    </row>
    <row r="338" spans="1:14" ht="12.75">
      <c r="A338" s="15"/>
      <c r="B338" s="154"/>
      <c r="C338" s="78"/>
      <c r="D338" s="78"/>
      <c r="F338" s="16"/>
      <c r="K338" s="16"/>
      <c r="L338" s="9"/>
      <c r="N338" s="71"/>
    </row>
    <row r="339" spans="1:14" ht="12.75">
      <c r="A339" s="15"/>
      <c r="B339" s="154"/>
      <c r="C339" s="78"/>
      <c r="D339" s="78"/>
      <c r="F339" s="16"/>
      <c r="K339" s="16"/>
      <c r="L339" s="9"/>
      <c r="N339" s="71"/>
    </row>
    <row r="340" spans="1:14" ht="12.75">
      <c r="A340" s="15"/>
      <c r="B340" s="154"/>
      <c r="C340" s="78"/>
      <c r="D340" s="78"/>
      <c r="F340" s="16"/>
      <c r="K340" s="16"/>
      <c r="L340" s="9"/>
      <c r="N340" s="71"/>
    </row>
    <row r="341" spans="1:14" ht="12.75">
      <c r="A341" s="15"/>
      <c r="B341" s="154"/>
      <c r="C341" s="78"/>
      <c r="D341" s="78"/>
      <c r="F341" s="16"/>
      <c r="K341" s="16"/>
      <c r="L341" s="9"/>
      <c r="N341" s="71"/>
    </row>
    <row r="342" spans="1:14" ht="12.75">
      <c r="A342" s="15"/>
      <c r="B342" s="154"/>
      <c r="C342" s="78"/>
      <c r="D342" s="78"/>
      <c r="F342" s="16"/>
      <c r="K342" s="16"/>
      <c r="L342" s="9"/>
      <c r="N342" s="71"/>
    </row>
    <row r="343" spans="1:14" ht="12.75">
      <c r="A343" s="15"/>
      <c r="B343" s="154"/>
      <c r="C343" s="78"/>
      <c r="D343" s="78"/>
      <c r="F343" s="16"/>
      <c r="K343" s="16"/>
      <c r="L343" s="9"/>
      <c r="N343" s="71"/>
    </row>
    <row r="344" spans="1:14" ht="12.75">
      <c r="A344" s="15"/>
      <c r="B344" s="154"/>
      <c r="C344" s="78"/>
      <c r="D344" s="78"/>
      <c r="F344" s="16"/>
      <c r="K344" s="16"/>
      <c r="L344" s="9"/>
      <c r="N344" s="71"/>
    </row>
    <row r="345" spans="1:14" ht="12.75">
      <c r="A345" s="15"/>
      <c r="B345" s="154"/>
      <c r="C345" s="78"/>
      <c r="D345" s="78"/>
      <c r="F345" s="16"/>
      <c r="K345" s="16"/>
      <c r="L345" s="9"/>
      <c r="N345" s="71"/>
    </row>
    <row r="346" spans="1:14" ht="12.75">
      <c r="A346" s="15"/>
      <c r="B346" s="154"/>
      <c r="C346" s="78"/>
      <c r="D346" s="78"/>
      <c r="F346" s="16"/>
      <c r="K346" s="16"/>
      <c r="L346" s="9"/>
      <c r="N346" s="71"/>
    </row>
    <row r="347" spans="1:14" ht="12.75">
      <c r="A347" s="15"/>
      <c r="B347" s="154"/>
      <c r="C347" s="78"/>
      <c r="D347" s="78"/>
      <c r="F347" s="16"/>
      <c r="K347" s="16"/>
      <c r="L347" s="9"/>
      <c r="N347" s="71"/>
    </row>
    <row r="348" spans="1:14" ht="12.75">
      <c r="A348" s="15"/>
      <c r="B348" s="154"/>
      <c r="C348" s="78"/>
      <c r="D348" s="78"/>
      <c r="F348" s="16"/>
      <c r="K348" s="16"/>
      <c r="L348" s="9"/>
      <c r="N348" s="71"/>
    </row>
    <row r="349" spans="1:14" ht="12.75">
      <c r="A349" s="15"/>
      <c r="B349" s="154"/>
      <c r="C349" s="78"/>
      <c r="D349" s="78"/>
      <c r="F349" s="16"/>
      <c r="K349" s="16"/>
      <c r="L349" s="9"/>
      <c r="N349" s="71"/>
    </row>
    <row r="350" spans="1:14" ht="12.75">
      <c r="A350" s="15"/>
      <c r="B350" s="154"/>
      <c r="C350" s="78"/>
      <c r="D350" s="78"/>
      <c r="F350" s="16"/>
      <c r="K350" s="16"/>
      <c r="L350" s="9"/>
      <c r="N350" s="71"/>
    </row>
    <row r="351" spans="1:14" ht="12.75">
      <c r="A351" s="15"/>
      <c r="B351" s="154"/>
      <c r="C351" s="78"/>
      <c r="D351" s="78"/>
      <c r="F351" s="16"/>
      <c r="K351" s="16"/>
      <c r="L351" s="9"/>
      <c r="N351" s="71"/>
    </row>
    <row r="352" spans="1:14" ht="12.75">
      <c r="A352" s="15"/>
      <c r="B352" s="154"/>
      <c r="C352" s="78"/>
      <c r="D352" s="78"/>
      <c r="F352" s="16"/>
      <c r="K352" s="16"/>
      <c r="L352" s="9"/>
      <c r="N352" s="71"/>
    </row>
    <row r="353" spans="1:14" ht="12.75">
      <c r="A353" s="15"/>
      <c r="B353" s="154"/>
      <c r="C353" s="78"/>
      <c r="D353" s="78"/>
      <c r="F353" s="16"/>
      <c r="K353" s="16"/>
      <c r="L353" s="9"/>
      <c r="N353" s="71"/>
    </row>
    <row r="354" spans="1:14" ht="12.75">
      <c r="A354" s="15"/>
      <c r="B354" s="154"/>
      <c r="C354" s="78"/>
      <c r="D354" s="78"/>
      <c r="F354" s="16"/>
      <c r="K354" s="16"/>
      <c r="L354" s="9"/>
      <c r="N354" s="71"/>
    </row>
    <row r="355" spans="1:14" ht="12.75">
      <c r="A355" s="15"/>
      <c r="B355" s="154"/>
      <c r="C355" s="78"/>
      <c r="D355" s="78"/>
      <c r="F355" s="16"/>
      <c r="K355" s="16"/>
      <c r="L355" s="9"/>
      <c r="N355" s="71"/>
    </row>
    <row r="356" spans="1:14" ht="12.75">
      <c r="A356" s="15"/>
      <c r="B356" s="154"/>
      <c r="C356" s="78"/>
      <c r="D356" s="78"/>
      <c r="F356" s="16"/>
      <c r="K356" s="16"/>
      <c r="L356" s="9"/>
      <c r="N356" s="71"/>
    </row>
    <row r="357" spans="1:14" ht="12.75">
      <c r="A357" s="15"/>
      <c r="B357" s="154"/>
      <c r="C357" s="78"/>
      <c r="D357" s="78"/>
      <c r="F357" s="16"/>
      <c r="K357" s="16"/>
      <c r="L357" s="9"/>
      <c r="N357" s="71"/>
    </row>
    <row r="358" spans="1:14" ht="12.75">
      <c r="A358" s="15"/>
      <c r="B358" s="154"/>
      <c r="C358" s="78"/>
      <c r="D358" s="78"/>
      <c r="F358" s="16"/>
      <c r="K358" s="16"/>
      <c r="L358" s="9"/>
      <c r="N358" s="71"/>
    </row>
    <row r="359" spans="1:14" ht="12.75">
      <c r="A359" s="15"/>
      <c r="B359" s="154"/>
      <c r="C359" s="78"/>
      <c r="D359" s="78"/>
      <c r="F359" s="16"/>
      <c r="K359" s="16"/>
      <c r="L359" s="9"/>
      <c r="N359" s="71"/>
    </row>
    <row r="360" spans="1:14" ht="12.75">
      <c r="A360" s="15"/>
      <c r="B360" s="154"/>
      <c r="C360" s="78"/>
      <c r="D360" s="78"/>
      <c r="F360" s="16"/>
      <c r="K360" s="16"/>
      <c r="L360" s="9"/>
      <c r="N360" s="71"/>
    </row>
    <row r="361" spans="1:14" ht="12.75">
      <c r="A361" s="15"/>
      <c r="B361" s="154"/>
      <c r="C361" s="78"/>
      <c r="D361" s="78"/>
      <c r="F361" s="16"/>
      <c r="K361" s="16"/>
      <c r="L361" s="9"/>
      <c r="N361" s="71"/>
    </row>
    <row r="362" spans="1:14" ht="12.75">
      <c r="A362" s="15"/>
      <c r="B362" s="154"/>
      <c r="C362" s="78"/>
      <c r="D362" s="78"/>
      <c r="F362" s="16"/>
      <c r="K362" s="16"/>
      <c r="L362" s="9"/>
      <c r="N362" s="71"/>
    </row>
    <row r="363" spans="1:14" ht="12.75">
      <c r="A363" s="15"/>
      <c r="B363" s="154"/>
      <c r="C363" s="78"/>
      <c r="D363" s="78"/>
      <c r="F363" s="16"/>
      <c r="K363" s="16"/>
      <c r="L363" s="9"/>
      <c r="N363" s="71"/>
    </row>
    <row r="364" spans="1:14" ht="12.75">
      <c r="A364" s="15"/>
      <c r="B364" s="154"/>
      <c r="C364" s="78"/>
      <c r="D364" s="78"/>
      <c r="F364" s="16"/>
      <c r="K364" s="16"/>
      <c r="L364" s="9"/>
      <c r="N364" s="71"/>
    </row>
    <row r="365" spans="1:14" ht="12.75">
      <c r="A365" s="15"/>
      <c r="B365" s="154"/>
      <c r="C365" s="78"/>
      <c r="D365" s="78"/>
      <c r="F365" s="16"/>
      <c r="K365" s="16"/>
      <c r="L365" s="9"/>
      <c r="N365" s="71"/>
    </row>
    <row r="366" spans="1:14" ht="12.75">
      <c r="A366" s="15"/>
      <c r="B366" s="154"/>
      <c r="C366" s="78"/>
      <c r="D366" s="78"/>
      <c r="F366" s="16"/>
      <c r="K366" s="16"/>
      <c r="L366" s="9"/>
      <c r="N366" s="71"/>
    </row>
    <row r="367" spans="1:14" ht="12.75">
      <c r="A367" s="15"/>
      <c r="B367" s="154"/>
      <c r="C367" s="78"/>
      <c r="D367" s="78"/>
      <c r="F367" s="16"/>
      <c r="K367" s="16"/>
      <c r="L367" s="9"/>
      <c r="N367" s="71"/>
    </row>
    <row r="368" spans="1:14" ht="12.75">
      <c r="A368" s="15"/>
      <c r="B368" s="154"/>
      <c r="C368" s="78"/>
      <c r="D368" s="78"/>
      <c r="F368" s="16"/>
      <c r="K368" s="16"/>
      <c r="L368" s="9"/>
      <c r="N368" s="71"/>
    </row>
    <row r="369" spans="1:14" ht="12.75">
      <c r="A369" s="15"/>
      <c r="B369" s="154"/>
      <c r="C369" s="78"/>
      <c r="D369" s="78"/>
      <c r="F369" s="16"/>
      <c r="K369" s="16"/>
      <c r="L369" s="9"/>
      <c r="N369" s="71"/>
    </row>
    <row r="370" spans="1:14" ht="12.75">
      <c r="A370" s="15"/>
      <c r="B370" s="154"/>
      <c r="C370" s="78"/>
      <c r="D370" s="78"/>
      <c r="F370" s="16"/>
      <c r="K370" s="16"/>
      <c r="L370" s="9"/>
      <c r="N370" s="71"/>
    </row>
    <row r="371" spans="1:14" ht="12.75">
      <c r="A371" s="15"/>
      <c r="B371" s="154"/>
      <c r="C371" s="78"/>
      <c r="D371" s="78"/>
      <c r="F371" s="16"/>
      <c r="K371" s="16"/>
      <c r="L371" s="9"/>
      <c r="N371" s="71"/>
    </row>
    <row r="372" spans="1:14" ht="12.75">
      <c r="A372" s="15"/>
      <c r="B372" s="154"/>
      <c r="C372" s="78"/>
      <c r="D372" s="78"/>
      <c r="F372" s="16"/>
      <c r="K372" s="16"/>
      <c r="L372" s="9"/>
      <c r="N372" s="71"/>
    </row>
    <row r="373" spans="1:14" ht="12.75">
      <c r="A373" s="15"/>
      <c r="B373" s="154"/>
      <c r="C373" s="78"/>
      <c r="D373" s="78"/>
      <c r="F373" s="16"/>
      <c r="K373" s="16"/>
      <c r="L373" s="9"/>
      <c r="N373" s="71"/>
    </row>
    <row r="374" spans="1:14" ht="12.75">
      <c r="A374" s="15"/>
      <c r="B374" s="154"/>
      <c r="C374" s="78"/>
      <c r="D374" s="78"/>
      <c r="F374" s="16"/>
      <c r="K374" s="16"/>
      <c r="L374" s="9"/>
      <c r="N374" s="71"/>
    </row>
    <row r="375" spans="1:14" ht="12.75">
      <c r="A375" s="15"/>
      <c r="B375" s="154"/>
      <c r="C375" s="78"/>
      <c r="D375" s="78"/>
      <c r="F375" s="16"/>
      <c r="K375" s="16"/>
      <c r="L375" s="9"/>
      <c r="N375" s="71"/>
    </row>
    <row r="376" spans="1:14" ht="12.75">
      <c r="A376" s="15"/>
      <c r="B376" s="154"/>
      <c r="C376" s="78"/>
      <c r="D376" s="78"/>
      <c r="F376" s="16"/>
      <c r="K376" s="16"/>
      <c r="L376" s="9"/>
      <c r="N376" s="71"/>
    </row>
    <row r="377" spans="1:14" ht="12.75">
      <c r="A377" s="15"/>
      <c r="B377" s="154"/>
      <c r="C377" s="78"/>
      <c r="D377" s="78"/>
      <c r="F377" s="16"/>
      <c r="K377" s="16"/>
      <c r="L377" s="9"/>
      <c r="N377" s="71"/>
    </row>
    <row r="378" spans="1:14" ht="12.75">
      <c r="A378" s="15"/>
      <c r="B378" s="154"/>
      <c r="C378" s="78"/>
      <c r="D378" s="78"/>
      <c r="F378" s="16"/>
      <c r="K378" s="16"/>
      <c r="L378" s="9"/>
      <c r="N378" s="71"/>
    </row>
    <row r="379" spans="1:14" ht="12.75">
      <c r="A379" s="15"/>
      <c r="B379" s="154"/>
      <c r="C379" s="78"/>
      <c r="D379" s="78"/>
      <c r="F379" s="16"/>
      <c r="K379" s="16"/>
      <c r="L379" s="9"/>
      <c r="N379" s="71"/>
    </row>
    <row r="380" spans="1:14" ht="12.75">
      <c r="A380" s="15"/>
      <c r="B380" s="154"/>
      <c r="C380" s="78"/>
      <c r="D380" s="78"/>
      <c r="F380" s="16"/>
      <c r="K380" s="16"/>
      <c r="L380" s="9"/>
      <c r="N380" s="71"/>
    </row>
    <row r="381" spans="1:14" ht="12.75">
      <c r="A381" s="15"/>
      <c r="B381" s="154"/>
      <c r="C381" s="78"/>
      <c r="D381" s="78"/>
      <c r="F381" s="16"/>
      <c r="K381" s="16"/>
      <c r="L381" s="9"/>
      <c r="N381" s="71"/>
    </row>
    <row r="382" spans="1:14" ht="12.75">
      <c r="A382" s="15"/>
      <c r="B382" s="154"/>
      <c r="C382" s="78"/>
      <c r="D382" s="78"/>
      <c r="F382" s="16"/>
      <c r="K382" s="16"/>
      <c r="L382" s="9"/>
      <c r="N382" s="71"/>
    </row>
    <row r="383" spans="1:14" ht="12.75">
      <c r="A383" s="15"/>
      <c r="B383" s="154"/>
      <c r="C383" s="78"/>
      <c r="D383" s="78"/>
      <c r="F383" s="16"/>
      <c r="K383" s="16"/>
      <c r="L383" s="9"/>
      <c r="N383" s="71"/>
    </row>
    <row r="384" spans="1:14" ht="12.75">
      <c r="A384" s="15"/>
      <c r="B384" s="154"/>
      <c r="C384" s="78"/>
      <c r="D384" s="78"/>
      <c r="F384" s="16"/>
      <c r="K384" s="16"/>
      <c r="L384" s="9"/>
      <c r="N384" s="71"/>
    </row>
    <row r="385" spans="1:14" ht="12.75">
      <c r="A385" s="15"/>
      <c r="B385" s="154"/>
      <c r="C385" s="78"/>
      <c r="D385" s="78"/>
      <c r="F385" s="16"/>
      <c r="K385" s="16"/>
      <c r="L385" s="9"/>
      <c r="N385" s="71"/>
    </row>
    <row r="386" spans="1:14" ht="12.75">
      <c r="A386" s="15"/>
      <c r="B386" s="154"/>
      <c r="C386" s="78"/>
      <c r="D386" s="78"/>
      <c r="F386" s="16"/>
      <c r="K386" s="16"/>
      <c r="L386" s="9"/>
      <c r="N386" s="71"/>
    </row>
    <row r="387" spans="1:14" ht="12.75">
      <c r="A387" s="15"/>
      <c r="B387" s="154"/>
      <c r="C387" s="78"/>
      <c r="D387" s="78"/>
      <c r="F387" s="16"/>
      <c r="K387" s="16"/>
      <c r="L387" s="9"/>
      <c r="N387" s="71"/>
    </row>
    <row r="388" spans="1:14" ht="12.75">
      <c r="A388" s="15"/>
      <c r="B388" s="154"/>
      <c r="C388" s="78"/>
      <c r="D388" s="78"/>
      <c r="F388" s="16"/>
      <c r="K388" s="16"/>
      <c r="L388" s="9"/>
      <c r="N388" s="71"/>
    </row>
    <row r="389" spans="1:14" ht="12.75">
      <c r="A389" s="15"/>
      <c r="B389" s="154"/>
      <c r="C389" s="78"/>
      <c r="D389" s="78"/>
      <c r="F389" s="16"/>
      <c r="K389" s="16"/>
      <c r="L389" s="9"/>
      <c r="N389" s="71"/>
    </row>
    <row r="390" spans="1:14" ht="12.75">
      <c r="A390" s="15"/>
      <c r="B390" s="154"/>
      <c r="C390" s="78"/>
      <c r="D390" s="78"/>
      <c r="F390" s="16"/>
      <c r="K390" s="16"/>
      <c r="L390" s="9"/>
      <c r="N390" s="71"/>
    </row>
    <row r="391" spans="1:14" ht="12.75">
      <c r="A391" s="15"/>
      <c r="B391" s="154"/>
      <c r="C391" s="78"/>
      <c r="D391" s="78"/>
      <c r="F391" s="16"/>
      <c r="K391" s="16"/>
      <c r="L391" s="9"/>
      <c r="N391" s="71"/>
    </row>
    <row r="392" spans="1:14" ht="12.75">
      <c r="A392" s="15"/>
      <c r="B392" s="154"/>
      <c r="C392" s="78"/>
      <c r="D392" s="78"/>
      <c r="F392" s="16"/>
      <c r="K392" s="16"/>
      <c r="L392" s="9"/>
      <c r="N392" s="71"/>
    </row>
    <row r="393" spans="1:14" ht="12.75">
      <c r="A393" s="15"/>
      <c r="B393" s="154"/>
      <c r="C393" s="78"/>
      <c r="D393" s="78"/>
      <c r="F393" s="16"/>
      <c r="K393" s="16"/>
      <c r="L393" s="9"/>
      <c r="N393" s="71"/>
    </row>
    <row r="394" spans="1:14" ht="12.75">
      <c r="A394" s="15"/>
      <c r="B394" s="154"/>
      <c r="C394" s="78"/>
      <c r="D394" s="78"/>
      <c r="F394" s="16"/>
      <c r="K394" s="16"/>
      <c r="L394" s="9"/>
      <c r="N394" s="71"/>
    </row>
    <row r="395" spans="1:14" ht="12.75">
      <c r="A395" s="15"/>
      <c r="B395" s="154"/>
      <c r="C395" s="78"/>
      <c r="D395" s="78"/>
      <c r="F395" s="16"/>
      <c r="K395" s="16"/>
      <c r="L395" s="9"/>
      <c r="N395" s="71"/>
    </row>
    <row r="396" spans="1:14" ht="12.75">
      <c r="A396" s="15"/>
      <c r="B396" s="154"/>
      <c r="C396" s="78"/>
      <c r="D396" s="78"/>
      <c r="F396" s="16"/>
      <c r="K396" s="16"/>
      <c r="L396" s="9"/>
      <c r="N396" s="71"/>
    </row>
    <row r="397" spans="1:14" ht="12.75">
      <c r="A397" s="15"/>
      <c r="B397" s="154"/>
      <c r="C397" s="78"/>
      <c r="D397" s="78"/>
      <c r="F397" s="16"/>
      <c r="K397" s="16"/>
      <c r="L397" s="9"/>
      <c r="N397" s="71"/>
    </row>
    <row r="398" spans="1:14" ht="12.75">
      <c r="A398" s="15"/>
      <c r="B398" s="154"/>
      <c r="C398" s="78"/>
      <c r="D398" s="78"/>
      <c r="F398" s="16"/>
      <c r="K398" s="16"/>
      <c r="L398" s="9"/>
      <c r="N398" s="71"/>
    </row>
    <row r="399" spans="1:14" ht="12.75">
      <c r="A399" s="15"/>
      <c r="B399" s="154"/>
      <c r="C399" s="78"/>
      <c r="D399" s="78"/>
      <c r="F399" s="16"/>
      <c r="K399" s="16"/>
      <c r="L399" s="9"/>
      <c r="N399" s="71"/>
    </row>
    <row r="400" spans="1:14" ht="12.75">
      <c r="A400" s="15"/>
      <c r="B400" s="154"/>
      <c r="C400" s="78"/>
      <c r="D400" s="78"/>
      <c r="F400" s="16"/>
      <c r="K400" s="16"/>
      <c r="L400" s="9"/>
      <c r="N400" s="71"/>
    </row>
    <row r="401" spans="1:14" ht="12.75">
      <c r="A401" s="15"/>
      <c r="B401" s="154"/>
      <c r="C401" s="78"/>
      <c r="D401" s="78"/>
      <c r="F401" s="16"/>
      <c r="K401" s="16"/>
      <c r="L401" s="9"/>
      <c r="N401" s="71"/>
    </row>
    <row r="402" spans="1:14" ht="12.75">
      <c r="A402" s="15"/>
      <c r="B402" s="154"/>
      <c r="C402" s="78"/>
      <c r="D402" s="78"/>
      <c r="F402" s="16"/>
      <c r="K402" s="16"/>
      <c r="L402" s="9"/>
      <c r="N402" s="71"/>
    </row>
    <row r="403" spans="1:14" ht="12.75">
      <c r="A403" s="15"/>
      <c r="B403" s="154"/>
      <c r="C403" s="78"/>
      <c r="D403" s="78"/>
      <c r="F403" s="16"/>
      <c r="K403" s="16"/>
      <c r="L403" s="9"/>
      <c r="N403" s="71"/>
    </row>
    <row r="404" spans="1:14" ht="12.75">
      <c r="A404" s="15"/>
      <c r="B404" s="154"/>
      <c r="C404" s="78"/>
      <c r="D404" s="78"/>
      <c r="F404" s="16"/>
      <c r="K404" s="16"/>
      <c r="L404" s="9"/>
      <c r="N404" s="71"/>
    </row>
    <row r="405" spans="1:14" ht="12.75">
      <c r="A405" s="15"/>
      <c r="B405" s="154"/>
      <c r="C405" s="78"/>
      <c r="D405" s="78"/>
      <c r="F405" s="16"/>
      <c r="K405" s="16"/>
      <c r="L405" s="9"/>
      <c r="N405" s="71"/>
    </row>
    <row r="406" spans="1:14" ht="12.75">
      <c r="A406" s="15"/>
      <c r="B406" s="154"/>
      <c r="C406" s="78"/>
      <c r="D406" s="78"/>
      <c r="F406" s="16"/>
      <c r="K406" s="16"/>
      <c r="L406" s="9"/>
      <c r="N406" s="71"/>
    </row>
    <row r="407" spans="1:14" ht="12.75">
      <c r="A407" s="15"/>
      <c r="B407" s="154"/>
      <c r="C407" s="78"/>
      <c r="D407" s="78"/>
      <c r="F407" s="16"/>
      <c r="K407" s="16"/>
      <c r="L407" s="9"/>
      <c r="N407" s="71"/>
    </row>
    <row r="408" spans="1:14" ht="12.75">
      <c r="A408" s="15"/>
      <c r="B408" s="154"/>
      <c r="C408" s="78"/>
      <c r="D408" s="78"/>
      <c r="F408" s="16"/>
      <c r="K408" s="16"/>
      <c r="L408" s="9"/>
      <c r="N408" s="71"/>
    </row>
    <row r="409" spans="1:14" ht="12.75">
      <c r="A409" s="15"/>
      <c r="B409" s="154"/>
      <c r="C409" s="78"/>
      <c r="D409" s="78"/>
      <c r="F409" s="16"/>
      <c r="K409" s="16"/>
      <c r="L409" s="9"/>
      <c r="N409" s="71"/>
    </row>
    <row r="410" spans="1:14" ht="12.75">
      <c r="A410" s="15"/>
      <c r="B410" s="154"/>
      <c r="C410" s="78"/>
      <c r="D410" s="78"/>
      <c r="F410" s="16"/>
      <c r="K410" s="16"/>
      <c r="L410" s="9"/>
      <c r="N410" s="71"/>
    </row>
    <row r="411" spans="1:14" ht="12.75">
      <c r="A411" s="15"/>
      <c r="B411" s="154"/>
      <c r="C411" s="78"/>
      <c r="D411" s="78"/>
      <c r="F411" s="16"/>
      <c r="K411" s="16"/>
      <c r="L411" s="9"/>
      <c r="N411" s="71"/>
    </row>
    <row r="412" spans="1:14" ht="12.75">
      <c r="A412" s="15"/>
      <c r="B412" s="154"/>
      <c r="C412" s="78"/>
      <c r="D412" s="78"/>
      <c r="F412" s="16"/>
      <c r="K412" s="16"/>
      <c r="L412" s="9"/>
      <c r="N412" s="71"/>
    </row>
    <row r="413" spans="1:14" ht="12.75">
      <c r="A413" s="15"/>
      <c r="B413" s="154"/>
      <c r="C413" s="78"/>
      <c r="D413" s="78"/>
      <c r="F413" s="16"/>
      <c r="K413" s="16"/>
      <c r="L413" s="9"/>
      <c r="N413" s="71"/>
    </row>
    <row r="414" spans="1:14" ht="12.75">
      <c r="A414" s="15"/>
      <c r="B414" s="154"/>
      <c r="C414" s="78"/>
      <c r="D414" s="78"/>
      <c r="F414" s="16"/>
      <c r="K414" s="16"/>
      <c r="L414" s="9"/>
      <c r="N414" s="71"/>
    </row>
    <row r="415" spans="1:14" ht="12.75">
      <c r="A415" s="15"/>
      <c r="B415" s="154"/>
      <c r="C415" s="78"/>
      <c r="D415" s="78"/>
      <c r="F415" s="16"/>
      <c r="K415" s="16"/>
      <c r="L415" s="9"/>
      <c r="N415" s="71"/>
    </row>
    <row r="416" spans="1:14" ht="12.75">
      <c r="A416" s="15"/>
      <c r="B416" s="154"/>
      <c r="C416" s="78"/>
      <c r="D416" s="78"/>
      <c r="F416" s="16"/>
      <c r="K416" s="16"/>
      <c r="L416" s="9"/>
      <c r="N416" s="71"/>
    </row>
    <row r="417" spans="1:14" ht="12.75">
      <c r="A417" s="15"/>
      <c r="B417" s="154"/>
      <c r="C417" s="78"/>
      <c r="D417" s="78"/>
      <c r="F417" s="16"/>
      <c r="K417" s="16"/>
      <c r="L417" s="9"/>
      <c r="N417" s="71"/>
    </row>
    <row r="418" spans="1:14" ht="12.75">
      <c r="A418" s="15"/>
      <c r="B418" s="154"/>
      <c r="C418" s="78"/>
      <c r="D418" s="78"/>
      <c r="F418" s="16"/>
      <c r="K418" s="16"/>
      <c r="L418" s="9"/>
      <c r="N418" s="71"/>
    </row>
    <row r="419" spans="1:14" ht="12.75">
      <c r="A419" s="15"/>
      <c r="B419" s="154"/>
      <c r="C419" s="78"/>
      <c r="D419" s="78"/>
      <c r="F419" s="16"/>
      <c r="K419" s="16"/>
      <c r="L419" s="9"/>
      <c r="N419" s="71"/>
    </row>
    <row r="420" spans="1:14" ht="12.75">
      <c r="A420" s="15"/>
      <c r="B420" s="154"/>
      <c r="C420" s="78"/>
      <c r="D420" s="78"/>
      <c r="F420" s="16"/>
      <c r="K420" s="16"/>
      <c r="L420" s="9"/>
      <c r="N420" s="71"/>
    </row>
    <row r="421" spans="1:14" ht="12.75">
      <c r="A421" s="15"/>
      <c r="B421" s="154"/>
      <c r="C421" s="78"/>
      <c r="D421" s="78"/>
      <c r="F421" s="16"/>
      <c r="K421" s="16"/>
      <c r="L421" s="9"/>
      <c r="N421" s="71"/>
    </row>
    <row r="422" spans="1:14" ht="12.75">
      <c r="A422" s="15"/>
      <c r="B422" s="154"/>
      <c r="C422" s="78"/>
      <c r="D422" s="78"/>
      <c r="F422" s="16"/>
      <c r="K422" s="16"/>
      <c r="L422" s="9"/>
      <c r="N422" s="71"/>
    </row>
    <row r="423" spans="1:14" ht="12.75">
      <c r="A423" s="15"/>
      <c r="B423" s="154"/>
      <c r="C423" s="78"/>
      <c r="D423" s="78"/>
      <c r="F423" s="16"/>
      <c r="K423" s="16"/>
      <c r="L423" s="9"/>
      <c r="N423" s="71"/>
    </row>
    <row r="424" spans="1:14" ht="12.75">
      <c r="A424" s="15"/>
      <c r="B424" s="154"/>
      <c r="C424" s="78"/>
      <c r="D424" s="78"/>
      <c r="F424" s="16"/>
      <c r="K424" s="16"/>
      <c r="L424" s="9"/>
      <c r="N424" s="71"/>
    </row>
    <row r="425" spans="1:14" ht="12.75">
      <c r="A425" s="15"/>
      <c r="B425" s="154"/>
      <c r="C425" s="78"/>
      <c r="D425" s="78"/>
      <c r="F425" s="16"/>
      <c r="K425" s="16"/>
      <c r="L425" s="9"/>
      <c r="N425" s="71"/>
    </row>
    <row r="426" spans="1:14" ht="12.75">
      <c r="A426" s="15"/>
      <c r="B426" s="154"/>
      <c r="C426" s="78"/>
      <c r="D426" s="78"/>
      <c r="F426" s="16"/>
      <c r="K426" s="16"/>
      <c r="L426" s="9"/>
      <c r="N426" s="71"/>
    </row>
    <row r="427" spans="1:14" ht="12.75">
      <c r="A427" s="15"/>
      <c r="B427" s="154"/>
      <c r="C427" s="78"/>
      <c r="D427" s="78"/>
      <c r="F427" s="16"/>
      <c r="K427" s="16"/>
      <c r="L427" s="9"/>
      <c r="N427" s="71"/>
    </row>
    <row r="428" spans="1:14" ht="12.75">
      <c r="A428" s="15"/>
      <c r="B428" s="154"/>
      <c r="C428" s="78"/>
      <c r="D428" s="78"/>
      <c r="F428" s="16"/>
      <c r="K428" s="16"/>
      <c r="L428" s="9"/>
      <c r="N428" s="71"/>
    </row>
    <row r="429" spans="1:14" ht="12.75">
      <c r="A429" s="15"/>
      <c r="B429" s="154"/>
      <c r="C429" s="78"/>
      <c r="D429" s="78"/>
      <c r="F429" s="16"/>
      <c r="K429" s="16"/>
      <c r="L429" s="9"/>
      <c r="N429" s="71"/>
    </row>
    <row r="430" spans="1:14" ht="12.75">
      <c r="A430" s="15"/>
      <c r="B430" s="154"/>
      <c r="C430" s="78"/>
      <c r="D430" s="78"/>
      <c r="F430" s="16"/>
      <c r="K430" s="16"/>
      <c r="L430" s="9"/>
      <c r="N430" s="71"/>
    </row>
    <row r="431" spans="1:14" ht="12.75">
      <c r="A431" s="15"/>
      <c r="B431" s="154"/>
      <c r="C431" s="78"/>
      <c r="D431" s="78"/>
      <c r="F431" s="16"/>
      <c r="K431" s="16"/>
      <c r="L431" s="9"/>
      <c r="N431" s="71"/>
    </row>
    <row r="432" spans="1:14" ht="12.75">
      <c r="A432" s="15"/>
      <c r="B432" s="154"/>
      <c r="C432" s="78"/>
      <c r="D432" s="78"/>
      <c r="F432" s="16"/>
      <c r="K432" s="16"/>
      <c r="L432" s="9"/>
      <c r="N432" s="71"/>
    </row>
    <row r="433" spans="1:14" ht="12.75">
      <c r="A433" s="15"/>
      <c r="B433" s="154"/>
      <c r="C433" s="78"/>
      <c r="D433" s="78"/>
      <c r="F433" s="16"/>
      <c r="K433" s="16"/>
      <c r="L433" s="9"/>
      <c r="N433" s="71"/>
    </row>
    <row r="434" spans="1:14" ht="12.75">
      <c r="A434" s="15"/>
      <c r="B434" s="154"/>
      <c r="C434" s="78"/>
      <c r="D434" s="78"/>
      <c r="F434" s="16"/>
      <c r="K434" s="16"/>
      <c r="L434" s="9"/>
      <c r="N434" s="71"/>
    </row>
    <row r="435" spans="1:14" ht="12.75">
      <c r="A435" s="15"/>
      <c r="B435" s="154"/>
      <c r="C435" s="78"/>
      <c r="D435" s="78"/>
      <c r="F435" s="16"/>
      <c r="K435" s="16"/>
      <c r="L435" s="9"/>
      <c r="N435" s="71"/>
    </row>
    <row r="436" spans="1:14" ht="12.75">
      <c r="A436" s="15"/>
      <c r="B436" s="154"/>
      <c r="C436" s="78"/>
      <c r="D436" s="78"/>
      <c r="F436" s="16"/>
      <c r="K436" s="16"/>
      <c r="L436" s="9"/>
      <c r="N436" s="71"/>
    </row>
    <row r="437" spans="1:14" ht="12.75">
      <c r="A437" s="15"/>
      <c r="B437" s="154"/>
      <c r="C437" s="78"/>
      <c r="D437" s="78"/>
      <c r="F437" s="16"/>
      <c r="K437" s="16"/>
      <c r="L437" s="9"/>
      <c r="N437" s="71"/>
    </row>
    <row r="438" spans="1:14" ht="12.75">
      <c r="A438" s="15"/>
      <c r="B438" s="154"/>
      <c r="C438" s="78"/>
      <c r="D438" s="78"/>
      <c r="F438" s="16"/>
      <c r="K438" s="16"/>
      <c r="L438" s="9"/>
      <c r="N438" s="71"/>
    </row>
    <row r="439" spans="1:14" ht="12.75">
      <c r="A439" s="15"/>
      <c r="B439" s="154"/>
      <c r="C439" s="78"/>
      <c r="D439" s="78"/>
      <c r="F439" s="16"/>
      <c r="K439" s="16"/>
      <c r="L439" s="9"/>
      <c r="N439" s="71"/>
    </row>
    <row r="440" spans="1:14" ht="12.75">
      <c r="A440" s="15"/>
      <c r="B440" s="154"/>
      <c r="C440" s="78"/>
      <c r="D440" s="78"/>
      <c r="F440" s="16"/>
      <c r="K440" s="16"/>
      <c r="L440" s="9"/>
      <c r="N440" s="71"/>
    </row>
    <row r="441" spans="1:14" ht="12.75">
      <c r="A441" s="15"/>
      <c r="B441" s="154"/>
      <c r="C441" s="78"/>
      <c r="D441" s="78"/>
      <c r="F441" s="16"/>
      <c r="K441" s="16"/>
      <c r="L441" s="9"/>
      <c r="N441" s="71"/>
    </row>
    <row r="442" spans="1:14" ht="12.75">
      <c r="A442" s="15"/>
      <c r="B442" s="154"/>
      <c r="C442" s="78"/>
      <c r="D442" s="78"/>
      <c r="F442" s="16"/>
      <c r="K442" s="16"/>
      <c r="L442" s="9"/>
      <c r="N442" s="71"/>
    </row>
    <row r="443" spans="1:14" ht="12.75">
      <c r="A443" s="15"/>
      <c r="B443" s="154"/>
      <c r="C443" s="78"/>
      <c r="D443" s="78"/>
      <c r="F443" s="16"/>
      <c r="K443" s="16"/>
      <c r="L443" s="9"/>
      <c r="N443" s="71"/>
    </row>
    <row r="444" spans="1:14" ht="12.75">
      <c r="A444" s="15"/>
      <c r="B444" s="154"/>
      <c r="C444" s="78"/>
      <c r="D444" s="78"/>
      <c r="F444" s="16"/>
      <c r="K444" s="16"/>
      <c r="L444" s="9"/>
      <c r="N444" s="71"/>
    </row>
    <row r="445" spans="1:14" ht="12.75">
      <c r="A445" s="15"/>
      <c r="B445" s="154"/>
      <c r="C445" s="78"/>
      <c r="D445" s="78"/>
      <c r="F445" s="16"/>
      <c r="K445" s="16"/>
      <c r="L445" s="9"/>
      <c r="N445" s="71"/>
    </row>
    <row r="446" spans="1:14" ht="12.75">
      <c r="A446" s="15"/>
      <c r="B446" s="154"/>
      <c r="C446" s="78"/>
      <c r="D446" s="78"/>
      <c r="F446" s="16"/>
      <c r="K446" s="16"/>
      <c r="L446" s="9"/>
      <c r="N446" s="71"/>
    </row>
    <row r="447" spans="1:14" ht="12.75">
      <c r="A447" s="15"/>
      <c r="B447" s="154"/>
      <c r="C447" s="78"/>
      <c r="D447" s="78"/>
      <c r="F447" s="16"/>
      <c r="K447" s="16"/>
      <c r="L447" s="9"/>
      <c r="N447" s="71"/>
    </row>
    <row r="448" spans="1:14" ht="12.75">
      <c r="A448" s="15"/>
      <c r="B448" s="154"/>
      <c r="C448" s="78"/>
      <c r="D448" s="78"/>
      <c r="F448" s="16"/>
      <c r="K448" s="16"/>
      <c r="L448" s="9"/>
      <c r="N448" s="71"/>
    </row>
    <row r="449" spans="1:14" ht="12.75">
      <c r="A449" s="15"/>
      <c r="B449" s="154"/>
      <c r="C449" s="78"/>
      <c r="D449" s="78"/>
      <c r="F449" s="16"/>
      <c r="K449" s="16"/>
      <c r="L449" s="9"/>
      <c r="N449" s="71"/>
    </row>
    <row r="450" spans="1:14" ht="12.75">
      <c r="A450" s="15"/>
      <c r="B450" s="154"/>
      <c r="C450" s="78"/>
      <c r="D450" s="78"/>
      <c r="F450" s="16"/>
      <c r="K450" s="16"/>
      <c r="L450" s="9"/>
      <c r="N450" s="71"/>
    </row>
    <row r="451" spans="1:14" ht="12.75">
      <c r="A451" s="15"/>
      <c r="B451" s="154"/>
      <c r="C451" s="78"/>
      <c r="D451" s="78"/>
      <c r="F451" s="16"/>
      <c r="K451" s="16"/>
      <c r="L451" s="9"/>
      <c r="N451" s="71"/>
    </row>
    <row r="452" spans="1:14" ht="12.75">
      <c r="A452" s="15"/>
      <c r="B452" s="154"/>
      <c r="C452" s="78"/>
      <c r="D452" s="78"/>
      <c r="F452" s="16"/>
      <c r="K452" s="16"/>
      <c r="L452" s="9"/>
      <c r="N452" s="71"/>
    </row>
    <row r="453" spans="1:14" ht="12.75">
      <c r="A453" s="15"/>
      <c r="B453" s="154"/>
      <c r="C453" s="78"/>
      <c r="D453" s="78"/>
      <c r="F453" s="16"/>
      <c r="K453" s="16"/>
      <c r="L453" s="9"/>
      <c r="N453" s="71"/>
    </row>
    <row r="454" spans="1:14" ht="12.75">
      <c r="A454" s="15"/>
      <c r="B454" s="154"/>
      <c r="C454" s="78"/>
      <c r="D454" s="78"/>
      <c r="F454" s="16"/>
      <c r="K454" s="16"/>
      <c r="L454" s="9"/>
      <c r="N454" s="71"/>
    </row>
    <row r="455" spans="1:14" ht="12.75">
      <c r="A455" s="15"/>
      <c r="B455" s="154"/>
      <c r="C455" s="78"/>
      <c r="D455" s="78"/>
      <c r="F455" s="16"/>
      <c r="K455" s="16"/>
      <c r="L455" s="9"/>
      <c r="N455" s="71"/>
    </row>
    <row r="456" spans="1:14" ht="12.75">
      <c r="A456" s="15"/>
      <c r="B456" s="154"/>
      <c r="C456" s="78"/>
      <c r="D456" s="78"/>
      <c r="F456" s="16"/>
      <c r="K456" s="16"/>
      <c r="L456" s="9"/>
      <c r="N456" s="71"/>
    </row>
    <row r="457" spans="1:14" ht="12.75">
      <c r="A457" s="15"/>
      <c r="B457" s="154"/>
      <c r="C457" s="78"/>
      <c r="D457" s="78"/>
      <c r="F457" s="16"/>
      <c r="K457" s="16"/>
      <c r="L457" s="9"/>
      <c r="N457" s="71"/>
    </row>
    <row r="458" spans="1:14" ht="12.75">
      <c r="A458" s="15"/>
      <c r="B458" s="154"/>
      <c r="C458" s="78"/>
      <c r="D458" s="78"/>
      <c r="F458" s="16"/>
      <c r="K458" s="16"/>
      <c r="L458" s="9"/>
      <c r="N458" s="71"/>
    </row>
    <row r="459" spans="1:14" ht="12.75">
      <c r="A459" s="15"/>
      <c r="B459" s="154"/>
      <c r="C459" s="78"/>
      <c r="D459" s="78"/>
      <c r="F459" s="16"/>
      <c r="K459" s="16"/>
      <c r="L459" s="9"/>
      <c r="N459" s="71"/>
    </row>
    <row r="460" spans="1:14" ht="12.75">
      <c r="A460" s="15"/>
      <c r="B460" s="154"/>
      <c r="C460" s="78"/>
      <c r="D460" s="78"/>
      <c r="F460" s="16"/>
      <c r="K460" s="16"/>
      <c r="L460" s="9"/>
      <c r="N460" s="71"/>
    </row>
    <row r="461" spans="1:14" ht="12.75">
      <c r="A461" s="15"/>
      <c r="B461" s="154"/>
      <c r="C461" s="78"/>
      <c r="D461" s="78"/>
      <c r="F461" s="16"/>
      <c r="K461" s="16"/>
      <c r="L461" s="9"/>
      <c r="N461" s="71"/>
    </row>
    <row r="462" spans="1:14" ht="12.75">
      <c r="A462" s="15"/>
      <c r="B462" s="154"/>
      <c r="C462" s="78"/>
      <c r="D462" s="78"/>
      <c r="F462" s="16"/>
      <c r="K462" s="16"/>
      <c r="L462" s="9"/>
      <c r="N462" s="71"/>
    </row>
    <row r="463" spans="1:14" ht="12.75">
      <c r="A463" s="15"/>
      <c r="B463" s="154"/>
      <c r="C463" s="78"/>
      <c r="D463" s="78"/>
      <c r="F463" s="16"/>
      <c r="K463" s="16"/>
      <c r="L463" s="9"/>
      <c r="N463" s="71"/>
    </row>
    <row r="464" spans="1:14" ht="12.75">
      <c r="A464" s="15"/>
      <c r="B464" s="154"/>
      <c r="C464" s="78"/>
      <c r="D464" s="78"/>
      <c r="F464" s="16"/>
      <c r="K464" s="16"/>
      <c r="L464" s="9"/>
      <c r="N464" s="71"/>
    </row>
    <row r="465" spans="1:14" ht="12.75">
      <c r="A465" s="15"/>
      <c r="B465" s="154"/>
      <c r="C465" s="78"/>
      <c r="D465" s="78"/>
      <c r="F465" s="16"/>
      <c r="K465" s="16"/>
      <c r="L465" s="9"/>
      <c r="N465" s="71"/>
    </row>
    <row r="466" spans="1:14" ht="12.75">
      <c r="A466" s="15"/>
      <c r="B466" s="154"/>
      <c r="C466" s="78"/>
      <c r="D466" s="78"/>
      <c r="F466" s="16"/>
      <c r="K466" s="16"/>
      <c r="L466" s="9"/>
      <c r="N466" s="71"/>
    </row>
    <row r="467" spans="1:14" ht="12.75">
      <c r="A467" s="15"/>
      <c r="B467" s="154"/>
      <c r="C467" s="78"/>
      <c r="D467" s="78"/>
      <c r="F467" s="16"/>
      <c r="K467" s="16"/>
      <c r="L467" s="9"/>
      <c r="N467" s="71"/>
    </row>
    <row r="468" spans="1:14" ht="12.75">
      <c r="A468" s="15"/>
      <c r="B468" s="154"/>
      <c r="C468" s="78"/>
      <c r="D468" s="78"/>
      <c r="F468" s="16"/>
      <c r="K468" s="16"/>
      <c r="L468" s="9"/>
      <c r="N468" s="71"/>
    </row>
    <row r="469" spans="1:14" ht="12.75">
      <c r="A469" s="15"/>
      <c r="B469" s="154"/>
      <c r="C469" s="78"/>
      <c r="D469" s="78"/>
      <c r="F469" s="16"/>
      <c r="K469" s="16"/>
      <c r="L469" s="9"/>
      <c r="N469" s="71"/>
    </row>
    <row r="470" spans="1:14" ht="12.75">
      <c r="A470" s="15"/>
      <c r="B470" s="154"/>
      <c r="C470" s="78"/>
      <c r="D470" s="78"/>
      <c r="F470" s="16"/>
      <c r="K470" s="16"/>
      <c r="L470" s="9"/>
      <c r="N470" s="71"/>
    </row>
    <row r="471" spans="1:14" ht="12.75">
      <c r="A471" s="15"/>
      <c r="B471" s="154"/>
      <c r="C471" s="78"/>
      <c r="D471" s="78"/>
      <c r="F471" s="16"/>
      <c r="K471" s="16"/>
      <c r="L471" s="9"/>
      <c r="N471" s="71"/>
    </row>
    <row r="472" spans="1:14" ht="12.75">
      <c r="A472" s="15"/>
      <c r="B472" s="154"/>
      <c r="C472" s="78"/>
      <c r="D472" s="78"/>
      <c r="F472" s="16"/>
      <c r="K472" s="16"/>
      <c r="L472" s="9"/>
      <c r="N472" s="71"/>
    </row>
    <row r="473" spans="1:14" ht="12.75">
      <c r="A473" s="15"/>
      <c r="B473" s="154"/>
      <c r="C473" s="78"/>
      <c r="D473" s="78"/>
      <c r="F473" s="16"/>
      <c r="K473" s="16"/>
      <c r="L473" s="9"/>
      <c r="N473" s="71"/>
    </row>
    <row r="474" spans="1:14" ht="12.75">
      <c r="A474" s="15"/>
      <c r="B474" s="154"/>
      <c r="C474" s="78"/>
      <c r="D474" s="78"/>
      <c r="F474" s="16"/>
      <c r="K474" s="16"/>
      <c r="L474" s="9"/>
      <c r="N474" s="71"/>
    </row>
    <row r="475" spans="1:14" ht="12.75">
      <c r="A475" s="15"/>
      <c r="B475" s="154"/>
      <c r="C475" s="78"/>
      <c r="D475" s="78"/>
      <c r="F475" s="16"/>
      <c r="K475" s="16"/>
      <c r="L475" s="9"/>
      <c r="N475" s="71"/>
    </row>
    <row r="476" spans="1:14" ht="12.75">
      <c r="A476" s="15"/>
      <c r="B476" s="154"/>
      <c r="C476" s="78"/>
      <c r="D476" s="78"/>
      <c r="F476" s="16"/>
      <c r="K476" s="16"/>
      <c r="L476" s="9"/>
      <c r="N476" s="71"/>
    </row>
    <row r="477" spans="1:14" ht="12.75">
      <c r="A477" s="15"/>
      <c r="B477" s="154"/>
      <c r="C477" s="78"/>
      <c r="D477" s="78"/>
      <c r="F477" s="16"/>
      <c r="K477" s="16"/>
      <c r="L477" s="9"/>
      <c r="N477" s="71"/>
    </row>
    <row r="478" spans="1:14" ht="12.75">
      <c r="A478" s="15"/>
      <c r="B478" s="154"/>
      <c r="C478" s="78"/>
      <c r="D478" s="78"/>
      <c r="F478" s="16"/>
      <c r="K478" s="16"/>
      <c r="L478" s="9"/>
      <c r="N478" s="71"/>
    </row>
    <row r="479" spans="1:14" ht="12.75">
      <c r="A479" s="15"/>
      <c r="B479" s="154"/>
      <c r="C479" s="78"/>
      <c r="D479" s="78"/>
      <c r="F479" s="16"/>
      <c r="K479" s="16"/>
      <c r="L479" s="9"/>
      <c r="N479" s="71"/>
    </row>
    <row r="480" spans="1:14" ht="12.75">
      <c r="A480" s="15"/>
      <c r="B480" s="154"/>
      <c r="C480" s="78"/>
      <c r="D480" s="78"/>
      <c r="F480" s="16"/>
      <c r="K480" s="16"/>
      <c r="L480" s="9"/>
      <c r="N480" s="71"/>
    </row>
    <row r="481" spans="1:14" ht="12.75">
      <c r="A481" s="15"/>
      <c r="B481" s="154"/>
      <c r="C481" s="78"/>
      <c r="D481" s="78"/>
      <c r="F481" s="16"/>
      <c r="K481" s="16"/>
      <c r="L481" s="9"/>
      <c r="N481" s="71"/>
    </row>
    <row r="482" spans="1:14" ht="12.75">
      <c r="A482" s="15"/>
      <c r="B482" s="154"/>
      <c r="C482" s="78"/>
      <c r="D482" s="78"/>
      <c r="F482" s="16"/>
      <c r="K482" s="16"/>
      <c r="L482" s="9"/>
      <c r="N482" s="71"/>
    </row>
    <row r="483" spans="1:14" ht="12.75">
      <c r="A483" s="15"/>
      <c r="B483" s="154"/>
      <c r="C483" s="78"/>
      <c r="D483" s="78"/>
      <c r="F483" s="16"/>
      <c r="K483" s="16"/>
      <c r="L483" s="9"/>
      <c r="N483" s="71"/>
    </row>
    <row r="484" spans="1:14" ht="12.75">
      <c r="A484" s="15"/>
      <c r="B484" s="154"/>
      <c r="C484" s="78"/>
      <c r="D484" s="78"/>
      <c r="F484" s="16"/>
      <c r="K484" s="16"/>
      <c r="L484" s="9"/>
      <c r="N484" s="71"/>
    </row>
    <row r="485" spans="1:14" ht="12.75">
      <c r="A485" s="15"/>
      <c r="B485" s="154"/>
      <c r="C485" s="78"/>
      <c r="D485" s="78"/>
      <c r="F485" s="16"/>
      <c r="K485" s="16"/>
      <c r="L485" s="9"/>
      <c r="N485" s="71"/>
    </row>
    <row r="486" spans="1:14" ht="12.75">
      <c r="A486" s="15"/>
      <c r="B486" s="154"/>
      <c r="C486" s="78"/>
      <c r="D486" s="78"/>
      <c r="F486" s="16"/>
      <c r="K486" s="16"/>
      <c r="L486" s="9"/>
      <c r="N486" s="71"/>
    </row>
    <row r="487" spans="1:14" ht="12.75">
      <c r="A487" s="15"/>
      <c r="B487" s="154"/>
      <c r="C487" s="78"/>
      <c r="D487" s="78"/>
      <c r="F487" s="16"/>
      <c r="K487" s="16"/>
      <c r="L487" s="9"/>
      <c r="N487" s="71"/>
    </row>
    <row r="488" spans="1:14" ht="12.75">
      <c r="A488" s="15"/>
      <c r="B488" s="154"/>
      <c r="C488" s="78"/>
      <c r="D488" s="78"/>
      <c r="F488" s="16"/>
      <c r="K488" s="16"/>
      <c r="L488" s="9"/>
      <c r="N488" s="71"/>
    </row>
    <row r="489" spans="1:14" ht="12.75">
      <c r="A489" s="15"/>
      <c r="B489" s="154"/>
      <c r="C489" s="78"/>
      <c r="D489" s="78"/>
      <c r="F489" s="16"/>
      <c r="K489" s="16"/>
      <c r="L489" s="9"/>
      <c r="N489" s="71"/>
    </row>
    <row r="490" spans="1:14" ht="12.75">
      <c r="A490" s="15"/>
      <c r="B490" s="154"/>
      <c r="C490" s="78"/>
      <c r="D490" s="78"/>
      <c r="F490" s="16"/>
      <c r="K490" s="16"/>
      <c r="L490" s="9"/>
      <c r="N490" s="71"/>
    </row>
    <row r="491" spans="1:14" ht="12.75">
      <c r="A491" s="15"/>
      <c r="B491" s="154"/>
      <c r="C491" s="78"/>
      <c r="D491" s="78"/>
      <c r="F491" s="16"/>
      <c r="K491" s="16"/>
      <c r="L491" s="9"/>
      <c r="N491" s="71"/>
    </row>
    <row r="492" spans="1:14" ht="12.75">
      <c r="A492" s="15"/>
      <c r="B492" s="154"/>
      <c r="C492" s="78"/>
      <c r="D492" s="78"/>
      <c r="F492" s="16"/>
      <c r="K492" s="16"/>
      <c r="L492" s="9"/>
      <c r="N492" s="71"/>
    </row>
    <row r="493" spans="1:14" ht="12.75">
      <c r="A493" s="15"/>
      <c r="B493" s="154"/>
      <c r="C493" s="78"/>
      <c r="D493" s="78"/>
      <c r="F493" s="16"/>
      <c r="K493" s="16"/>
      <c r="L493" s="9"/>
      <c r="N493" s="71"/>
    </row>
    <row r="494" spans="1:14" ht="12.75">
      <c r="A494" s="15"/>
      <c r="B494" s="154"/>
      <c r="C494" s="78"/>
      <c r="D494" s="78"/>
      <c r="F494" s="16"/>
      <c r="K494" s="16"/>
      <c r="L494" s="9"/>
      <c r="N494" s="71"/>
    </row>
    <row r="495" spans="1:14" ht="12.75">
      <c r="A495" s="15"/>
      <c r="B495" s="154"/>
      <c r="C495" s="78"/>
      <c r="D495" s="78"/>
      <c r="F495" s="16"/>
      <c r="K495" s="16"/>
      <c r="L495" s="9"/>
      <c r="N495" s="71"/>
    </row>
    <row r="496" spans="1:14" ht="12.75">
      <c r="A496" s="15"/>
      <c r="B496" s="154"/>
      <c r="C496" s="78"/>
      <c r="D496" s="78"/>
      <c r="F496" s="16"/>
      <c r="K496" s="16"/>
      <c r="L496" s="9"/>
      <c r="N496" s="71"/>
    </row>
    <row r="497" spans="1:14" ht="12.75">
      <c r="A497" s="15"/>
      <c r="B497" s="154"/>
      <c r="C497" s="78"/>
      <c r="D497" s="78"/>
      <c r="F497" s="16"/>
      <c r="K497" s="16"/>
      <c r="L497" s="9"/>
      <c r="N497" s="71"/>
    </row>
    <row r="498" spans="1:14" ht="12.75">
      <c r="A498" s="15"/>
      <c r="B498" s="154"/>
      <c r="C498" s="78"/>
      <c r="D498" s="78"/>
      <c r="F498" s="16"/>
      <c r="K498" s="16"/>
      <c r="L498" s="9"/>
      <c r="N498" s="71"/>
    </row>
    <row r="499" spans="1:14" ht="12.75">
      <c r="A499" s="15"/>
      <c r="B499" s="154"/>
      <c r="C499" s="78"/>
      <c r="D499" s="78"/>
      <c r="F499" s="16"/>
      <c r="K499" s="16"/>
      <c r="L499" s="9"/>
      <c r="N499" s="71"/>
    </row>
    <row r="500" spans="1:14" ht="12.75">
      <c r="A500" s="15"/>
      <c r="B500" s="154"/>
      <c r="C500" s="78"/>
      <c r="D500" s="78"/>
      <c r="F500" s="16"/>
      <c r="K500" s="16"/>
      <c r="L500" s="9"/>
      <c r="N500" s="71"/>
    </row>
    <row r="501" spans="1:14" ht="12.75">
      <c r="A501" s="15"/>
      <c r="B501" s="154"/>
      <c r="C501" s="78"/>
      <c r="D501" s="78"/>
      <c r="F501" s="16"/>
      <c r="K501" s="16"/>
      <c r="L501" s="9"/>
      <c r="N501" s="71"/>
    </row>
    <row r="502" spans="1:14" ht="12.75">
      <c r="A502" s="15"/>
      <c r="B502" s="154"/>
      <c r="C502" s="78"/>
      <c r="D502" s="78"/>
      <c r="F502" s="16"/>
      <c r="K502" s="16"/>
      <c r="L502" s="9"/>
      <c r="N502" s="71"/>
    </row>
    <row r="503" spans="1:14" ht="12.75">
      <c r="A503" s="15"/>
      <c r="B503" s="154"/>
      <c r="C503" s="78"/>
      <c r="D503" s="78"/>
      <c r="F503" s="16"/>
      <c r="K503" s="16"/>
      <c r="L503" s="9"/>
    </row>
    <row r="504" spans="1:14" ht="12.75">
      <c r="A504" s="15"/>
      <c r="B504" s="154"/>
      <c r="C504" s="78"/>
      <c r="D504" s="78"/>
      <c r="F504" s="16"/>
      <c r="K504" s="16"/>
      <c r="L504" s="9"/>
    </row>
    <row r="505" spans="1:14" ht="12.75">
      <c r="A505" s="15"/>
      <c r="B505" s="154"/>
      <c r="C505" s="78"/>
      <c r="D505" s="78"/>
      <c r="F505" s="16"/>
      <c r="K505" s="16"/>
      <c r="L505" s="9"/>
    </row>
    <row r="506" spans="1:14" ht="12.75">
      <c r="A506" s="15"/>
      <c r="B506" s="154"/>
      <c r="C506" s="78"/>
      <c r="D506" s="78"/>
      <c r="F506" s="16"/>
      <c r="K506" s="16"/>
      <c r="L506" s="9"/>
    </row>
    <row r="507" spans="1:14" ht="12.75">
      <c r="A507" s="15"/>
      <c r="B507" s="154"/>
      <c r="C507" s="78"/>
      <c r="D507" s="78"/>
      <c r="F507" s="16"/>
      <c r="K507" s="16"/>
      <c r="L507" s="9"/>
    </row>
    <row r="508" spans="1:14" ht="12.75">
      <c r="A508" s="15"/>
      <c r="B508" s="154"/>
      <c r="C508" s="78"/>
      <c r="D508" s="78"/>
      <c r="F508" s="16"/>
      <c r="K508" s="16"/>
      <c r="L508" s="9"/>
    </row>
    <row r="509" spans="1:14" ht="12.75">
      <c r="A509" s="15"/>
      <c r="B509" s="154"/>
      <c r="C509" s="78"/>
      <c r="D509" s="78"/>
      <c r="F509" s="16"/>
      <c r="K509" s="16"/>
      <c r="L509" s="9"/>
    </row>
    <row r="510" spans="1:14" ht="12.75">
      <c r="A510" s="15"/>
      <c r="B510" s="154"/>
      <c r="C510" s="78"/>
      <c r="D510" s="78"/>
      <c r="F510" s="16"/>
      <c r="K510" s="16"/>
      <c r="L510" s="9"/>
    </row>
    <row r="511" spans="1:14" ht="12.75">
      <c r="A511" s="15"/>
      <c r="B511" s="154"/>
      <c r="C511" s="78"/>
      <c r="D511" s="78"/>
      <c r="F511" s="16"/>
      <c r="K511" s="16"/>
      <c r="L511" s="9"/>
    </row>
    <row r="512" spans="1:14" ht="12.75">
      <c r="A512" s="15"/>
      <c r="B512" s="154"/>
      <c r="C512" s="78"/>
      <c r="D512" s="78"/>
      <c r="F512" s="16"/>
      <c r="K512" s="16"/>
      <c r="L512" s="9"/>
    </row>
    <row r="513" spans="1:12" ht="12.75">
      <c r="A513" s="15"/>
      <c r="B513" s="154"/>
      <c r="C513" s="78"/>
      <c r="D513" s="78"/>
      <c r="F513" s="16"/>
      <c r="K513" s="16"/>
      <c r="L513" s="9"/>
    </row>
    <row r="514" spans="1:12" ht="12.75">
      <c r="A514" s="15"/>
      <c r="B514" s="154"/>
      <c r="C514" s="78"/>
      <c r="D514" s="78"/>
      <c r="F514" s="16"/>
      <c r="K514" s="16"/>
      <c r="L514" s="9"/>
    </row>
    <row r="515" spans="1:12" ht="12.75">
      <c r="A515" s="15"/>
      <c r="B515" s="154"/>
      <c r="C515" s="78"/>
      <c r="D515" s="78"/>
      <c r="F515" s="16"/>
      <c r="K515" s="16"/>
      <c r="L515" s="9"/>
    </row>
    <row r="516" spans="1:12" ht="12.75">
      <c r="A516" s="15"/>
      <c r="B516" s="154"/>
      <c r="C516" s="78"/>
      <c r="D516" s="78"/>
      <c r="F516" s="16"/>
      <c r="K516" s="16"/>
      <c r="L516" s="9"/>
    </row>
    <row r="517" spans="1:12" ht="12.75">
      <c r="A517" s="15"/>
      <c r="B517" s="154"/>
      <c r="C517" s="78"/>
      <c r="D517" s="78"/>
      <c r="F517" s="16"/>
      <c r="K517" s="16"/>
      <c r="L517" s="9"/>
    </row>
    <row r="518" spans="1:12" ht="12.75">
      <c r="A518" s="15"/>
      <c r="B518" s="154"/>
      <c r="C518" s="78"/>
      <c r="D518" s="78"/>
      <c r="F518" s="16"/>
      <c r="K518" s="16"/>
      <c r="L518" s="9"/>
    </row>
    <row r="519" spans="1:12" ht="12.75">
      <c r="A519" s="15"/>
      <c r="B519" s="154"/>
      <c r="C519" s="78"/>
      <c r="D519" s="78"/>
      <c r="F519" s="16"/>
      <c r="K519" s="16"/>
      <c r="L519" s="9"/>
    </row>
    <row r="520" spans="1:12" ht="12.75">
      <c r="A520" s="15"/>
      <c r="B520" s="154"/>
      <c r="C520" s="78"/>
      <c r="D520" s="78"/>
      <c r="F520" s="16"/>
      <c r="K520" s="16"/>
      <c r="L520" s="9"/>
    </row>
    <row r="521" spans="1:12" ht="12.75">
      <c r="A521" s="15"/>
      <c r="B521" s="154"/>
      <c r="C521" s="78"/>
      <c r="D521" s="78"/>
      <c r="F521" s="16"/>
      <c r="K521" s="16"/>
      <c r="L521" s="9"/>
    </row>
    <row r="522" spans="1:12" ht="12.75">
      <c r="A522" s="15"/>
      <c r="B522" s="154"/>
      <c r="C522" s="78"/>
      <c r="D522" s="78"/>
      <c r="F522" s="16"/>
      <c r="K522" s="16"/>
      <c r="L522" s="9"/>
    </row>
    <row r="523" spans="1:12" ht="12.75">
      <c r="A523" s="15"/>
      <c r="B523" s="154"/>
      <c r="C523" s="78"/>
      <c r="D523" s="78"/>
      <c r="F523" s="16"/>
      <c r="K523" s="16"/>
      <c r="L523" s="9"/>
    </row>
    <row r="524" spans="1:12" ht="12.75">
      <c r="A524" s="15"/>
      <c r="B524" s="154"/>
      <c r="C524" s="78"/>
      <c r="D524" s="78"/>
      <c r="F524" s="16"/>
      <c r="K524" s="16"/>
      <c r="L524" s="9"/>
    </row>
    <row r="525" spans="1:12" ht="12.75">
      <c r="A525" s="15"/>
      <c r="B525" s="154"/>
      <c r="C525" s="78"/>
      <c r="D525" s="78"/>
      <c r="F525" s="16"/>
      <c r="K525" s="16"/>
      <c r="L525" s="9"/>
    </row>
    <row r="526" spans="1:12" ht="12.75">
      <c r="A526" s="15"/>
      <c r="B526" s="154"/>
      <c r="C526" s="78"/>
      <c r="D526" s="78"/>
      <c r="F526" s="16"/>
      <c r="K526" s="16"/>
      <c r="L526" s="9"/>
    </row>
    <row r="527" spans="1:12" ht="12.75">
      <c r="A527" s="15"/>
      <c r="B527" s="154"/>
      <c r="C527" s="78"/>
      <c r="D527" s="78"/>
      <c r="F527" s="16"/>
      <c r="K527" s="16"/>
      <c r="L527" s="9"/>
    </row>
    <row r="528" spans="1:12" ht="12.75">
      <c r="A528" s="15"/>
      <c r="B528" s="154"/>
      <c r="C528" s="78"/>
      <c r="D528" s="78"/>
      <c r="F528" s="16"/>
      <c r="K528" s="16"/>
      <c r="L528" s="9"/>
    </row>
    <row r="529" spans="1:12" ht="12.75">
      <c r="A529" s="15"/>
      <c r="B529" s="154"/>
      <c r="C529" s="78"/>
      <c r="D529" s="78"/>
      <c r="F529" s="16"/>
      <c r="K529" s="16"/>
      <c r="L529" s="9"/>
    </row>
    <row r="530" spans="1:12" ht="12.75">
      <c r="A530" s="15"/>
      <c r="B530" s="154"/>
      <c r="C530" s="78"/>
      <c r="D530" s="78"/>
      <c r="F530" s="16"/>
      <c r="K530" s="16"/>
      <c r="L530" s="9"/>
    </row>
    <row r="531" spans="1:12" ht="12.75">
      <c r="A531" s="15"/>
      <c r="B531" s="154"/>
      <c r="C531" s="78"/>
      <c r="D531" s="78"/>
      <c r="F531" s="16"/>
      <c r="K531" s="16"/>
      <c r="L531" s="9"/>
    </row>
    <row r="532" spans="1:12" ht="12.75">
      <c r="A532" s="15"/>
      <c r="B532" s="154"/>
      <c r="C532" s="78"/>
      <c r="D532" s="78"/>
      <c r="F532" s="16"/>
      <c r="K532" s="16"/>
      <c r="L532" s="9"/>
    </row>
    <row r="533" spans="1:12" ht="12.75">
      <c r="A533" s="15"/>
      <c r="B533" s="154"/>
      <c r="C533" s="78"/>
      <c r="D533" s="78"/>
      <c r="F533" s="16"/>
      <c r="K533" s="16"/>
      <c r="L533" s="9"/>
    </row>
    <row r="534" spans="1:12" ht="12.75">
      <c r="A534" s="15"/>
      <c r="B534" s="154"/>
      <c r="C534" s="78"/>
      <c r="D534" s="78"/>
      <c r="F534" s="16"/>
      <c r="K534" s="16"/>
      <c r="L534" s="9"/>
    </row>
    <row r="535" spans="1:12" ht="12.75">
      <c r="A535" s="15"/>
      <c r="B535" s="154"/>
      <c r="C535" s="78"/>
      <c r="D535" s="78"/>
      <c r="F535" s="16"/>
      <c r="K535" s="16"/>
      <c r="L535" s="9"/>
    </row>
    <row r="536" spans="1:12" ht="12.75">
      <c r="A536" s="15"/>
      <c r="B536" s="154"/>
      <c r="C536" s="78"/>
      <c r="D536" s="78"/>
      <c r="F536" s="16"/>
      <c r="K536" s="16"/>
      <c r="L536" s="9"/>
    </row>
    <row r="537" spans="1:12" ht="12.75">
      <c r="A537" s="15"/>
      <c r="B537" s="154"/>
      <c r="C537" s="78"/>
      <c r="D537" s="78"/>
      <c r="F537" s="16"/>
      <c r="K537" s="16"/>
      <c r="L537" s="9"/>
    </row>
    <row r="538" spans="1:12" ht="12.75">
      <c r="A538" s="15"/>
      <c r="B538" s="154"/>
      <c r="C538" s="78"/>
      <c r="D538" s="78"/>
      <c r="F538" s="16"/>
      <c r="K538" s="16"/>
      <c r="L538" s="9"/>
    </row>
    <row r="539" spans="1:12" ht="12.75">
      <c r="A539" s="15"/>
      <c r="B539" s="154"/>
      <c r="C539" s="78"/>
      <c r="D539" s="78"/>
      <c r="F539" s="16"/>
      <c r="K539" s="16"/>
      <c r="L539" s="9"/>
    </row>
    <row r="540" spans="1:12" ht="12.75">
      <c r="A540" s="15"/>
      <c r="B540" s="154"/>
      <c r="C540" s="78"/>
      <c r="D540" s="78"/>
      <c r="F540" s="16"/>
      <c r="K540" s="16"/>
      <c r="L540" s="9"/>
    </row>
    <row r="541" spans="1:12" ht="12.75">
      <c r="A541" s="15"/>
      <c r="B541" s="154"/>
      <c r="C541" s="78"/>
      <c r="D541" s="78"/>
      <c r="F541" s="16"/>
      <c r="K541" s="16"/>
      <c r="L541" s="9"/>
    </row>
    <row r="542" spans="1:12" ht="12.75">
      <c r="A542" s="15"/>
      <c r="B542" s="154"/>
      <c r="C542" s="78"/>
      <c r="D542" s="78"/>
      <c r="F542" s="16"/>
      <c r="K542" s="16"/>
      <c r="L542" s="9"/>
    </row>
    <row r="543" spans="1:12" ht="12.75">
      <c r="A543" s="15"/>
      <c r="B543" s="154"/>
      <c r="C543" s="78"/>
      <c r="D543" s="78"/>
      <c r="F543" s="16"/>
      <c r="K543" s="16"/>
      <c r="L543" s="9"/>
    </row>
    <row r="544" spans="1:12" ht="12.75">
      <c r="A544" s="15"/>
      <c r="B544" s="154"/>
      <c r="C544" s="78"/>
      <c r="D544" s="78"/>
      <c r="F544" s="16"/>
      <c r="K544" s="16"/>
      <c r="L544" s="9"/>
    </row>
    <row r="545" spans="1:12" ht="12.75">
      <c r="A545" s="15"/>
      <c r="B545" s="154"/>
      <c r="C545" s="78"/>
      <c r="D545" s="78"/>
      <c r="F545" s="16"/>
      <c r="K545" s="16"/>
      <c r="L545" s="9"/>
    </row>
    <row r="546" spans="1:12" ht="12.75">
      <c r="A546" s="15"/>
      <c r="B546" s="154"/>
      <c r="C546" s="78"/>
      <c r="D546" s="78"/>
      <c r="F546" s="16"/>
      <c r="K546" s="16"/>
      <c r="L546" s="9"/>
    </row>
    <row r="547" spans="1:12" ht="12.75">
      <c r="A547" s="15"/>
      <c r="B547" s="154"/>
      <c r="C547" s="78"/>
      <c r="D547" s="78"/>
      <c r="F547" s="16"/>
      <c r="K547" s="16"/>
      <c r="L547" s="9"/>
    </row>
    <row r="548" spans="1:12" ht="12.75">
      <c r="A548" s="15"/>
      <c r="B548" s="154"/>
      <c r="C548" s="78"/>
      <c r="D548" s="78"/>
      <c r="F548" s="16"/>
      <c r="K548" s="16"/>
      <c r="L548" s="9"/>
    </row>
    <row r="549" spans="1:12" ht="12.75">
      <c r="A549" s="15"/>
      <c r="B549" s="154"/>
      <c r="C549" s="78"/>
      <c r="D549" s="78"/>
      <c r="F549" s="16"/>
      <c r="K549" s="16"/>
      <c r="L549" s="9"/>
    </row>
    <row r="550" spans="1:12" ht="12.75">
      <c r="A550" s="15"/>
      <c r="B550" s="154"/>
      <c r="C550" s="78"/>
      <c r="D550" s="78"/>
      <c r="F550" s="16"/>
      <c r="K550" s="16"/>
      <c r="L550" s="9"/>
    </row>
    <row r="551" spans="1:12" ht="12.75">
      <c r="A551" s="15"/>
      <c r="B551" s="154"/>
      <c r="C551" s="78"/>
      <c r="D551" s="78"/>
      <c r="F551" s="16"/>
      <c r="K551" s="16"/>
      <c r="L551" s="9"/>
    </row>
    <row r="552" spans="1:12" ht="12.75">
      <c r="A552" s="15"/>
      <c r="B552" s="154"/>
      <c r="C552" s="78"/>
      <c r="D552" s="78"/>
      <c r="F552" s="16"/>
      <c r="K552" s="16"/>
      <c r="L552" s="9"/>
    </row>
    <row r="553" spans="1:12" ht="12.75">
      <c r="A553" s="15"/>
      <c r="B553" s="154"/>
      <c r="C553" s="78"/>
      <c r="D553" s="78"/>
      <c r="F553" s="16"/>
      <c r="K553" s="16"/>
      <c r="L553" s="9"/>
    </row>
    <row r="554" spans="1:12" ht="12.75">
      <c r="A554" s="15"/>
      <c r="B554" s="154"/>
      <c r="C554" s="78"/>
      <c r="D554" s="78"/>
      <c r="F554" s="16"/>
      <c r="K554" s="16"/>
      <c r="L554" s="9"/>
    </row>
    <row r="555" spans="1:12" ht="12.75">
      <c r="A555" s="15"/>
      <c r="B555" s="154"/>
      <c r="C555" s="78"/>
      <c r="D555" s="78"/>
      <c r="F555" s="16"/>
      <c r="K555" s="16"/>
      <c r="L555" s="9"/>
    </row>
    <row r="556" spans="1:12" ht="12.75">
      <c r="A556" s="15"/>
      <c r="B556" s="154"/>
      <c r="C556" s="78"/>
      <c r="D556" s="78"/>
      <c r="F556" s="16"/>
      <c r="K556" s="16"/>
      <c r="L556" s="9"/>
    </row>
    <row r="557" spans="1:12" ht="12.75">
      <c r="A557" s="15"/>
      <c r="B557" s="154"/>
      <c r="C557" s="78"/>
      <c r="D557" s="78"/>
      <c r="F557" s="16"/>
      <c r="K557" s="16"/>
      <c r="L557" s="9"/>
    </row>
    <row r="558" spans="1:12" ht="12.75">
      <c r="A558" s="15"/>
      <c r="B558" s="154"/>
      <c r="C558" s="78"/>
      <c r="D558" s="78"/>
      <c r="F558" s="16"/>
      <c r="K558" s="16"/>
      <c r="L558" s="9"/>
    </row>
    <row r="559" spans="1:12" ht="12.75">
      <c r="A559" s="15"/>
      <c r="B559" s="154"/>
      <c r="C559" s="78"/>
      <c r="D559" s="78"/>
      <c r="F559" s="16"/>
      <c r="K559" s="16"/>
      <c r="L559" s="9"/>
    </row>
    <row r="560" spans="1:12" ht="12.75">
      <c r="A560" s="15"/>
      <c r="B560" s="154"/>
      <c r="C560" s="78"/>
      <c r="D560" s="78"/>
      <c r="F560" s="16"/>
      <c r="K560" s="16"/>
      <c r="L560" s="9"/>
    </row>
    <row r="561" spans="1:12" ht="12.75">
      <c r="A561" s="15"/>
      <c r="B561" s="154"/>
      <c r="C561" s="78"/>
      <c r="D561" s="78"/>
      <c r="F561" s="16"/>
      <c r="K561" s="16"/>
      <c r="L561" s="9"/>
    </row>
    <row r="562" spans="1:12" ht="12.75">
      <c r="A562" s="15"/>
      <c r="B562" s="154"/>
      <c r="C562" s="78"/>
      <c r="D562" s="78"/>
      <c r="F562" s="16"/>
      <c r="K562" s="16"/>
      <c r="L562" s="9"/>
    </row>
    <row r="563" spans="1:12" ht="12.75">
      <c r="A563" s="15"/>
      <c r="B563" s="154"/>
      <c r="C563" s="78"/>
      <c r="D563" s="78"/>
      <c r="F563" s="16"/>
      <c r="K563" s="16"/>
      <c r="L563" s="9"/>
    </row>
    <row r="564" spans="1:12" ht="12.75">
      <c r="A564" s="15"/>
      <c r="B564" s="154"/>
      <c r="C564" s="78"/>
      <c r="D564" s="78"/>
      <c r="F564" s="16"/>
      <c r="K564" s="16"/>
      <c r="L564" s="9"/>
    </row>
    <row r="565" spans="1:12" ht="12.75">
      <c r="A565" s="15"/>
      <c r="B565" s="154"/>
      <c r="C565" s="78"/>
      <c r="D565" s="78"/>
      <c r="F565" s="16"/>
      <c r="K565" s="16"/>
      <c r="L565" s="9"/>
    </row>
    <row r="566" spans="1:12" ht="12.75">
      <c r="A566" s="15"/>
      <c r="B566" s="154"/>
      <c r="C566" s="78"/>
      <c r="D566" s="78"/>
      <c r="F566" s="16"/>
      <c r="K566" s="16"/>
      <c r="L566" s="9"/>
    </row>
    <row r="567" spans="1:12" ht="12.75">
      <c r="A567" s="15"/>
      <c r="B567" s="154"/>
      <c r="C567" s="78"/>
      <c r="D567" s="78"/>
      <c r="F567" s="16"/>
      <c r="K567" s="16"/>
      <c r="L567" s="9"/>
    </row>
    <row r="568" spans="1:12" ht="12.75">
      <c r="A568" s="15"/>
      <c r="B568" s="154"/>
      <c r="C568" s="78"/>
      <c r="D568" s="78"/>
      <c r="F568" s="16"/>
      <c r="K568" s="16"/>
      <c r="L568" s="9"/>
    </row>
    <row r="569" spans="1:12" ht="12.75">
      <c r="A569" s="15"/>
      <c r="B569" s="154"/>
      <c r="C569" s="78"/>
      <c r="D569" s="78"/>
      <c r="F569" s="16"/>
      <c r="K569" s="16"/>
      <c r="L569" s="9"/>
    </row>
    <row r="570" spans="1:12" ht="12.75">
      <c r="A570" s="15"/>
      <c r="B570" s="154"/>
      <c r="C570" s="78"/>
      <c r="D570" s="78"/>
      <c r="F570" s="16"/>
      <c r="K570" s="16"/>
      <c r="L570" s="9"/>
    </row>
    <row r="571" spans="1:12" ht="12.75">
      <c r="A571" s="15"/>
      <c r="B571" s="154"/>
      <c r="C571" s="78"/>
      <c r="D571" s="78"/>
      <c r="F571" s="16"/>
      <c r="K571" s="16"/>
      <c r="L571" s="9"/>
    </row>
    <row r="572" spans="1:12" ht="12.75">
      <c r="A572" s="15"/>
      <c r="B572" s="154"/>
      <c r="C572" s="78"/>
      <c r="D572" s="78"/>
      <c r="F572" s="16"/>
      <c r="K572" s="16"/>
      <c r="L572" s="9"/>
    </row>
    <row r="573" spans="1:12" ht="12.75">
      <c r="A573" s="15"/>
      <c r="B573" s="154"/>
      <c r="C573" s="78"/>
      <c r="D573" s="78"/>
      <c r="F573" s="16"/>
      <c r="K573" s="16"/>
      <c r="L573" s="9"/>
    </row>
    <row r="574" spans="1:12" ht="12.75">
      <c r="A574" s="15"/>
      <c r="B574" s="154"/>
      <c r="C574" s="78"/>
      <c r="D574" s="78"/>
      <c r="F574" s="16"/>
      <c r="K574" s="16"/>
      <c r="L574" s="9"/>
    </row>
    <row r="575" spans="1:12" ht="12.75">
      <c r="A575" s="15"/>
      <c r="B575" s="154"/>
      <c r="C575" s="78"/>
      <c r="D575" s="78"/>
      <c r="F575" s="16"/>
      <c r="K575" s="16"/>
      <c r="L575" s="9"/>
    </row>
    <row r="576" spans="1:12" ht="12.75">
      <c r="A576" s="15"/>
      <c r="B576" s="154"/>
      <c r="C576" s="78"/>
      <c r="D576" s="78"/>
      <c r="F576" s="16"/>
      <c r="K576" s="16"/>
      <c r="L576" s="9"/>
    </row>
    <row r="577" spans="1:12" ht="12.75">
      <c r="A577" s="15"/>
      <c r="B577" s="154"/>
      <c r="C577" s="78"/>
      <c r="D577" s="78"/>
      <c r="F577" s="16"/>
      <c r="K577" s="16"/>
      <c r="L577" s="9"/>
    </row>
    <row r="578" spans="1:12" ht="12.75">
      <c r="A578" s="15"/>
      <c r="B578" s="154"/>
      <c r="C578" s="78"/>
      <c r="D578" s="78"/>
      <c r="F578" s="16"/>
      <c r="K578" s="16"/>
      <c r="L578" s="9"/>
    </row>
    <row r="579" spans="1:12" ht="12.75">
      <c r="A579" s="15"/>
      <c r="B579" s="154"/>
      <c r="C579" s="78"/>
      <c r="D579" s="78"/>
      <c r="F579" s="16"/>
      <c r="K579" s="16"/>
      <c r="L579" s="9"/>
    </row>
    <row r="580" spans="1:12" ht="12.75">
      <c r="A580" s="15"/>
      <c r="B580" s="154"/>
      <c r="C580" s="78"/>
      <c r="D580" s="78"/>
      <c r="F580" s="16"/>
      <c r="K580" s="16"/>
      <c r="L580" s="9"/>
    </row>
    <row r="581" spans="1:12" ht="12.75">
      <c r="A581" s="15"/>
      <c r="B581" s="154"/>
      <c r="C581" s="78"/>
      <c r="D581" s="78"/>
      <c r="F581" s="16"/>
      <c r="K581" s="16"/>
      <c r="L581" s="9"/>
    </row>
    <row r="582" spans="1:12" ht="12.75">
      <c r="A582" s="15"/>
      <c r="B582" s="154"/>
      <c r="C582" s="78"/>
      <c r="D582" s="78"/>
      <c r="F582" s="16"/>
      <c r="K582" s="16"/>
      <c r="L582" s="9"/>
    </row>
    <row r="583" spans="1:12" ht="12.75">
      <c r="A583" s="15"/>
      <c r="B583" s="154"/>
      <c r="C583" s="78"/>
      <c r="D583" s="78"/>
      <c r="F583" s="16"/>
      <c r="K583" s="16"/>
      <c r="L583" s="9"/>
    </row>
    <row r="584" spans="1:12" ht="12.75">
      <c r="A584" s="15"/>
      <c r="B584" s="154"/>
      <c r="C584" s="78"/>
      <c r="D584" s="78"/>
      <c r="F584" s="16"/>
      <c r="K584" s="16"/>
      <c r="L584" s="9"/>
    </row>
    <row r="585" spans="1:12" ht="12.75">
      <c r="A585" s="15"/>
      <c r="B585" s="154"/>
      <c r="C585" s="78"/>
      <c r="D585" s="78"/>
      <c r="F585" s="16"/>
      <c r="K585" s="16"/>
      <c r="L585" s="9"/>
    </row>
    <row r="586" spans="1:12" ht="12.75">
      <c r="A586" s="15"/>
      <c r="B586" s="154"/>
      <c r="C586" s="78"/>
      <c r="D586" s="78"/>
      <c r="F586" s="16"/>
      <c r="K586" s="16"/>
      <c r="L586" s="9"/>
    </row>
    <row r="587" spans="1:12" ht="12.75">
      <c r="A587" s="15"/>
      <c r="B587" s="154"/>
      <c r="C587" s="78"/>
      <c r="D587" s="78"/>
      <c r="F587" s="16"/>
      <c r="K587" s="16"/>
      <c r="L587" s="9"/>
    </row>
    <row r="588" spans="1:12" ht="12.75">
      <c r="A588" s="15"/>
      <c r="B588" s="154"/>
      <c r="C588" s="78"/>
      <c r="D588" s="78"/>
      <c r="F588" s="16"/>
      <c r="K588" s="16"/>
      <c r="L588" s="9"/>
    </row>
    <row r="589" spans="1:12" ht="12.75">
      <c r="A589" s="15"/>
      <c r="B589" s="154"/>
      <c r="C589" s="78"/>
      <c r="D589" s="78"/>
      <c r="F589" s="16"/>
      <c r="K589" s="16"/>
      <c r="L589" s="9"/>
    </row>
    <row r="590" spans="1:12" ht="12.75">
      <c r="A590" s="15"/>
      <c r="B590" s="154"/>
      <c r="C590" s="78"/>
      <c r="D590" s="78"/>
      <c r="F590" s="16"/>
      <c r="K590" s="16"/>
      <c r="L590" s="9"/>
    </row>
    <row r="591" spans="1:12" ht="12.75">
      <c r="A591" s="15"/>
      <c r="B591" s="154"/>
      <c r="C591" s="78"/>
      <c r="D591" s="78"/>
      <c r="F591" s="16"/>
      <c r="K591" s="16"/>
      <c r="L591" s="9"/>
    </row>
    <row r="592" spans="1:12" ht="12.75">
      <c r="A592" s="15"/>
      <c r="B592" s="154"/>
      <c r="C592" s="78"/>
      <c r="D592" s="78"/>
      <c r="F592" s="16"/>
      <c r="K592" s="16"/>
      <c r="L592" s="9"/>
    </row>
    <row r="593" spans="1:12" ht="12.75">
      <c r="A593" s="15"/>
      <c r="B593" s="154"/>
      <c r="C593" s="78"/>
      <c r="D593" s="78"/>
      <c r="F593" s="16"/>
      <c r="K593" s="16"/>
      <c r="L593" s="9"/>
    </row>
    <row r="594" spans="1:12" ht="12.75">
      <c r="A594" s="15"/>
      <c r="B594" s="154"/>
      <c r="C594" s="78"/>
      <c r="D594" s="78"/>
      <c r="F594" s="16"/>
      <c r="K594" s="16"/>
      <c r="L594" s="9"/>
    </row>
    <row r="595" spans="1:12" ht="12.75">
      <c r="A595" s="15"/>
      <c r="B595" s="154"/>
      <c r="C595" s="78"/>
      <c r="D595" s="78"/>
      <c r="F595" s="16"/>
      <c r="K595" s="16"/>
      <c r="L595" s="9"/>
    </row>
    <row r="596" spans="1:12" ht="12.75">
      <c r="A596" s="15"/>
      <c r="B596" s="154"/>
      <c r="C596" s="78"/>
      <c r="D596" s="78"/>
      <c r="F596" s="16"/>
      <c r="K596" s="16"/>
      <c r="L596" s="9"/>
    </row>
    <row r="597" spans="1:12" ht="12.75">
      <c r="A597" s="15"/>
      <c r="B597" s="154"/>
      <c r="C597" s="78"/>
      <c r="D597" s="78"/>
      <c r="F597" s="16"/>
      <c r="K597" s="16"/>
      <c r="L597" s="9"/>
    </row>
    <row r="598" spans="1:12" ht="12.75">
      <c r="A598" s="15"/>
      <c r="B598" s="154"/>
      <c r="C598" s="78"/>
      <c r="D598" s="78"/>
      <c r="F598" s="16"/>
      <c r="K598" s="16"/>
      <c r="L598" s="9"/>
    </row>
    <row r="599" spans="1:12" ht="12.75">
      <c r="A599" s="15"/>
      <c r="B599" s="154"/>
      <c r="C599" s="78"/>
      <c r="D599" s="78"/>
      <c r="F599" s="16"/>
      <c r="K599" s="16"/>
      <c r="L599" s="9"/>
    </row>
    <row r="600" spans="1:12" ht="12.75">
      <c r="A600" s="15"/>
      <c r="B600" s="154"/>
      <c r="C600" s="78"/>
      <c r="D600" s="78"/>
      <c r="F600" s="16"/>
      <c r="K600" s="16"/>
      <c r="L600" s="9"/>
    </row>
    <row r="601" spans="1:12" ht="12.75">
      <c r="A601" s="15"/>
      <c r="B601" s="154"/>
      <c r="C601" s="78"/>
      <c r="D601" s="78"/>
      <c r="F601" s="16"/>
      <c r="K601" s="16"/>
      <c r="L601" s="9"/>
    </row>
    <row r="602" spans="1:12" ht="12.75">
      <c r="A602" s="15"/>
      <c r="B602" s="154"/>
      <c r="C602" s="78"/>
      <c r="D602" s="78"/>
      <c r="F602" s="16"/>
      <c r="K602" s="16"/>
      <c r="L602" s="9"/>
    </row>
    <row r="603" spans="1:12" ht="12.75">
      <c r="A603" s="15"/>
      <c r="B603" s="154"/>
      <c r="C603" s="78"/>
      <c r="D603" s="78"/>
      <c r="F603" s="16"/>
      <c r="K603" s="16"/>
      <c r="L603" s="9"/>
    </row>
    <row r="604" spans="1:12" ht="12.75">
      <c r="A604" s="15"/>
      <c r="B604" s="154"/>
      <c r="C604" s="78"/>
      <c r="D604" s="78"/>
      <c r="F604" s="16"/>
      <c r="K604" s="16"/>
      <c r="L604" s="9"/>
    </row>
    <row r="605" spans="1:12" ht="12.75">
      <c r="A605" s="15"/>
      <c r="B605" s="154"/>
      <c r="C605" s="78"/>
      <c r="D605" s="78"/>
      <c r="F605" s="16"/>
      <c r="K605" s="16"/>
      <c r="L605" s="9"/>
    </row>
    <row r="606" spans="1:12" ht="12.75">
      <c r="A606" s="15"/>
      <c r="B606" s="154"/>
      <c r="C606" s="78"/>
      <c r="D606" s="78"/>
      <c r="F606" s="16"/>
      <c r="K606" s="16"/>
      <c r="L606" s="9"/>
    </row>
    <row r="607" spans="1:12" ht="12.75">
      <c r="A607" s="15"/>
      <c r="B607" s="154"/>
      <c r="C607" s="78"/>
      <c r="D607" s="78"/>
      <c r="F607" s="16"/>
      <c r="K607" s="16"/>
      <c r="L607" s="9"/>
    </row>
    <row r="608" spans="1:12" ht="12.75">
      <c r="A608" s="15"/>
      <c r="B608" s="154"/>
      <c r="C608" s="78"/>
      <c r="D608" s="78"/>
      <c r="F608" s="16"/>
      <c r="K608" s="16"/>
      <c r="L608" s="9"/>
    </row>
    <row r="609" spans="1:12" ht="12.75">
      <c r="A609" s="15"/>
      <c r="B609" s="154"/>
      <c r="C609" s="78"/>
      <c r="D609" s="78"/>
      <c r="F609" s="16"/>
      <c r="K609" s="16"/>
      <c r="L609" s="9"/>
    </row>
    <row r="610" spans="1:12" ht="12.75">
      <c r="A610" s="15"/>
      <c r="B610" s="154"/>
      <c r="C610" s="78"/>
      <c r="D610" s="78"/>
      <c r="F610" s="16"/>
      <c r="K610" s="16"/>
      <c r="L610" s="9"/>
    </row>
    <row r="611" spans="1:12" ht="12.75">
      <c r="A611" s="15"/>
      <c r="B611" s="154"/>
      <c r="C611" s="78"/>
      <c r="D611" s="78"/>
      <c r="F611" s="16"/>
      <c r="K611" s="16"/>
      <c r="L611" s="9"/>
    </row>
    <row r="612" spans="1:12" ht="12.75">
      <c r="A612" s="15"/>
      <c r="B612" s="154"/>
      <c r="C612" s="78"/>
      <c r="D612" s="78"/>
      <c r="F612" s="16"/>
      <c r="K612" s="16"/>
      <c r="L612" s="9"/>
    </row>
    <row r="613" spans="1:12" ht="12.75">
      <c r="A613" s="15"/>
      <c r="B613" s="154"/>
      <c r="C613" s="78"/>
      <c r="D613" s="78"/>
      <c r="F613" s="16"/>
      <c r="K613" s="16"/>
      <c r="L613" s="9"/>
    </row>
    <row r="614" spans="1:12" ht="12.75">
      <c r="A614" s="15"/>
      <c r="B614" s="154"/>
      <c r="C614" s="78"/>
      <c r="D614" s="78"/>
      <c r="F614" s="16"/>
      <c r="K614" s="16"/>
      <c r="L614" s="9"/>
    </row>
    <row r="615" spans="1:12" ht="12.75">
      <c r="A615" s="15"/>
      <c r="B615" s="154"/>
      <c r="C615" s="78"/>
      <c r="D615" s="78"/>
      <c r="F615" s="16"/>
      <c r="K615" s="16"/>
      <c r="L615" s="9"/>
    </row>
    <row r="616" spans="1:12" ht="12.75">
      <c r="A616" s="15"/>
      <c r="B616" s="154"/>
      <c r="C616" s="78"/>
      <c r="D616" s="78"/>
      <c r="F616" s="16"/>
      <c r="K616" s="16"/>
      <c r="L616" s="9"/>
    </row>
    <row r="617" spans="1:12" ht="12.75">
      <c r="A617" s="15"/>
      <c r="B617" s="154"/>
      <c r="C617" s="78"/>
      <c r="D617" s="78"/>
      <c r="F617" s="16"/>
      <c r="K617" s="16"/>
      <c r="L617" s="9"/>
    </row>
    <row r="618" spans="1:12" ht="12.75">
      <c r="A618" s="15"/>
      <c r="B618" s="154"/>
      <c r="C618" s="78"/>
      <c r="D618" s="78"/>
      <c r="F618" s="16"/>
      <c r="K618" s="16"/>
      <c r="L618" s="9"/>
    </row>
    <row r="619" spans="1:12" ht="12.75">
      <c r="A619" s="15"/>
      <c r="B619" s="154"/>
      <c r="C619" s="78"/>
      <c r="D619" s="78"/>
      <c r="F619" s="16"/>
      <c r="K619" s="16"/>
      <c r="L619" s="9"/>
    </row>
    <row r="620" spans="1:12" ht="12.75">
      <c r="A620" s="15"/>
      <c r="B620" s="154"/>
      <c r="C620" s="78"/>
      <c r="D620" s="78"/>
      <c r="F620" s="16"/>
      <c r="K620" s="16"/>
      <c r="L620" s="9"/>
    </row>
    <row r="621" spans="1:12" ht="12.75">
      <c r="A621" s="15"/>
      <c r="B621" s="154"/>
      <c r="C621" s="78"/>
      <c r="D621" s="78"/>
      <c r="F621" s="16"/>
      <c r="K621" s="16"/>
      <c r="L621" s="9"/>
    </row>
    <row r="622" spans="1:12" ht="12.75">
      <c r="A622" s="15"/>
      <c r="B622" s="154"/>
      <c r="C622" s="78"/>
      <c r="D622" s="78"/>
      <c r="F622" s="16"/>
      <c r="K622" s="16"/>
      <c r="L622" s="9"/>
    </row>
    <row r="623" spans="1:12" ht="12.75">
      <c r="A623" s="15"/>
      <c r="B623" s="154"/>
      <c r="C623" s="78"/>
      <c r="D623" s="78"/>
      <c r="F623" s="16"/>
      <c r="K623" s="16"/>
      <c r="L623" s="9"/>
    </row>
    <row r="624" spans="1:12" ht="12.75">
      <c r="A624" s="15"/>
      <c r="B624" s="154"/>
      <c r="C624" s="78"/>
      <c r="D624" s="78"/>
      <c r="F624" s="16"/>
      <c r="K624" s="16"/>
      <c r="L624" s="9"/>
    </row>
    <row r="625" spans="1:12" ht="12.75">
      <c r="A625" s="15"/>
      <c r="B625" s="154"/>
      <c r="C625" s="78"/>
      <c r="D625" s="78"/>
      <c r="F625" s="16"/>
      <c r="K625" s="16"/>
      <c r="L625" s="9"/>
    </row>
    <row r="626" spans="1:12" ht="12.75">
      <c r="A626" s="15"/>
      <c r="B626" s="154"/>
      <c r="C626" s="78"/>
      <c r="D626" s="78"/>
      <c r="F626" s="16"/>
      <c r="K626" s="16"/>
      <c r="L626" s="9"/>
    </row>
    <row r="627" spans="1:12" ht="12.75">
      <c r="A627" s="15"/>
      <c r="B627" s="154"/>
      <c r="C627" s="78"/>
      <c r="D627" s="78"/>
      <c r="F627" s="16"/>
      <c r="K627" s="16"/>
      <c r="L627" s="9"/>
    </row>
    <row r="628" spans="1:12" ht="12.75">
      <c r="A628" s="15"/>
      <c r="B628" s="154"/>
      <c r="C628" s="78"/>
      <c r="D628" s="78"/>
      <c r="F628" s="16"/>
      <c r="K628" s="16"/>
      <c r="L628" s="9"/>
    </row>
    <row r="629" spans="1:12" ht="12.75">
      <c r="A629" s="15"/>
      <c r="B629" s="154"/>
      <c r="C629" s="78"/>
      <c r="D629" s="78"/>
      <c r="F629" s="16"/>
      <c r="K629" s="16"/>
      <c r="L629" s="9"/>
    </row>
    <row r="630" spans="1:12" ht="12.75">
      <c r="A630" s="15"/>
      <c r="B630" s="154"/>
      <c r="C630" s="78"/>
      <c r="D630" s="78"/>
      <c r="F630" s="16"/>
      <c r="K630" s="16"/>
      <c r="L630" s="9"/>
    </row>
    <row r="631" spans="1:12" ht="12.75">
      <c r="A631" s="15"/>
      <c r="B631" s="154"/>
      <c r="C631" s="78"/>
      <c r="D631" s="78"/>
      <c r="F631" s="16"/>
      <c r="K631" s="16"/>
      <c r="L631" s="9"/>
    </row>
    <row r="632" spans="1:12" ht="12.75">
      <c r="A632" s="15"/>
      <c r="B632" s="154"/>
      <c r="C632" s="78"/>
      <c r="D632" s="78"/>
      <c r="F632" s="16"/>
      <c r="K632" s="16"/>
      <c r="L632" s="9"/>
    </row>
    <row r="633" spans="1:12" ht="12.75">
      <c r="A633" s="15"/>
      <c r="B633" s="154"/>
      <c r="C633" s="78"/>
      <c r="D633" s="78"/>
      <c r="F633" s="16"/>
      <c r="K633" s="16"/>
      <c r="L633" s="9"/>
    </row>
    <row r="634" spans="1:12" ht="12.75">
      <c r="A634" s="15"/>
      <c r="B634" s="154"/>
      <c r="C634" s="78"/>
      <c r="D634" s="78"/>
      <c r="F634" s="16"/>
      <c r="K634" s="16"/>
      <c r="L634" s="9"/>
    </row>
    <row r="635" spans="1:12" ht="12.75">
      <c r="A635" s="15"/>
      <c r="B635" s="154"/>
      <c r="C635" s="78"/>
      <c r="D635" s="78"/>
      <c r="F635" s="16"/>
      <c r="K635" s="16"/>
      <c r="L635" s="9"/>
    </row>
    <row r="636" spans="1:12" ht="12.75">
      <c r="A636" s="15"/>
      <c r="B636" s="154"/>
      <c r="C636" s="78"/>
      <c r="D636" s="78"/>
      <c r="F636" s="16"/>
      <c r="K636" s="16"/>
      <c r="L636" s="9"/>
    </row>
    <row r="637" spans="1:12" ht="12.75">
      <c r="A637" s="15"/>
      <c r="B637" s="154"/>
      <c r="C637" s="78"/>
      <c r="D637" s="78"/>
      <c r="F637" s="16"/>
      <c r="K637" s="16"/>
      <c r="L637" s="9"/>
    </row>
    <row r="638" spans="1:12" ht="12.75">
      <c r="A638" s="15"/>
      <c r="B638" s="154"/>
      <c r="C638" s="78"/>
      <c r="D638" s="78"/>
      <c r="F638" s="16"/>
      <c r="K638" s="16"/>
      <c r="L638" s="9"/>
    </row>
    <row r="639" spans="1:12" ht="12.75">
      <c r="A639" s="15"/>
      <c r="B639" s="154"/>
      <c r="C639" s="78"/>
      <c r="D639" s="78"/>
      <c r="F639" s="16"/>
      <c r="K639" s="16"/>
      <c r="L639" s="9"/>
    </row>
    <row r="640" spans="1:12" ht="12.75">
      <c r="A640" s="15"/>
      <c r="B640" s="154"/>
      <c r="C640" s="78"/>
      <c r="D640" s="78"/>
      <c r="F640" s="16"/>
      <c r="K640" s="16"/>
      <c r="L640" s="9"/>
    </row>
    <row r="641" spans="1:12" ht="12.75">
      <c r="A641" s="15"/>
      <c r="B641" s="154"/>
      <c r="C641" s="78"/>
      <c r="D641" s="78"/>
      <c r="F641" s="16"/>
      <c r="K641" s="16"/>
      <c r="L641" s="9"/>
    </row>
    <row r="642" spans="1:12" ht="12.75">
      <c r="A642" s="15"/>
      <c r="B642" s="154"/>
      <c r="C642" s="78"/>
      <c r="D642" s="78"/>
      <c r="F642" s="16"/>
      <c r="K642" s="16"/>
      <c r="L642" s="9"/>
    </row>
    <row r="643" spans="1:12" ht="12.75">
      <c r="A643" s="15"/>
      <c r="B643" s="154"/>
      <c r="C643" s="78"/>
      <c r="D643" s="78"/>
      <c r="F643" s="16"/>
      <c r="K643" s="16"/>
      <c r="L643" s="9"/>
    </row>
    <row r="644" spans="1:12" ht="12.75">
      <c r="A644" s="15"/>
      <c r="B644" s="154"/>
      <c r="C644" s="78"/>
      <c r="D644" s="78"/>
      <c r="F644" s="16"/>
      <c r="K644" s="16"/>
      <c r="L644" s="9"/>
    </row>
    <row r="645" spans="1:12" ht="12.75">
      <c r="A645" s="15"/>
      <c r="B645" s="154"/>
      <c r="C645" s="78"/>
      <c r="D645" s="78"/>
      <c r="F645" s="16"/>
      <c r="K645" s="16"/>
      <c r="L645" s="9"/>
    </row>
    <row r="646" spans="1:12" ht="12.75">
      <c r="A646" s="15"/>
      <c r="B646" s="154"/>
      <c r="C646" s="78"/>
      <c r="D646" s="78"/>
      <c r="F646" s="16"/>
      <c r="K646" s="16"/>
      <c r="L646" s="9"/>
    </row>
    <row r="647" spans="1:12" ht="12.75">
      <c r="A647" s="15"/>
      <c r="B647" s="154"/>
      <c r="C647" s="78"/>
      <c r="D647" s="78"/>
      <c r="F647" s="16"/>
      <c r="K647" s="16"/>
      <c r="L647" s="9"/>
    </row>
    <row r="648" spans="1:12" ht="12.75">
      <c r="A648" s="15"/>
      <c r="B648" s="154"/>
      <c r="C648" s="78"/>
      <c r="D648" s="78"/>
      <c r="F648" s="16"/>
      <c r="K648" s="16"/>
      <c r="L648" s="9"/>
    </row>
    <row r="649" spans="1:12" ht="12.75">
      <c r="A649" s="15"/>
      <c r="B649" s="154"/>
      <c r="C649" s="78"/>
      <c r="D649" s="78"/>
      <c r="F649" s="16"/>
      <c r="K649" s="16"/>
      <c r="L649" s="9"/>
    </row>
    <row r="650" spans="1:12" ht="12.75">
      <c r="A650" s="15"/>
      <c r="B650" s="154"/>
      <c r="C650" s="78"/>
      <c r="D650" s="78"/>
      <c r="F650" s="16"/>
      <c r="K650" s="16"/>
      <c r="L650" s="9"/>
    </row>
    <row r="651" spans="1:12" ht="12.75">
      <c r="A651" s="15"/>
      <c r="B651" s="154"/>
      <c r="C651" s="78"/>
      <c r="D651" s="78"/>
      <c r="F651" s="16"/>
      <c r="K651" s="16"/>
      <c r="L651" s="9"/>
    </row>
    <row r="652" spans="1:12" ht="12.75">
      <c r="A652" s="15"/>
      <c r="B652" s="154"/>
      <c r="C652" s="78"/>
      <c r="D652" s="78"/>
      <c r="F652" s="16"/>
      <c r="K652" s="16"/>
      <c r="L652" s="9"/>
    </row>
    <row r="653" spans="1:12" ht="12.75">
      <c r="A653" s="15"/>
      <c r="B653" s="154"/>
      <c r="C653" s="78"/>
      <c r="D653" s="78"/>
      <c r="F653" s="16"/>
      <c r="K653" s="16"/>
      <c r="L653" s="9"/>
    </row>
    <row r="654" spans="1:12" ht="12.75">
      <c r="A654" s="15"/>
      <c r="B654" s="154"/>
      <c r="C654" s="78"/>
      <c r="D654" s="78"/>
      <c r="F654" s="16"/>
      <c r="K654" s="16"/>
      <c r="L654" s="9"/>
    </row>
    <row r="655" spans="1:12" ht="12.75">
      <c r="A655" s="15"/>
      <c r="B655" s="154"/>
      <c r="C655" s="78"/>
      <c r="D655" s="78"/>
      <c r="F655" s="16"/>
      <c r="K655" s="16"/>
      <c r="L655" s="9"/>
    </row>
    <row r="656" spans="1:12" ht="12.75">
      <c r="A656" s="15"/>
      <c r="B656" s="154"/>
      <c r="C656" s="78"/>
      <c r="D656" s="78"/>
      <c r="F656" s="16"/>
      <c r="K656" s="16"/>
      <c r="L656" s="9"/>
    </row>
    <row r="657" spans="1:12" ht="12.75">
      <c r="A657" s="15"/>
      <c r="B657" s="154"/>
      <c r="C657" s="78"/>
      <c r="D657" s="78"/>
      <c r="F657" s="16"/>
      <c r="K657" s="16"/>
      <c r="L657" s="9"/>
    </row>
    <row r="658" spans="1:12" ht="12.75">
      <c r="A658" s="15"/>
      <c r="B658" s="154"/>
      <c r="C658" s="78"/>
      <c r="D658" s="78"/>
      <c r="F658" s="16"/>
      <c r="K658" s="16"/>
      <c r="L658" s="9"/>
    </row>
    <row r="659" spans="1:12" ht="12.75">
      <c r="A659" s="15"/>
      <c r="B659" s="154"/>
      <c r="C659" s="78"/>
      <c r="D659" s="78"/>
      <c r="F659" s="16"/>
      <c r="K659" s="16"/>
      <c r="L659" s="9"/>
    </row>
    <row r="660" spans="1:12" ht="12.75">
      <c r="A660" s="15"/>
      <c r="B660" s="154"/>
      <c r="C660" s="78"/>
      <c r="D660" s="78"/>
      <c r="F660" s="16"/>
      <c r="K660" s="16"/>
      <c r="L660" s="9"/>
    </row>
    <row r="661" spans="1:12" ht="12.75">
      <c r="A661" s="15"/>
      <c r="B661" s="154"/>
      <c r="C661" s="78"/>
      <c r="D661" s="78"/>
      <c r="F661" s="16"/>
      <c r="K661" s="16"/>
      <c r="L661" s="9"/>
    </row>
    <row r="662" spans="1:12" ht="12.75">
      <c r="A662" s="15"/>
      <c r="B662" s="154"/>
      <c r="C662" s="78"/>
      <c r="D662" s="78"/>
      <c r="F662" s="16"/>
      <c r="K662" s="16"/>
      <c r="L662" s="9"/>
    </row>
    <row r="663" spans="1:12" ht="12.75">
      <c r="A663" s="15"/>
      <c r="B663" s="154"/>
      <c r="C663" s="78"/>
      <c r="D663" s="78"/>
      <c r="F663" s="16"/>
      <c r="K663" s="16"/>
      <c r="L663" s="9"/>
    </row>
    <row r="664" spans="1:12" ht="12.75">
      <c r="A664" s="15"/>
      <c r="B664" s="154"/>
      <c r="C664" s="78"/>
      <c r="D664" s="78"/>
      <c r="F664" s="16"/>
      <c r="K664" s="16"/>
      <c r="L664" s="9"/>
    </row>
    <row r="665" spans="1:12" ht="12.75">
      <c r="A665" s="15"/>
      <c r="B665" s="154"/>
      <c r="C665" s="78"/>
      <c r="D665" s="78"/>
      <c r="F665" s="16"/>
      <c r="K665" s="16"/>
      <c r="L665" s="9"/>
    </row>
    <row r="666" spans="1:12" ht="12.75">
      <c r="A666" s="15"/>
      <c r="B666" s="154"/>
      <c r="C666" s="78"/>
      <c r="D666" s="78"/>
      <c r="F666" s="16"/>
      <c r="K666" s="16"/>
      <c r="L666" s="9"/>
    </row>
    <row r="667" spans="1:12" ht="12.75">
      <c r="A667" s="15"/>
      <c r="B667" s="154"/>
      <c r="C667" s="78"/>
      <c r="D667" s="78"/>
      <c r="F667" s="16"/>
      <c r="K667" s="16"/>
      <c r="L667" s="9"/>
    </row>
    <row r="668" spans="1:12" ht="12.75">
      <c r="A668" s="15"/>
      <c r="B668" s="154"/>
      <c r="C668" s="78"/>
      <c r="D668" s="78"/>
      <c r="F668" s="16"/>
      <c r="K668" s="16"/>
      <c r="L668" s="9"/>
    </row>
    <row r="669" spans="1:12" ht="12.75">
      <c r="A669" s="15"/>
      <c r="B669" s="154"/>
      <c r="C669" s="78"/>
      <c r="D669" s="78"/>
      <c r="F669" s="16"/>
      <c r="K669" s="16"/>
      <c r="L669" s="9"/>
    </row>
    <row r="670" spans="1:12" ht="12.75">
      <c r="A670" s="15"/>
      <c r="B670" s="154"/>
      <c r="C670" s="78"/>
      <c r="D670" s="78"/>
      <c r="F670" s="16"/>
      <c r="K670" s="16"/>
      <c r="L670" s="9"/>
    </row>
    <row r="671" spans="1:12" ht="12.75">
      <c r="A671" s="15"/>
      <c r="B671" s="154"/>
      <c r="C671" s="78"/>
      <c r="D671" s="78"/>
      <c r="F671" s="16"/>
      <c r="K671" s="16"/>
      <c r="L671" s="9"/>
    </row>
    <row r="672" spans="1:12" ht="12.75">
      <c r="A672" s="15"/>
      <c r="B672" s="154"/>
      <c r="C672" s="78"/>
      <c r="D672" s="78"/>
      <c r="F672" s="16"/>
      <c r="K672" s="16"/>
      <c r="L672" s="9"/>
    </row>
    <row r="673" spans="1:12" ht="12.75">
      <c r="A673" s="15"/>
      <c r="B673" s="154"/>
      <c r="C673" s="78"/>
      <c r="D673" s="78"/>
      <c r="F673" s="16"/>
      <c r="K673" s="16"/>
      <c r="L673" s="9"/>
    </row>
    <row r="674" spans="1:12" ht="12.75">
      <c r="A674" s="15"/>
      <c r="B674" s="154"/>
      <c r="C674" s="78"/>
      <c r="D674" s="78"/>
      <c r="F674" s="16"/>
      <c r="K674" s="16"/>
      <c r="L674" s="9"/>
    </row>
    <row r="675" spans="1:12" ht="12.75">
      <c r="A675" s="15"/>
      <c r="B675" s="154"/>
      <c r="C675" s="78"/>
      <c r="D675" s="78"/>
      <c r="F675" s="16"/>
      <c r="K675" s="16"/>
      <c r="L675" s="9"/>
    </row>
    <row r="676" spans="1:12" ht="12.75">
      <c r="A676" s="15"/>
      <c r="B676" s="154"/>
      <c r="C676" s="78"/>
      <c r="D676" s="78"/>
      <c r="F676" s="16"/>
      <c r="K676" s="16"/>
      <c r="L676" s="9"/>
    </row>
    <row r="677" spans="1:12" ht="12.75">
      <c r="A677" s="15"/>
      <c r="B677" s="154"/>
      <c r="C677" s="78"/>
      <c r="D677" s="78"/>
      <c r="F677" s="16"/>
      <c r="K677" s="16"/>
      <c r="L677" s="9"/>
    </row>
    <row r="678" spans="1:12" ht="12.75">
      <c r="A678" s="15"/>
      <c r="B678" s="154"/>
      <c r="C678" s="78"/>
      <c r="D678" s="78"/>
      <c r="F678" s="16"/>
      <c r="K678" s="16"/>
      <c r="L678" s="9"/>
    </row>
    <row r="679" spans="1:12" ht="12.75">
      <c r="A679" s="15"/>
      <c r="B679" s="154"/>
      <c r="C679" s="78"/>
      <c r="D679" s="78"/>
      <c r="F679" s="16"/>
      <c r="K679" s="16"/>
      <c r="L679" s="9"/>
    </row>
    <row r="680" spans="1:12" ht="12.75">
      <c r="A680" s="15"/>
      <c r="B680" s="154"/>
      <c r="C680" s="78"/>
      <c r="D680" s="78"/>
      <c r="F680" s="16"/>
      <c r="K680" s="16"/>
      <c r="L680" s="9"/>
    </row>
    <row r="681" spans="1:12" ht="12.75">
      <c r="A681" s="15"/>
      <c r="B681" s="154"/>
      <c r="C681" s="78"/>
      <c r="D681" s="78"/>
      <c r="F681" s="16"/>
      <c r="K681" s="16"/>
      <c r="L681" s="9"/>
    </row>
    <row r="682" spans="1:12" ht="12.75">
      <c r="A682" s="15"/>
      <c r="B682" s="154"/>
      <c r="C682" s="78"/>
      <c r="D682" s="78"/>
      <c r="F682" s="16"/>
      <c r="K682" s="16"/>
      <c r="L682" s="9"/>
    </row>
    <row r="683" spans="1:12" ht="12.75">
      <c r="A683" s="15"/>
      <c r="B683" s="154"/>
      <c r="C683" s="78"/>
      <c r="D683" s="78"/>
      <c r="F683" s="16"/>
      <c r="K683" s="16"/>
      <c r="L683" s="9"/>
    </row>
    <row r="684" spans="1:12" ht="12.75">
      <c r="A684" s="15"/>
      <c r="B684" s="154"/>
      <c r="C684" s="78"/>
      <c r="D684" s="78"/>
      <c r="F684" s="16"/>
      <c r="K684" s="16"/>
      <c r="L684" s="9"/>
    </row>
    <row r="685" spans="1:12" ht="12.75">
      <c r="A685" s="15"/>
      <c r="B685" s="154"/>
      <c r="C685" s="78"/>
      <c r="D685" s="78"/>
      <c r="F685" s="16"/>
      <c r="K685" s="16"/>
      <c r="L685" s="9"/>
    </row>
    <row r="686" spans="1:12" ht="12.75">
      <c r="A686" s="15"/>
      <c r="B686" s="154"/>
      <c r="C686" s="78"/>
      <c r="D686" s="78"/>
      <c r="F686" s="16"/>
      <c r="K686" s="16"/>
      <c r="L686" s="9"/>
    </row>
    <row r="687" spans="1:12" ht="12.75">
      <c r="A687" s="15"/>
      <c r="B687" s="154"/>
      <c r="C687" s="78"/>
      <c r="D687" s="78"/>
      <c r="F687" s="16"/>
      <c r="K687" s="16"/>
      <c r="L687" s="9"/>
    </row>
    <row r="688" spans="1:12" ht="12.75">
      <c r="A688" s="15"/>
      <c r="B688" s="154"/>
      <c r="C688" s="78"/>
      <c r="D688" s="78"/>
      <c r="F688" s="16"/>
      <c r="K688" s="16"/>
      <c r="L688" s="9"/>
    </row>
    <row r="689" spans="1:12" ht="12.75">
      <c r="A689" s="15"/>
      <c r="B689" s="154"/>
      <c r="C689" s="78"/>
      <c r="D689" s="78"/>
      <c r="F689" s="16"/>
      <c r="K689" s="16"/>
      <c r="L689" s="9"/>
    </row>
    <row r="690" spans="1:12" ht="12.75">
      <c r="A690" s="15"/>
      <c r="B690" s="154"/>
      <c r="C690" s="78"/>
      <c r="D690" s="78"/>
      <c r="F690" s="16"/>
      <c r="K690" s="16"/>
      <c r="L690" s="9"/>
    </row>
    <row r="691" spans="1:12" ht="12.75">
      <c r="A691" s="15"/>
      <c r="B691" s="154"/>
      <c r="C691" s="78"/>
      <c r="D691" s="78"/>
      <c r="F691" s="16"/>
      <c r="K691" s="16"/>
      <c r="L691" s="9"/>
    </row>
    <row r="692" spans="1:12" ht="12.75">
      <c r="A692" s="15"/>
      <c r="B692" s="154"/>
      <c r="C692" s="78"/>
      <c r="D692" s="78"/>
      <c r="F692" s="16"/>
      <c r="K692" s="16"/>
      <c r="L692" s="9"/>
    </row>
    <row r="693" spans="1:12" ht="12.75">
      <c r="A693" s="15"/>
      <c r="B693" s="154"/>
      <c r="C693" s="78"/>
      <c r="D693" s="78"/>
      <c r="F693" s="16"/>
      <c r="K693" s="16"/>
      <c r="L693" s="9"/>
    </row>
    <row r="694" spans="1:12" ht="12.75">
      <c r="A694" s="15"/>
      <c r="B694" s="154"/>
      <c r="C694" s="78"/>
      <c r="D694" s="78"/>
      <c r="F694" s="16"/>
      <c r="K694" s="16"/>
      <c r="L694" s="9"/>
    </row>
    <row r="695" spans="1:12" ht="12.75">
      <c r="A695" s="15"/>
      <c r="B695" s="154"/>
      <c r="C695" s="78"/>
      <c r="D695" s="78"/>
      <c r="F695" s="16"/>
      <c r="K695" s="16"/>
      <c r="L695" s="9"/>
    </row>
    <row r="696" spans="1:12" ht="12.75">
      <c r="A696" s="15"/>
      <c r="B696" s="154"/>
      <c r="C696" s="78"/>
      <c r="D696" s="78"/>
      <c r="F696" s="16"/>
      <c r="K696" s="16"/>
      <c r="L696" s="9"/>
    </row>
    <row r="697" spans="1:12" ht="12.75">
      <c r="A697" s="15"/>
      <c r="B697" s="154"/>
      <c r="C697" s="78"/>
      <c r="D697" s="78"/>
      <c r="F697" s="16"/>
      <c r="K697" s="16"/>
      <c r="L697" s="9"/>
    </row>
    <row r="698" spans="1:12" ht="12.75">
      <c r="A698" s="15"/>
      <c r="B698" s="154"/>
      <c r="C698" s="78"/>
      <c r="D698" s="78"/>
      <c r="F698" s="16"/>
      <c r="K698" s="16"/>
      <c r="L698" s="9"/>
    </row>
    <row r="699" spans="1:12" ht="12.75">
      <c r="A699" s="15"/>
      <c r="B699" s="154"/>
      <c r="C699" s="78"/>
      <c r="D699" s="78"/>
      <c r="F699" s="16"/>
      <c r="K699" s="16"/>
      <c r="L699" s="9"/>
    </row>
    <row r="700" spans="1:12" ht="12.75">
      <c r="A700" s="15"/>
      <c r="B700" s="154"/>
      <c r="C700" s="78"/>
      <c r="D700" s="78"/>
      <c r="F700" s="16"/>
      <c r="K700" s="16"/>
      <c r="L700" s="9"/>
    </row>
    <row r="701" spans="1:12" ht="12.75">
      <c r="A701" s="15"/>
      <c r="B701" s="154"/>
      <c r="C701" s="78"/>
      <c r="D701" s="78"/>
      <c r="F701" s="16"/>
      <c r="K701" s="16"/>
      <c r="L701" s="9"/>
    </row>
    <row r="702" spans="1:12" ht="12.75">
      <c r="A702" s="15"/>
      <c r="B702" s="154"/>
      <c r="C702" s="78"/>
      <c r="D702" s="78"/>
      <c r="F702" s="16"/>
      <c r="K702" s="16"/>
      <c r="L702" s="9"/>
    </row>
    <row r="703" spans="1:12" ht="12.75">
      <c r="A703" s="15"/>
      <c r="B703" s="154"/>
      <c r="C703" s="78"/>
      <c r="D703" s="78"/>
      <c r="F703" s="16"/>
      <c r="K703" s="16"/>
      <c r="L703" s="9"/>
    </row>
    <row r="704" spans="1:12" ht="12.75">
      <c r="A704" s="15"/>
      <c r="B704" s="154"/>
      <c r="C704" s="78"/>
      <c r="D704" s="78"/>
      <c r="F704" s="16"/>
      <c r="K704" s="16"/>
      <c r="L704" s="9"/>
    </row>
    <row r="705" spans="1:12" ht="12.75">
      <c r="A705" s="15"/>
      <c r="B705" s="154"/>
      <c r="C705" s="78"/>
      <c r="D705" s="78"/>
      <c r="F705" s="16"/>
      <c r="K705" s="16"/>
      <c r="L705" s="9"/>
    </row>
    <row r="706" spans="1:12" ht="12.75">
      <c r="A706" s="15"/>
      <c r="B706" s="154"/>
      <c r="C706" s="78"/>
      <c r="D706" s="78"/>
      <c r="F706" s="16"/>
      <c r="K706" s="16"/>
      <c r="L706" s="9"/>
    </row>
    <row r="707" spans="1:12" ht="12.75">
      <c r="A707" s="15"/>
      <c r="B707" s="154"/>
      <c r="C707" s="78"/>
      <c r="D707" s="78"/>
      <c r="F707" s="16"/>
      <c r="K707" s="16"/>
      <c r="L707" s="9"/>
    </row>
    <row r="708" spans="1:12" ht="12.75">
      <c r="A708" s="15"/>
      <c r="B708" s="154"/>
      <c r="C708" s="78"/>
      <c r="D708" s="78"/>
      <c r="F708" s="16"/>
      <c r="K708" s="16"/>
      <c r="L708" s="9"/>
    </row>
    <row r="709" spans="1:12" ht="12.75">
      <c r="A709" s="15"/>
      <c r="B709" s="154"/>
      <c r="C709" s="78"/>
      <c r="D709" s="78"/>
      <c r="F709" s="16"/>
      <c r="K709" s="16"/>
      <c r="L709" s="9"/>
    </row>
    <row r="710" spans="1:12" ht="12.75">
      <c r="A710" s="15"/>
      <c r="B710" s="154"/>
      <c r="C710" s="78"/>
      <c r="D710" s="78"/>
      <c r="F710" s="16"/>
      <c r="K710" s="16"/>
      <c r="L710" s="9"/>
    </row>
    <row r="711" spans="1:12" ht="12.75">
      <c r="A711" s="15"/>
      <c r="B711" s="154"/>
      <c r="C711" s="78"/>
      <c r="D711" s="78"/>
      <c r="F711" s="16"/>
      <c r="K711" s="16"/>
      <c r="L711" s="9"/>
    </row>
    <row r="712" spans="1:12" ht="12.75">
      <c r="A712" s="15"/>
      <c r="B712" s="154"/>
      <c r="C712" s="78"/>
      <c r="D712" s="78"/>
      <c r="F712" s="16"/>
      <c r="K712" s="16"/>
      <c r="L712" s="9"/>
    </row>
    <row r="713" spans="1:12" ht="12.75">
      <c r="A713" s="15"/>
      <c r="B713" s="154"/>
      <c r="C713" s="78"/>
      <c r="D713" s="78"/>
      <c r="F713" s="16"/>
      <c r="K713" s="16"/>
      <c r="L713" s="9"/>
    </row>
    <row r="714" spans="1:12" ht="12.75">
      <c r="A714" s="15"/>
      <c r="B714" s="154"/>
      <c r="C714" s="78"/>
      <c r="D714" s="78"/>
      <c r="F714" s="16"/>
      <c r="K714" s="16"/>
      <c r="L714" s="9"/>
    </row>
    <row r="715" spans="1:12" ht="12.75">
      <c r="A715" s="15"/>
      <c r="B715" s="154"/>
      <c r="C715" s="78"/>
      <c r="D715" s="78"/>
      <c r="F715" s="16"/>
      <c r="K715" s="16"/>
      <c r="L715" s="9"/>
    </row>
    <row r="716" spans="1:12" ht="12.75">
      <c r="A716" s="15"/>
      <c r="B716" s="154"/>
      <c r="C716" s="78"/>
      <c r="D716" s="78"/>
      <c r="F716" s="16"/>
      <c r="K716" s="16"/>
      <c r="L716" s="9"/>
    </row>
    <row r="717" spans="1:12" ht="12.75">
      <c r="A717" s="15"/>
      <c r="B717" s="154"/>
      <c r="C717" s="78"/>
      <c r="D717" s="78"/>
      <c r="F717" s="16"/>
      <c r="K717" s="16"/>
      <c r="L717" s="9"/>
    </row>
    <row r="718" spans="1:12" ht="12.75">
      <c r="A718" s="15"/>
      <c r="B718" s="154"/>
      <c r="C718" s="78"/>
      <c r="D718" s="78"/>
      <c r="F718" s="16"/>
      <c r="K718" s="16"/>
      <c r="L718" s="9"/>
    </row>
    <row r="719" spans="1:12" ht="12.75">
      <c r="A719" s="15"/>
      <c r="B719" s="154"/>
      <c r="C719" s="78"/>
      <c r="D719" s="78"/>
      <c r="F719" s="16"/>
      <c r="K719" s="16"/>
      <c r="L719" s="9"/>
    </row>
    <row r="720" spans="1:12" ht="12.75">
      <c r="A720" s="15"/>
      <c r="B720" s="154"/>
      <c r="C720" s="78"/>
      <c r="D720" s="78"/>
      <c r="F720" s="16"/>
      <c r="K720" s="16"/>
      <c r="L720" s="9"/>
    </row>
    <row r="721" spans="1:12" ht="12.75">
      <c r="A721" s="15"/>
      <c r="B721" s="154"/>
      <c r="C721" s="78"/>
      <c r="D721" s="78"/>
      <c r="F721" s="16"/>
      <c r="K721" s="16"/>
      <c r="L721" s="9"/>
    </row>
    <row r="722" spans="1:12" ht="12.75">
      <c r="A722" s="15"/>
      <c r="B722" s="154"/>
      <c r="C722" s="78"/>
      <c r="D722" s="78"/>
      <c r="F722" s="16"/>
      <c r="K722" s="16"/>
      <c r="L722" s="9"/>
    </row>
    <row r="723" spans="1:12" ht="12.75">
      <c r="A723" s="15"/>
      <c r="B723" s="154"/>
      <c r="C723" s="78"/>
      <c r="D723" s="78"/>
      <c r="F723" s="16"/>
      <c r="K723" s="16"/>
      <c r="L723" s="9"/>
    </row>
    <row r="724" spans="1:12" ht="12.75">
      <c r="A724" s="15"/>
      <c r="B724" s="154"/>
      <c r="C724" s="78"/>
      <c r="D724" s="78"/>
      <c r="F724" s="16"/>
      <c r="K724" s="16"/>
      <c r="L724" s="9"/>
    </row>
    <row r="725" spans="1:12" ht="12.75">
      <c r="A725" s="15"/>
      <c r="B725" s="154"/>
      <c r="C725" s="78"/>
      <c r="D725" s="78"/>
      <c r="F725" s="16"/>
      <c r="K725" s="16"/>
      <c r="L725" s="9"/>
    </row>
    <row r="726" spans="1:12" ht="12.75">
      <c r="A726" s="15"/>
      <c r="B726" s="154"/>
      <c r="C726" s="78"/>
      <c r="D726" s="78"/>
      <c r="F726" s="16"/>
      <c r="K726" s="16"/>
      <c r="L726" s="9"/>
    </row>
    <row r="727" spans="1:12" ht="12.75">
      <c r="A727" s="15"/>
      <c r="B727" s="154"/>
      <c r="C727" s="78"/>
      <c r="D727" s="78"/>
      <c r="F727" s="16"/>
      <c r="K727" s="16"/>
      <c r="L727" s="9"/>
    </row>
    <row r="728" spans="1:12" ht="12.75">
      <c r="A728" s="15"/>
      <c r="B728" s="154"/>
      <c r="C728" s="78"/>
      <c r="D728" s="78"/>
      <c r="F728" s="16"/>
      <c r="K728" s="16"/>
      <c r="L728" s="9"/>
    </row>
    <row r="729" spans="1:12" ht="12.75">
      <c r="A729" s="15"/>
      <c r="B729" s="154"/>
      <c r="C729" s="78"/>
      <c r="D729" s="78"/>
      <c r="F729" s="16"/>
      <c r="K729" s="16"/>
      <c r="L729" s="9"/>
    </row>
    <row r="730" spans="1:12" ht="12.75">
      <c r="A730" s="15"/>
      <c r="B730" s="154"/>
      <c r="C730" s="78"/>
      <c r="D730" s="78"/>
      <c r="F730" s="16"/>
      <c r="K730" s="16"/>
      <c r="L730" s="9"/>
    </row>
    <row r="731" spans="1:12" ht="12.75">
      <c r="A731" s="15"/>
      <c r="B731" s="154"/>
      <c r="C731" s="78"/>
      <c r="D731" s="78"/>
      <c r="F731" s="16"/>
      <c r="K731" s="16"/>
      <c r="L731" s="9"/>
    </row>
    <row r="732" spans="1:12" ht="12.75">
      <c r="A732" s="15"/>
      <c r="B732" s="154"/>
      <c r="C732" s="78"/>
      <c r="D732" s="78"/>
      <c r="F732" s="16"/>
      <c r="K732" s="16"/>
      <c r="L732" s="9"/>
    </row>
    <row r="733" spans="1:12" ht="12.75">
      <c r="A733" s="15"/>
      <c r="B733" s="154"/>
      <c r="C733" s="78"/>
      <c r="D733" s="78"/>
      <c r="F733" s="16"/>
      <c r="K733" s="16"/>
      <c r="L733" s="9"/>
    </row>
    <row r="734" spans="1:12" ht="12.75">
      <c r="A734" s="15"/>
      <c r="B734" s="154"/>
      <c r="C734" s="78"/>
      <c r="D734" s="78"/>
      <c r="F734" s="16"/>
      <c r="K734" s="16"/>
      <c r="L734" s="9"/>
    </row>
    <row r="735" spans="1:12" ht="12.75">
      <c r="A735" s="15"/>
      <c r="B735" s="154"/>
      <c r="C735" s="78"/>
      <c r="D735" s="78"/>
      <c r="F735" s="16"/>
      <c r="K735" s="16"/>
      <c r="L735" s="9"/>
    </row>
    <row r="736" spans="1:12" ht="12.75">
      <c r="A736" s="15"/>
      <c r="B736" s="154"/>
      <c r="C736" s="78"/>
      <c r="D736" s="78"/>
      <c r="F736" s="16"/>
      <c r="K736" s="16"/>
      <c r="L736" s="9"/>
    </row>
    <row r="737" spans="1:12" ht="12.75">
      <c r="A737" s="15"/>
      <c r="B737" s="154"/>
      <c r="C737" s="78"/>
      <c r="D737" s="78"/>
      <c r="F737" s="16"/>
      <c r="K737" s="16"/>
      <c r="L737" s="9"/>
    </row>
    <row r="738" spans="1:12" ht="12.75">
      <c r="A738" s="15"/>
      <c r="B738" s="154"/>
      <c r="C738" s="78"/>
      <c r="D738" s="78"/>
      <c r="F738" s="16"/>
      <c r="K738" s="16"/>
      <c r="L738" s="9"/>
    </row>
    <row r="739" spans="1:12" ht="12.75">
      <c r="A739" s="15"/>
      <c r="B739" s="154"/>
      <c r="C739" s="78"/>
      <c r="D739" s="78"/>
      <c r="F739" s="16"/>
      <c r="K739" s="16"/>
      <c r="L739" s="9"/>
    </row>
    <row r="740" spans="1:12" ht="12.75">
      <c r="A740" s="15"/>
      <c r="B740" s="154"/>
      <c r="C740" s="78"/>
      <c r="D740" s="78"/>
      <c r="F740" s="16"/>
      <c r="K740" s="16"/>
      <c r="L740" s="9"/>
    </row>
    <row r="741" spans="1:12" ht="12.75">
      <c r="A741" s="15"/>
      <c r="B741" s="154"/>
      <c r="C741" s="78"/>
      <c r="D741" s="78"/>
      <c r="F741" s="16"/>
      <c r="K741" s="16"/>
      <c r="L741" s="9"/>
    </row>
    <row r="742" spans="1:12" ht="12.75">
      <c r="A742" s="15"/>
      <c r="B742" s="154"/>
      <c r="C742" s="78"/>
      <c r="D742" s="78"/>
      <c r="F742" s="16"/>
      <c r="K742" s="16"/>
      <c r="L742" s="9"/>
    </row>
    <row r="743" spans="1:12" ht="12.75">
      <c r="A743" s="15"/>
      <c r="B743" s="154"/>
      <c r="C743" s="78"/>
      <c r="D743" s="78"/>
      <c r="F743" s="16"/>
      <c r="K743" s="16"/>
      <c r="L743" s="9"/>
    </row>
    <row r="744" spans="1:12" ht="12.75">
      <c r="A744" s="15"/>
      <c r="B744" s="154"/>
      <c r="C744" s="78"/>
      <c r="D744" s="78"/>
      <c r="F744" s="16"/>
      <c r="K744" s="16"/>
      <c r="L744" s="9"/>
    </row>
    <row r="745" spans="1:12" ht="12.75">
      <c r="A745" s="15"/>
      <c r="B745" s="154"/>
      <c r="C745" s="78"/>
      <c r="D745" s="78"/>
      <c r="F745" s="16"/>
      <c r="K745" s="16"/>
      <c r="L745" s="9"/>
    </row>
    <row r="746" spans="1:12" ht="12.75">
      <c r="A746" s="15"/>
      <c r="B746" s="154"/>
      <c r="C746" s="78"/>
      <c r="D746" s="78"/>
      <c r="F746" s="16"/>
      <c r="K746" s="16"/>
      <c r="L746" s="9"/>
    </row>
    <row r="747" spans="1:12" ht="12.75">
      <c r="A747" s="15"/>
      <c r="B747" s="154"/>
      <c r="C747" s="78"/>
      <c r="D747" s="78"/>
      <c r="F747" s="16"/>
      <c r="K747" s="16"/>
      <c r="L747" s="9"/>
    </row>
    <row r="748" spans="1:12" ht="12.75">
      <c r="A748" s="15"/>
      <c r="B748" s="154"/>
      <c r="C748" s="78"/>
      <c r="D748" s="78"/>
      <c r="F748" s="16"/>
      <c r="K748" s="16"/>
      <c r="L748" s="9"/>
    </row>
    <row r="749" spans="1:12" ht="12.75">
      <c r="A749" s="15"/>
      <c r="B749" s="154"/>
      <c r="C749" s="78"/>
      <c r="D749" s="78"/>
      <c r="F749" s="16"/>
      <c r="K749" s="16"/>
      <c r="L749" s="9"/>
    </row>
    <row r="750" spans="1:12" ht="12.75">
      <c r="A750" s="15"/>
      <c r="B750" s="154"/>
      <c r="C750" s="78"/>
      <c r="D750" s="78"/>
      <c r="F750" s="16"/>
      <c r="K750" s="16"/>
      <c r="L750" s="9"/>
    </row>
    <row r="751" spans="1:12" ht="12.75">
      <c r="A751" s="15"/>
      <c r="B751" s="154"/>
      <c r="C751" s="78"/>
      <c r="D751" s="78"/>
      <c r="F751" s="16"/>
      <c r="K751" s="16"/>
      <c r="L751" s="9"/>
    </row>
    <row r="752" spans="1:12" ht="12.75">
      <c r="A752" s="15"/>
      <c r="B752" s="154"/>
      <c r="C752" s="78"/>
      <c r="D752" s="78"/>
      <c r="F752" s="16"/>
      <c r="K752" s="16"/>
      <c r="L752" s="9"/>
    </row>
    <row r="753" spans="1:12" ht="12.75">
      <c r="A753" s="15"/>
      <c r="B753" s="154"/>
      <c r="C753" s="78"/>
      <c r="D753" s="78"/>
      <c r="F753" s="16"/>
      <c r="K753" s="16"/>
      <c r="L753" s="9"/>
    </row>
    <row r="754" spans="1:12" ht="12.75">
      <c r="A754" s="15"/>
      <c r="B754" s="154"/>
      <c r="C754" s="78"/>
      <c r="D754" s="78"/>
      <c r="F754" s="16"/>
      <c r="K754" s="16"/>
      <c r="L754" s="9"/>
    </row>
    <row r="755" spans="1:12" ht="12.75">
      <c r="A755" s="15"/>
      <c r="B755" s="154"/>
      <c r="C755" s="78"/>
      <c r="D755" s="78"/>
      <c r="F755" s="16"/>
      <c r="K755" s="16"/>
      <c r="L755" s="9"/>
    </row>
    <row r="756" spans="1:12" ht="12.75">
      <c r="A756" s="15"/>
      <c r="B756" s="154"/>
      <c r="C756" s="78"/>
      <c r="D756" s="78"/>
      <c r="F756" s="16"/>
      <c r="K756" s="16"/>
      <c r="L756" s="9"/>
    </row>
    <row r="757" spans="1:12" ht="12.75">
      <c r="A757" s="15"/>
      <c r="B757" s="154"/>
      <c r="C757" s="78"/>
      <c r="D757" s="78"/>
      <c r="F757" s="16"/>
      <c r="K757" s="16"/>
      <c r="L757" s="9"/>
    </row>
    <row r="758" spans="1:12" ht="12.75">
      <c r="A758" s="15"/>
      <c r="B758" s="154"/>
      <c r="C758" s="78"/>
      <c r="D758" s="78"/>
      <c r="F758" s="16"/>
      <c r="K758" s="16"/>
      <c r="L758" s="9"/>
    </row>
    <row r="759" spans="1:12" ht="12.75">
      <c r="A759" s="15"/>
      <c r="B759" s="154"/>
      <c r="C759" s="78"/>
      <c r="D759" s="78"/>
      <c r="F759" s="16"/>
      <c r="K759" s="16"/>
      <c r="L759" s="9"/>
    </row>
    <row r="760" spans="1:12" ht="12.75">
      <c r="A760" s="15"/>
      <c r="B760" s="154"/>
      <c r="C760" s="78"/>
      <c r="D760" s="78"/>
      <c r="F760" s="16"/>
      <c r="K760" s="16"/>
      <c r="L760" s="9"/>
    </row>
    <row r="761" spans="1:12" ht="12.75">
      <c r="A761" s="15"/>
      <c r="B761" s="154"/>
      <c r="C761" s="78"/>
      <c r="D761" s="78"/>
      <c r="F761" s="16"/>
      <c r="K761" s="16"/>
      <c r="L761" s="9"/>
    </row>
    <row r="762" spans="1:12" ht="12.75">
      <c r="A762" s="15"/>
      <c r="B762" s="154"/>
      <c r="C762" s="78"/>
      <c r="D762" s="78"/>
      <c r="F762" s="16"/>
      <c r="K762" s="16"/>
      <c r="L762" s="9"/>
    </row>
    <row r="763" spans="1:12" ht="12.75">
      <c r="A763" s="15"/>
      <c r="B763" s="154"/>
      <c r="C763" s="78"/>
      <c r="D763" s="78"/>
      <c r="F763" s="16"/>
      <c r="K763" s="16"/>
      <c r="L763" s="9"/>
    </row>
    <row r="764" spans="1:12" ht="12.75">
      <c r="A764" s="15"/>
      <c r="B764" s="154"/>
      <c r="C764" s="78"/>
      <c r="D764" s="78"/>
      <c r="F764" s="16"/>
      <c r="K764" s="16"/>
      <c r="L764" s="9"/>
    </row>
    <row r="765" spans="1:12" ht="12.75">
      <c r="A765" s="15"/>
      <c r="B765" s="154"/>
      <c r="C765" s="78"/>
      <c r="D765" s="78"/>
      <c r="F765" s="16"/>
      <c r="K765" s="16"/>
      <c r="L765" s="9"/>
    </row>
    <row r="766" spans="1:12" ht="12.75">
      <c r="A766" s="15"/>
      <c r="B766" s="154"/>
      <c r="C766" s="78"/>
      <c r="D766" s="78"/>
      <c r="F766" s="16"/>
      <c r="K766" s="16"/>
      <c r="L766" s="9"/>
    </row>
    <row r="767" spans="1:12" ht="12.75">
      <c r="A767" s="15"/>
      <c r="B767" s="154"/>
      <c r="C767" s="78"/>
      <c r="D767" s="78"/>
      <c r="F767" s="16"/>
      <c r="K767" s="16"/>
      <c r="L767" s="9"/>
    </row>
    <row r="768" spans="1:12" ht="12.75">
      <c r="A768" s="15"/>
      <c r="B768" s="154"/>
      <c r="C768" s="78"/>
      <c r="D768" s="78"/>
      <c r="F768" s="16"/>
      <c r="K768" s="16"/>
      <c r="L768" s="9"/>
    </row>
    <row r="769" spans="1:12" ht="12.75">
      <c r="A769" s="15"/>
      <c r="B769" s="154"/>
      <c r="C769" s="78"/>
      <c r="D769" s="78"/>
      <c r="F769" s="16"/>
      <c r="K769" s="16"/>
      <c r="L769" s="9"/>
    </row>
    <row r="770" spans="1:12" ht="12.75">
      <c r="A770" s="15"/>
      <c r="B770" s="154"/>
      <c r="C770" s="78"/>
      <c r="D770" s="78"/>
      <c r="F770" s="16"/>
      <c r="K770" s="16"/>
      <c r="L770" s="9"/>
    </row>
    <row r="771" spans="1:12" ht="12.75">
      <c r="A771" s="15"/>
      <c r="B771" s="154"/>
      <c r="C771" s="78"/>
      <c r="D771" s="78"/>
      <c r="F771" s="16"/>
      <c r="K771" s="16"/>
      <c r="L771" s="9"/>
    </row>
    <row r="772" spans="1:12" ht="12.75">
      <c r="A772" s="15"/>
      <c r="B772" s="154"/>
      <c r="C772" s="78"/>
      <c r="D772" s="78"/>
      <c r="F772" s="16"/>
      <c r="K772" s="16"/>
      <c r="L772" s="9"/>
    </row>
    <row r="773" spans="1:12" ht="12.75">
      <c r="A773" s="15"/>
      <c r="B773" s="154"/>
      <c r="C773" s="78"/>
      <c r="D773" s="78"/>
      <c r="F773" s="16"/>
      <c r="K773" s="16"/>
      <c r="L773" s="9"/>
    </row>
    <row r="774" spans="1:12" ht="12.75">
      <c r="A774" s="15"/>
      <c r="B774" s="154"/>
      <c r="C774" s="78"/>
      <c r="D774" s="78"/>
      <c r="F774" s="16"/>
      <c r="K774" s="16"/>
      <c r="L774" s="9"/>
    </row>
    <row r="775" spans="1:12" ht="12.75">
      <c r="A775" s="15"/>
      <c r="B775" s="154"/>
      <c r="C775" s="78"/>
      <c r="D775" s="78"/>
      <c r="F775" s="16"/>
      <c r="K775" s="16"/>
      <c r="L775" s="9"/>
    </row>
    <row r="776" spans="1:12" ht="12.75">
      <c r="A776" s="15"/>
      <c r="B776" s="154"/>
      <c r="C776" s="78"/>
      <c r="D776" s="78"/>
      <c r="F776" s="16"/>
      <c r="K776" s="16"/>
      <c r="L776" s="9"/>
    </row>
    <row r="777" spans="1:12" ht="12.75">
      <c r="A777" s="15"/>
      <c r="B777" s="154"/>
      <c r="C777" s="78"/>
      <c r="D777" s="78"/>
      <c r="F777" s="16"/>
      <c r="K777" s="16"/>
      <c r="L777" s="9"/>
    </row>
    <row r="778" spans="1:12" ht="12.75">
      <c r="A778" s="15"/>
      <c r="B778" s="154"/>
      <c r="C778" s="78"/>
      <c r="D778" s="78"/>
      <c r="F778" s="16"/>
      <c r="K778" s="16"/>
      <c r="L778" s="9"/>
    </row>
    <row r="779" spans="1:12" ht="12.75">
      <c r="A779" s="15"/>
      <c r="B779" s="154"/>
      <c r="C779" s="78"/>
      <c r="D779" s="78"/>
      <c r="F779" s="16"/>
      <c r="K779" s="16"/>
      <c r="L779" s="9"/>
    </row>
    <row r="780" spans="1:12" ht="12.75">
      <c r="A780" s="15"/>
      <c r="B780" s="154"/>
      <c r="C780" s="78"/>
      <c r="D780" s="78"/>
      <c r="F780" s="16"/>
      <c r="K780" s="16"/>
      <c r="L780" s="9"/>
    </row>
    <row r="781" spans="1:12" ht="12.75">
      <c r="A781" s="15"/>
      <c r="B781" s="154"/>
      <c r="C781" s="78"/>
      <c r="D781" s="78"/>
      <c r="F781" s="16"/>
      <c r="K781" s="16"/>
      <c r="L781" s="9"/>
    </row>
    <row r="782" spans="1:12" ht="12.75">
      <c r="A782" s="15"/>
      <c r="B782" s="154"/>
      <c r="C782" s="78"/>
      <c r="D782" s="78"/>
      <c r="F782" s="16"/>
      <c r="K782" s="16"/>
      <c r="L782" s="9"/>
    </row>
    <row r="783" spans="1:12" ht="12.75">
      <c r="A783" s="15"/>
      <c r="B783" s="154"/>
      <c r="C783" s="78"/>
      <c r="D783" s="78"/>
      <c r="F783" s="16"/>
      <c r="K783" s="16"/>
      <c r="L783" s="9"/>
    </row>
    <row r="784" spans="1:12" ht="12.75">
      <c r="A784" s="15"/>
      <c r="B784" s="154"/>
      <c r="C784" s="78"/>
      <c r="D784" s="78"/>
      <c r="F784" s="16"/>
      <c r="K784" s="16"/>
      <c r="L784" s="9"/>
    </row>
    <row r="785" spans="1:12" ht="12.75">
      <c r="A785" s="15"/>
      <c r="B785" s="154"/>
      <c r="C785" s="78"/>
      <c r="D785" s="78"/>
      <c r="F785" s="16"/>
      <c r="K785" s="16"/>
      <c r="L785" s="9"/>
    </row>
    <row r="786" spans="1:12" ht="12.75">
      <c r="A786" s="15"/>
      <c r="B786" s="154"/>
      <c r="C786" s="78"/>
      <c r="D786" s="78"/>
      <c r="F786" s="16"/>
      <c r="K786" s="16"/>
      <c r="L786" s="9"/>
    </row>
    <row r="787" spans="1:12" ht="12.75">
      <c r="A787" s="15"/>
      <c r="B787" s="154"/>
      <c r="C787" s="78"/>
      <c r="D787" s="78"/>
      <c r="F787" s="16"/>
      <c r="K787" s="16"/>
      <c r="L787" s="9"/>
    </row>
    <row r="788" spans="1:12" ht="12.75">
      <c r="A788" s="15"/>
      <c r="B788" s="154"/>
      <c r="C788" s="78"/>
      <c r="D788" s="78"/>
      <c r="F788" s="16"/>
      <c r="K788" s="16"/>
      <c r="L788" s="9"/>
    </row>
    <row r="789" spans="1:12" ht="12.75">
      <c r="A789" s="15"/>
      <c r="B789" s="154"/>
      <c r="C789" s="78"/>
      <c r="D789" s="78"/>
      <c r="F789" s="16"/>
      <c r="K789" s="16"/>
      <c r="L789" s="9"/>
    </row>
    <row r="790" spans="1:12" ht="12.75">
      <c r="A790" s="15"/>
      <c r="B790" s="154"/>
      <c r="C790" s="78"/>
      <c r="D790" s="78"/>
      <c r="F790" s="16"/>
      <c r="K790" s="16"/>
      <c r="L790" s="9"/>
    </row>
    <row r="791" spans="1:12" ht="12.75">
      <c r="A791" s="15"/>
      <c r="B791" s="154"/>
      <c r="C791" s="78"/>
      <c r="D791" s="78"/>
      <c r="F791" s="16"/>
      <c r="K791" s="16"/>
      <c r="L791" s="9"/>
    </row>
    <row r="792" spans="1:12" ht="12.75">
      <c r="A792" s="15"/>
      <c r="B792" s="154"/>
      <c r="C792" s="78"/>
      <c r="D792" s="78"/>
      <c r="F792" s="16"/>
      <c r="K792" s="16"/>
      <c r="L792" s="9"/>
    </row>
    <row r="793" spans="1:12" ht="12.75">
      <c r="A793" s="15"/>
      <c r="B793" s="154"/>
      <c r="C793" s="78"/>
      <c r="D793" s="78"/>
      <c r="F793" s="16"/>
      <c r="K793" s="16"/>
      <c r="L793" s="9"/>
    </row>
    <row r="794" spans="1:12" ht="12.75">
      <c r="A794" s="15"/>
      <c r="B794" s="154"/>
      <c r="C794" s="78"/>
      <c r="D794" s="78"/>
      <c r="F794" s="16"/>
      <c r="K794" s="16"/>
      <c r="L794" s="9"/>
    </row>
    <row r="795" spans="1:12" ht="12.75">
      <c r="A795" s="15"/>
      <c r="B795" s="154"/>
      <c r="C795" s="78"/>
      <c r="D795" s="78"/>
      <c r="F795" s="16"/>
      <c r="K795" s="16"/>
      <c r="L795" s="9"/>
    </row>
    <row r="796" spans="1:12" ht="12.75">
      <c r="A796" s="15"/>
      <c r="B796" s="154"/>
      <c r="C796" s="78"/>
      <c r="D796" s="78"/>
      <c r="F796" s="16"/>
      <c r="K796" s="16"/>
      <c r="L796" s="9"/>
    </row>
    <row r="797" spans="1:12" ht="12.75">
      <c r="A797" s="15"/>
      <c r="B797" s="154"/>
      <c r="C797" s="78"/>
      <c r="D797" s="78"/>
      <c r="F797" s="16"/>
      <c r="K797" s="16"/>
      <c r="L797" s="9"/>
    </row>
    <row r="798" spans="1:12" ht="12.75">
      <c r="A798" s="15"/>
      <c r="B798" s="154"/>
      <c r="C798" s="78"/>
      <c r="D798" s="78"/>
      <c r="F798" s="16"/>
      <c r="K798" s="16"/>
      <c r="L798" s="9"/>
    </row>
    <row r="799" spans="1:12" ht="12.75">
      <c r="A799" s="15"/>
      <c r="B799" s="154"/>
      <c r="C799" s="78"/>
      <c r="D799" s="78"/>
      <c r="F799" s="16"/>
      <c r="K799" s="16"/>
      <c r="L799" s="9"/>
    </row>
    <row r="800" spans="1:12" ht="12.75">
      <c r="A800" s="15"/>
      <c r="B800" s="154"/>
      <c r="C800" s="78"/>
      <c r="D800" s="78"/>
      <c r="F800" s="16"/>
      <c r="K800" s="16"/>
      <c r="L800" s="9"/>
    </row>
    <row r="801" spans="1:12" ht="12.75">
      <c r="A801" s="15"/>
      <c r="B801" s="154"/>
      <c r="C801" s="78"/>
      <c r="D801" s="78"/>
      <c r="F801" s="16"/>
      <c r="K801" s="16"/>
      <c r="L801" s="9"/>
    </row>
    <row r="802" spans="1:12" ht="12.75">
      <c r="A802" s="15"/>
      <c r="B802" s="154"/>
      <c r="C802" s="78"/>
      <c r="D802" s="78"/>
      <c r="F802" s="16"/>
      <c r="K802" s="16"/>
      <c r="L802" s="9"/>
    </row>
    <row r="803" spans="1:12" ht="12.75">
      <c r="A803" s="15"/>
      <c r="B803" s="154"/>
      <c r="C803" s="78"/>
      <c r="D803" s="78"/>
      <c r="F803" s="16"/>
      <c r="K803" s="16"/>
      <c r="L803" s="9"/>
    </row>
    <row r="804" spans="1:12" ht="12.75">
      <c r="A804" s="15"/>
      <c r="B804" s="154"/>
      <c r="C804" s="78"/>
      <c r="D804" s="78"/>
      <c r="F804" s="16"/>
      <c r="K804" s="16"/>
      <c r="L804" s="9"/>
    </row>
    <row r="805" spans="1:12" ht="12.75">
      <c r="A805" s="15"/>
      <c r="B805" s="154"/>
      <c r="C805" s="78"/>
      <c r="D805" s="78"/>
      <c r="F805" s="16"/>
      <c r="K805" s="16"/>
      <c r="L805" s="9"/>
    </row>
    <row r="806" spans="1:12" ht="12.75">
      <c r="A806" s="15"/>
      <c r="B806" s="154"/>
      <c r="C806" s="78"/>
      <c r="D806" s="78"/>
      <c r="F806" s="16"/>
      <c r="K806" s="16"/>
      <c r="L806" s="9"/>
    </row>
    <row r="807" spans="1:12" ht="12.75">
      <c r="A807" s="15"/>
      <c r="B807" s="154"/>
      <c r="C807" s="78"/>
      <c r="D807" s="78"/>
      <c r="F807" s="16"/>
      <c r="K807" s="16"/>
      <c r="L807" s="9"/>
    </row>
    <row r="808" spans="1:12" ht="12.75">
      <c r="A808" s="15"/>
      <c r="B808" s="154"/>
      <c r="C808" s="78"/>
      <c r="D808" s="78"/>
      <c r="F808" s="16"/>
      <c r="K808" s="16"/>
      <c r="L808" s="9"/>
    </row>
    <row r="809" spans="1:12" ht="12.75">
      <c r="A809" s="15"/>
      <c r="B809" s="154"/>
      <c r="C809" s="78"/>
      <c r="D809" s="78"/>
      <c r="F809" s="16"/>
      <c r="K809" s="16"/>
      <c r="L809" s="9"/>
    </row>
    <row r="810" spans="1:12" ht="12.75">
      <c r="A810" s="15"/>
      <c r="B810" s="154"/>
      <c r="C810" s="78"/>
      <c r="D810" s="78"/>
      <c r="F810" s="16"/>
      <c r="K810" s="16"/>
      <c r="L810" s="9"/>
    </row>
    <row r="811" spans="1:12" ht="12.75">
      <c r="A811" s="15"/>
      <c r="B811" s="154"/>
      <c r="C811" s="78"/>
      <c r="D811" s="78"/>
      <c r="F811" s="16"/>
      <c r="K811" s="16"/>
      <c r="L811" s="9"/>
    </row>
    <row r="812" spans="1:12" ht="12.75">
      <c r="A812" s="15"/>
      <c r="B812" s="154"/>
      <c r="C812" s="78"/>
      <c r="D812" s="78"/>
      <c r="F812" s="16"/>
      <c r="K812" s="16"/>
      <c r="L812" s="9"/>
    </row>
    <row r="813" spans="1:12" ht="12.75">
      <c r="A813" s="15"/>
      <c r="B813" s="154"/>
      <c r="C813" s="78"/>
      <c r="D813" s="78"/>
      <c r="F813" s="16"/>
      <c r="K813" s="16"/>
      <c r="L813" s="9"/>
    </row>
    <row r="814" spans="1:12" ht="12.75">
      <c r="A814" s="15"/>
      <c r="B814" s="154"/>
      <c r="C814" s="78"/>
      <c r="D814" s="78"/>
      <c r="F814" s="16"/>
      <c r="K814" s="16"/>
      <c r="L814" s="9"/>
    </row>
    <row r="815" spans="1:12" ht="12.75">
      <c r="A815" s="15"/>
      <c r="B815" s="154"/>
      <c r="C815" s="78"/>
      <c r="D815" s="78"/>
      <c r="F815" s="16"/>
      <c r="K815" s="16"/>
      <c r="L815" s="9"/>
    </row>
    <row r="816" spans="1:12" ht="12.75">
      <c r="A816" s="15"/>
      <c r="B816" s="154"/>
      <c r="C816" s="78"/>
      <c r="D816" s="78"/>
      <c r="F816" s="16"/>
      <c r="K816" s="16"/>
      <c r="L816" s="9"/>
    </row>
    <row r="817" spans="1:12" ht="12.75">
      <c r="A817" s="15"/>
      <c r="B817" s="154"/>
      <c r="C817" s="78"/>
      <c r="D817" s="78"/>
      <c r="F817" s="16"/>
      <c r="K817" s="16"/>
      <c r="L817" s="9"/>
    </row>
    <row r="818" spans="1:12" ht="12.75">
      <c r="A818" s="15"/>
      <c r="B818" s="154"/>
      <c r="C818" s="78"/>
      <c r="D818" s="78"/>
      <c r="F818" s="16"/>
      <c r="K818" s="16"/>
      <c r="L818" s="9"/>
    </row>
    <row r="819" spans="1:12" ht="12.75">
      <c r="A819" s="15"/>
      <c r="B819" s="154"/>
      <c r="C819" s="78"/>
      <c r="D819" s="78"/>
      <c r="F819" s="16"/>
      <c r="K819" s="16"/>
      <c r="L819" s="9"/>
    </row>
    <row r="820" spans="1:12" ht="12.75">
      <c r="A820" s="15"/>
      <c r="B820" s="154"/>
      <c r="C820" s="78"/>
      <c r="D820" s="78"/>
      <c r="F820" s="16"/>
      <c r="K820" s="16"/>
      <c r="L820" s="9"/>
    </row>
    <row r="821" spans="1:12" ht="12.75">
      <c r="A821" s="15"/>
      <c r="B821" s="154"/>
      <c r="C821" s="78"/>
      <c r="D821" s="78"/>
      <c r="F821" s="16"/>
      <c r="K821" s="16"/>
      <c r="L821" s="9"/>
    </row>
    <row r="822" spans="1:12" ht="12.75">
      <c r="A822" s="15"/>
      <c r="B822" s="154"/>
      <c r="C822" s="78"/>
      <c r="D822" s="78"/>
      <c r="F822" s="16"/>
      <c r="K822" s="16"/>
      <c r="L822" s="9"/>
    </row>
    <row r="823" spans="1:12" ht="12.75">
      <c r="A823" s="15"/>
      <c r="B823" s="154"/>
      <c r="C823" s="78"/>
      <c r="D823" s="78"/>
      <c r="F823" s="16"/>
      <c r="K823" s="16"/>
      <c r="L823" s="9"/>
    </row>
    <row r="824" spans="1:12" ht="12.75">
      <c r="A824" s="15"/>
      <c r="B824" s="154"/>
      <c r="C824" s="78"/>
      <c r="D824" s="78"/>
      <c r="F824" s="16"/>
      <c r="K824" s="16"/>
      <c r="L824" s="9"/>
    </row>
    <row r="825" spans="1:12" ht="12.75">
      <c r="A825" s="15"/>
      <c r="B825" s="154"/>
      <c r="C825" s="78"/>
      <c r="D825" s="78"/>
      <c r="F825" s="16"/>
      <c r="K825" s="16"/>
      <c r="L825" s="9"/>
    </row>
    <row r="826" spans="1:12" ht="12.75">
      <c r="A826" s="15"/>
      <c r="B826" s="154"/>
      <c r="C826" s="78"/>
      <c r="D826" s="78"/>
      <c r="F826" s="16"/>
      <c r="K826" s="16"/>
      <c r="L826" s="9"/>
    </row>
    <row r="827" spans="1:12" ht="12.75">
      <c r="A827" s="15"/>
      <c r="B827" s="154"/>
      <c r="C827" s="78"/>
      <c r="D827" s="78"/>
      <c r="F827" s="16"/>
      <c r="K827" s="16"/>
      <c r="L827" s="9"/>
    </row>
    <row r="828" spans="1:12" ht="12.75">
      <c r="A828" s="15"/>
      <c r="B828" s="154"/>
      <c r="C828" s="78"/>
      <c r="D828" s="78"/>
      <c r="F828" s="16"/>
      <c r="K828" s="16"/>
      <c r="L828" s="9"/>
    </row>
    <row r="829" spans="1:12" ht="12.75">
      <c r="A829" s="15"/>
      <c r="B829" s="154"/>
      <c r="C829" s="78"/>
      <c r="D829" s="78"/>
      <c r="F829" s="16"/>
      <c r="K829" s="16"/>
      <c r="L829" s="9"/>
    </row>
    <row r="830" spans="1:12" ht="12.75">
      <c r="A830" s="15"/>
      <c r="B830" s="154"/>
      <c r="C830" s="78"/>
      <c r="D830" s="78"/>
      <c r="F830" s="16"/>
      <c r="K830" s="16"/>
      <c r="L830" s="9"/>
    </row>
    <row r="831" spans="1:12" ht="12.75">
      <c r="A831" s="15"/>
      <c r="B831" s="154"/>
      <c r="C831" s="78"/>
      <c r="D831" s="78"/>
      <c r="F831" s="16"/>
      <c r="K831" s="16"/>
      <c r="L831" s="9"/>
    </row>
    <row r="832" spans="1:12" ht="12.75">
      <c r="A832" s="15"/>
      <c r="B832" s="154"/>
      <c r="C832" s="78"/>
      <c r="D832" s="78"/>
      <c r="F832" s="16"/>
      <c r="K832" s="16"/>
      <c r="L832" s="9"/>
    </row>
    <row r="833" spans="1:12" ht="12.75">
      <c r="A833" s="15"/>
      <c r="B833" s="154"/>
      <c r="C833" s="78"/>
      <c r="D833" s="78"/>
      <c r="F833" s="16"/>
      <c r="K833" s="16"/>
      <c r="L833" s="9"/>
    </row>
    <row r="834" spans="1:12" ht="12.75">
      <c r="A834" s="15"/>
      <c r="B834" s="154"/>
      <c r="C834" s="78"/>
      <c r="D834" s="78"/>
      <c r="F834" s="16"/>
      <c r="K834" s="16"/>
      <c r="L834" s="9"/>
    </row>
    <row r="835" spans="1:12" ht="12.75">
      <c r="A835" s="15"/>
      <c r="B835" s="154"/>
      <c r="C835" s="78"/>
      <c r="D835" s="78"/>
      <c r="F835" s="16"/>
      <c r="K835" s="16"/>
      <c r="L835" s="9"/>
    </row>
    <row r="836" spans="1:12" ht="12.75">
      <c r="A836" s="15"/>
      <c r="B836" s="154"/>
      <c r="C836" s="78"/>
      <c r="D836" s="78"/>
      <c r="F836" s="16"/>
      <c r="K836" s="16"/>
      <c r="L836" s="9"/>
    </row>
    <row r="837" spans="1:12" ht="12.75">
      <c r="A837" s="15"/>
      <c r="B837" s="154"/>
      <c r="C837" s="78"/>
      <c r="D837" s="78"/>
      <c r="F837" s="16"/>
      <c r="K837" s="16"/>
      <c r="L837" s="9"/>
    </row>
    <row r="838" spans="1:12" ht="12.75">
      <c r="A838" s="15"/>
      <c r="B838" s="154"/>
      <c r="C838" s="78"/>
      <c r="D838" s="78"/>
      <c r="F838" s="16"/>
      <c r="K838" s="16"/>
      <c r="L838" s="9"/>
    </row>
    <row r="839" spans="1:12" ht="12.75">
      <c r="A839" s="15"/>
      <c r="B839" s="154"/>
      <c r="C839" s="78"/>
      <c r="D839" s="78"/>
      <c r="F839" s="16"/>
      <c r="K839" s="16"/>
      <c r="L839" s="9"/>
    </row>
    <row r="840" spans="1:12" ht="12.75">
      <c r="A840" s="15"/>
      <c r="B840" s="154"/>
      <c r="C840" s="78"/>
      <c r="D840" s="78"/>
      <c r="F840" s="16"/>
      <c r="K840" s="16"/>
      <c r="L840" s="9"/>
    </row>
    <row r="841" spans="1:12" ht="12.75">
      <c r="A841" s="15"/>
      <c r="B841" s="154"/>
      <c r="C841" s="78"/>
      <c r="D841" s="78"/>
      <c r="F841" s="16"/>
      <c r="K841" s="16"/>
      <c r="L841" s="9"/>
    </row>
    <row r="842" spans="1:12" ht="12.75">
      <c r="A842" s="15"/>
      <c r="B842" s="154"/>
      <c r="C842" s="78"/>
      <c r="D842" s="78"/>
      <c r="F842" s="16"/>
      <c r="K842" s="16"/>
      <c r="L842" s="9"/>
    </row>
    <row r="843" spans="1:12" ht="12.75">
      <c r="A843" s="15"/>
      <c r="B843" s="154"/>
      <c r="C843" s="78"/>
      <c r="D843" s="78"/>
      <c r="F843" s="16"/>
      <c r="K843" s="16"/>
      <c r="L843" s="9"/>
    </row>
    <row r="844" spans="1:12" ht="12.75">
      <c r="A844" s="15"/>
      <c r="B844" s="154"/>
      <c r="C844" s="78"/>
      <c r="D844" s="78"/>
      <c r="F844" s="16"/>
      <c r="K844" s="16"/>
      <c r="L844" s="9"/>
    </row>
    <row r="845" spans="1:12" ht="12.75">
      <c r="A845" s="15"/>
      <c r="B845" s="154"/>
      <c r="C845" s="78"/>
      <c r="D845" s="78"/>
      <c r="F845" s="16"/>
      <c r="K845" s="16"/>
      <c r="L845" s="9"/>
    </row>
    <row r="846" spans="1:12" ht="12.75">
      <c r="A846" s="15"/>
      <c r="B846" s="154"/>
      <c r="C846" s="78"/>
      <c r="D846" s="78"/>
      <c r="F846" s="16"/>
      <c r="K846" s="16"/>
      <c r="L846" s="9"/>
    </row>
    <row r="847" spans="1:12" ht="12.75">
      <c r="A847" s="15"/>
      <c r="B847" s="154"/>
      <c r="C847" s="78"/>
      <c r="D847" s="78"/>
      <c r="F847" s="16"/>
      <c r="K847" s="16"/>
      <c r="L847" s="9"/>
    </row>
    <row r="848" spans="1:12" ht="12.75">
      <c r="A848" s="15"/>
      <c r="B848" s="154"/>
      <c r="C848" s="78"/>
      <c r="D848" s="78"/>
      <c r="F848" s="16"/>
      <c r="K848" s="16"/>
      <c r="L848" s="9"/>
    </row>
    <row r="849" spans="1:12" ht="12.75">
      <c r="A849" s="15"/>
      <c r="B849" s="154"/>
      <c r="C849" s="78"/>
      <c r="D849" s="78"/>
      <c r="F849" s="16"/>
      <c r="K849" s="16"/>
      <c r="L849" s="9"/>
    </row>
    <row r="850" spans="1:12" ht="12.75">
      <c r="A850" s="15"/>
      <c r="B850" s="154"/>
      <c r="C850" s="78"/>
      <c r="D850" s="78"/>
      <c r="F850" s="16"/>
      <c r="K850" s="16"/>
      <c r="L850" s="9"/>
    </row>
    <row r="851" spans="1:12" ht="12.75">
      <c r="A851" s="15"/>
      <c r="B851" s="154"/>
      <c r="C851" s="78"/>
      <c r="D851" s="78"/>
      <c r="F851" s="16"/>
      <c r="K851" s="16"/>
      <c r="L851" s="9"/>
    </row>
    <row r="852" spans="1:12" ht="12.75">
      <c r="A852" s="15"/>
      <c r="B852" s="154"/>
      <c r="C852" s="78"/>
      <c r="D852" s="78"/>
      <c r="F852" s="16"/>
      <c r="K852" s="16"/>
      <c r="L852" s="9"/>
    </row>
    <row r="853" spans="1:12" ht="12.75">
      <c r="A853" s="15"/>
      <c r="B853" s="154"/>
      <c r="C853" s="78"/>
      <c r="D853" s="78"/>
      <c r="F853" s="16"/>
      <c r="K853" s="16"/>
      <c r="L853" s="9"/>
    </row>
    <row r="854" spans="1:12" ht="12.75">
      <c r="A854" s="15"/>
      <c r="B854" s="154"/>
      <c r="C854" s="78"/>
      <c r="D854" s="78"/>
      <c r="F854" s="16"/>
      <c r="K854" s="16"/>
      <c r="L854" s="9"/>
    </row>
    <row r="855" spans="1:12" ht="12.75">
      <c r="A855" s="15"/>
      <c r="B855" s="154"/>
      <c r="C855" s="78"/>
      <c r="D855" s="78"/>
      <c r="F855" s="16"/>
      <c r="K855" s="16"/>
      <c r="L855" s="9"/>
    </row>
    <row r="856" spans="1:12" ht="12.75">
      <c r="A856" s="15"/>
      <c r="B856" s="154"/>
      <c r="C856" s="78"/>
      <c r="D856" s="78"/>
      <c r="F856" s="16"/>
      <c r="K856" s="16"/>
      <c r="L856" s="9"/>
    </row>
    <row r="857" spans="1:12" ht="12.75">
      <c r="A857" s="15"/>
      <c r="B857" s="154"/>
      <c r="C857" s="78"/>
      <c r="D857" s="78"/>
      <c r="F857" s="16"/>
      <c r="K857" s="16"/>
      <c r="L857" s="9"/>
    </row>
    <row r="858" spans="1:12" ht="12.75">
      <c r="A858" s="15"/>
      <c r="B858" s="154"/>
      <c r="C858" s="78"/>
      <c r="D858" s="78"/>
      <c r="F858" s="16"/>
      <c r="K858" s="16"/>
      <c r="L858" s="9"/>
    </row>
    <row r="859" spans="1:12" ht="12.75">
      <c r="A859" s="15"/>
      <c r="B859" s="154"/>
      <c r="C859" s="78"/>
      <c r="D859" s="78"/>
      <c r="F859" s="16"/>
      <c r="K859" s="16"/>
      <c r="L859" s="9"/>
    </row>
    <row r="860" spans="1:12" ht="12.75">
      <c r="A860" s="15"/>
      <c r="B860" s="154"/>
      <c r="C860" s="78"/>
      <c r="D860" s="78"/>
      <c r="F860" s="16"/>
      <c r="K860" s="16"/>
      <c r="L860" s="9"/>
    </row>
    <row r="861" spans="1:12" ht="12.75">
      <c r="A861" s="15"/>
      <c r="B861" s="154"/>
      <c r="C861" s="78"/>
      <c r="D861" s="78"/>
      <c r="F861" s="16"/>
      <c r="K861" s="16"/>
      <c r="L861" s="9"/>
    </row>
    <row r="862" spans="1:12" ht="12.75">
      <c r="A862" s="15"/>
      <c r="B862" s="154"/>
      <c r="C862" s="78"/>
      <c r="D862" s="78"/>
      <c r="F862" s="16"/>
      <c r="K862" s="16"/>
      <c r="L862" s="9"/>
    </row>
    <row r="863" spans="1:12" ht="12.75">
      <c r="A863" s="15"/>
      <c r="B863" s="154"/>
      <c r="C863" s="78"/>
      <c r="D863" s="78"/>
      <c r="F863" s="16"/>
      <c r="K863" s="16"/>
      <c r="L863" s="9"/>
    </row>
    <row r="864" spans="1:12" ht="12.75">
      <c r="A864" s="15"/>
      <c r="B864" s="154"/>
      <c r="C864" s="78"/>
      <c r="D864" s="78"/>
      <c r="F864" s="16"/>
      <c r="K864" s="16"/>
      <c r="L864" s="9"/>
    </row>
    <row r="865" spans="1:12" ht="12.75">
      <c r="A865" s="15"/>
      <c r="B865" s="154"/>
      <c r="C865" s="78"/>
      <c r="D865" s="78"/>
      <c r="F865" s="16"/>
      <c r="K865" s="16"/>
      <c r="L865" s="9"/>
    </row>
    <row r="866" spans="1:12" ht="12.75">
      <c r="A866" s="15"/>
      <c r="B866" s="154"/>
      <c r="C866" s="78"/>
      <c r="D866" s="78"/>
      <c r="F866" s="16"/>
      <c r="K866" s="16"/>
      <c r="L866" s="9"/>
    </row>
    <row r="867" spans="1:12" ht="12.75">
      <c r="A867" s="15"/>
      <c r="B867" s="154"/>
      <c r="C867" s="78"/>
      <c r="D867" s="78"/>
      <c r="F867" s="16"/>
      <c r="K867" s="16"/>
      <c r="L867" s="9"/>
    </row>
    <row r="868" spans="1:12" ht="12.75">
      <c r="A868" s="15"/>
      <c r="B868" s="154"/>
      <c r="C868" s="78"/>
      <c r="D868" s="78"/>
      <c r="F868" s="16"/>
      <c r="K868" s="16"/>
      <c r="L868" s="9"/>
    </row>
    <row r="869" spans="1:12" ht="12.75">
      <c r="A869" s="15"/>
      <c r="B869" s="154"/>
      <c r="C869" s="78"/>
      <c r="D869" s="78"/>
      <c r="F869" s="16"/>
      <c r="K869" s="16"/>
      <c r="L869" s="9"/>
    </row>
    <row r="870" spans="1:12" ht="12.75">
      <c r="A870" s="15"/>
      <c r="B870" s="154"/>
      <c r="C870" s="78"/>
      <c r="D870" s="78"/>
      <c r="F870" s="16"/>
      <c r="K870" s="16"/>
      <c r="L870" s="9"/>
    </row>
    <row r="871" spans="1:12" ht="12.75">
      <c r="A871" s="15"/>
      <c r="B871" s="154"/>
      <c r="C871" s="78"/>
      <c r="D871" s="78"/>
      <c r="F871" s="16"/>
      <c r="K871" s="16"/>
      <c r="L871" s="9"/>
    </row>
    <row r="872" spans="1:12" ht="12.75">
      <c r="A872" s="15"/>
      <c r="B872" s="154"/>
      <c r="C872" s="78"/>
      <c r="D872" s="78"/>
      <c r="F872" s="16"/>
      <c r="K872" s="16"/>
      <c r="L872" s="9"/>
    </row>
    <row r="873" spans="1:12" ht="12.75">
      <c r="A873" s="15"/>
      <c r="B873" s="154"/>
      <c r="C873" s="78"/>
      <c r="D873" s="78"/>
      <c r="F873" s="16"/>
      <c r="K873" s="16"/>
      <c r="L873" s="9"/>
    </row>
    <row r="874" spans="1:12" ht="12.75">
      <c r="A874" s="15"/>
      <c r="B874" s="154"/>
      <c r="C874" s="78"/>
      <c r="D874" s="78"/>
      <c r="F874" s="16"/>
      <c r="K874" s="16"/>
      <c r="L874" s="9"/>
    </row>
    <row r="875" spans="1:12" ht="12.75">
      <c r="A875" s="15"/>
      <c r="B875" s="154"/>
      <c r="C875" s="78"/>
      <c r="D875" s="78"/>
      <c r="F875" s="16"/>
      <c r="K875" s="16"/>
      <c r="L875" s="9"/>
    </row>
    <row r="876" spans="1:12" ht="12.75">
      <c r="A876" s="15"/>
      <c r="B876" s="154"/>
      <c r="C876" s="78"/>
      <c r="D876" s="78"/>
      <c r="F876" s="16"/>
      <c r="K876" s="16"/>
      <c r="L876" s="9"/>
    </row>
    <row r="877" spans="1:12" ht="12.75">
      <c r="A877" s="15"/>
      <c r="B877" s="154"/>
      <c r="C877" s="78"/>
      <c r="D877" s="78"/>
      <c r="F877" s="16"/>
      <c r="K877" s="16"/>
      <c r="L877" s="9"/>
    </row>
    <row r="878" spans="1:12" ht="12.75">
      <c r="A878" s="15"/>
      <c r="B878" s="154"/>
      <c r="C878" s="78"/>
      <c r="D878" s="78"/>
      <c r="F878" s="16"/>
      <c r="K878" s="16"/>
      <c r="L878" s="9"/>
    </row>
    <row r="879" spans="1:12" ht="12.75">
      <c r="A879" s="15"/>
      <c r="B879" s="154"/>
      <c r="C879" s="78"/>
      <c r="D879" s="78"/>
      <c r="F879" s="16"/>
      <c r="K879" s="16"/>
      <c r="L879" s="9"/>
    </row>
    <row r="880" spans="1:12" ht="12.75">
      <c r="A880" s="15"/>
      <c r="B880" s="154"/>
      <c r="C880" s="78"/>
      <c r="D880" s="78"/>
      <c r="F880" s="16"/>
      <c r="K880" s="16"/>
      <c r="L880" s="9"/>
    </row>
    <row r="881" spans="1:12" ht="12.75">
      <c r="A881" s="15"/>
      <c r="B881" s="154"/>
      <c r="C881" s="78"/>
      <c r="D881" s="78"/>
      <c r="F881" s="16"/>
      <c r="K881" s="16"/>
      <c r="L881" s="9"/>
    </row>
    <row r="882" spans="1:12" ht="12.75">
      <c r="A882" s="15"/>
      <c r="B882" s="154"/>
      <c r="C882" s="78"/>
      <c r="D882" s="78"/>
      <c r="F882" s="16"/>
      <c r="K882" s="16"/>
      <c r="L882" s="9"/>
    </row>
    <row r="883" spans="1:12" ht="12.75">
      <c r="A883" s="15"/>
      <c r="B883" s="154"/>
      <c r="C883" s="78"/>
      <c r="D883" s="78"/>
      <c r="F883" s="16"/>
      <c r="K883" s="16"/>
      <c r="L883" s="9"/>
    </row>
    <row r="884" spans="1:12" ht="12.75">
      <c r="A884" s="15"/>
      <c r="B884" s="154"/>
      <c r="C884" s="78"/>
      <c r="D884" s="78"/>
      <c r="F884" s="16"/>
      <c r="K884" s="16"/>
      <c r="L884" s="9"/>
    </row>
    <row r="885" spans="1:12" ht="12.75">
      <c r="A885" s="15"/>
      <c r="B885" s="154"/>
      <c r="C885" s="78"/>
      <c r="D885" s="78"/>
      <c r="F885" s="16"/>
      <c r="K885" s="16"/>
      <c r="L885" s="9"/>
    </row>
    <row r="886" spans="1:12" ht="12.75">
      <c r="A886" s="15"/>
      <c r="B886" s="154"/>
      <c r="C886" s="78"/>
      <c r="D886" s="78"/>
      <c r="F886" s="16"/>
      <c r="K886" s="16"/>
      <c r="L886" s="9"/>
    </row>
    <row r="887" spans="1:12" ht="12.75">
      <c r="A887" s="15"/>
      <c r="B887" s="154"/>
      <c r="C887" s="78"/>
      <c r="D887" s="78"/>
      <c r="F887" s="16"/>
      <c r="K887" s="16"/>
      <c r="L887" s="9"/>
    </row>
    <row r="888" spans="1:12" ht="12.75">
      <c r="A888" s="15"/>
      <c r="B888" s="154"/>
      <c r="C888" s="78"/>
      <c r="D888" s="78"/>
      <c r="F888" s="16"/>
      <c r="K888" s="16"/>
      <c r="L888" s="9"/>
    </row>
    <row r="889" spans="1:12" ht="12.75">
      <c r="A889" s="15"/>
      <c r="B889" s="154"/>
      <c r="C889" s="78"/>
      <c r="D889" s="78"/>
      <c r="F889" s="16"/>
      <c r="K889" s="16"/>
      <c r="L889" s="9"/>
    </row>
    <row r="890" spans="1:12" ht="12.75">
      <c r="A890" s="15"/>
      <c r="B890" s="154"/>
      <c r="C890" s="78"/>
      <c r="D890" s="78"/>
      <c r="F890" s="16"/>
      <c r="K890" s="16"/>
      <c r="L890" s="9"/>
    </row>
    <row r="891" spans="1:12" ht="12.75">
      <c r="A891" s="15"/>
      <c r="B891" s="154"/>
      <c r="C891" s="78"/>
      <c r="D891" s="78"/>
      <c r="F891" s="16"/>
      <c r="K891" s="16"/>
      <c r="L891" s="9"/>
    </row>
    <row r="892" spans="1:12" ht="12.75">
      <c r="A892" s="15"/>
      <c r="B892" s="154"/>
      <c r="C892" s="78"/>
      <c r="D892" s="78"/>
      <c r="F892" s="16"/>
      <c r="K892" s="16"/>
      <c r="L892" s="9"/>
    </row>
    <row r="893" spans="1:12" ht="12.75">
      <c r="A893" s="15"/>
      <c r="B893" s="154"/>
      <c r="C893" s="78"/>
      <c r="D893" s="78"/>
      <c r="F893" s="16"/>
      <c r="K893" s="16"/>
      <c r="L893" s="9"/>
    </row>
    <row r="894" spans="1:12" ht="12.75">
      <c r="A894" s="15"/>
      <c r="B894" s="154"/>
      <c r="C894" s="78"/>
      <c r="D894" s="78"/>
      <c r="F894" s="16"/>
      <c r="K894" s="16"/>
      <c r="L894" s="9"/>
    </row>
    <row r="895" spans="1:12" ht="12.75">
      <c r="A895" s="15"/>
      <c r="B895" s="154"/>
      <c r="C895" s="78"/>
      <c r="D895" s="78"/>
      <c r="F895" s="16"/>
      <c r="K895" s="16"/>
      <c r="L895" s="9"/>
    </row>
    <row r="896" spans="1:12" ht="12.75">
      <c r="A896" s="15"/>
      <c r="B896" s="154"/>
      <c r="C896" s="78"/>
      <c r="D896" s="78"/>
      <c r="F896" s="16"/>
      <c r="K896" s="16"/>
      <c r="L896" s="9"/>
    </row>
    <row r="897" spans="1:12" ht="12.75">
      <c r="A897" s="15"/>
      <c r="B897" s="154"/>
      <c r="C897" s="78"/>
      <c r="D897" s="78"/>
      <c r="F897" s="16"/>
      <c r="K897" s="16"/>
      <c r="L897" s="9"/>
    </row>
    <row r="898" spans="1:12" ht="12.75">
      <c r="A898" s="15"/>
      <c r="B898" s="154"/>
      <c r="C898" s="78"/>
      <c r="D898" s="78"/>
      <c r="F898" s="16"/>
      <c r="K898" s="16"/>
      <c r="L898" s="9"/>
    </row>
    <row r="899" spans="1:12" ht="12.75">
      <c r="A899" s="15"/>
      <c r="B899" s="154"/>
      <c r="C899" s="78"/>
      <c r="D899" s="78"/>
      <c r="F899" s="16"/>
      <c r="K899" s="16"/>
      <c r="L899" s="9"/>
    </row>
    <row r="900" spans="1:12" ht="12.75">
      <c r="A900" s="15"/>
      <c r="B900" s="154"/>
      <c r="C900" s="78"/>
      <c r="D900" s="78"/>
      <c r="F900" s="16"/>
      <c r="K900" s="16"/>
      <c r="L900" s="9"/>
    </row>
    <row r="901" spans="1:12" ht="12.75">
      <c r="A901" s="15"/>
      <c r="B901" s="154"/>
      <c r="C901" s="78"/>
      <c r="D901" s="78"/>
      <c r="F901" s="16"/>
      <c r="K901" s="16"/>
      <c r="L901" s="9"/>
    </row>
    <row r="902" spans="1:12" ht="12.75">
      <c r="A902" s="15"/>
      <c r="B902" s="154"/>
      <c r="C902" s="78"/>
      <c r="D902" s="78"/>
      <c r="F902" s="16"/>
      <c r="K902" s="16"/>
      <c r="L902" s="9"/>
    </row>
    <row r="903" spans="1:12" ht="12.75">
      <c r="A903" s="15"/>
      <c r="B903" s="154"/>
      <c r="C903" s="78"/>
      <c r="D903" s="78"/>
      <c r="F903" s="16"/>
      <c r="K903" s="16"/>
      <c r="L903" s="9"/>
    </row>
    <row r="904" spans="1:12" ht="12.75">
      <c r="A904" s="15"/>
      <c r="B904" s="154"/>
      <c r="C904" s="78"/>
      <c r="D904" s="78"/>
      <c r="F904" s="16"/>
      <c r="K904" s="16"/>
      <c r="L904" s="9"/>
    </row>
    <row r="905" spans="1:12" ht="12.75">
      <c r="A905" s="15"/>
      <c r="B905" s="154"/>
      <c r="C905" s="78"/>
      <c r="D905" s="78"/>
      <c r="F905" s="16"/>
      <c r="K905" s="16"/>
      <c r="L905" s="9"/>
    </row>
    <row r="906" spans="1:12" ht="12.75">
      <c r="A906" s="15"/>
      <c r="B906" s="154"/>
      <c r="C906" s="78"/>
      <c r="D906" s="78"/>
      <c r="F906" s="16"/>
      <c r="K906" s="16"/>
      <c r="L906" s="9"/>
    </row>
    <row r="907" spans="1:12" ht="12.75">
      <c r="A907" s="15"/>
      <c r="B907" s="154"/>
      <c r="C907" s="78"/>
      <c r="D907" s="78"/>
      <c r="F907" s="16"/>
      <c r="K907" s="16"/>
      <c r="L907" s="9"/>
    </row>
    <row r="908" spans="1:12" ht="12.75">
      <c r="A908" s="15"/>
      <c r="B908" s="154"/>
      <c r="C908" s="78"/>
      <c r="D908" s="78"/>
      <c r="F908" s="16"/>
      <c r="K908" s="16"/>
      <c r="L908" s="9"/>
    </row>
    <row r="909" spans="1:12" ht="12.75">
      <c r="A909" s="15"/>
      <c r="B909" s="154"/>
      <c r="C909" s="78"/>
      <c r="D909" s="78"/>
      <c r="F909" s="16"/>
      <c r="K909" s="16"/>
      <c r="L909" s="9"/>
    </row>
    <row r="910" spans="1:12" ht="12.75">
      <c r="A910" s="15"/>
      <c r="B910" s="154"/>
      <c r="C910" s="78"/>
      <c r="D910" s="78"/>
      <c r="F910" s="16"/>
      <c r="K910" s="16"/>
      <c r="L910" s="9"/>
    </row>
    <row r="911" spans="1:12" ht="12.75">
      <c r="A911" s="15"/>
      <c r="B911" s="154"/>
      <c r="C911" s="78"/>
      <c r="D911" s="78"/>
      <c r="F911" s="16"/>
      <c r="K911" s="16"/>
      <c r="L911" s="9"/>
    </row>
    <row r="912" spans="1:12" ht="12.75">
      <c r="A912" s="15"/>
      <c r="B912" s="154"/>
      <c r="C912" s="78"/>
      <c r="D912" s="78"/>
      <c r="F912" s="16"/>
      <c r="K912" s="16"/>
      <c r="L912" s="9"/>
    </row>
    <row r="913" spans="1:12" ht="12.75">
      <c r="A913" s="15"/>
      <c r="B913" s="154"/>
      <c r="C913" s="78"/>
      <c r="D913" s="78"/>
      <c r="F913" s="16"/>
      <c r="K913" s="16"/>
      <c r="L913" s="9"/>
    </row>
    <row r="914" spans="1:12" ht="12.75">
      <c r="A914" s="15"/>
      <c r="B914" s="154"/>
      <c r="C914" s="78"/>
      <c r="D914" s="78"/>
      <c r="F914" s="16"/>
      <c r="K914" s="16"/>
      <c r="L914" s="9"/>
    </row>
    <row r="915" spans="1:12" ht="12.75">
      <c r="A915" s="15"/>
      <c r="B915" s="154"/>
      <c r="C915" s="78"/>
      <c r="D915" s="78"/>
      <c r="F915" s="16"/>
      <c r="K915" s="16"/>
      <c r="L915" s="9"/>
    </row>
    <row r="916" spans="1:12" ht="12.75">
      <c r="A916" s="15"/>
      <c r="B916" s="154"/>
      <c r="C916" s="78"/>
      <c r="D916" s="78"/>
      <c r="F916" s="16"/>
      <c r="K916" s="16"/>
      <c r="L916" s="9"/>
    </row>
    <row r="917" spans="1:12" ht="12.75">
      <c r="A917" s="15"/>
      <c r="B917" s="154"/>
      <c r="C917" s="78"/>
      <c r="D917" s="78"/>
      <c r="F917" s="16"/>
      <c r="K917" s="16"/>
      <c r="L917" s="9"/>
    </row>
    <row r="918" spans="1:12" ht="12.75">
      <c r="A918" s="15"/>
      <c r="B918" s="154"/>
      <c r="C918" s="78"/>
      <c r="D918" s="78"/>
      <c r="F918" s="16"/>
      <c r="K918" s="16"/>
      <c r="L918" s="9"/>
    </row>
    <row r="919" spans="1:12" ht="12.75">
      <c r="A919" s="15"/>
      <c r="B919" s="154"/>
      <c r="C919" s="78"/>
      <c r="D919" s="78"/>
      <c r="F919" s="16"/>
      <c r="K919" s="16"/>
      <c r="L919" s="9"/>
    </row>
    <row r="920" spans="1:12" ht="12.75">
      <c r="A920" s="15"/>
      <c r="B920" s="154"/>
      <c r="C920" s="78"/>
      <c r="D920" s="78"/>
      <c r="F920" s="16"/>
      <c r="K920" s="16"/>
      <c r="L920" s="9"/>
    </row>
    <row r="921" spans="1:12" ht="12.75">
      <c r="A921" s="15"/>
      <c r="B921" s="154"/>
      <c r="C921" s="78"/>
      <c r="D921" s="78"/>
      <c r="F921" s="16"/>
      <c r="K921" s="16"/>
      <c r="L921" s="9"/>
    </row>
    <row r="922" spans="1:12" ht="12.75">
      <c r="A922" s="15"/>
      <c r="B922" s="154"/>
      <c r="C922" s="78"/>
      <c r="D922" s="78"/>
      <c r="F922" s="16"/>
      <c r="K922" s="16"/>
      <c r="L922" s="9"/>
    </row>
    <row r="923" spans="1:12" ht="12.75">
      <c r="A923" s="15"/>
      <c r="B923" s="154"/>
      <c r="C923" s="78"/>
      <c r="D923" s="78"/>
      <c r="F923" s="16"/>
      <c r="K923" s="16"/>
      <c r="L923" s="9"/>
    </row>
    <row r="924" spans="1:12" ht="12.75">
      <c r="A924" s="15"/>
      <c r="B924" s="154"/>
      <c r="C924" s="78"/>
      <c r="D924" s="78"/>
      <c r="F924" s="16"/>
      <c r="K924" s="16"/>
      <c r="L924" s="9"/>
    </row>
    <row r="925" spans="1:12" ht="12.75">
      <c r="A925" s="15"/>
      <c r="B925" s="154"/>
      <c r="C925" s="78"/>
      <c r="D925" s="78"/>
      <c r="F925" s="16"/>
      <c r="K925" s="16"/>
      <c r="L925" s="9"/>
    </row>
    <row r="926" spans="1:12" ht="12.75">
      <c r="A926" s="15"/>
      <c r="B926" s="154"/>
      <c r="C926" s="78"/>
      <c r="D926" s="78"/>
      <c r="F926" s="16"/>
      <c r="K926" s="16"/>
      <c r="L926" s="9"/>
    </row>
    <row r="927" spans="1:12" ht="12.75">
      <c r="A927" s="15"/>
      <c r="B927" s="154"/>
      <c r="C927" s="78"/>
      <c r="D927" s="78"/>
      <c r="F927" s="16"/>
      <c r="K927" s="16"/>
      <c r="L927" s="9"/>
    </row>
    <row r="928" spans="1:12" ht="12.75">
      <c r="A928" s="15"/>
      <c r="B928" s="154"/>
      <c r="C928" s="78"/>
      <c r="D928" s="78"/>
      <c r="F928" s="16"/>
      <c r="K928" s="16"/>
      <c r="L928" s="9"/>
    </row>
    <row r="929" spans="1:12" ht="12.75">
      <c r="A929" s="15"/>
      <c r="B929" s="154"/>
      <c r="C929" s="78"/>
      <c r="D929" s="78"/>
      <c r="F929" s="16"/>
      <c r="K929" s="16"/>
      <c r="L929" s="9"/>
    </row>
    <row r="930" spans="1:12" ht="12.75">
      <c r="A930" s="15"/>
      <c r="B930" s="154"/>
      <c r="C930" s="78"/>
      <c r="D930" s="78"/>
      <c r="F930" s="16"/>
      <c r="K930" s="16"/>
      <c r="L930" s="9"/>
    </row>
    <row r="931" spans="1:12" ht="12.75">
      <c r="A931" s="15"/>
      <c r="B931" s="154"/>
      <c r="C931" s="78"/>
      <c r="D931" s="78"/>
      <c r="F931" s="16"/>
      <c r="K931" s="16"/>
      <c r="L931" s="9"/>
    </row>
    <row r="932" spans="1:12" ht="12.75">
      <c r="A932" s="15"/>
      <c r="B932" s="154"/>
      <c r="C932" s="78"/>
      <c r="D932" s="78"/>
      <c r="F932" s="16"/>
      <c r="K932" s="16"/>
      <c r="L932" s="9"/>
    </row>
    <row r="933" spans="1:12" ht="12.75">
      <c r="A933" s="15"/>
      <c r="B933" s="154"/>
      <c r="C933" s="78"/>
      <c r="D933" s="78"/>
      <c r="F933" s="16"/>
      <c r="K933" s="16"/>
      <c r="L933" s="9"/>
    </row>
    <row r="934" spans="1:12" ht="12.75">
      <c r="A934" s="15"/>
      <c r="B934" s="154"/>
      <c r="C934" s="78"/>
      <c r="D934" s="78"/>
      <c r="F934" s="16"/>
      <c r="K934" s="16"/>
      <c r="L934" s="9"/>
    </row>
    <row r="935" spans="1:12" ht="12.75">
      <c r="A935" s="15"/>
      <c r="B935" s="154"/>
      <c r="C935" s="78"/>
      <c r="D935" s="78"/>
      <c r="F935" s="16"/>
      <c r="K935" s="16"/>
      <c r="L935" s="9"/>
    </row>
    <row r="936" spans="1:12" ht="12.75">
      <c r="A936" s="15"/>
      <c r="B936" s="154"/>
      <c r="C936" s="78"/>
      <c r="D936" s="78"/>
      <c r="F936" s="16"/>
      <c r="K936" s="16"/>
      <c r="L936" s="9"/>
    </row>
    <row r="937" spans="1:12" ht="12.75">
      <c r="A937" s="15"/>
      <c r="B937" s="154"/>
      <c r="C937" s="78"/>
      <c r="D937" s="78"/>
      <c r="F937" s="16"/>
      <c r="K937" s="16"/>
      <c r="L937" s="9"/>
    </row>
    <row r="938" spans="1:12" ht="12.75">
      <c r="A938" s="15"/>
      <c r="B938" s="154"/>
      <c r="C938" s="78"/>
      <c r="D938" s="78"/>
      <c r="F938" s="16"/>
      <c r="K938" s="16"/>
      <c r="L938" s="9"/>
    </row>
    <row r="939" spans="1:12" ht="12.75">
      <c r="A939" s="15"/>
      <c r="B939" s="154"/>
      <c r="C939" s="78"/>
      <c r="D939" s="78"/>
      <c r="F939" s="16"/>
      <c r="K939" s="16"/>
      <c r="L939" s="9"/>
    </row>
    <row r="940" spans="1:12" ht="12.75">
      <c r="A940" s="15"/>
      <c r="B940" s="154"/>
      <c r="C940" s="78"/>
      <c r="D940" s="78"/>
      <c r="F940" s="16"/>
      <c r="K940" s="16"/>
      <c r="L940" s="9"/>
    </row>
    <row r="941" spans="1:12" ht="12.75">
      <c r="A941" s="15"/>
      <c r="B941" s="154"/>
      <c r="C941" s="78"/>
      <c r="D941" s="78"/>
      <c r="F941" s="16"/>
      <c r="K941" s="16"/>
      <c r="L941" s="9"/>
    </row>
    <row r="942" spans="1:12" ht="12.75">
      <c r="A942" s="15"/>
      <c r="B942" s="154"/>
      <c r="C942" s="78"/>
      <c r="D942" s="78"/>
      <c r="F942" s="16"/>
      <c r="K942" s="16"/>
      <c r="L942" s="9"/>
    </row>
    <row r="943" spans="1:12" ht="12.75">
      <c r="A943" s="15"/>
      <c r="B943" s="154"/>
      <c r="C943" s="78"/>
      <c r="D943" s="78"/>
      <c r="F943" s="16"/>
      <c r="K943" s="16"/>
      <c r="L943" s="9"/>
    </row>
    <row r="944" spans="1:12" ht="12.75">
      <c r="A944" s="15"/>
      <c r="B944" s="154"/>
      <c r="C944" s="78"/>
      <c r="D944" s="78"/>
      <c r="F944" s="16"/>
      <c r="K944" s="16"/>
      <c r="L944" s="9"/>
    </row>
    <row r="945" spans="1:12" ht="12.75">
      <c r="A945" s="15"/>
      <c r="B945" s="154"/>
      <c r="C945" s="78"/>
      <c r="D945" s="78"/>
      <c r="F945" s="16"/>
      <c r="K945" s="16"/>
      <c r="L945" s="9"/>
    </row>
    <row r="946" spans="1:12" ht="12.75">
      <c r="A946" s="15"/>
      <c r="B946" s="154"/>
      <c r="C946" s="78"/>
      <c r="D946" s="78"/>
      <c r="F946" s="16"/>
      <c r="K946" s="16"/>
      <c r="L946" s="9"/>
    </row>
    <row r="947" spans="1:12" ht="12.75">
      <c r="A947" s="15"/>
      <c r="B947" s="154"/>
      <c r="C947" s="78"/>
      <c r="D947" s="78"/>
      <c r="F947" s="16"/>
      <c r="K947" s="16"/>
      <c r="L947" s="9"/>
    </row>
    <row r="948" spans="1:12" ht="12.75">
      <c r="A948" s="15"/>
      <c r="B948" s="154"/>
      <c r="C948" s="78"/>
      <c r="D948" s="78"/>
      <c r="F948" s="16"/>
      <c r="K948" s="16"/>
      <c r="L948" s="9"/>
    </row>
    <row r="949" spans="1:12" ht="12.75">
      <c r="A949" s="15"/>
      <c r="B949" s="154"/>
      <c r="C949" s="78"/>
      <c r="D949" s="78"/>
      <c r="F949" s="16"/>
      <c r="K949" s="16"/>
      <c r="L949" s="9"/>
    </row>
    <row r="950" spans="1:12" ht="12.75">
      <c r="A950" s="15"/>
      <c r="B950" s="154"/>
      <c r="C950" s="78"/>
      <c r="D950" s="78"/>
      <c r="F950" s="16"/>
      <c r="K950" s="16"/>
      <c r="L950" s="9"/>
    </row>
    <row r="951" spans="1:12" ht="12.75">
      <c r="A951" s="15"/>
      <c r="B951" s="154"/>
      <c r="C951" s="78"/>
      <c r="D951" s="78"/>
      <c r="F951" s="16"/>
      <c r="K951" s="16"/>
      <c r="L951" s="9"/>
    </row>
    <row r="952" spans="1:12" ht="12.75">
      <c r="A952" s="15"/>
      <c r="B952" s="154"/>
      <c r="C952" s="78"/>
      <c r="D952" s="78"/>
      <c r="F952" s="16"/>
      <c r="K952" s="16"/>
      <c r="L952" s="9"/>
    </row>
    <row r="953" spans="1:12" ht="12.75">
      <c r="A953" s="15"/>
      <c r="B953" s="154"/>
      <c r="C953" s="78"/>
      <c r="D953" s="78"/>
      <c r="F953" s="16"/>
      <c r="K953" s="16"/>
      <c r="L953" s="9"/>
    </row>
    <row r="954" spans="1:12" ht="12.75">
      <c r="A954" s="15"/>
      <c r="B954" s="154"/>
      <c r="C954" s="78"/>
      <c r="D954" s="78"/>
      <c r="F954" s="16"/>
      <c r="K954" s="16"/>
      <c r="L954" s="9"/>
    </row>
    <row r="955" spans="1:12" ht="12.75">
      <c r="A955" s="15"/>
      <c r="B955" s="154"/>
      <c r="C955" s="78"/>
      <c r="D955" s="78"/>
      <c r="F955" s="16"/>
      <c r="K955" s="16"/>
      <c r="L955" s="9"/>
    </row>
    <row r="956" spans="1:12" ht="12.75">
      <c r="A956" s="15"/>
      <c r="B956" s="154"/>
      <c r="C956" s="78"/>
      <c r="D956" s="78"/>
      <c r="F956" s="16"/>
      <c r="K956" s="16"/>
      <c r="L956" s="9"/>
    </row>
    <row r="957" spans="1:12" ht="12.75">
      <c r="A957" s="15"/>
      <c r="B957" s="154"/>
      <c r="C957" s="78"/>
      <c r="D957" s="78"/>
      <c r="F957" s="16"/>
      <c r="K957" s="16"/>
      <c r="L957" s="9"/>
    </row>
    <row r="958" spans="1:12" ht="12.75">
      <c r="A958" s="15"/>
      <c r="B958" s="154"/>
      <c r="C958" s="78"/>
      <c r="D958" s="78"/>
      <c r="F958" s="16"/>
      <c r="K958" s="16"/>
      <c r="L958" s="9"/>
    </row>
    <row r="959" spans="1:12" ht="12.75">
      <c r="A959" s="15"/>
      <c r="B959" s="154"/>
      <c r="C959" s="78"/>
      <c r="D959" s="78"/>
      <c r="F959" s="16"/>
      <c r="K959" s="16"/>
      <c r="L959" s="9"/>
    </row>
    <row r="960" spans="1:12" ht="12.75">
      <c r="A960" s="15"/>
      <c r="B960" s="154"/>
      <c r="C960" s="78"/>
      <c r="D960" s="78"/>
      <c r="F960" s="16"/>
      <c r="K960" s="16"/>
      <c r="L960" s="9"/>
    </row>
    <row r="961" spans="1:12" ht="12.75">
      <c r="A961" s="15"/>
      <c r="B961" s="154"/>
      <c r="C961" s="78"/>
      <c r="D961" s="78"/>
      <c r="F961" s="16"/>
      <c r="K961" s="16"/>
      <c r="L961" s="9"/>
    </row>
    <row r="962" spans="1:12" ht="12.75">
      <c r="A962" s="15"/>
      <c r="B962" s="154"/>
      <c r="C962" s="78"/>
      <c r="D962" s="78"/>
      <c r="F962" s="16"/>
      <c r="K962" s="16"/>
      <c r="L962" s="9"/>
    </row>
    <row r="963" spans="1:12" ht="12.75">
      <c r="A963" s="15"/>
      <c r="B963" s="154"/>
      <c r="C963" s="78"/>
      <c r="D963" s="78"/>
      <c r="F963" s="16"/>
      <c r="K963" s="16"/>
      <c r="L963" s="9"/>
    </row>
    <row r="964" spans="1:12" ht="12.75">
      <c r="A964" s="15"/>
      <c r="B964" s="154"/>
      <c r="C964" s="78"/>
      <c r="D964" s="78"/>
      <c r="F964" s="16"/>
      <c r="K964" s="16"/>
      <c r="L964" s="9"/>
    </row>
    <row r="965" spans="1:12" ht="12.75">
      <c r="A965" s="15"/>
      <c r="B965" s="154"/>
      <c r="C965" s="78"/>
      <c r="D965" s="78"/>
      <c r="F965" s="16"/>
      <c r="K965" s="16"/>
      <c r="L965" s="9"/>
    </row>
    <row r="966" spans="1:12" ht="12.75">
      <c r="A966" s="15"/>
      <c r="B966" s="154"/>
      <c r="C966" s="78"/>
      <c r="D966" s="78"/>
      <c r="F966" s="16"/>
      <c r="K966" s="16"/>
      <c r="L966" s="9"/>
    </row>
    <row r="967" spans="1:12" ht="12.75">
      <c r="A967" s="15"/>
      <c r="B967" s="154"/>
      <c r="C967" s="78"/>
      <c r="D967" s="78"/>
      <c r="F967" s="16"/>
      <c r="K967" s="16"/>
      <c r="L967" s="9"/>
    </row>
    <row r="968" spans="1:12" ht="12.75">
      <c r="A968" s="15"/>
      <c r="B968" s="154"/>
      <c r="C968" s="78"/>
      <c r="D968" s="78"/>
      <c r="F968" s="16"/>
      <c r="K968" s="16"/>
      <c r="L968" s="9"/>
    </row>
    <row r="969" spans="1:12" ht="12.75">
      <c r="A969" s="15"/>
      <c r="B969" s="154"/>
      <c r="C969" s="78"/>
      <c r="D969" s="78"/>
      <c r="F969" s="16"/>
      <c r="K969" s="16"/>
      <c r="L969" s="9"/>
    </row>
    <row r="970" spans="1:12" ht="12.75">
      <c r="A970" s="15"/>
      <c r="B970" s="154"/>
      <c r="C970" s="78"/>
      <c r="D970" s="78"/>
      <c r="F970" s="16"/>
      <c r="K970" s="16"/>
      <c r="L970" s="9"/>
    </row>
    <row r="971" spans="1:12" ht="12.75">
      <c r="A971" s="15"/>
      <c r="B971" s="154"/>
      <c r="C971" s="78"/>
      <c r="D971" s="78"/>
      <c r="F971" s="16"/>
      <c r="K971" s="16"/>
      <c r="L971" s="9"/>
    </row>
    <row r="972" spans="1:12" ht="12.75">
      <c r="A972" s="15"/>
      <c r="B972" s="154"/>
      <c r="C972" s="78"/>
      <c r="D972" s="78"/>
      <c r="F972" s="16"/>
      <c r="K972" s="16"/>
      <c r="L972" s="9"/>
    </row>
    <row r="973" spans="1:12" ht="12.75">
      <c r="A973" s="15"/>
      <c r="B973" s="154"/>
      <c r="C973" s="78"/>
      <c r="D973" s="78"/>
      <c r="F973" s="16"/>
      <c r="K973" s="16"/>
      <c r="L973" s="9"/>
    </row>
    <row r="974" spans="1:12" ht="12.75">
      <c r="A974" s="15"/>
      <c r="B974" s="154"/>
      <c r="C974" s="78"/>
      <c r="D974" s="78"/>
      <c r="F974" s="16"/>
      <c r="K974" s="16"/>
      <c r="L974" s="9"/>
    </row>
    <row r="975" spans="1:12" ht="12.75">
      <c r="A975" s="15"/>
      <c r="B975" s="154"/>
      <c r="C975" s="78"/>
      <c r="D975" s="78"/>
      <c r="F975" s="16"/>
      <c r="K975" s="16"/>
      <c r="L975" s="9"/>
    </row>
    <row r="976" spans="1:12" ht="12.75">
      <c r="A976" s="15"/>
      <c r="B976" s="154"/>
      <c r="C976" s="78"/>
      <c r="D976" s="78"/>
      <c r="F976" s="16"/>
      <c r="K976" s="16"/>
      <c r="L976" s="9"/>
    </row>
    <row r="977" spans="1:12" ht="12.75">
      <c r="A977" s="15"/>
      <c r="B977" s="154"/>
      <c r="C977" s="78"/>
      <c r="D977" s="78"/>
      <c r="F977" s="16"/>
      <c r="K977" s="16"/>
      <c r="L977" s="9"/>
    </row>
    <row r="978" spans="1:12" ht="12.75">
      <c r="A978" s="15"/>
      <c r="B978" s="154"/>
      <c r="C978" s="78"/>
      <c r="D978" s="78"/>
      <c r="F978" s="16"/>
      <c r="K978" s="16"/>
      <c r="L978" s="9"/>
    </row>
    <row r="979" spans="1:12" ht="12.75">
      <c r="A979" s="15"/>
      <c r="B979" s="154"/>
      <c r="C979" s="78"/>
      <c r="D979" s="78"/>
      <c r="F979" s="16"/>
      <c r="K979" s="16"/>
      <c r="L979" s="9"/>
    </row>
    <row r="980" spans="1:12" ht="12.75">
      <c r="A980" s="15"/>
      <c r="B980" s="154"/>
      <c r="C980" s="78"/>
      <c r="D980" s="78"/>
      <c r="F980" s="16"/>
      <c r="K980" s="16"/>
      <c r="L980" s="9"/>
    </row>
    <row r="981" spans="1:12" ht="12.75">
      <c r="A981" s="15"/>
      <c r="B981" s="154"/>
      <c r="C981" s="78"/>
      <c r="D981" s="78"/>
      <c r="F981" s="16"/>
      <c r="K981" s="16"/>
      <c r="L981" s="9"/>
    </row>
    <row r="982" spans="1:12" ht="12.75">
      <c r="A982" s="15"/>
      <c r="B982" s="154"/>
      <c r="C982" s="78"/>
      <c r="D982" s="78"/>
      <c r="F982" s="16"/>
      <c r="K982" s="16"/>
      <c r="L982" s="9"/>
    </row>
    <row r="983" spans="1:12" ht="12.75">
      <c r="A983" s="15"/>
      <c r="B983" s="154"/>
      <c r="C983" s="78"/>
      <c r="D983" s="78"/>
      <c r="F983" s="16"/>
      <c r="K983" s="16"/>
      <c r="L983" s="9"/>
    </row>
    <row r="984" spans="1:12" ht="12.75">
      <c r="A984" s="15"/>
      <c r="B984" s="154"/>
      <c r="C984" s="78"/>
      <c r="D984" s="78"/>
      <c r="F984" s="16"/>
      <c r="K984" s="16"/>
      <c r="L984" s="9"/>
    </row>
    <row r="985" spans="1:12" ht="12.75">
      <c r="A985" s="15"/>
      <c r="B985" s="154"/>
      <c r="C985" s="78"/>
      <c r="D985" s="78"/>
      <c r="F985" s="16"/>
      <c r="K985" s="16"/>
      <c r="L985" s="9"/>
    </row>
    <row r="986" spans="1:12" ht="12.75">
      <c r="A986" s="15"/>
      <c r="B986" s="154"/>
      <c r="C986" s="78"/>
      <c r="D986" s="78"/>
      <c r="F986" s="16"/>
      <c r="K986" s="16"/>
      <c r="L986" s="9"/>
    </row>
    <row r="987" spans="1:12" ht="12.75">
      <c r="A987" s="15"/>
      <c r="B987" s="154"/>
      <c r="C987" s="78"/>
      <c r="D987" s="78"/>
      <c r="F987" s="16"/>
      <c r="K987" s="16"/>
      <c r="L987" s="9"/>
    </row>
    <row r="988" spans="1:12" ht="12.75">
      <c r="A988" s="15"/>
      <c r="B988" s="154"/>
      <c r="C988" s="78"/>
      <c r="D988" s="78"/>
      <c r="F988" s="16"/>
      <c r="K988" s="16"/>
      <c r="L988" s="9"/>
    </row>
    <row r="989" spans="1:12" ht="12.75">
      <c r="A989" s="15"/>
      <c r="B989" s="154"/>
      <c r="C989" s="78"/>
      <c r="D989" s="78"/>
      <c r="F989" s="16"/>
      <c r="K989" s="16"/>
      <c r="L989" s="9"/>
    </row>
    <row r="990" spans="1:12" ht="12.75">
      <c r="A990" s="15"/>
      <c r="B990" s="154"/>
      <c r="C990" s="78"/>
      <c r="D990" s="78"/>
      <c r="F990" s="16"/>
      <c r="K990" s="16"/>
      <c r="L990" s="9"/>
    </row>
    <row r="991" spans="1:12" ht="12.75">
      <c r="A991" s="15"/>
      <c r="B991" s="154"/>
      <c r="C991" s="78"/>
      <c r="D991" s="78"/>
      <c r="F991" s="16"/>
      <c r="K991" s="16"/>
      <c r="L991" s="9"/>
    </row>
    <row r="992" spans="1:12" ht="12.75">
      <c r="A992" s="15"/>
      <c r="B992" s="154"/>
      <c r="C992" s="78"/>
      <c r="D992" s="78"/>
      <c r="F992" s="16"/>
      <c r="K992" s="16"/>
      <c r="L992" s="9"/>
    </row>
    <row r="993" spans="1:12" ht="12.75">
      <c r="A993" s="15"/>
      <c r="B993" s="154"/>
      <c r="C993" s="78"/>
      <c r="D993" s="78"/>
      <c r="F993" s="16"/>
      <c r="K993" s="16"/>
      <c r="L993" s="9"/>
    </row>
    <row r="994" spans="1:12" ht="12.75">
      <c r="A994" s="15"/>
      <c r="B994" s="154"/>
      <c r="C994" s="78"/>
      <c r="D994" s="78"/>
      <c r="F994" s="16"/>
      <c r="K994" s="16"/>
      <c r="L994" s="9"/>
    </row>
    <row r="995" spans="1:12" ht="12.75">
      <c r="A995" s="15"/>
      <c r="B995" s="154"/>
      <c r="C995" s="78"/>
      <c r="D995" s="78"/>
      <c r="F995" s="16"/>
      <c r="K995" s="16"/>
      <c r="L995" s="9"/>
    </row>
    <row r="996" spans="1:12" ht="12.75">
      <c r="A996" s="15"/>
      <c r="B996" s="154"/>
      <c r="C996" s="78"/>
      <c r="D996" s="78"/>
      <c r="F996" s="16"/>
      <c r="K996" s="16"/>
      <c r="L996" s="9"/>
    </row>
    <row r="997" spans="1:12" ht="12.75">
      <c r="A997" s="15"/>
      <c r="B997" s="154"/>
      <c r="C997" s="78"/>
      <c r="D997" s="78"/>
      <c r="F997" s="16"/>
      <c r="K997" s="16"/>
      <c r="L997" s="9"/>
    </row>
    <row r="998" spans="1:12" ht="12.75">
      <c r="A998" s="15"/>
      <c r="B998" s="154"/>
      <c r="C998" s="78"/>
      <c r="D998" s="78"/>
      <c r="F998" s="16"/>
      <c r="K998" s="16"/>
      <c r="L998" s="9"/>
    </row>
    <row r="999" spans="1:12" ht="12.75">
      <c r="A999" s="15"/>
      <c r="B999" s="154"/>
      <c r="C999" s="78"/>
      <c r="D999" s="78"/>
      <c r="F999" s="16"/>
      <c r="K999" s="16"/>
      <c r="L999" s="9"/>
    </row>
    <row r="1000" spans="1:12" ht="12.75">
      <c r="A1000" s="15"/>
      <c r="B1000" s="154"/>
      <c r="C1000" s="78"/>
      <c r="D1000" s="78"/>
      <c r="F1000" s="16"/>
      <c r="K1000" s="16"/>
      <c r="L1000" s="9"/>
    </row>
  </sheetData>
  <phoneticPr fontId="16" type="noConversion"/>
  <conditionalFormatting sqref="L2:L23 L25:L52 L54:L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M1:M23 M25:M110">
    <cfRule type="containsText" dxfId="11" priority="1" operator="containsText" text="buy">
      <formula>NOT(ISERROR(SEARCH("buy",M1)))</formula>
    </cfRule>
    <cfRule type="containsText" dxfId="10" priority="2" operator="containsText" text="keep">
      <formula>NOT(ISERROR(SEARCH("keep",M1)))</formula>
    </cfRule>
    <cfRule type="containsText" dxfId="9" priority="3" operator="containsText" text="sell">
      <formula>NOT(ISERROR(SEARCH("sell",M1)))</formula>
    </cfRule>
    <cfRule type="containsText" dxfId="8" priority="4" operator="containsText" text="Hold">
      <formula>NOT(ISERROR(SEARCH("Hold",M1)))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378</v>
      </c>
      <c r="B1" s="110" t="s">
        <v>215</v>
      </c>
      <c r="C1" s="110" t="s">
        <v>216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>SUM(C6:X6)</f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>
        <f>'Portfolio Ned'!A:A</f>
        <v>0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>
        <f>'Portfolio Ned'!A:A</f>
        <v>0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530.74</v>
      </c>
      <c r="C19" s="19">
        <v>456.65</v>
      </c>
      <c r="D19" s="19">
        <f>6.37+7.44+7.48+6.59+6.5+7.48+6.48+6.38+6.35+6.32+6.7</f>
        <v>74.090000000000018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745.91000000000008</v>
      </c>
      <c r="C20" s="19">
        <v>437.65000000000009</v>
      </c>
      <c r="D20" s="19">
        <f>29.95+30.26+30.05+30.7+26.36+27.29+26.84+26.52+26.29+27+27</f>
        <v>308.26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64.710000000000008</v>
      </c>
      <c r="C47" s="19">
        <v>53.27</v>
      </c>
      <c r="D47" s="19">
        <f>3.99+3.95+3.5</f>
        <v>11.440000000000001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15.560000000000002</v>
      </c>
      <c r="C51" s="19">
        <v>12.010000000000002</v>
      </c>
      <c r="D51" s="19">
        <f>0.94+0.94+0.93+0.74</f>
        <v>3.55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62.430000000000007</v>
      </c>
      <c r="C54" s="19">
        <v>46.49</v>
      </c>
      <c r="D54" s="19">
        <f>6.19+3.18+3.46+3.11</f>
        <v>15.940000000000001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52.2</v>
      </c>
      <c r="C61" s="19">
        <v>38.99</v>
      </c>
      <c r="D61" s="19">
        <f>3.48+3.24+3.16+3.33</f>
        <v>13.21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309.16000000000003</v>
      </c>
      <c r="C66" s="19">
        <v>261.59000000000003</v>
      </c>
      <c r="D66" s="19">
        <f>4.69+4.72+4.66+4.78+4.1+4.15+4.08+4.07+4.01+4.09+4.22</f>
        <v>47.569999999999993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>
        <f>'Portfolio Ned'!A:A</f>
        <v>0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217</v>
      </c>
      <c r="C127" s="82" t="s">
        <v>216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281</v>
      </c>
      <c r="C128" s="112">
        <f>SUM(C2:C111)/6</f>
        <v>1662.0066666666669</v>
      </c>
      <c r="D128" s="84">
        <f>SUM(D2:D115)</f>
        <v>3129.81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385</v>
      </c>
      <c r="C129" s="113">
        <v>1500</v>
      </c>
      <c r="D129" s="113">
        <v>2000</v>
      </c>
      <c r="E129" s="113">
        <v>3000</v>
      </c>
      <c r="F129" s="113">
        <f t="shared" ref="F129:N130" si="5">E129*1.08</f>
        <v>3240</v>
      </c>
      <c r="G129" s="113">
        <f t="shared" si="5"/>
        <v>3499.2000000000003</v>
      </c>
      <c r="H129" s="113">
        <f t="shared" si="5"/>
        <v>3779.1360000000004</v>
      </c>
      <c r="I129" s="113">
        <f t="shared" si="5"/>
        <v>4081.4668800000009</v>
      </c>
      <c r="J129" s="113">
        <f t="shared" si="5"/>
        <v>4407.9842304000013</v>
      </c>
      <c r="K129" s="113">
        <f t="shared" si="5"/>
        <v>4760.6229688320018</v>
      </c>
      <c r="L129" s="113">
        <f t="shared" si="5"/>
        <v>5141.4728063385619</v>
      </c>
      <c r="M129" s="113">
        <f t="shared" si="5"/>
        <v>5552.7906308456468</v>
      </c>
      <c r="N129" s="113">
        <f t="shared" si="5"/>
        <v>5997.013881313299</v>
      </c>
      <c r="O129" s="113">
        <f t="shared" ref="O129:O130" si="6">N129*1.08</f>
        <v>6476.7749918183636</v>
      </c>
      <c r="P129" s="113">
        <f t="shared" ref="P129:P130" si="7">O129*1.08</f>
        <v>6994.9169911638328</v>
      </c>
      <c r="Q129" s="113">
        <f t="shared" ref="Q129:Q130" si="8">P129*1.08</f>
        <v>7554.5103504569397</v>
      </c>
      <c r="R129" s="113">
        <f t="shared" ref="R129:R130" si="9">Q129*1.08</f>
        <v>8158.8711784934958</v>
      </c>
      <c r="S129" s="113">
        <f t="shared" ref="S129:S130" si="10">R129*1.08</f>
        <v>8811.5808727729764</v>
      </c>
      <c r="T129" s="113">
        <f t="shared" ref="T129:U130" si="11">S129*1.08</f>
        <v>9516.5073425948158</v>
      </c>
      <c r="U129" s="113">
        <f t="shared" si="11"/>
        <v>10277.827930002402</v>
      </c>
    </row>
    <row r="130" spans="1:21" ht="12.75">
      <c r="A130" s="4"/>
      <c r="B130" s="84" t="s">
        <v>386</v>
      </c>
      <c r="C130" s="84">
        <v>1500</v>
      </c>
      <c r="D130" s="84">
        <v>3000</v>
      </c>
      <c r="E130" s="113">
        <v>3500</v>
      </c>
      <c r="F130" s="113">
        <f t="shared" si="5"/>
        <v>3780.0000000000005</v>
      </c>
      <c r="G130" s="113">
        <f t="shared" ref="G130" si="12">F130*1.08</f>
        <v>4082.4000000000005</v>
      </c>
      <c r="H130" s="113">
        <f t="shared" ref="H130" si="13">G130*1.08</f>
        <v>4408.9920000000011</v>
      </c>
      <c r="I130" s="113">
        <f t="shared" ref="I130" si="14">H130*1.08</f>
        <v>4761.7113600000012</v>
      </c>
      <c r="J130" s="113">
        <f t="shared" ref="J130" si="15">I130*1.08</f>
        <v>5142.6482688000015</v>
      </c>
      <c r="K130" s="113">
        <f t="shared" ref="K130" si="16">J130*1.08</f>
        <v>5554.0601303040021</v>
      </c>
      <c r="L130" s="113">
        <f t="shared" ref="L130" si="17">K130*1.08</f>
        <v>5998.3849407283224</v>
      </c>
      <c r="M130" s="113">
        <f t="shared" ref="M130" si="18">L130*1.08</f>
        <v>6478.2557359865887</v>
      </c>
      <c r="N130" s="113">
        <f t="shared" ref="N130" si="19">M130*1.08</f>
        <v>6996.5161948655159</v>
      </c>
      <c r="O130" s="113">
        <f t="shared" si="6"/>
        <v>7556.2374904547578</v>
      </c>
      <c r="P130" s="113">
        <f t="shared" si="7"/>
        <v>8160.7364896911386</v>
      </c>
      <c r="Q130" s="113">
        <f t="shared" si="8"/>
        <v>8813.5954088664294</v>
      </c>
      <c r="R130" s="113">
        <f t="shared" si="9"/>
        <v>9518.6830415757449</v>
      </c>
      <c r="S130" s="113">
        <f t="shared" si="10"/>
        <v>10280.177684901806</v>
      </c>
      <c r="T130" s="113">
        <f t="shared" si="11"/>
        <v>11102.591899693951</v>
      </c>
      <c r="U130" s="113">
        <f t="shared" si="11"/>
        <v>11990.799251669469</v>
      </c>
    </row>
    <row r="131" spans="1:21" ht="12.75">
      <c r="A131" s="4"/>
      <c r="B131" s="84" t="s">
        <v>384</v>
      </c>
      <c r="C131" s="84">
        <v>1802.83</v>
      </c>
      <c r="D131" s="84">
        <v>3020.45</v>
      </c>
      <c r="E131" s="84"/>
      <c r="F131" s="84"/>
      <c r="G131" s="84"/>
      <c r="H131" s="84"/>
      <c r="I131" s="84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2.75">
      <c r="A132" s="4"/>
      <c r="B132" s="84" t="s">
        <v>498</v>
      </c>
      <c r="C132" s="84" t="s">
        <v>499</v>
      </c>
      <c r="D132" s="155">
        <f>D131/C131-1</f>
        <v>0.6753936865927459</v>
      </c>
      <c r="E132" s="155"/>
      <c r="F132" s="84"/>
      <c r="G132" s="84"/>
      <c r="H132" s="84"/>
      <c r="I132" s="84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2.75">
      <c r="A133" s="17"/>
      <c r="B133" s="85" t="s">
        <v>472</v>
      </c>
      <c r="C133" s="83">
        <v>190</v>
      </c>
      <c r="D133" s="83">
        <v>285</v>
      </c>
      <c r="E133" s="83">
        <f>D133*1.06+10</f>
        <v>312.10000000000002</v>
      </c>
      <c r="F133" s="83">
        <f t="shared" ref="F133:U133" si="20">E133*1.06+10</f>
        <v>340.82600000000002</v>
      </c>
      <c r="G133" s="83">
        <f t="shared" si="20"/>
        <v>371.27556000000004</v>
      </c>
      <c r="H133" s="83">
        <f t="shared" si="20"/>
        <v>403.55209360000009</v>
      </c>
      <c r="I133" s="83">
        <f t="shared" si="20"/>
        <v>437.76521921600011</v>
      </c>
      <c r="J133" s="83">
        <f t="shared" si="20"/>
        <v>474.03113236896013</v>
      </c>
      <c r="K133" s="83">
        <f t="shared" si="20"/>
        <v>512.47300031109773</v>
      </c>
      <c r="L133" s="83">
        <f t="shared" si="20"/>
        <v>553.22138032976363</v>
      </c>
      <c r="M133" s="83">
        <f t="shared" si="20"/>
        <v>596.41466314954948</v>
      </c>
      <c r="N133" s="83">
        <f t="shared" si="20"/>
        <v>642.19954293852243</v>
      </c>
      <c r="O133" s="83">
        <f t="shared" si="20"/>
        <v>690.73151551483386</v>
      </c>
      <c r="P133" s="83">
        <f t="shared" si="20"/>
        <v>742.17540644572398</v>
      </c>
      <c r="Q133" s="83">
        <f t="shared" si="20"/>
        <v>796.7059308324674</v>
      </c>
      <c r="R133" s="83">
        <f t="shared" si="20"/>
        <v>854.50828668241547</v>
      </c>
      <c r="S133" s="83">
        <f t="shared" si="20"/>
        <v>915.77878388336046</v>
      </c>
      <c r="T133" s="83">
        <f t="shared" si="20"/>
        <v>980.72551091636217</v>
      </c>
      <c r="U133" s="83">
        <f t="shared" si="20"/>
        <v>1049.5690415713439</v>
      </c>
    </row>
    <row r="134" spans="1:21" ht="12.75">
      <c r="A134" s="17"/>
      <c r="B134" s="85" t="s">
        <v>471</v>
      </c>
      <c r="C134" s="83">
        <v>190</v>
      </c>
      <c r="D134" s="83">
        <v>285</v>
      </c>
      <c r="E134" s="83">
        <f t="shared" ref="E134:U134" si="21">D134*1.08+20</f>
        <v>327.8</v>
      </c>
      <c r="F134" s="83">
        <f t="shared" si="21"/>
        <v>374.02400000000006</v>
      </c>
      <c r="G134" s="83">
        <f t="shared" si="21"/>
        <v>423.94592000000011</v>
      </c>
      <c r="H134" s="83">
        <f t="shared" si="21"/>
        <v>477.86159360000016</v>
      </c>
      <c r="I134" s="83">
        <f t="shared" si="21"/>
        <v>536.09052108800017</v>
      </c>
      <c r="J134" s="83">
        <f t="shared" si="21"/>
        <v>598.97776277504022</v>
      </c>
      <c r="K134" s="83">
        <f t="shared" si="21"/>
        <v>666.89598379704353</v>
      </c>
      <c r="L134" s="83">
        <f t="shared" si="21"/>
        <v>740.24766250080711</v>
      </c>
      <c r="M134" s="83">
        <f t="shared" si="21"/>
        <v>819.46747550087173</v>
      </c>
      <c r="N134" s="83">
        <f t="shared" si="21"/>
        <v>905.02487354094148</v>
      </c>
      <c r="O134" s="83">
        <f t="shared" si="21"/>
        <v>997.42686342421689</v>
      </c>
      <c r="P134" s="83">
        <f t="shared" si="21"/>
        <v>1097.2210124981543</v>
      </c>
      <c r="Q134" s="83">
        <f t="shared" si="21"/>
        <v>1204.9986934980068</v>
      </c>
      <c r="R134" s="83">
        <f t="shared" si="21"/>
        <v>1321.3985889778473</v>
      </c>
      <c r="S134" s="83">
        <f t="shared" si="21"/>
        <v>1447.1104760960752</v>
      </c>
      <c r="T134" s="83">
        <f t="shared" si="21"/>
        <v>1582.8793141837614</v>
      </c>
      <c r="U134" s="83">
        <f t="shared" si="21"/>
        <v>1729.5096593184624</v>
      </c>
    </row>
    <row r="135" spans="1:21" ht="12.75">
      <c r="A135" s="17"/>
      <c r="B135" s="95" t="s">
        <v>292</v>
      </c>
      <c r="C135" s="83">
        <v>190</v>
      </c>
      <c r="D135" s="83">
        <v>320</v>
      </c>
      <c r="E135" s="83">
        <v>300</v>
      </c>
      <c r="F135" s="83">
        <f>E135*1.08+10</f>
        <v>334</v>
      </c>
      <c r="G135" s="83">
        <f t="shared" ref="G135:U135" si="22">F135*1.08+10</f>
        <v>370.72</v>
      </c>
      <c r="H135" s="83">
        <f t="shared" si="22"/>
        <v>410.37760000000003</v>
      </c>
      <c r="I135" s="83">
        <f t="shared" si="22"/>
        <v>453.20780800000006</v>
      </c>
      <c r="J135" s="83">
        <f t="shared" si="22"/>
        <v>499.4644326400001</v>
      </c>
      <c r="K135" s="83">
        <f t="shared" si="22"/>
        <v>549.42158725120009</v>
      </c>
      <c r="L135" s="83">
        <f t="shared" si="22"/>
        <v>603.3753142312961</v>
      </c>
      <c r="M135" s="83">
        <f t="shared" si="22"/>
        <v>661.64533936979979</v>
      </c>
      <c r="N135" s="83">
        <f t="shared" si="22"/>
        <v>724.57696651938386</v>
      </c>
      <c r="O135" s="83">
        <f t="shared" si="22"/>
        <v>792.54312384093464</v>
      </c>
      <c r="P135" s="83">
        <f t="shared" si="22"/>
        <v>865.94657374820952</v>
      </c>
      <c r="Q135" s="83">
        <f t="shared" si="22"/>
        <v>945.22229964806638</v>
      </c>
      <c r="R135" s="83">
        <f t="shared" si="22"/>
        <v>1030.8400836199116</v>
      </c>
      <c r="S135" s="83">
        <f t="shared" si="22"/>
        <v>1123.3072903095047</v>
      </c>
      <c r="T135" s="83">
        <f t="shared" si="22"/>
        <v>1223.1718735342652</v>
      </c>
      <c r="U135" s="83">
        <f t="shared" si="22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C10" sqref="C10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1" customWidth="1"/>
    <col min="8" max="8" width="13.140625" style="77" customWidth="1"/>
    <col min="9" max="9" width="33" customWidth="1"/>
  </cols>
  <sheetData>
    <row r="1" spans="1:9" ht="21.75" customHeight="1">
      <c r="A1" s="162" t="s">
        <v>293</v>
      </c>
      <c r="B1" s="81" t="s">
        <v>270</v>
      </c>
      <c r="C1" s="81" t="s">
        <v>271</v>
      </c>
      <c r="D1" s="81" t="s">
        <v>272</v>
      </c>
      <c r="E1" s="136" t="s">
        <v>273</v>
      </c>
      <c r="F1" s="136" t="s">
        <v>504</v>
      </c>
      <c r="G1" s="156" t="s">
        <v>484</v>
      </c>
      <c r="H1" s="81" t="s">
        <v>274</v>
      </c>
      <c r="I1" s="69"/>
    </row>
    <row r="2" spans="1:9" ht="15.75" customHeight="1">
      <c r="A2" s="70">
        <v>2018</v>
      </c>
      <c r="B2" s="67" t="s">
        <v>275</v>
      </c>
      <c r="C2" s="67"/>
      <c r="D2" s="68">
        <v>387.64</v>
      </c>
      <c r="E2" s="72">
        <v>220</v>
      </c>
      <c r="F2" s="72"/>
      <c r="G2" s="157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276</v>
      </c>
      <c r="C3" s="67"/>
      <c r="D3" s="68">
        <f>42+201.18+53.37</f>
        <v>296.55</v>
      </c>
      <c r="E3" s="72">
        <v>42</v>
      </c>
      <c r="F3" s="72"/>
      <c r="G3" s="157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277</v>
      </c>
      <c r="C4" s="67"/>
      <c r="D4" s="68">
        <f>1042.24+6.04+12.91+54.22</f>
        <v>1115.4100000000001</v>
      </c>
      <c r="E4" s="72">
        <v>12.91</v>
      </c>
      <c r="F4" s="72"/>
      <c r="G4" s="157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278</v>
      </c>
      <c r="C5" s="67"/>
      <c r="D5" s="68">
        <f>115.57+530.98</f>
        <v>646.54999999999995</v>
      </c>
      <c r="E5" s="72">
        <v>0</v>
      </c>
      <c r="F5" s="72"/>
      <c r="G5" s="157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398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7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279</v>
      </c>
      <c r="C7" s="67" t="s">
        <v>373</v>
      </c>
      <c r="D7" s="68">
        <v>156.77000000000001</v>
      </c>
      <c r="E7" s="72">
        <v>0</v>
      </c>
      <c r="F7" s="72">
        <f>'Dividends per year'!C131</f>
        <v>1802.83</v>
      </c>
      <c r="G7" s="157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537</v>
      </c>
      <c r="C8" s="67"/>
      <c r="D8" s="68">
        <f>(-1187.53)+1213.67+29.91+312.32+29.85-(95.32)+1.07+894.5+168.9+231.04+310.11+269.62-638.56+(2838.79-605.59)</f>
        <v>3772.78</v>
      </c>
      <c r="E8" s="72">
        <f>152.4+11.07+621.5</f>
        <v>784.97</v>
      </c>
      <c r="F8" s="72">
        <f>'Dividends per year'!D131</f>
        <v>3020.45</v>
      </c>
      <c r="G8" s="157">
        <f>D8+E8+F8</f>
        <v>7578.2</v>
      </c>
      <c r="H8" s="68">
        <v>2024</v>
      </c>
      <c r="I8" s="59"/>
    </row>
    <row r="9" spans="1:9" ht="15.75" customHeight="1">
      <c r="A9" s="70">
        <v>2025</v>
      </c>
      <c r="B9" s="67" t="s">
        <v>562</v>
      </c>
      <c r="C9" s="67" t="s">
        <v>563</v>
      </c>
      <c r="D9" s="68">
        <f>0</f>
        <v>0</v>
      </c>
      <c r="E9" s="68">
        <f>0</f>
        <v>0</v>
      </c>
      <c r="F9" s="139"/>
      <c r="G9" s="157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7"/>
      <c r="F10" s="137"/>
      <c r="G10" s="158"/>
      <c r="H10" s="138"/>
      <c r="I10" s="59"/>
    </row>
    <row r="11" spans="1:9" ht="15.75" customHeight="1">
      <c r="A11" s="70">
        <v>2027</v>
      </c>
      <c r="B11" s="57"/>
      <c r="C11" s="67"/>
      <c r="D11" s="52"/>
      <c r="E11" s="137"/>
      <c r="F11" s="137"/>
      <c r="G11" s="158"/>
      <c r="H11" s="137"/>
      <c r="I11" s="59"/>
    </row>
    <row r="12" spans="1:9" ht="15.75" customHeight="1">
      <c r="A12" s="70">
        <v>2028</v>
      </c>
      <c r="B12" s="57"/>
      <c r="C12" s="57"/>
      <c r="D12" s="52"/>
      <c r="E12" s="137"/>
      <c r="F12" s="137"/>
      <c r="G12" s="158"/>
      <c r="H12" s="137"/>
      <c r="I12" s="52"/>
    </row>
    <row r="13" spans="1:9" ht="15.75" customHeight="1">
      <c r="A13" s="70">
        <v>2029</v>
      </c>
      <c r="B13" s="57"/>
      <c r="C13" s="57"/>
      <c r="D13" s="52"/>
      <c r="E13" s="137"/>
      <c r="F13" s="137"/>
      <c r="G13" s="158"/>
      <c r="H13" s="137"/>
      <c r="I13" s="57"/>
    </row>
    <row r="14" spans="1:9" ht="15.75" customHeight="1">
      <c r="A14" s="70">
        <v>2030</v>
      </c>
      <c r="B14" s="57"/>
      <c r="C14" s="57"/>
      <c r="D14" s="52"/>
      <c r="E14" s="137"/>
      <c r="F14" s="137"/>
      <c r="G14" s="158"/>
      <c r="H14" s="137"/>
      <c r="I14" s="57"/>
    </row>
    <row r="15" spans="1:9" ht="15.75" customHeight="1">
      <c r="A15" s="70">
        <v>2031</v>
      </c>
      <c r="B15" s="60"/>
      <c r="C15" s="60"/>
      <c r="D15" s="61"/>
      <c r="E15" s="137"/>
      <c r="F15" s="137"/>
      <c r="G15" s="158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59"/>
      <c r="H16" s="137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59"/>
      <c r="H17" s="137"/>
      <c r="I17" s="12"/>
    </row>
    <row r="18" spans="1:9" ht="15.75" customHeight="1">
      <c r="A18" s="70">
        <v>2034</v>
      </c>
      <c r="B18" s="6"/>
      <c r="C18" s="6"/>
      <c r="D18" s="61"/>
      <c r="E18" s="137"/>
      <c r="F18" s="137"/>
      <c r="G18" s="158"/>
      <c r="H18" s="137"/>
      <c r="I18" s="12"/>
    </row>
    <row r="19" spans="1:9" ht="15.75" customHeight="1">
      <c r="A19" s="70">
        <v>2035</v>
      </c>
      <c r="B19" s="6"/>
      <c r="C19" s="6"/>
      <c r="D19" s="61"/>
      <c r="E19" s="137"/>
      <c r="F19" s="137"/>
      <c r="G19" s="158"/>
      <c r="H19" s="137"/>
      <c r="I19" s="12"/>
    </row>
    <row r="20" spans="1:9" ht="15.75" customHeight="1">
      <c r="A20" s="56"/>
      <c r="B20" s="6"/>
      <c r="C20" s="6"/>
      <c r="D20" s="6"/>
      <c r="E20" s="137"/>
      <c r="F20" s="137"/>
      <c r="G20" s="158"/>
      <c r="H20" s="137"/>
      <c r="I20" s="12"/>
    </row>
    <row r="21" spans="1:9" ht="15.75" customHeight="1">
      <c r="A21" s="56"/>
      <c r="B21" s="6"/>
      <c r="C21" s="6"/>
      <c r="D21" s="6"/>
      <c r="E21" s="137"/>
      <c r="F21" s="137"/>
      <c r="G21" s="158"/>
      <c r="H21" s="137"/>
      <c r="I21" s="12"/>
    </row>
    <row r="22" spans="1:9" ht="15.75" customHeight="1">
      <c r="A22" s="56"/>
      <c r="B22" s="6"/>
      <c r="C22" s="6"/>
      <c r="D22" s="6"/>
      <c r="E22" s="137"/>
      <c r="F22" s="137"/>
      <c r="G22" s="158"/>
      <c r="H22" s="137"/>
      <c r="I22" s="12"/>
    </row>
    <row r="23" spans="1:9" ht="15.75" customHeight="1">
      <c r="A23" s="56"/>
      <c r="B23" s="6"/>
      <c r="C23" s="6"/>
      <c r="D23" s="6"/>
      <c r="E23" s="137"/>
      <c r="F23" s="137"/>
      <c r="G23" s="158"/>
      <c r="H23" s="137"/>
      <c r="I23" s="12"/>
    </row>
    <row r="24" spans="1:9" ht="15.75" customHeight="1">
      <c r="A24" s="56"/>
      <c r="B24" s="6"/>
      <c r="C24" s="6"/>
      <c r="D24" s="6"/>
      <c r="E24" s="137"/>
      <c r="F24" s="137"/>
      <c r="G24" s="158"/>
      <c r="H24" s="137"/>
      <c r="I24" s="12"/>
    </row>
    <row r="25" spans="1:9" ht="15.75" customHeight="1">
      <c r="A25" s="56"/>
      <c r="B25" s="62"/>
      <c r="C25" s="62"/>
      <c r="D25" s="62"/>
      <c r="E25" s="137"/>
      <c r="F25" s="137"/>
      <c r="G25" s="158"/>
      <c r="H25" s="137"/>
      <c r="I25" s="12"/>
    </row>
    <row r="26" spans="1:9" ht="15.75" customHeight="1">
      <c r="A26" s="56"/>
      <c r="B26" s="62"/>
      <c r="C26" s="62"/>
      <c r="D26" s="62"/>
      <c r="E26" s="137"/>
      <c r="F26" s="137"/>
      <c r="G26" s="158"/>
      <c r="H26" s="137"/>
      <c r="I26" s="12"/>
    </row>
    <row r="27" spans="1:9" ht="15.75" customHeight="1">
      <c r="A27" s="56"/>
      <c r="B27" s="62"/>
      <c r="C27" s="62"/>
      <c r="D27" s="62"/>
      <c r="E27" s="137"/>
      <c r="F27" s="137"/>
      <c r="G27" s="158"/>
      <c r="H27" s="137"/>
      <c r="I27" s="12"/>
    </row>
    <row r="28" spans="1:9" ht="15.75" customHeight="1">
      <c r="A28" s="56"/>
      <c r="B28" s="62"/>
      <c r="C28" s="62"/>
      <c r="D28" s="62"/>
      <c r="E28" s="137"/>
      <c r="F28" s="137"/>
      <c r="G28" s="158"/>
      <c r="H28" s="137"/>
      <c r="I28" s="12"/>
    </row>
    <row r="29" spans="1:9" ht="15.75" customHeight="1">
      <c r="A29" s="56"/>
      <c r="B29" s="60"/>
      <c r="C29" s="60"/>
      <c r="D29" s="60"/>
      <c r="E29" s="137"/>
      <c r="F29" s="137"/>
      <c r="G29" s="158"/>
      <c r="H29" s="137"/>
      <c r="I29" s="12"/>
    </row>
    <row r="30" spans="1:9" ht="15.75" customHeight="1">
      <c r="A30" s="56"/>
      <c r="B30" s="60"/>
      <c r="C30" s="60"/>
      <c r="D30" s="60"/>
      <c r="E30" s="137"/>
      <c r="F30" s="137"/>
      <c r="G30" s="158"/>
      <c r="H30" s="137"/>
      <c r="I30" s="12"/>
    </row>
    <row r="31" spans="1:9" ht="15.75" customHeight="1">
      <c r="A31" s="56"/>
      <c r="B31" s="63"/>
      <c r="C31" s="63"/>
      <c r="D31" s="61"/>
      <c r="E31" s="137"/>
      <c r="F31" s="137"/>
      <c r="G31" s="158"/>
      <c r="H31" s="18"/>
    </row>
    <row r="32" spans="1:9" ht="15.75" customHeight="1">
      <c r="A32" s="56"/>
      <c r="B32" s="63"/>
      <c r="C32" s="63"/>
      <c r="D32" s="61"/>
      <c r="E32" s="137"/>
      <c r="F32" s="137"/>
      <c r="G32" s="158"/>
      <c r="H32" s="18"/>
    </row>
    <row r="33" spans="1:8" ht="15.75" customHeight="1">
      <c r="A33" s="56"/>
      <c r="B33" s="63"/>
      <c r="C33" s="63"/>
      <c r="D33" s="61"/>
      <c r="E33" s="137"/>
      <c r="F33" s="137"/>
      <c r="G33" s="158"/>
      <c r="H33" s="18"/>
    </row>
    <row r="34" spans="1:8" ht="15.75" customHeight="1">
      <c r="A34" s="56"/>
      <c r="B34" s="63"/>
      <c r="C34" s="63"/>
      <c r="D34" s="61"/>
      <c r="E34" s="137"/>
      <c r="F34" s="137"/>
      <c r="G34" s="158"/>
      <c r="H34" s="18"/>
    </row>
    <row r="35" spans="1:8" ht="15.75" customHeight="1">
      <c r="A35" s="56"/>
      <c r="B35" s="63"/>
      <c r="C35" s="63"/>
      <c r="D35" s="61"/>
      <c r="E35" s="58"/>
      <c r="F35" s="58"/>
      <c r="G35" s="159"/>
      <c r="H35" s="18"/>
    </row>
    <row r="36" spans="1:8" ht="15.75" customHeight="1">
      <c r="A36" s="56"/>
      <c r="B36" s="63"/>
      <c r="C36" s="63"/>
      <c r="D36" s="61"/>
      <c r="E36" s="58"/>
      <c r="F36" s="58"/>
      <c r="G36" s="159"/>
      <c r="H36" s="18"/>
    </row>
    <row r="37" spans="1:8" ht="15.75" customHeight="1">
      <c r="A37" s="56"/>
      <c r="B37" s="63"/>
      <c r="C37" s="63"/>
      <c r="D37" s="61"/>
      <c r="E37" s="58"/>
      <c r="F37" s="58"/>
      <c r="G37" s="159"/>
      <c r="H37" s="18"/>
    </row>
    <row r="38" spans="1:8" ht="20.25">
      <c r="A38" s="56"/>
      <c r="B38" s="63"/>
      <c r="C38" s="63"/>
      <c r="D38" s="61"/>
      <c r="E38" s="58"/>
      <c r="F38" s="58"/>
      <c r="G38" s="159"/>
      <c r="H38" s="18"/>
    </row>
    <row r="39" spans="1:8" ht="12.75">
      <c r="A39" s="17"/>
      <c r="E39" s="18"/>
      <c r="F39" s="18"/>
      <c r="G39" s="160"/>
      <c r="H39" s="18"/>
    </row>
    <row r="40" spans="1:8" ht="12.75">
      <c r="A40" s="17"/>
      <c r="E40" s="18"/>
      <c r="F40" s="18"/>
      <c r="G40" s="160"/>
      <c r="H40" s="18"/>
    </row>
    <row r="41" spans="1:8" ht="12.75">
      <c r="A41" s="17"/>
      <c r="E41" s="18"/>
      <c r="F41" s="18"/>
      <c r="G41" s="160"/>
      <c r="H41" s="18"/>
    </row>
    <row r="42" spans="1:8" ht="12.75">
      <c r="A42" s="17"/>
      <c r="E42" s="18"/>
      <c r="F42" s="18"/>
      <c r="G42" s="160"/>
      <c r="H42" s="18"/>
    </row>
    <row r="43" spans="1:8" ht="12.75">
      <c r="A43" s="17"/>
      <c r="E43" s="18"/>
      <c r="F43" s="18"/>
      <c r="G43" s="160"/>
      <c r="H43" s="18"/>
    </row>
    <row r="44" spans="1:8" ht="12.75">
      <c r="A44" s="17"/>
      <c r="E44" s="18"/>
      <c r="F44" s="18"/>
      <c r="G44" s="160"/>
      <c r="H44" s="18"/>
    </row>
    <row r="45" spans="1:8" ht="12.75">
      <c r="A45" s="17"/>
      <c r="E45" s="18"/>
      <c r="F45" s="18"/>
      <c r="G45" s="160"/>
      <c r="H45" s="18"/>
    </row>
    <row r="46" spans="1:8" ht="12.75">
      <c r="A46" s="17"/>
      <c r="E46" s="18"/>
      <c r="F46" s="18"/>
      <c r="G46" s="160"/>
      <c r="H46" s="18"/>
    </row>
    <row r="47" spans="1:8" ht="12.75">
      <c r="A47" s="17"/>
      <c r="E47" s="18"/>
      <c r="F47" s="18"/>
      <c r="G47" s="160"/>
      <c r="H47" s="18"/>
    </row>
    <row r="48" spans="1:8" ht="12.75">
      <c r="A48" s="17"/>
      <c r="E48" s="18"/>
      <c r="F48" s="18"/>
      <c r="G48" s="160"/>
      <c r="H48" s="18"/>
    </row>
    <row r="49" spans="1:8" ht="12.75">
      <c r="A49" s="17"/>
      <c r="E49" s="18"/>
      <c r="F49" s="18"/>
      <c r="G49" s="160"/>
      <c r="H49" s="18"/>
    </row>
    <row r="50" spans="1:8" ht="12.75">
      <c r="A50" s="17"/>
      <c r="E50" s="18"/>
      <c r="F50" s="18"/>
      <c r="G50" s="160"/>
      <c r="H50" s="18"/>
    </row>
    <row r="51" spans="1:8" ht="12.75">
      <c r="A51" s="17"/>
      <c r="E51" s="18"/>
      <c r="F51" s="18"/>
      <c r="G51" s="160"/>
      <c r="H51" s="18"/>
    </row>
    <row r="52" spans="1:8" ht="12.75">
      <c r="A52" s="17"/>
      <c r="E52" s="18"/>
      <c r="F52" s="18"/>
      <c r="G52" s="160"/>
      <c r="H52" s="18"/>
    </row>
    <row r="53" spans="1:8" ht="12.75">
      <c r="A53" s="17"/>
      <c r="E53" s="18"/>
      <c r="F53" s="18"/>
      <c r="G53" s="160"/>
      <c r="H53" s="18"/>
    </row>
    <row r="54" spans="1:8" ht="12.75">
      <c r="A54" s="17"/>
      <c r="E54" s="18"/>
      <c r="F54" s="18"/>
      <c r="G54" s="160"/>
      <c r="H54" s="18"/>
    </row>
    <row r="55" spans="1:8" ht="12.75">
      <c r="A55" s="17"/>
      <c r="E55" s="18"/>
      <c r="F55" s="18"/>
      <c r="G55" s="160"/>
      <c r="H55" s="18"/>
    </row>
    <row r="56" spans="1:8" ht="12.75">
      <c r="A56" s="17"/>
      <c r="E56" s="18"/>
      <c r="F56" s="18"/>
      <c r="G56" s="160"/>
      <c r="H56" s="18"/>
    </row>
    <row r="57" spans="1:8" ht="12.75">
      <c r="A57" s="17"/>
      <c r="E57" s="18"/>
      <c r="F57" s="18"/>
      <c r="G57" s="160"/>
      <c r="H57" s="18"/>
    </row>
    <row r="58" spans="1:8" ht="12.75">
      <c r="A58" s="17"/>
      <c r="E58" s="18"/>
      <c r="F58" s="18"/>
      <c r="G58" s="160"/>
      <c r="H58" s="18"/>
    </row>
    <row r="59" spans="1:8" ht="12.75">
      <c r="A59" s="17"/>
      <c r="E59" s="18"/>
      <c r="F59" s="18"/>
      <c r="G59" s="160"/>
      <c r="H59" s="18"/>
    </row>
    <row r="60" spans="1:8" ht="12.75">
      <c r="A60" s="17"/>
      <c r="E60" s="18"/>
      <c r="F60" s="18"/>
      <c r="G60" s="160"/>
      <c r="H60" s="18"/>
    </row>
    <row r="61" spans="1:8" ht="12.75">
      <c r="A61" s="17"/>
      <c r="E61" s="18"/>
      <c r="F61" s="18"/>
      <c r="G61" s="160"/>
      <c r="H61" s="18"/>
    </row>
    <row r="62" spans="1:8" ht="12.75">
      <c r="A62" s="17"/>
      <c r="E62" s="18"/>
      <c r="F62" s="18"/>
      <c r="G62" s="160"/>
      <c r="H62" s="18"/>
    </row>
    <row r="63" spans="1:8" ht="12.75">
      <c r="A63" s="17"/>
      <c r="E63" s="18"/>
      <c r="F63" s="18"/>
      <c r="G63" s="160"/>
      <c r="H63" s="18"/>
    </row>
    <row r="64" spans="1:8" ht="12.75">
      <c r="A64" s="17"/>
      <c r="E64" s="18"/>
      <c r="F64" s="18"/>
      <c r="G64" s="160"/>
      <c r="H64" s="18"/>
    </row>
    <row r="65" spans="1:8" ht="12.75">
      <c r="A65" s="17"/>
      <c r="E65" s="18"/>
      <c r="F65" s="18"/>
      <c r="G65" s="160"/>
      <c r="H65" s="18"/>
    </row>
    <row r="66" spans="1:8" ht="12.75">
      <c r="A66" s="17"/>
      <c r="E66" s="18"/>
      <c r="F66" s="18"/>
      <c r="G66" s="160"/>
      <c r="H66" s="18"/>
    </row>
    <row r="67" spans="1:8" ht="12.75">
      <c r="A67" s="17"/>
      <c r="E67" s="18"/>
      <c r="F67" s="18"/>
      <c r="G67" s="160"/>
      <c r="H67" s="18"/>
    </row>
    <row r="68" spans="1:8" ht="12.75">
      <c r="A68" s="17"/>
      <c r="E68" s="18"/>
      <c r="F68" s="18"/>
      <c r="G68" s="160"/>
      <c r="H68" s="18"/>
    </row>
    <row r="69" spans="1:8" ht="12.75">
      <c r="A69" s="17"/>
      <c r="E69" s="18"/>
      <c r="F69" s="18"/>
      <c r="G69" s="160"/>
      <c r="H69" s="18"/>
    </row>
    <row r="70" spans="1:8" ht="12.75">
      <c r="A70" s="17"/>
      <c r="E70" s="18"/>
      <c r="F70" s="18"/>
      <c r="G70" s="160"/>
      <c r="H70" s="18"/>
    </row>
    <row r="71" spans="1:8" ht="12.75">
      <c r="A71" s="17"/>
      <c r="E71" s="18"/>
      <c r="F71" s="18"/>
      <c r="G71" s="160"/>
      <c r="H71" s="18"/>
    </row>
    <row r="72" spans="1:8" ht="12.75">
      <c r="A72" s="17"/>
      <c r="E72" s="18"/>
      <c r="F72" s="18"/>
      <c r="G72" s="160"/>
      <c r="H72" s="18"/>
    </row>
    <row r="73" spans="1:8" ht="12.75">
      <c r="A73" s="17"/>
      <c r="E73" s="18"/>
      <c r="F73" s="18"/>
      <c r="G73" s="160"/>
      <c r="H73" s="18"/>
    </row>
    <row r="74" spans="1:8" ht="12.75">
      <c r="A74" s="17"/>
      <c r="E74" s="18"/>
      <c r="F74" s="18"/>
      <c r="G74" s="160"/>
      <c r="H74" s="18"/>
    </row>
    <row r="75" spans="1:8" ht="12.75">
      <c r="A75" s="17"/>
      <c r="E75" s="18"/>
      <c r="F75" s="18"/>
      <c r="G75" s="160"/>
      <c r="H75" s="18"/>
    </row>
    <row r="76" spans="1:8" ht="12.75">
      <c r="A76" s="17"/>
      <c r="E76" s="18"/>
      <c r="F76" s="18"/>
      <c r="G76" s="160"/>
      <c r="H76" s="18"/>
    </row>
    <row r="77" spans="1:8" ht="12.75">
      <c r="A77" s="17"/>
      <c r="E77" s="18"/>
      <c r="F77" s="18"/>
      <c r="G77" s="160"/>
      <c r="H77" s="18"/>
    </row>
    <row r="78" spans="1:8" ht="12.75">
      <c r="A78" s="17"/>
      <c r="E78" s="18"/>
      <c r="F78" s="18"/>
      <c r="G78" s="160"/>
      <c r="H78" s="18"/>
    </row>
    <row r="79" spans="1:8" ht="12.75">
      <c r="A79" s="17"/>
      <c r="E79" s="18"/>
      <c r="F79" s="18"/>
      <c r="G79" s="160"/>
      <c r="H79" s="18"/>
    </row>
    <row r="80" spans="1:8" ht="12.75">
      <c r="A80" s="17"/>
      <c r="E80" s="18"/>
      <c r="F80" s="18"/>
      <c r="G80" s="160"/>
      <c r="H80" s="18"/>
    </row>
    <row r="81" spans="1:8" ht="12.75">
      <c r="A81" s="17"/>
      <c r="E81" s="18"/>
      <c r="F81" s="18"/>
      <c r="G81" s="160"/>
      <c r="H81" s="18"/>
    </row>
    <row r="82" spans="1:8" ht="12.75">
      <c r="A82" s="17"/>
      <c r="E82" s="18"/>
      <c r="F82" s="18"/>
      <c r="G82" s="160"/>
      <c r="H82" s="18"/>
    </row>
    <row r="83" spans="1:8" ht="12.75">
      <c r="A83" s="17"/>
      <c r="E83" s="18"/>
      <c r="F83" s="18"/>
      <c r="G83" s="160"/>
      <c r="H83" s="18"/>
    </row>
    <row r="84" spans="1:8" ht="12.75">
      <c r="A84" s="17"/>
      <c r="E84" s="18"/>
      <c r="F84" s="18"/>
      <c r="G84" s="160"/>
      <c r="H84" s="18"/>
    </row>
    <row r="85" spans="1:8" ht="12.75">
      <c r="A85" s="17"/>
      <c r="E85" s="18"/>
      <c r="F85" s="18"/>
      <c r="G85" s="160"/>
      <c r="H85" s="18"/>
    </row>
    <row r="86" spans="1:8" ht="12.75">
      <c r="A86" s="17"/>
      <c r="E86" s="18"/>
      <c r="F86" s="18"/>
      <c r="G86" s="160"/>
      <c r="H86" s="18"/>
    </row>
    <row r="87" spans="1:8" ht="12.75">
      <c r="A87" s="17"/>
      <c r="E87" s="18"/>
      <c r="F87" s="18"/>
      <c r="G87" s="160"/>
      <c r="H87" s="18"/>
    </row>
    <row r="88" spans="1:8" ht="12.75">
      <c r="A88" s="17"/>
      <c r="E88" s="18"/>
      <c r="F88" s="18"/>
      <c r="G88" s="160"/>
      <c r="H88" s="18"/>
    </row>
    <row r="89" spans="1:8" ht="12.75">
      <c r="A89" s="17"/>
      <c r="E89" s="18"/>
      <c r="F89" s="18"/>
      <c r="G89" s="160"/>
      <c r="H89" s="18"/>
    </row>
    <row r="90" spans="1:8" ht="12.75">
      <c r="A90" s="17"/>
      <c r="E90" s="18"/>
      <c r="F90" s="18"/>
      <c r="G90" s="160"/>
      <c r="H90" s="18"/>
    </row>
    <row r="91" spans="1:8" ht="12.75">
      <c r="A91" s="17"/>
      <c r="E91" s="18"/>
      <c r="F91" s="18"/>
      <c r="G91" s="160"/>
      <c r="H91" s="18"/>
    </row>
    <row r="92" spans="1:8" ht="12.75">
      <c r="A92" s="17"/>
      <c r="E92" s="18"/>
      <c r="F92" s="18"/>
      <c r="G92" s="160"/>
      <c r="H92" s="18"/>
    </row>
    <row r="93" spans="1:8" ht="12.75">
      <c r="A93" s="17"/>
      <c r="E93" s="18"/>
      <c r="F93" s="18"/>
      <c r="G93" s="160"/>
      <c r="H93" s="18"/>
    </row>
    <row r="94" spans="1:8" ht="12.75">
      <c r="A94" s="17"/>
      <c r="E94" s="18"/>
      <c r="F94" s="18"/>
      <c r="G94" s="160"/>
      <c r="H94" s="18"/>
    </row>
    <row r="95" spans="1:8" ht="12.75">
      <c r="A95" s="17"/>
      <c r="E95" s="18"/>
      <c r="F95" s="18"/>
      <c r="G95" s="160"/>
      <c r="H95" s="18"/>
    </row>
    <row r="96" spans="1:8" ht="12.75">
      <c r="A96" s="17"/>
      <c r="E96" s="18"/>
      <c r="F96" s="18"/>
      <c r="G96" s="160"/>
      <c r="H96" s="18"/>
    </row>
    <row r="97" spans="1:8" ht="12.75">
      <c r="A97" s="17"/>
      <c r="E97" s="18"/>
      <c r="F97" s="18"/>
      <c r="G97" s="160"/>
      <c r="H97" s="18"/>
    </row>
    <row r="98" spans="1:8" ht="12.75">
      <c r="A98" s="17"/>
      <c r="E98" s="18"/>
      <c r="F98" s="18"/>
      <c r="G98" s="160"/>
      <c r="H98" s="18"/>
    </row>
    <row r="99" spans="1:8" ht="12.75">
      <c r="A99" s="17"/>
      <c r="E99" s="18"/>
      <c r="F99" s="18"/>
      <c r="G99" s="160"/>
      <c r="H99" s="18"/>
    </row>
    <row r="100" spans="1:8" ht="12.75">
      <c r="A100" s="17"/>
      <c r="E100" s="18"/>
      <c r="F100" s="18"/>
      <c r="G100" s="160"/>
      <c r="H100" s="18"/>
    </row>
    <row r="101" spans="1:8" ht="12.75">
      <c r="A101" s="17"/>
      <c r="E101" s="18"/>
      <c r="F101" s="18"/>
      <c r="G101" s="160"/>
      <c r="H101" s="18"/>
    </row>
    <row r="102" spans="1:8" ht="12.75">
      <c r="A102" s="17"/>
      <c r="E102" s="18"/>
      <c r="F102" s="18"/>
      <c r="G102" s="160"/>
      <c r="H102" s="18"/>
    </row>
    <row r="103" spans="1:8" ht="12.75">
      <c r="A103" s="17"/>
      <c r="E103" s="18"/>
      <c r="F103" s="18"/>
      <c r="G103" s="160"/>
      <c r="H103" s="18"/>
    </row>
    <row r="104" spans="1:8" ht="12.75">
      <c r="A104" s="17"/>
      <c r="E104" s="18"/>
      <c r="F104" s="18"/>
      <c r="G104" s="160"/>
      <c r="H104" s="18"/>
    </row>
    <row r="105" spans="1:8" ht="12.75">
      <c r="A105" s="17"/>
      <c r="E105" s="18"/>
      <c r="F105" s="18"/>
      <c r="G105" s="160"/>
      <c r="H105" s="18"/>
    </row>
    <row r="106" spans="1:8" ht="12.75">
      <c r="A106" s="17"/>
      <c r="E106" s="18"/>
      <c r="F106" s="18"/>
      <c r="G106" s="160"/>
      <c r="H106" s="18"/>
    </row>
    <row r="107" spans="1:8" ht="12.75">
      <c r="A107" s="17"/>
      <c r="E107" s="18"/>
      <c r="F107" s="18"/>
      <c r="G107" s="160"/>
      <c r="H107" s="18"/>
    </row>
    <row r="108" spans="1:8" ht="12.75">
      <c r="A108" s="17"/>
      <c r="E108" s="18"/>
      <c r="F108" s="18"/>
      <c r="G108" s="160"/>
      <c r="H108" s="18"/>
    </row>
    <row r="109" spans="1:8" ht="12.75">
      <c r="A109" s="17"/>
      <c r="E109" s="18"/>
      <c r="F109" s="18"/>
      <c r="G109" s="160"/>
      <c r="H109" s="18"/>
    </row>
    <row r="110" spans="1:8" ht="12.75">
      <c r="A110" s="17"/>
      <c r="E110" s="18"/>
      <c r="F110" s="18"/>
      <c r="G110" s="160"/>
      <c r="H110" s="18"/>
    </row>
    <row r="111" spans="1:8" ht="12.75">
      <c r="A111" s="17"/>
      <c r="E111" s="18"/>
      <c r="F111" s="18"/>
      <c r="G111" s="160"/>
      <c r="H111" s="18"/>
    </row>
    <row r="112" spans="1:8" ht="12.75">
      <c r="A112" s="17"/>
      <c r="E112" s="18"/>
      <c r="F112" s="18"/>
      <c r="G112" s="160"/>
      <c r="H112" s="18"/>
    </row>
    <row r="113" spans="1:8" ht="12.75">
      <c r="A113" s="17"/>
      <c r="E113" s="18"/>
      <c r="F113" s="18"/>
      <c r="G113" s="160"/>
      <c r="H113" s="18"/>
    </row>
    <row r="114" spans="1:8" ht="12.75">
      <c r="A114" s="17"/>
      <c r="E114" s="18"/>
      <c r="F114" s="18"/>
      <c r="G114" s="160"/>
      <c r="H114" s="18"/>
    </row>
    <row r="115" spans="1:8" ht="12.75">
      <c r="A115" s="17"/>
      <c r="E115" s="18"/>
      <c r="F115" s="18"/>
      <c r="G115" s="160"/>
      <c r="H115" s="18"/>
    </row>
    <row r="116" spans="1:8" ht="12.75">
      <c r="A116" s="17"/>
      <c r="E116" s="18"/>
      <c r="F116" s="18"/>
      <c r="G116" s="160"/>
      <c r="H116" s="18"/>
    </row>
    <row r="117" spans="1:8" ht="12.75">
      <c r="A117" s="17"/>
      <c r="E117" s="18"/>
      <c r="F117" s="18"/>
      <c r="G117" s="160"/>
      <c r="H117" s="18"/>
    </row>
    <row r="118" spans="1:8" ht="12.75">
      <c r="A118" s="17"/>
      <c r="E118" s="18"/>
      <c r="F118" s="18"/>
      <c r="G118" s="160"/>
      <c r="H118" s="18"/>
    </row>
    <row r="119" spans="1:8" ht="12.75">
      <c r="A119" s="17"/>
      <c r="E119" s="18"/>
      <c r="F119" s="18"/>
      <c r="G119" s="160"/>
      <c r="H119" s="18"/>
    </row>
    <row r="120" spans="1:8" ht="12.75">
      <c r="A120" s="17"/>
      <c r="E120" s="18"/>
      <c r="F120" s="18"/>
      <c r="G120" s="160"/>
      <c r="H120" s="18"/>
    </row>
    <row r="121" spans="1:8" ht="12.75">
      <c r="A121" s="17"/>
      <c r="E121" s="18"/>
      <c r="F121" s="18"/>
      <c r="G121" s="160"/>
      <c r="H121" s="18"/>
    </row>
    <row r="122" spans="1:8" ht="12.75">
      <c r="A122" s="17"/>
      <c r="E122" s="18"/>
      <c r="F122" s="18"/>
      <c r="G122" s="160"/>
      <c r="H122" s="18"/>
    </row>
    <row r="123" spans="1:8" ht="12.75">
      <c r="A123" s="17"/>
      <c r="E123" s="18"/>
      <c r="F123" s="18"/>
      <c r="G123" s="160"/>
      <c r="H123" s="18"/>
    </row>
    <row r="124" spans="1:8" ht="12.75">
      <c r="A124" s="17"/>
      <c r="E124" s="18"/>
      <c r="F124" s="18"/>
      <c r="G124" s="160"/>
      <c r="H124" s="18"/>
    </row>
    <row r="125" spans="1:8" ht="12.75">
      <c r="A125" s="17"/>
      <c r="E125" s="18"/>
      <c r="F125" s="18"/>
      <c r="G125" s="160"/>
      <c r="H125" s="18"/>
    </row>
    <row r="126" spans="1:8" ht="12.75">
      <c r="A126" s="17"/>
      <c r="E126" s="18"/>
      <c r="F126" s="18"/>
      <c r="G126" s="160"/>
      <c r="H126" s="18"/>
    </row>
    <row r="127" spans="1:8" ht="12.75">
      <c r="A127" s="17"/>
      <c r="E127" s="18"/>
      <c r="F127" s="18"/>
      <c r="G127" s="160"/>
      <c r="H127" s="18"/>
    </row>
    <row r="128" spans="1:8" ht="12.75">
      <c r="A128" s="17"/>
      <c r="E128" s="18"/>
      <c r="F128" s="18"/>
      <c r="G128" s="160"/>
      <c r="H128" s="18"/>
    </row>
    <row r="129" spans="1:8" ht="12.75">
      <c r="A129" s="17"/>
      <c r="E129" s="18"/>
      <c r="F129" s="18"/>
      <c r="G129" s="160"/>
      <c r="H129" s="18"/>
    </row>
    <row r="130" spans="1:8" ht="12.75">
      <c r="A130" s="17"/>
      <c r="E130" s="18"/>
      <c r="F130" s="18"/>
      <c r="G130" s="160"/>
      <c r="H130" s="18"/>
    </row>
    <row r="131" spans="1:8" ht="12.75">
      <c r="A131" s="17"/>
      <c r="E131" s="18"/>
      <c r="F131" s="18"/>
      <c r="G131" s="160"/>
      <c r="H131" s="18"/>
    </row>
    <row r="132" spans="1:8" ht="12.75">
      <c r="A132" s="17"/>
      <c r="E132" s="18"/>
      <c r="F132" s="18"/>
      <c r="G132" s="160"/>
      <c r="H132" s="18"/>
    </row>
    <row r="133" spans="1:8" ht="12.75">
      <c r="A133" s="17"/>
      <c r="E133" s="18"/>
      <c r="F133" s="18"/>
      <c r="G133" s="160"/>
      <c r="H133" s="18"/>
    </row>
    <row r="134" spans="1:8" ht="12.75">
      <c r="A134" s="17"/>
      <c r="E134" s="18"/>
      <c r="F134" s="18"/>
      <c r="G134" s="160"/>
      <c r="H134" s="18"/>
    </row>
    <row r="135" spans="1:8" ht="12.75">
      <c r="A135" s="17"/>
      <c r="E135" s="18"/>
      <c r="F135" s="18"/>
      <c r="G135" s="160"/>
      <c r="H135" s="18"/>
    </row>
    <row r="136" spans="1:8" ht="12.75">
      <c r="A136" s="17"/>
      <c r="E136" s="18"/>
      <c r="F136" s="18"/>
      <c r="G136" s="160"/>
      <c r="H136" s="18"/>
    </row>
    <row r="137" spans="1:8" ht="12.75">
      <c r="A137" s="17"/>
      <c r="E137" s="18"/>
      <c r="F137" s="18"/>
      <c r="G137" s="160"/>
      <c r="H137" s="18"/>
    </row>
    <row r="138" spans="1:8" ht="12.75">
      <c r="A138" s="17"/>
      <c r="E138" s="18"/>
      <c r="F138" s="18"/>
      <c r="G138" s="160"/>
      <c r="H138" s="18"/>
    </row>
    <row r="139" spans="1:8" ht="12.75">
      <c r="A139" s="17"/>
      <c r="E139" s="18"/>
      <c r="F139" s="18"/>
      <c r="G139" s="160"/>
      <c r="H139" s="18"/>
    </row>
    <row r="140" spans="1:8" ht="12.75">
      <c r="A140" s="17"/>
      <c r="E140" s="18"/>
      <c r="F140" s="18"/>
      <c r="G140" s="160"/>
      <c r="H140" s="18"/>
    </row>
    <row r="141" spans="1:8" ht="12.75">
      <c r="A141" s="17"/>
      <c r="E141" s="18"/>
      <c r="F141" s="18"/>
      <c r="G141" s="160"/>
      <c r="H141" s="18"/>
    </row>
    <row r="142" spans="1:8" ht="12.75">
      <c r="A142" s="17"/>
      <c r="E142" s="18"/>
      <c r="F142" s="18"/>
      <c r="G142" s="160"/>
      <c r="H142" s="18"/>
    </row>
    <row r="143" spans="1:8" ht="12.75">
      <c r="A143" s="17"/>
      <c r="E143" s="18"/>
      <c r="F143" s="18"/>
      <c r="G143" s="160"/>
      <c r="H143" s="18"/>
    </row>
    <row r="144" spans="1:8" ht="12.75">
      <c r="A144" s="17"/>
      <c r="E144" s="18"/>
      <c r="F144" s="18"/>
      <c r="G144" s="160"/>
      <c r="H144" s="18"/>
    </row>
    <row r="145" spans="1:8" ht="12.75">
      <c r="A145" s="17"/>
      <c r="E145" s="18"/>
      <c r="F145" s="18"/>
      <c r="G145" s="160"/>
      <c r="H145" s="18"/>
    </row>
    <row r="146" spans="1:8" ht="12.75">
      <c r="A146" s="17"/>
      <c r="E146" s="18"/>
      <c r="F146" s="18"/>
      <c r="G146" s="160"/>
      <c r="H146" s="18"/>
    </row>
    <row r="147" spans="1:8" ht="12.75">
      <c r="A147" s="17"/>
      <c r="E147" s="18"/>
      <c r="F147" s="18"/>
      <c r="G147" s="160"/>
      <c r="H147" s="18"/>
    </row>
    <row r="148" spans="1:8" ht="12.75">
      <c r="A148" s="17"/>
      <c r="E148" s="18"/>
      <c r="F148" s="18"/>
      <c r="G148" s="160"/>
      <c r="H148" s="18"/>
    </row>
    <row r="149" spans="1:8" ht="12.75">
      <c r="A149" s="17"/>
      <c r="E149" s="18"/>
      <c r="F149" s="18"/>
      <c r="G149" s="160"/>
      <c r="H149" s="18"/>
    </row>
    <row r="150" spans="1:8" ht="12.75">
      <c r="A150" s="17"/>
      <c r="E150" s="18"/>
      <c r="F150" s="18"/>
      <c r="G150" s="160"/>
      <c r="H150" s="18"/>
    </row>
    <row r="151" spans="1:8" ht="12.75">
      <c r="A151" s="17"/>
      <c r="E151" s="18"/>
      <c r="F151" s="18"/>
      <c r="G151" s="160"/>
      <c r="H151" s="18"/>
    </row>
    <row r="152" spans="1:8" ht="12.75">
      <c r="A152" s="17"/>
      <c r="E152" s="18"/>
      <c r="F152" s="18"/>
      <c r="G152" s="160"/>
      <c r="H152" s="18"/>
    </row>
    <row r="153" spans="1:8" ht="12.75">
      <c r="A153" s="17"/>
      <c r="E153" s="18"/>
      <c r="F153" s="18"/>
      <c r="G153" s="160"/>
      <c r="H153" s="18"/>
    </row>
    <row r="154" spans="1:8" ht="12.75">
      <c r="A154" s="17"/>
      <c r="E154" s="18"/>
      <c r="F154" s="18"/>
      <c r="G154" s="160"/>
      <c r="H154" s="18"/>
    </row>
    <row r="155" spans="1:8" ht="12.75">
      <c r="A155" s="17"/>
      <c r="E155" s="18"/>
      <c r="F155" s="18"/>
      <c r="G155" s="160"/>
      <c r="H155" s="18"/>
    </row>
    <row r="156" spans="1:8" ht="12.75">
      <c r="A156" s="17"/>
      <c r="E156" s="18"/>
      <c r="F156" s="18"/>
      <c r="G156" s="160"/>
      <c r="H156" s="18"/>
    </row>
    <row r="157" spans="1:8" ht="12.75">
      <c r="A157" s="17"/>
      <c r="E157" s="18"/>
      <c r="F157" s="18"/>
      <c r="G157" s="160"/>
      <c r="H157" s="18"/>
    </row>
    <row r="158" spans="1:8" ht="12.75">
      <c r="A158" s="17"/>
      <c r="E158" s="18"/>
      <c r="F158" s="18"/>
      <c r="G158" s="160"/>
      <c r="H158" s="18"/>
    </row>
    <row r="159" spans="1:8" ht="12.75">
      <c r="A159" s="17"/>
      <c r="E159" s="18"/>
      <c r="F159" s="18"/>
      <c r="G159" s="160"/>
      <c r="H159" s="18"/>
    </row>
    <row r="160" spans="1:8" ht="12.75">
      <c r="A160" s="17"/>
      <c r="E160" s="18"/>
      <c r="F160" s="18"/>
      <c r="G160" s="160"/>
      <c r="H160" s="18"/>
    </row>
    <row r="161" spans="1:8" ht="12.75">
      <c r="A161" s="17"/>
      <c r="E161" s="18"/>
      <c r="F161" s="18"/>
      <c r="G161" s="160"/>
      <c r="H161" s="18"/>
    </row>
    <row r="162" spans="1:8" ht="12.75">
      <c r="A162" s="17"/>
      <c r="E162" s="18"/>
      <c r="F162" s="18"/>
      <c r="G162" s="160"/>
      <c r="H162" s="18"/>
    </row>
    <row r="163" spans="1:8" ht="12.75">
      <c r="A163" s="17"/>
      <c r="E163" s="18"/>
      <c r="F163" s="18"/>
      <c r="G163" s="160"/>
      <c r="H163" s="18"/>
    </row>
    <row r="164" spans="1:8" ht="12.75">
      <c r="A164" s="17"/>
      <c r="E164" s="18"/>
      <c r="F164" s="18"/>
      <c r="G164" s="160"/>
      <c r="H164" s="18"/>
    </row>
    <row r="165" spans="1:8" ht="12.75">
      <c r="A165" s="17"/>
      <c r="E165" s="18"/>
      <c r="F165" s="18"/>
      <c r="G165" s="160"/>
      <c r="H165" s="18"/>
    </row>
    <row r="166" spans="1:8" ht="12.75">
      <c r="A166" s="17"/>
      <c r="E166" s="18"/>
      <c r="F166" s="18"/>
      <c r="G166" s="160"/>
      <c r="H166" s="18"/>
    </row>
    <row r="167" spans="1:8" ht="12.75">
      <c r="A167" s="17"/>
      <c r="E167" s="18"/>
      <c r="F167" s="18"/>
      <c r="G167" s="160"/>
      <c r="H167" s="18"/>
    </row>
    <row r="168" spans="1:8" ht="12.75">
      <c r="A168" s="17"/>
      <c r="E168" s="18"/>
      <c r="F168" s="18"/>
      <c r="G168" s="160"/>
      <c r="H168" s="18"/>
    </row>
    <row r="169" spans="1:8" ht="12.75">
      <c r="A169" s="17"/>
      <c r="E169" s="18"/>
      <c r="F169" s="18"/>
      <c r="G169" s="160"/>
      <c r="H169" s="18"/>
    </row>
    <row r="170" spans="1:8" ht="12.75">
      <c r="A170" s="17"/>
      <c r="E170" s="18"/>
      <c r="F170" s="18"/>
      <c r="G170" s="160"/>
      <c r="H170" s="18"/>
    </row>
    <row r="171" spans="1:8" ht="12.75">
      <c r="A171" s="17"/>
      <c r="E171" s="18"/>
      <c r="F171" s="18"/>
      <c r="G171" s="160"/>
      <c r="H171" s="18"/>
    </row>
    <row r="172" spans="1:8" ht="12.75">
      <c r="A172" s="17"/>
      <c r="E172" s="18"/>
      <c r="F172" s="18"/>
      <c r="G172" s="160"/>
      <c r="H172" s="18"/>
    </row>
    <row r="173" spans="1:8" ht="12.75">
      <c r="A173" s="17"/>
      <c r="E173" s="18"/>
      <c r="F173" s="18"/>
      <c r="G173" s="160"/>
      <c r="H173" s="18"/>
    </row>
    <row r="174" spans="1:8" ht="12.75">
      <c r="A174" s="17"/>
      <c r="E174" s="18"/>
      <c r="F174" s="18"/>
      <c r="G174" s="160"/>
      <c r="H174" s="18"/>
    </row>
    <row r="175" spans="1:8" ht="12.75">
      <c r="A175" s="17"/>
      <c r="E175" s="18"/>
      <c r="F175" s="18"/>
      <c r="G175" s="160"/>
      <c r="H175" s="18"/>
    </row>
    <row r="176" spans="1:8" ht="12.75">
      <c r="A176" s="17"/>
      <c r="E176" s="18"/>
      <c r="F176" s="18"/>
      <c r="G176" s="160"/>
      <c r="H176" s="18"/>
    </row>
    <row r="177" spans="1:8" ht="12.75">
      <c r="A177" s="17"/>
      <c r="E177" s="18"/>
      <c r="F177" s="18"/>
      <c r="G177" s="160"/>
      <c r="H177" s="18"/>
    </row>
    <row r="178" spans="1:8" ht="12.75">
      <c r="A178" s="17"/>
      <c r="E178" s="18"/>
      <c r="F178" s="18"/>
      <c r="G178" s="160"/>
      <c r="H178" s="18"/>
    </row>
    <row r="179" spans="1:8" ht="12.75">
      <c r="A179" s="17"/>
      <c r="E179" s="18"/>
      <c r="F179" s="18"/>
      <c r="G179" s="160"/>
      <c r="H179" s="18"/>
    </row>
    <row r="180" spans="1:8" ht="12.75">
      <c r="A180" s="17"/>
      <c r="E180" s="18"/>
      <c r="F180" s="18"/>
      <c r="G180" s="160"/>
      <c r="H180" s="18"/>
    </row>
    <row r="181" spans="1:8" ht="12.75">
      <c r="A181" s="17"/>
      <c r="E181" s="18"/>
      <c r="F181" s="18"/>
      <c r="G181" s="160"/>
      <c r="H181" s="18"/>
    </row>
    <row r="182" spans="1:8" ht="12.75">
      <c r="A182" s="17"/>
      <c r="E182" s="18"/>
      <c r="F182" s="18"/>
      <c r="G182" s="160"/>
      <c r="H182" s="18"/>
    </row>
    <row r="183" spans="1:8" ht="12.75">
      <c r="A183" s="17"/>
      <c r="E183" s="18"/>
      <c r="F183" s="18"/>
      <c r="G183" s="160"/>
      <c r="H183" s="18"/>
    </row>
    <row r="184" spans="1:8" ht="12.75">
      <c r="A184" s="17"/>
      <c r="E184" s="18"/>
      <c r="F184" s="18"/>
      <c r="G184" s="160"/>
      <c r="H184" s="18"/>
    </row>
    <row r="185" spans="1:8" ht="12.75">
      <c r="A185" s="17"/>
      <c r="E185" s="18"/>
      <c r="F185" s="18"/>
      <c r="G185" s="160"/>
      <c r="H185" s="18"/>
    </row>
    <row r="186" spans="1:8" ht="12.75">
      <c r="A186" s="17"/>
      <c r="E186" s="18"/>
      <c r="F186" s="18"/>
      <c r="G186" s="160"/>
      <c r="H186" s="18"/>
    </row>
    <row r="187" spans="1:8" ht="12.75">
      <c r="A187" s="17"/>
      <c r="E187" s="18"/>
      <c r="F187" s="18"/>
      <c r="G187" s="160"/>
      <c r="H187" s="18"/>
    </row>
    <row r="188" spans="1:8" ht="12.75">
      <c r="A188" s="17"/>
      <c r="E188" s="18"/>
      <c r="F188" s="18"/>
      <c r="G188" s="160"/>
      <c r="H188" s="18"/>
    </row>
    <row r="189" spans="1:8" ht="12.75">
      <c r="A189" s="17"/>
      <c r="E189" s="18"/>
      <c r="F189" s="18"/>
      <c r="G189" s="160"/>
      <c r="H189" s="18"/>
    </row>
    <row r="190" spans="1:8" ht="12.75">
      <c r="A190" s="17"/>
      <c r="E190" s="18"/>
      <c r="F190" s="18"/>
      <c r="G190" s="160"/>
      <c r="H190" s="18"/>
    </row>
    <row r="191" spans="1:8" ht="12.75">
      <c r="A191" s="17"/>
      <c r="E191" s="18"/>
      <c r="F191" s="18"/>
      <c r="G191" s="160"/>
      <c r="H191" s="18"/>
    </row>
    <row r="192" spans="1:8" ht="12.75">
      <c r="A192" s="17"/>
      <c r="E192" s="18"/>
      <c r="F192" s="18"/>
      <c r="G192" s="160"/>
      <c r="H192" s="18"/>
    </row>
    <row r="193" spans="1:8" ht="12.75">
      <c r="A193" s="17"/>
      <c r="E193" s="18"/>
      <c r="F193" s="18"/>
      <c r="G193" s="160"/>
      <c r="H193" s="18"/>
    </row>
    <row r="194" spans="1:8" ht="12.75">
      <c r="A194" s="17"/>
      <c r="E194" s="18"/>
      <c r="F194" s="18"/>
      <c r="G194" s="160"/>
      <c r="H194" s="18"/>
    </row>
    <row r="195" spans="1:8" ht="12.75">
      <c r="A195" s="17"/>
      <c r="E195" s="18"/>
      <c r="F195" s="18"/>
      <c r="G195" s="160"/>
      <c r="H195" s="18"/>
    </row>
    <row r="196" spans="1:8" ht="12.75">
      <c r="A196" s="17"/>
      <c r="E196" s="18"/>
      <c r="F196" s="18"/>
      <c r="G196" s="160"/>
      <c r="H196" s="18"/>
    </row>
    <row r="197" spans="1:8" ht="12.75">
      <c r="A197" s="17"/>
      <c r="E197" s="18"/>
      <c r="F197" s="18"/>
      <c r="G197" s="160"/>
      <c r="H197" s="18"/>
    </row>
    <row r="198" spans="1:8" ht="12.75">
      <c r="A198" s="17"/>
      <c r="E198" s="18"/>
      <c r="F198" s="18"/>
      <c r="G198" s="160"/>
      <c r="H198" s="18"/>
    </row>
    <row r="199" spans="1:8" ht="12.75">
      <c r="A199" s="17"/>
      <c r="E199" s="18"/>
      <c r="F199" s="18"/>
      <c r="G199" s="160"/>
      <c r="H199" s="18"/>
    </row>
    <row r="200" spans="1:8" ht="12.75">
      <c r="A200" s="17"/>
      <c r="E200" s="18"/>
      <c r="F200" s="18"/>
      <c r="G200" s="160"/>
      <c r="H200" s="18"/>
    </row>
    <row r="201" spans="1:8" ht="12.75">
      <c r="A201" s="17"/>
      <c r="E201" s="18"/>
      <c r="F201" s="18"/>
      <c r="G201" s="160"/>
      <c r="H201" s="18"/>
    </row>
    <row r="202" spans="1:8" ht="12.75">
      <c r="A202" s="17"/>
      <c r="E202" s="18"/>
      <c r="F202" s="18"/>
      <c r="G202" s="160"/>
      <c r="H202" s="18"/>
    </row>
    <row r="203" spans="1:8" ht="12.75">
      <c r="A203" s="17"/>
      <c r="E203" s="18"/>
      <c r="F203" s="18"/>
      <c r="G203" s="160"/>
      <c r="H203" s="18"/>
    </row>
    <row r="204" spans="1:8" ht="12.75">
      <c r="A204" s="17"/>
      <c r="E204" s="18"/>
      <c r="F204" s="18"/>
      <c r="G204" s="160"/>
      <c r="H204" s="18"/>
    </row>
    <row r="205" spans="1:8" ht="12.75">
      <c r="A205" s="17"/>
      <c r="E205" s="18"/>
      <c r="F205" s="18"/>
      <c r="G205" s="160"/>
      <c r="H205" s="18"/>
    </row>
    <row r="206" spans="1:8" ht="12.75">
      <c r="A206" s="17"/>
      <c r="E206" s="18"/>
      <c r="F206" s="18"/>
      <c r="G206" s="160"/>
      <c r="H206" s="18"/>
    </row>
    <row r="207" spans="1:8" ht="12.75">
      <c r="A207" s="17"/>
      <c r="E207" s="18"/>
      <c r="F207" s="18"/>
      <c r="G207" s="160"/>
      <c r="H207" s="18"/>
    </row>
    <row r="208" spans="1:8" ht="12.75">
      <c r="A208" s="17"/>
      <c r="E208" s="18"/>
      <c r="F208" s="18"/>
      <c r="G208" s="160"/>
      <c r="H208" s="18"/>
    </row>
    <row r="209" spans="1:8" ht="12.75">
      <c r="A209" s="17"/>
      <c r="E209" s="18"/>
      <c r="F209" s="18"/>
      <c r="G209" s="160"/>
      <c r="H209" s="18"/>
    </row>
    <row r="210" spans="1:8" ht="12.75">
      <c r="A210" s="17"/>
      <c r="E210" s="18"/>
      <c r="F210" s="18"/>
      <c r="G210" s="160"/>
      <c r="H210" s="18"/>
    </row>
    <row r="211" spans="1:8" ht="12.75">
      <c r="A211" s="17"/>
      <c r="E211" s="18"/>
      <c r="F211" s="18"/>
      <c r="G211" s="160"/>
      <c r="H211" s="18"/>
    </row>
    <row r="212" spans="1:8" ht="12.75">
      <c r="A212" s="17"/>
      <c r="E212" s="18"/>
      <c r="F212" s="18"/>
      <c r="G212" s="160"/>
      <c r="H212" s="18"/>
    </row>
    <row r="213" spans="1:8" ht="12.75">
      <c r="A213" s="17"/>
      <c r="E213" s="18"/>
      <c r="F213" s="18"/>
      <c r="G213" s="160"/>
      <c r="H213" s="18"/>
    </row>
    <row r="214" spans="1:8" ht="12.75">
      <c r="A214" s="17"/>
      <c r="E214" s="18"/>
      <c r="F214" s="18"/>
      <c r="G214" s="160"/>
      <c r="H214" s="18"/>
    </row>
    <row r="215" spans="1:8" ht="12.75">
      <c r="A215" s="17"/>
      <c r="E215" s="18"/>
      <c r="F215" s="18"/>
      <c r="G215" s="160"/>
      <c r="H215" s="18"/>
    </row>
    <row r="216" spans="1:8" ht="12.75">
      <c r="A216" s="17"/>
      <c r="E216" s="18"/>
      <c r="F216" s="18"/>
      <c r="G216" s="160"/>
      <c r="H216" s="18"/>
    </row>
    <row r="217" spans="1:8" ht="12.75">
      <c r="A217" s="17"/>
      <c r="E217" s="18"/>
      <c r="F217" s="18"/>
      <c r="G217" s="160"/>
      <c r="H217" s="18"/>
    </row>
    <row r="218" spans="1:8" ht="12.75">
      <c r="A218" s="17"/>
      <c r="E218" s="18"/>
      <c r="F218" s="18"/>
      <c r="G218" s="160"/>
      <c r="H218" s="18"/>
    </row>
    <row r="219" spans="1:8" ht="12.75">
      <c r="A219" s="17"/>
      <c r="E219" s="18"/>
      <c r="F219" s="18"/>
      <c r="G219" s="160"/>
      <c r="H219" s="18"/>
    </row>
    <row r="220" spans="1:8" ht="12.75">
      <c r="A220" s="17"/>
      <c r="E220" s="18"/>
      <c r="F220" s="18"/>
      <c r="G220" s="160"/>
      <c r="H220" s="18"/>
    </row>
    <row r="221" spans="1:8" ht="12.75">
      <c r="A221" s="17"/>
      <c r="E221" s="18"/>
      <c r="F221" s="18"/>
      <c r="G221" s="160"/>
      <c r="H221" s="18"/>
    </row>
    <row r="222" spans="1:8" ht="12.75">
      <c r="A222" s="17"/>
      <c r="E222" s="18"/>
      <c r="F222" s="18"/>
      <c r="G222" s="160"/>
      <c r="H222" s="18"/>
    </row>
    <row r="223" spans="1:8" ht="12.75">
      <c r="A223" s="17"/>
      <c r="E223" s="18"/>
      <c r="F223" s="18"/>
      <c r="G223" s="160"/>
      <c r="H223" s="18"/>
    </row>
    <row r="224" spans="1:8" ht="12.75">
      <c r="A224" s="17"/>
      <c r="E224" s="18"/>
      <c r="F224" s="18"/>
      <c r="G224" s="160"/>
      <c r="H224" s="18"/>
    </row>
    <row r="225" spans="1:8" ht="12.75">
      <c r="A225" s="17"/>
      <c r="E225" s="18"/>
      <c r="F225" s="18"/>
      <c r="G225" s="160"/>
      <c r="H225" s="18"/>
    </row>
    <row r="226" spans="1:8" ht="12.75">
      <c r="A226" s="17"/>
      <c r="E226" s="18"/>
      <c r="F226" s="18"/>
      <c r="G226" s="160"/>
      <c r="H226" s="18"/>
    </row>
    <row r="227" spans="1:8" ht="12.75">
      <c r="A227" s="17"/>
      <c r="E227" s="18"/>
      <c r="F227" s="18"/>
      <c r="G227" s="160"/>
      <c r="H227" s="18"/>
    </row>
    <row r="228" spans="1:8" ht="12.75">
      <c r="A228" s="17"/>
      <c r="E228" s="18"/>
      <c r="F228" s="18"/>
      <c r="G228" s="160"/>
      <c r="H228" s="18"/>
    </row>
    <row r="229" spans="1:8" ht="12.75">
      <c r="A229" s="17"/>
      <c r="E229" s="18"/>
      <c r="F229" s="18"/>
      <c r="G229" s="160"/>
      <c r="H229" s="18"/>
    </row>
    <row r="230" spans="1:8" ht="12.75">
      <c r="A230" s="17"/>
      <c r="E230" s="18"/>
      <c r="F230" s="18"/>
      <c r="G230" s="160"/>
      <c r="H230" s="18"/>
    </row>
    <row r="231" spans="1:8" ht="12.75">
      <c r="A231" s="17"/>
      <c r="E231" s="18"/>
      <c r="F231" s="18"/>
      <c r="G231" s="160"/>
      <c r="H231" s="18"/>
    </row>
    <row r="232" spans="1:8" ht="12.75">
      <c r="A232" s="17"/>
      <c r="E232" s="18"/>
      <c r="F232" s="18"/>
      <c r="G232" s="160"/>
      <c r="H232" s="18"/>
    </row>
    <row r="233" spans="1:8" ht="12.75">
      <c r="A233" s="17"/>
      <c r="E233" s="18"/>
      <c r="F233" s="18"/>
      <c r="G233" s="160"/>
      <c r="H233" s="18"/>
    </row>
    <row r="234" spans="1:8" ht="12.75">
      <c r="A234" s="17"/>
      <c r="E234" s="18"/>
      <c r="F234" s="18"/>
      <c r="G234" s="160"/>
      <c r="H234" s="18"/>
    </row>
    <row r="235" spans="1:8" ht="12.75">
      <c r="A235" s="17"/>
      <c r="E235" s="18"/>
      <c r="F235" s="18"/>
      <c r="G235" s="160"/>
      <c r="H235" s="18"/>
    </row>
    <row r="236" spans="1:8" ht="12.75">
      <c r="A236" s="17"/>
      <c r="E236" s="18"/>
      <c r="F236" s="18"/>
      <c r="G236" s="160"/>
      <c r="H236" s="18"/>
    </row>
    <row r="237" spans="1:8" ht="12.75">
      <c r="A237" s="17"/>
      <c r="E237" s="18"/>
      <c r="F237" s="18"/>
      <c r="G237" s="160"/>
      <c r="H237" s="18"/>
    </row>
    <row r="238" spans="1:8" ht="12.75">
      <c r="A238" s="17"/>
      <c r="E238" s="18"/>
      <c r="F238" s="18"/>
      <c r="G238" s="160"/>
      <c r="H238" s="18"/>
    </row>
    <row r="239" spans="1:8" ht="12.75">
      <c r="A239" s="17"/>
      <c r="E239" s="18"/>
      <c r="F239" s="18"/>
      <c r="G239" s="160"/>
      <c r="H239" s="18"/>
    </row>
    <row r="240" spans="1:8" ht="12.75">
      <c r="A240" s="17"/>
      <c r="E240" s="18"/>
      <c r="F240" s="18"/>
      <c r="G240" s="160"/>
      <c r="H240" s="18"/>
    </row>
    <row r="241" spans="1:8" ht="12.75">
      <c r="A241" s="17"/>
      <c r="E241" s="18"/>
      <c r="F241" s="18"/>
      <c r="G241" s="160"/>
      <c r="H241" s="18"/>
    </row>
    <row r="242" spans="1:8" ht="12.75">
      <c r="A242" s="17"/>
      <c r="E242" s="18"/>
      <c r="F242" s="18"/>
      <c r="G242" s="160"/>
      <c r="H242" s="18"/>
    </row>
    <row r="243" spans="1:8" ht="12.75">
      <c r="A243" s="17"/>
      <c r="E243" s="18"/>
      <c r="F243" s="18"/>
      <c r="G243" s="160"/>
      <c r="H243" s="18"/>
    </row>
    <row r="244" spans="1:8" ht="12.75">
      <c r="A244" s="17"/>
      <c r="E244" s="18"/>
      <c r="F244" s="18"/>
      <c r="G244" s="160"/>
      <c r="H244" s="18"/>
    </row>
    <row r="245" spans="1:8" ht="12.75">
      <c r="A245" s="17"/>
      <c r="E245" s="18"/>
      <c r="F245" s="18"/>
      <c r="G245" s="160"/>
      <c r="H245" s="18"/>
    </row>
    <row r="246" spans="1:8" ht="12.75">
      <c r="A246" s="17"/>
      <c r="E246" s="18"/>
      <c r="F246" s="18"/>
      <c r="G246" s="160"/>
      <c r="H246" s="18"/>
    </row>
    <row r="247" spans="1:8" ht="12.75">
      <c r="A247" s="17"/>
      <c r="E247" s="18"/>
      <c r="F247" s="18"/>
      <c r="G247" s="160"/>
      <c r="H247" s="18"/>
    </row>
    <row r="248" spans="1:8" ht="12.75">
      <c r="A248" s="17"/>
      <c r="E248" s="18"/>
      <c r="F248" s="18"/>
      <c r="G248" s="160"/>
      <c r="H248" s="18"/>
    </row>
    <row r="249" spans="1:8" ht="12.75">
      <c r="A249" s="17"/>
      <c r="E249" s="18"/>
      <c r="F249" s="18"/>
      <c r="G249" s="160"/>
      <c r="H249" s="18"/>
    </row>
    <row r="250" spans="1:8" ht="12.75">
      <c r="A250" s="17"/>
      <c r="E250" s="18"/>
      <c r="F250" s="18"/>
      <c r="G250" s="160"/>
      <c r="H250" s="18"/>
    </row>
    <row r="251" spans="1:8" ht="12.75">
      <c r="A251" s="17"/>
      <c r="E251" s="18"/>
      <c r="F251" s="18"/>
      <c r="G251" s="160"/>
      <c r="H251" s="18"/>
    </row>
    <row r="252" spans="1:8" ht="12.75">
      <c r="A252" s="17"/>
      <c r="E252" s="18"/>
      <c r="F252" s="18"/>
      <c r="G252" s="160"/>
      <c r="H252" s="18"/>
    </row>
    <row r="253" spans="1:8" ht="12.75">
      <c r="A253" s="17"/>
      <c r="E253" s="18"/>
      <c r="F253" s="18"/>
      <c r="G253" s="160"/>
      <c r="H253" s="18"/>
    </row>
    <row r="254" spans="1:8" ht="12.75">
      <c r="A254" s="17"/>
      <c r="E254" s="18"/>
      <c r="F254" s="18"/>
      <c r="G254" s="160"/>
      <c r="H254" s="18"/>
    </row>
    <row r="255" spans="1:8" ht="12.75">
      <c r="A255" s="17"/>
      <c r="E255" s="18"/>
      <c r="F255" s="18"/>
      <c r="G255" s="160"/>
      <c r="H255" s="18"/>
    </row>
    <row r="256" spans="1:8" ht="12.75">
      <c r="A256" s="17"/>
      <c r="E256" s="18"/>
      <c r="F256" s="18"/>
      <c r="G256" s="160"/>
      <c r="H256" s="18"/>
    </row>
    <row r="257" spans="1:8" ht="12.75">
      <c r="A257" s="17"/>
      <c r="E257" s="18"/>
      <c r="F257" s="18"/>
      <c r="G257" s="160"/>
      <c r="H257" s="18"/>
    </row>
    <row r="258" spans="1:8" ht="12.75">
      <c r="A258" s="17"/>
      <c r="E258" s="18"/>
      <c r="F258" s="18"/>
      <c r="G258" s="160"/>
      <c r="H258" s="18"/>
    </row>
    <row r="259" spans="1:8" ht="12.75">
      <c r="A259" s="17"/>
      <c r="E259" s="18"/>
      <c r="F259" s="18"/>
      <c r="G259" s="160"/>
      <c r="H259" s="18"/>
    </row>
    <row r="260" spans="1:8" ht="12.75">
      <c r="A260" s="17"/>
      <c r="E260" s="18"/>
      <c r="F260" s="18"/>
      <c r="G260" s="160"/>
      <c r="H260" s="18"/>
    </row>
    <row r="261" spans="1:8" ht="12.75">
      <c r="A261" s="17"/>
      <c r="E261" s="18"/>
      <c r="F261" s="18"/>
      <c r="G261" s="160"/>
      <c r="H261" s="18"/>
    </row>
    <row r="262" spans="1:8" ht="12.75">
      <c r="A262" s="17"/>
      <c r="E262" s="18"/>
      <c r="F262" s="18"/>
      <c r="G262" s="160"/>
      <c r="H262" s="18"/>
    </row>
    <row r="263" spans="1:8" ht="12.75">
      <c r="A263" s="17"/>
      <c r="E263" s="18"/>
      <c r="F263" s="18"/>
      <c r="G263" s="160"/>
      <c r="H263" s="18"/>
    </row>
    <row r="264" spans="1:8" ht="12.75">
      <c r="A264" s="17"/>
      <c r="E264" s="18"/>
      <c r="F264" s="18"/>
      <c r="G264" s="160"/>
      <c r="H264" s="18"/>
    </row>
    <row r="265" spans="1:8" ht="12.75">
      <c r="A265" s="17"/>
      <c r="E265" s="18"/>
      <c r="F265" s="18"/>
      <c r="G265" s="160"/>
      <c r="H265" s="18"/>
    </row>
    <row r="266" spans="1:8" ht="12.75">
      <c r="A266" s="17"/>
      <c r="E266" s="18"/>
      <c r="F266" s="18"/>
      <c r="G266" s="160"/>
      <c r="H266" s="18"/>
    </row>
    <row r="267" spans="1:8" ht="12.75">
      <c r="A267" s="17"/>
      <c r="E267" s="18"/>
      <c r="F267" s="18"/>
      <c r="G267" s="160"/>
      <c r="H267" s="18"/>
    </row>
    <row r="268" spans="1:8" ht="12.75">
      <c r="A268" s="17"/>
      <c r="E268" s="18"/>
      <c r="F268" s="18"/>
      <c r="G268" s="160"/>
      <c r="H268" s="18"/>
    </row>
    <row r="269" spans="1:8" ht="12.75">
      <c r="A269" s="17"/>
      <c r="E269" s="18"/>
      <c r="F269" s="18"/>
      <c r="G269" s="160"/>
      <c r="H269" s="18"/>
    </row>
    <row r="270" spans="1:8" ht="12.75">
      <c r="A270" s="17"/>
      <c r="E270" s="18"/>
      <c r="F270" s="18"/>
      <c r="G270" s="160"/>
      <c r="H270" s="18"/>
    </row>
    <row r="271" spans="1:8" ht="12.75">
      <c r="A271" s="17"/>
      <c r="E271" s="18"/>
      <c r="F271" s="18"/>
      <c r="G271" s="160"/>
      <c r="H271" s="18"/>
    </row>
    <row r="272" spans="1:8" ht="12.75">
      <c r="A272" s="17"/>
      <c r="E272" s="18"/>
      <c r="F272" s="18"/>
      <c r="G272" s="160"/>
      <c r="H272" s="18"/>
    </row>
    <row r="273" spans="1:8" ht="12.75">
      <c r="A273" s="17"/>
      <c r="E273" s="18"/>
      <c r="F273" s="18"/>
      <c r="G273" s="160"/>
      <c r="H273" s="18"/>
    </row>
    <row r="274" spans="1:8" ht="12.75">
      <c r="A274" s="17"/>
      <c r="E274" s="18"/>
      <c r="F274" s="18"/>
      <c r="G274" s="160"/>
      <c r="H274" s="18"/>
    </row>
    <row r="275" spans="1:8" ht="12.75">
      <c r="A275" s="17"/>
      <c r="E275" s="18"/>
      <c r="F275" s="18"/>
      <c r="G275" s="160"/>
      <c r="H275" s="18"/>
    </row>
    <row r="276" spans="1:8" ht="12.75">
      <c r="A276" s="17"/>
      <c r="E276" s="18"/>
      <c r="F276" s="18"/>
      <c r="G276" s="160"/>
      <c r="H276" s="18"/>
    </row>
    <row r="277" spans="1:8" ht="12.75">
      <c r="A277" s="17"/>
      <c r="E277" s="18"/>
      <c r="F277" s="18"/>
      <c r="G277" s="160"/>
      <c r="H277" s="18"/>
    </row>
    <row r="278" spans="1:8" ht="12.75">
      <c r="A278" s="17"/>
      <c r="E278" s="18"/>
      <c r="F278" s="18"/>
      <c r="G278" s="160"/>
      <c r="H278" s="18"/>
    </row>
    <row r="279" spans="1:8" ht="12.75">
      <c r="A279" s="17"/>
      <c r="E279" s="18"/>
      <c r="F279" s="18"/>
      <c r="G279" s="160"/>
      <c r="H279" s="18"/>
    </row>
    <row r="280" spans="1:8" ht="12.75">
      <c r="A280" s="17"/>
      <c r="E280" s="18"/>
      <c r="F280" s="18"/>
      <c r="G280" s="160"/>
      <c r="H280" s="18"/>
    </row>
    <row r="281" spans="1:8" ht="12.75">
      <c r="A281" s="17"/>
      <c r="E281" s="18"/>
      <c r="F281" s="18"/>
      <c r="G281" s="160"/>
      <c r="H281" s="18"/>
    </row>
    <row r="282" spans="1:8" ht="12.75">
      <c r="A282" s="17"/>
      <c r="E282" s="18"/>
      <c r="F282" s="18"/>
      <c r="G282" s="160"/>
      <c r="H282" s="18"/>
    </row>
    <row r="283" spans="1:8" ht="12.75">
      <c r="A283" s="17"/>
      <c r="E283" s="18"/>
      <c r="F283" s="18"/>
      <c r="G283" s="160"/>
      <c r="H283" s="18"/>
    </row>
    <row r="284" spans="1:8" ht="12.75">
      <c r="A284" s="17"/>
      <c r="E284" s="18"/>
      <c r="F284" s="18"/>
      <c r="G284" s="160"/>
      <c r="H284" s="18"/>
    </row>
    <row r="285" spans="1:8" ht="12.75">
      <c r="A285" s="17"/>
      <c r="E285" s="18"/>
      <c r="F285" s="18"/>
      <c r="G285" s="160"/>
      <c r="H285" s="18"/>
    </row>
    <row r="286" spans="1:8" ht="12.75">
      <c r="A286" s="17"/>
      <c r="E286" s="18"/>
      <c r="F286" s="18"/>
      <c r="G286" s="160"/>
      <c r="H286" s="18"/>
    </row>
    <row r="287" spans="1:8" ht="12.75">
      <c r="A287" s="17"/>
      <c r="E287" s="18"/>
      <c r="F287" s="18"/>
      <c r="G287" s="160"/>
      <c r="H287" s="18"/>
    </row>
    <row r="288" spans="1:8" ht="12.75">
      <c r="A288" s="17"/>
      <c r="E288" s="18"/>
      <c r="F288" s="18"/>
      <c r="G288" s="160"/>
      <c r="H288" s="18"/>
    </row>
    <row r="289" spans="1:8" ht="12.75">
      <c r="A289" s="17"/>
      <c r="E289" s="18"/>
      <c r="F289" s="18"/>
      <c r="G289" s="160"/>
      <c r="H289" s="18"/>
    </row>
    <row r="290" spans="1:8" ht="12.75">
      <c r="A290" s="17"/>
      <c r="E290" s="18"/>
      <c r="F290" s="18"/>
      <c r="G290" s="160"/>
      <c r="H290" s="18"/>
    </row>
    <row r="291" spans="1:8" ht="12.75">
      <c r="A291" s="17"/>
      <c r="E291" s="18"/>
      <c r="F291" s="18"/>
      <c r="G291" s="160"/>
      <c r="H291" s="18"/>
    </row>
    <row r="292" spans="1:8" ht="12.75">
      <c r="A292" s="17"/>
      <c r="E292" s="18"/>
      <c r="F292" s="18"/>
      <c r="G292" s="160"/>
      <c r="H292" s="18"/>
    </row>
    <row r="293" spans="1:8" ht="12.75">
      <c r="A293" s="17"/>
      <c r="E293" s="18"/>
      <c r="F293" s="18"/>
      <c r="G293" s="160"/>
      <c r="H293" s="18"/>
    </row>
    <row r="294" spans="1:8" ht="12.75">
      <c r="A294" s="17"/>
      <c r="E294" s="18"/>
      <c r="F294" s="18"/>
      <c r="G294" s="160"/>
      <c r="H294" s="18"/>
    </row>
    <row r="295" spans="1:8" ht="12.75">
      <c r="A295" s="17"/>
      <c r="E295" s="18"/>
      <c r="F295" s="18"/>
      <c r="G295" s="160"/>
      <c r="H295" s="18"/>
    </row>
    <row r="296" spans="1:8" ht="12.75">
      <c r="A296" s="17"/>
      <c r="E296" s="18"/>
      <c r="F296" s="18"/>
      <c r="G296" s="160"/>
      <c r="H296" s="18"/>
    </row>
    <row r="297" spans="1:8" ht="12.75">
      <c r="A297" s="17"/>
      <c r="E297" s="18"/>
      <c r="F297" s="18"/>
      <c r="G297" s="160"/>
      <c r="H297" s="18"/>
    </row>
    <row r="298" spans="1:8" ht="12.75">
      <c r="A298" s="17"/>
      <c r="E298" s="18"/>
      <c r="F298" s="18"/>
      <c r="G298" s="160"/>
      <c r="H298" s="18"/>
    </row>
    <row r="299" spans="1:8" ht="12.75">
      <c r="A299" s="17"/>
      <c r="E299" s="18"/>
      <c r="F299" s="18"/>
      <c r="G299" s="160"/>
      <c r="H299" s="18"/>
    </row>
    <row r="300" spans="1:8" ht="12.75">
      <c r="A300" s="17"/>
      <c r="E300" s="18"/>
      <c r="F300" s="18"/>
      <c r="G300" s="160"/>
      <c r="H300" s="18"/>
    </row>
    <row r="301" spans="1:8" ht="12.75">
      <c r="A301" s="17"/>
      <c r="E301" s="18"/>
      <c r="F301" s="18"/>
      <c r="G301" s="160"/>
      <c r="H301" s="18"/>
    </row>
    <row r="302" spans="1:8" ht="12.75">
      <c r="A302" s="17"/>
      <c r="E302" s="18"/>
      <c r="F302" s="18"/>
      <c r="G302" s="160"/>
      <c r="H302" s="18"/>
    </row>
    <row r="303" spans="1:8" ht="12.75">
      <c r="A303" s="17"/>
      <c r="E303" s="18"/>
      <c r="F303" s="18"/>
      <c r="G303" s="160"/>
      <c r="H303" s="18"/>
    </row>
    <row r="304" spans="1:8" ht="12.75">
      <c r="A304" s="17"/>
      <c r="E304" s="18"/>
      <c r="F304" s="18"/>
      <c r="G304" s="160"/>
      <c r="H304" s="18"/>
    </row>
    <row r="305" spans="1:8" ht="12.75">
      <c r="A305" s="17"/>
      <c r="E305" s="18"/>
      <c r="F305" s="18"/>
      <c r="G305" s="160"/>
      <c r="H305" s="18"/>
    </row>
    <row r="306" spans="1:8" ht="12.75">
      <c r="A306" s="17"/>
      <c r="E306" s="18"/>
      <c r="F306" s="18"/>
      <c r="G306" s="160"/>
      <c r="H306" s="18"/>
    </row>
    <row r="307" spans="1:8" ht="12.75">
      <c r="A307" s="17"/>
      <c r="E307" s="18"/>
      <c r="F307" s="18"/>
      <c r="G307" s="160"/>
      <c r="H307" s="18"/>
    </row>
    <row r="308" spans="1:8" ht="12.75">
      <c r="A308" s="17"/>
      <c r="E308" s="18"/>
      <c r="F308" s="18"/>
      <c r="G308" s="160"/>
      <c r="H308" s="18"/>
    </row>
    <row r="309" spans="1:8" ht="12.75">
      <c r="A309" s="17"/>
      <c r="E309" s="18"/>
      <c r="F309" s="18"/>
      <c r="G309" s="160"/>
      <c r="H309" s="18"/>
    </row>
    <row r="310" spans="1:8" ht="12.75">
      <c r="A310" s="17"/>
      <c r="E310" s="18"/>
      <c r="F310" s="18"/>
      <c r="G310" s="160"/>
      <c r="H310" s="18"/>
    </row>
    <row r="311" spans="1:8" ht="12.75">
      <c r="A311" s="17"/>
      <c r="E311" s="18"/>
      <c r="F311" s="18"/>
      <c r="G311" s="160"/>
      <c r="H311" s="18"/>
    </row>
    <row r="312" spans="1:8" ht="12.75">
      <c r="A312" s="17"/>
      <c r="E312" s="18"/>
      <c r="F312" s="18"/>
      <c r="G312" s="160"/>
      <c r="H312" s="18"/>
    </row>
    <row r="313" spans="1:8" ht="12.75">
      <c r="A313" s="17"/>
      <c r="E313" s="18"/>
      <c r="F313" s="18"/>
      <c r="G313" s="160"/>
      <c r="H313" s="18"/>
    </row>
    <row r="314" spans="1:8" ht="12.75">
      <c r="A314" s="17"/>
      <c r="E314" s="18"/>
      <c r="F314" s="18"/>
      <c r="G314" s="160"/>
      <c r="H314" s="18"/>
    </row>
    <row r="315" spans="1:8" ht="12.75">
      <c r="A315" s="17"/>
      <c r="E315" s="18"/>
      <c r="F315" s="18"/>
      <c r="G315" s="160"/>
      <c r="H315" s="18"/>
    </row>
    <row r="316" spans="1:8" ht="12.75">
      <c r="A316" s="17"/>
      <c r="E316" s="18"/>
      <c r="F316" s="18"/>
      <c r="G316" s="160"/>
      <c r="H316" s="18"/>
    </row>
    <row r="317" spans="1:8" ht="12.75">
      <c r="A317" s="17"/>
      <c r="E317" s="18"/>
      <c r="F317" s="18"/>
      <c r="G317" s="160"/>
      <c r="H317" s="18"/>
    </row>
    <row r="318" spans="1:8" ht="12.75">
      <c r="A318" s="17"/>
      <c r="E318" s="18"/>
      <c r="F318" s="18"/>
      <c r="G318" s="160"/>
      <c r="H318" s="18"/>
    </row>
    <row r="319" spans="1:8" ht="12.75">
      <c r="A319" s="17"/>
      <c r="E319" s="18"/>
      <c r="F319" s="18"/>
      <c r="G319" s="160"/>
      <c r="H319" s="18"/>
    </row>
    <row r="320" spans="1:8" ht="12.75">
      <c r="A320" s="17"/>
      <c r="E320" s="18"/>
      <c r="F320" s="18"/>
      <c r="G320" s="160"/>
      <c r="H320" s="18"/>
    </row>
    <row r="321" spans="1:8" ht="12.75">
      <c r="A321" s="17"/>
      <c r="E321" s="18"/>
      <c r="F321" s="18"/>
      <c r="G321" s="160"/>
      <c r="H321" s="18"/>
    </row>
    <row r="322" spans="1:8" ht="12.75">
      <c r="A322" s="17"/>
      <c r="E322" s="18"/>
      <c r="F322" s="18"/>
      <c r="G322" s="160"/>
      <c r="H322" s="18"/>
    </row>
    <row r="323" spans="1:8" ht="12.75">
      <c r="A323" s="17"/>
      <c r="E323" s="18"/>
      <c r="F323" s="18"/>
      <c r="G323" s="160"/>
      <c r="H323" s="18"/>
    </row>
    <row r="324" spans="1:8" ht="12.75">
      <c r="A324" s="17"/>
      <c r="E324" s="18"/>
      <c r="F324" s="18"/>
      <c r="G324" s="160"/>
      <c r="H324" s="18"/>
    </row>
    <row r="325" spans="1:8" ht="12.75">
      <c r="A325" s="17"/>
      <c r="E325" s="18"/>
      <c r="F325" s="18"/>
      <c r="G325" s="160"/>
      <c r="H325" s="18"/>
    </row>
    <row r="326" spans="1:8" ht="12.75">
      <c r="A326" s="17"/>
      <c r="E326" s="18"/>
      <c r="F326" s="18"/>
      <c r="G326" s="160"/>
      <c r="H326" s="18"/>
    </row>
    <row r="327" spans="1:8" ht="12.75">
      <c r="A327" s="17"/>
      <c r="E327" s="18"/>
      <c r="F327" s="18"/>
      <c r="G327" s="160"/>
      <c r="H327" s="18"/>
    </row>
    <row r="328" spans="1:8" ht="12.75">
      <c r="A328" s="17"/>
      <c r="E328" s="18"/>
      <c r="F328" s="18"/>
      <c r="G328" s="160"/>
      <c r="H328" s="18"/>
    </row>
    <row r="329" spans="1:8" ht="12.75">
      <c r="A329" s="17"/>
      <c r="E329" s="18"/>
      <c r="F329" s="18"/>
      <c r="G329" s="160"/>
      <c r="H329" s="18"/>
    </row>
    <row r="330" spans="1:8" ht="12.75">
      <c r="A330" s="17"/>
      <c r="E330" s="18"/>
      <c r="F330" s="18"/>
      <c r="G330" s="160"/>
      <c r="H330" s="18"/>
    </row>
    <row r="331" spans="1:8" ht="12.75">
      <c r="A331" s="17"/>
      <c r="E331" s="18"/>
      <c r="F331" s="18"/>
      <c r="G331" s="160"/>
      <c r="H331" s="18"/>
    </row>
    <row r="332" spans="1:8" ht="12.75">
      <c r="A332" s="17"/>
      <c r="E332" s="18"/>
      <c r="F332" s="18"/>
      <c r="G332" s="160"/>
      <c r="H332" s="18"/>
    </row>
    <row r="333" spans="1:8" ht="12.75">
      <c r="A333" s="17"/>
      <c r="E333" s="18"/>
      <c r="F333" s="18"/>
      <c r="G333" s="160"/>
      <c r="H333" s="18"/>
    </row>
    <row r="334" spans="1:8" ht="12.75">
      <c r="A334" s="17"/>
      <c r="E334" s="18"/>
      <c r="F334" s="18"/>
      <c r="G334" s="160"/>
      <c r="H334" s="18"/>
    </row>
    <row r="335" spans="1:8" ht="12.75">
      <c r="A335" s="17"/>
      <c r="E335" s="18"/>
      <c r="F335" s="18"/>
      <c r="G335" s="160"/>
      <c r="H335" s="18"/>
    </row>
    <row r="336" spans="1:8" ht="12.75">
      <c r="A336" s="17"/>
      <c r="E336" s="18"/>
      <c r="F336" s="18"/>
      <c r="G336" s="160"/>
      <c r="H336" s="18"/>
    </row>
    <row r="337" spans="1:8" ht="12.75">
      <c r="A337" s="17"/>
      <c r="E337" s="18"/>
      <c r="F337" s="18"/>
      <c r="G337" s="160"/>
      <c r="H337" s="18"/>
    </row>
    <row r="338" spans="1:8" ht="12.75">
      <c r="A338" s="17"/>
      <c r="E338" s="18"/>
      <c r="F338" s="18"/>
      <c r="G338" s="160"/>
      <c r="H338" s="18"/>
    </row>
    <row r="339" spans="1:8" ht="12.75">
      <c r="A339" s="17"/>
      <c r="E339" s="18"/>
      <c r="F339" s="18"/>
      <c r="G339" s="160"/>
      <c r="H339" s="18"/>
    </row>
    <row r="340" spans="1:8" ht="12.75">
      <c r="A340" s="17"/>
      <c r="E340" s="18"/>
      <c r="F340" s="18"/>
      <c r="G340" s="160"/>
      <c r="H340" s="18"/>
    </row>
    <row r="341" spans="1:8" ht="12.75">
      <c r="A341" s="17"/>
      <c r="E341" s="18"/>
      <c r="F341" s="18"/>
      <c r="G341" s="160"/>
      <c r="H341" s="18"/>
    </row>
    <row r="342" spans="1:8" ht="12.75">
      <c r="A342" s="17"/>
      <c r="E342" s="18"/>
      <c r="F342" s="18"/>
      <c r="G342" s="160"/>
      <c r="H342" s="18"/>
    </row>
    <row r="343" spans="1:8" ht="12.75">
      <c r="A343" s="17"/>
      <c r="E343" s="18"/>
      <c r="F343" s="18"/>
      <c r="G343" s="160"/>
      <c r="H343" s="18"/>
    </row>
    <row r="344" spans="1:8" ht="12.75">
      <c r="A344" s="17"/>
      <c r="E344" s="18"/>
      <c r="F344" s="18"/>
      <c r="G344" s="160"/>
      <c r="H344" s="18"/>
    </row>
    <row r="345" spans="1:8" ht="12.75">
      <c r="A345" s="17"/>
      <c r="E345" s="18"/>
      <c r="F345" s="18"/>
      <c r="G345" s="160"/>
      <c r="H345" s="18"/>
    </row>
    <row r="346" spans="1:8" ht="12.75">
      <c r="A346" s="17"/>
      <c r="E346" s="18"/>
      <c r="F346" s="18"/>
      <c r="G346" s="160"/>
      <c r="H346" s="18"/>
    </row>
    <row r="347" spans="1:8" ht="12.75">
      <c r="A347" s="17"/>
      <c r="E347" s="18"/>
      <c r="F347" s="18"/>
      <c r="G347" s="160"/>
      <c r="H347" s="18"/>
    </row>
    <row r="348" spans="1:8" ht="12.75">
      <c r="A348" s="17"/>
      <c r="E348" s="18"/>
      <c r="F348" s="18"/>
      <c r="G348" s="160"/>
      <c r="H348" s="18"/>
    </row>
    <row r="349" spans="1:8" ht="12.75">
      <c r="A349" s="17"/>
      <c r="E349" s="18"/>
      <c r="F349" s="18"/>
      <c r="G349" s="160"/>
      <c r="H349" s="18"/>
    </row>
    <row r="350" spans="1:8" ht="12.75">
      <c r="A350" s="17"/>
      <c r="E350" s="18"/>
      <c r="F350" s="18"/>
      <c r="G350" s="160"/>
      <c r="H350" s="18"/>
    </row>
    <row r="351" spans="1:8" ht="12.75">
      <c r="A351" s="17"/>
      <c r="E351" s="18"/>
      <c r="F351" s="18"/>
      <c r="G351" s="160"/>
      <c r="H351" s="18"/>
    </row>
    <row r="352" spans="1:8" ht="12.75">
      <c r="A352" s="17"/>
      <c r="E352" s="18"/>
      <c r="F352" s="18"/>
      <c r="G352" s="160"/>
      <c r="H352" s="18"/>
    </row>
    <row r="353" spans="1:8" ht="12.75">
      <c r="A353" s="17"/>
      <c r="E353" s="18"/>
      <c r="F353" s="18"/>
      <c r="G353" s="160"/>
      <c r="H353" s="18"/>
    </row>
    <row r="354" spans="1:8" ht="12.75">
      <c r="A354" s="17"/>
      <c r="E354" s="18"/>
      <c r="F354" s="18"/>
      <c r="G354" s="160"/>
      <c r="H354" s="18"/>
    </row>
    <row r="355" spans="1:8" ht="12.75">
      <c r="A355" s="17"/>
      <c r="E355" s="18"/>
      <c r="F355" s="18"/>
      <c r="G355" s="160"/>
      <c r="H355" s="18"/>
    </row>
    <row r="356" spans="1:8" ht="12.75">
      <c r="A356" s="17"/>
      <c r="E356" s="18"/>
      <c r="F356" s="18"/>
      <c r="G356" s="160"/>
      <c r="H356" s="18"/>
    </row>
    <row r="357" spans="1:8" ht="12.75">
      <c r="A357" s="17"/>
      <c r="E357" s="18"/>
      <c r="F357" s="18"/>
      <c r="G357" s="160"/>
      <c r="H357" s="18"/>
    </row>
    <row r="358" spans="1:8" ht="12.75">
      <c r="A358" s="17"/>
      <c r="E358" s="18"/>
      <c r="F358" s="18"/>
      <c r="G358" s="160"/>
      <c r="H358" s="18"/>
    </row>
    <row r="359" spans="1:8" ht="12.75">
      <c r="A359" s="17"/>
      <c r="E359" s="18"/>
      <c r="F359" s="18"/>
      <c r="G359" s="160"/>
      <c r="H359" s="18"/>
    </row>
    <row r="360" spans="1:8" ht="12.75">
      <c r="A360" s="17"/>
      <c r="E360" s="18"/>
      <c r="F360" s="18"/>
      <c r="G360" s="160"/>
      <c r="H360" s="18"/>
    </row>
    <row r="361" spans="1:8" ht="12.75">
      <c r="A361" s="17"/>
      <c r="E361" s="18"/>
      <c r="F361" s="18"/>
      <c r="G361" s="160"/>
      <c r="H361" s="18"/>
    </row>
    <row r="362" spans="1:8" ht="12.75">
      <c r="A362" s="17"/>
      <c r="E362" s="18"/>
      <c r="F362" s="18"/>
      <c r="G362" s="160"/>
      <c r="H362" s="18"/>
    </row>
    <row r="363" spans="1:8" ht="12.75">
      <c r="A363" s="17"/>
      <c r="E363" s="18"/>
      <c r="F363" s="18"/>
      <c r="G363" s="160"/>
      <c r="H363" s="18"/>
    </row>
    <row r="364" spans="1:8" ht="12.75">
      <c r="A364" s="17"/>
      <c r="E364" s="18"/>
      <c r="F364" s="18"/>
      <c r="G364" s="160"/>
      <c r="H364" s="18"/>
    </row>
    <row r="365" spans="1:8" ht="12.75">
      <c r="A365" s="17"/>
      <c r="E365" s="18"/>
      <c r="F365" s="18"/>
      <c r="G365" s="160"/>
      <c r="H365" s="18"/>
    </row>
    <row r="366" spans="1:8" ht="12.75">
      <c r="A366" s="17"/>
      <c r="E366" s="18"/>
      <c r="F366" s="18"/>
      <c r="G366" s="160"/>
      <c r="H366" s="18"/>
    </row>
    <row r="367" spans="1:8" ht="12.75">
      <c r="A367" s="17"/>
      <c r="E367" s="18"/>
      <c r="F367" s="18"/>
      <c r="G367" s="160"/>
      <c r="H367" s="18"/>
    </row>
    <row r="368" spans="1:8" ht="12.75">
      <c r="A368" s="17"/>
      <c r="E368" s="18"/>
      <c r="F368" s="18"/>
      <c r="G368" s="160"/>
      <c r="H368" s="18"/>
    </row>
    <row r="369" spans="1:8" ht="12.75">
      <c r="A369" s="17"/>
      <c r="E369" s="18"/>
      <c r="F369" s="18"/>
      <c r="G369" s="160"/>
      <c r="H369" s="18"/>
    </row>
    <row r="370" spans="1:8" ht="12.75">
      <c r="A370" s="17"/>
      <c r="E370" s="18"/>
      <c r="F370" s="18"/>
      <c r="G370" s="160"/>
      <c r="H370" s="18"/>
    </row>
    <row r="371" spans="1:8" ht="12.75">
      <c r="A371" s="17"/>
      <c r="E371" s="18"/>
      <c r="F371" s="18"/>
      <c r="G371" s="160"/>
      <c r="H371" s="18"/>
    </row>
    <row r="372" spans="1:8" ht="12.75">
      <c r="A372" s="17"/>
      <c r="E372" s="18"/>
      <c r="F372" s="18"/>
      <c r="G372" s="160"/>
      <c r="H372" s="18"/>
    </row>
    <row r="373" spans="1:8" ht="12.75">
      <c r="A373" s="17"/>
      <c r="E373" s="18"/>
      <c r="F373" s="18"/>
      <c r="G373" s="160"/>
      <c r="H373" s="18"/>
    </row>
    <row r="374" spans="1:8" ht="12.75">
      <c r="A374" s="17"/>
      <c r="E374" s="18"/>
      <c r="F374" s="18"/>
      <c r="G374" s="160"/>
      <c r="H374" s="18"/>
    </row>
    <row r="375" spans="1:8" ht="12.75">
      <c r="A375" s="17"/>
      <c r="E375" s="18"/>
      <c r="F375" s="18"/>
      <c r="G375" s="160"/>
      <c r="H375" s="18"/>
    </row>
    <row r="376" spans="1:8" ht="12.75">
      <c r="A376" s="17"/>
      <c r="E376" s="18"/>
      <c r="F376" s="18"/>
      <c r="G376" s="160"/>
      <c r="H376" s="18"/>
    </row>
    <row r="377" spans="1:8" ht="12.75">
      <c r="A377" s="17"/>
      <c r="E377" s="18"/>
      <c r="F377" s="18"/>
      <c r="G377" s="160"/>
      <c r="H377" s="18"/>
    </row>
    <row r="378" spans="1:8" ht="12.75">
      <c r="A378" s="17"/>
      <c r="E378" s="18"/>
      <c r="F378" s="18"/>
      <c r="G378" s="160"/>
      <c r="H378" s="18"/>
    </row>
    <row r="379" spans="1:8" ht="12.75">
      <c r="A379" s="17"/>
      <c r="E379" s="18"/>
      <c r="F379" s="18"/>
      <c r="G379" s="160"/>
      <c r="H379" s="18"/>
    </row>
    <row r="380" spans="1:8" ht="12.75">
      <c r="A380" s="17"/>
      <c r="E380" s="18"/>
      <c r="F380" s="18"/>
      <c r="G380" s="160"/>
      <c r="H380" s="18"/>
    </row>
    <row r="381" spans="1:8" ht="12.75">
      <c r="A381" s="17"/>
      <c r="E381" s="18"/>
      <c r="F381" s="18"/>
      <c r="G381" s="160"/>
      <c r="H381" s="18"/>
    </row>
    <row r="382" spans="1:8" ht="12.75">
      <c r="A382" s="17"/>
      <c r="E382" s="18"/>
      <c r="F382" s="18"/>
      <c r="G382" s="160"/>
      <c r="H382" s="18"/>
    </row>
    <row r="383" spans="1:8" ht="12.75">
      <c r="A383" s="17"/>
      <c r="E383" s="18"/>
      <c r="F383" s="18"/>
      <c r="G383" s="160"/>
      <c r="H383" s="18"/>
    </row>
    <row r="384" spans="1:8" ht="12.75">
      <c r="A384" s="17"/>
      <c r="E384" s="18"/>
      <c r="F384" s="18"/>
      <c r="G384" s="160"/>
      <c r="H384" s="18"/>
    </row>
    <row r="385" spans="1:8" ht="12.75">
      <c r="A385" s="17"/>
      <c r="E385" s="18"/>
      <c r="F385" s="18"/>
      <c r="G385" s="160"/>
      <c r="H385" s="18"/>
    </row>
    <row r="386" spans="1:8" ht="12.75">
      <c r="A386" s="17"/>
      <c r="E386" s="18"/>
      <c r="F386" s="18"/>
      <c r="G386" s="160"/>
      <c r="H386" s="18"/>
    </row>
    <row r="387" spans="1:8" ht="12.75">
      <c r="A387" s="17"/>
      <c r="E387" s="18"/>
      <c r="F387" s="18"/>
      <c r="G387" s="160"/>
      <c r="H387" s="18"/>
    </row>
    <row r="388" spans="1:8" ht="12.75">
      <c r="A388" s="17"/>
      <c r="E388" s="18"/>
      <c r="F388" s="18"/>
      <c r="G388" s="160"/>
      <c r="H388" s="18"/>
    </row>
    <row r="389" spans="1:8" ht="12.75">
      <c r="A389" s="17"/>
      <c r="E389" s="18"/>
      <c r="F389" s="18"/>
      <c r="G389" s="160"/>
      <c r="H389" s="18"/>
    </row>
    <row r="390" spans="1:8" ht="12.75">
      <c r="A390" s="17"/>
      <c r="E390" s="18"/>
      <c r="F390" s="18"/>
      <c r="G390" s="160"/>
      <c r="H390" s="18"/>
    </row>
    <row r="391" spans="1:8" ht="12.75">
      <c r="A391" s="17"/>
      <c r="E391" s="18"/>
      <c r="F391" s="18"/>
      <c r="G391" s="160"/>
      <c r="H391" s="18"/>
    </row>
    <row r="392" spans="1:8" ht="12.75">
      <c r="A392" s="17"/>
      <c r="E392" s="18"/>
      <c r="F392" s="18"/>
      <c r="G392" s="160"/>
      <c r="H392" s="18"/>
    </row>
    <row r="393" spans="1:8" ht="12.75">
      <c r="A393" s="17"/>
      <c r="E393" s="18"/>
      <c r="F393" s="18"/>
      <c r="G393" s="160"/>
      <c r="H393" s="18"/>
    </row>
    <row r="394" spans="1:8" ht="12.75">
      <c r="A394" s="17"/>
      <c r="E394" s="18"/>
      <c r="F394" s="18"/>
      <c r="G394" s="160"/>
      <c r="H394" s="18"/>
    </row>
    <row r="395" spans="1:8" ht="12.75">
      <c r="A395" s="17"/>
      <c r="E395" s="18"/>
      <c r="F395" s="18"/>
      <c r="G395" s="160"/>
      <c r="H395" s="18"/>
    </row>
    <row r="396" spans="1:8" ht="12.75">
      <c r="A396" s="17"/>
      <c r="E396" s="18"/>
      <c r="F396" s="18"/>
      <c r="G396" s="160"/>
      <c r="H396" s="18"/>
    </row>
    <row r="397" spans="1:8" ht="12.75">
      <c r="A397" s="17"/>
      <c r="E397" s="18"/>
      <c r="F397" s="18"/>
      <c r="G397" s="160"/>
      <c r="H397" s="18"/>
    </row>
    <row r="398" spans="1:8" ht="12.75">
      <c r="A398" s="17"/>
      <c r="E398" s="18"/>
      <c r="F398" s="18"/>
      <c r="G398" s="160"/>
      <c r="H398" s="18"/>
    </row>
    <row r="399" spans="1:8" ht="12.75">
      <c r="A399" s="17"/>
      <c r="E399" s="18"/>
      <c r="F399" s="18"/>
      <c r="G399" s="160"/>
      <c r="H399" s="18"/>
    </row>
    <row r="400" spans="1:8" ht="12.75">
      <c r="A400" s="17"/>
      <c r="E400" s="18"/>
      <c r="F400" s="18"/>
      <c r="G400" s="160"/>
      <c r="H400" s="18"/>
    </row>
    <row r="401" spans="1:8" ht="12.75">
      <c r="A401" s="17"/>
      <c r="E401" s="18"/>
      <c r="F401" s="18"/>
      <c r="G401" s="160"/>
      <c r="H401" s="18"/>
    </row>
    <row r="402" spans="1:8" ht="12.75">
      <c r="A402" s="17"/>
      <c r="E402" s="18"/>
      <c r="F402" s="18"/>
      <c r="G402" s="160"/>
      <c r="H402" s="18"/>
    </row>
    <row r="403" spans="1:8" ht="12.75">
      <c r="A403" s="17"/>
      <c r="E403" s="18"/>
      <c r="F403" s="18"/>
      <c r="G403" s="160"/>
      <c r="H403" s="18"/>
    </row>
    <row r="404" spans="1:8" ht="12.75">
      <c r="A404" s="17"/>
      <c r="E404" s="18"/>
      <c r="F404" s="18"/>
      <c r="G404" s="160"/>
      <c r="H404" s="18"/>
    </row>
    <row r="405" spans="1:8" ht="12.75">
      <c r="A405" s="17"/>
      <c r="E405" s="18"/>
      <c r="F405" s="18"/>
      <c r="G405" s="160"/>
      <c r="H405" s="18"/>
    </row>
    <row r="406" spans="1:8" ht="12.75">
      <c r="A406" s="17"/>
      <c r="E406" s="18"/>
      <c r="F406" s="18"/>
      <c r="G406" s="160"/>
      <c r="H406" s="18"/>
    </row>
    <row r="407" spans="1:8" ht="12.75">
      <c r="A407" s="17"/>
      <c r="E407" s="18"/>
      <c r="F407" s="18"/>
      <c r="G407" s="160"/>
      <c r="H407" s="18"/>
    </row>
    <row r="408" spans="1:8" ht="12.75">
      <c r="A408" s="17"/>
      <c r="E408" s="18"/>
      <c r="F408" s="18"/>
      <c r="G408" s="160"/>
      <c r="H408" s="18"/>
    </row>
    <row r="409" spans="1:8" ht="12.75">
      <c r="A409" s="17"/>
      <c r="E409" s="18"/>
      <c r="F409" s="18"/>
      <c r="G409" s="160"/>
      <c r="H409" s="18"/>
    </row>
    <row r="410" spans="1:8" ht="12.75">
      <c r="A410" s="17"/>
      <c r="E410" s="18"/>
      <c r="F410" s="18"/>
      <c r="G410" s="160"/>
      <c r="H410" s="18"/>
    </row>
    <row r="411" spans="1:8" ht="12.75">
      <c r="A411" s="17"/>
      <c r="E411" s="18"/>
      <c r="F411" s="18"/>
      <c r="G411" s="160"/>
      <c r="H411" s="18"/>
    </row>
    <row r="412" spans="1:8" ht="12.75">
      <c r="A412" s="17"/>
      <c r="E412" s="18"/>
      <c r="F412" s="18"/>
      <c r="G412" s="160"/>
      <c r="H412" s="18"/>
    </row>
    <row r="413" spans="1:8" ht="12.75">
      <c r="A413" s="17"/>
      <c r="E413" s="18"/>
      <c r="F413" s="18"/>
      <c r="G413" s="160"/>
      <c r="H413" s="18"/>
    </row>
    <row r="414" spans="1:8" ht="12.75">
      <c r="A414" s="17"/>
      <c r="E414" s="18"/>
      <c r="F414" s="18"/>
      <c r="G414" s="160"/>
      <c r="H414" s="18"/>
    </row>
    <row r="415" spans="1:8" ht="12.75">
      <c r="A415" s="17"/>
      <c r="E415" s="18"/>
      <c r="F415" s="18"/>
      <c r="G415" s="160"/>
      <c r="H415" s="18"/>
    </row>
    <row r="416" spans="1:8" ht="12.75">
      <c r="A416" s="17"/>
      <c r="E416" s="18"/>
      <c r="F416" s="18"/>
      <c r="G416" s="160"/>
      <c r="H416" s="18"/>
    </row>
    <row r="417" spans="1:8" ht="12.75">
      <c r="A417" s="17"/>
      <c r="E417" s="18"/>
      <c r="F417" s="18"/>
      <c r="G417" s="160"/>
      <c r="H417" s="18"/>
    </row>
    <row r="418" spans="1:8" ht="12.75">
      <c r="A418" s="17"/>
      <c r="E418" s="18"/>
      <c r="F418" s="18"/>
      <c r="G418" s="160"/>
      <c r="H418" s="18"/>
    </row>
    <row r="419" spans="1:8" ht="12.75">
      <c r="A419" s="17"/>
      <c r="E419" s="18"/>
      <c r="F419" s="18"/>
      <c r="G419" s="160"/>
      <c r="H419" s="18"/>
    </row>
    <row r="420" spans="1:8" ht="12.75">
      <c r="A420" s="17"/>
      <c r="E420" s="18"/>
      <c r="F420" s="18"/>
      <c r="G420" s="160"/>
      <c r="H420" s="18"/>
    </row>
    <row r="421" spans="1:8" ht="12.75">
      <c r="A421" s="17"/>
      <c r="E421" s="18"/>
      <c r="F421" s="18"/>
      <c r="G421" s="160"/>
      <c r="H421" s="18"/>
    </row>
    <row r="422" spans="1:8" ht="12.75">
      <c r="A422" s="17"/>
      <c r="E422" s="18"/>
      <c r="F422" s="18"/>
      <c r="G422" s="160"/>
      <c r="H422" s="18"/>
    </row>
    <row r="423" spans="1:8" ht="12.75">
      <c r="A423" s="17"/>
      <c r="E423" s="18"/>
      <c r="F423" s="18"/>
      <c r="G423" s="160"/>
      <c r="H423" s="18"/>
    </row>
    <row r="424" spans="1:8" ht="12.75">
      <c r="A424" s="17"/>
      <c r="E424" s="18"/>
      <c r="F424" s="18"/>
      <c r="G424" s="160"/>
      <c r="H424" s="18"/>
    </row>
    <row r="425" spans="1:8" ht="12.75">
      <c r="A425" s="17"/>
      <c r="E425" s="18"/>
      <c r="F425" s="18"/>
      <c r="G425" s="160"/>
      <c r="H425" s="18"/>
    </row>
    <row r="426" spans="1:8" ht="12.75">
      <c r="A426" s="17"/>
      <c r="E426" s="18"/>
      <c r="F426" s="18"/>
      <c r="G426" s="160"/>
      <c r="H426" s="18"/>
    </row>
    <row r="427" spans="1:8" ht="12.75">
      <c r="A427" s="17"/>
      <c r="E427" s="18"/>
      <c r="F427" s="18"/>
      <c r="G427" s="160"/>
      <c r="H427" s="18"/>
    </row>
    <row r="428" spans="1:8" ht="12.75">
      <c r="A428" s="17"/>
      <c r="E428" s="18"/>
      <c r="F428" s="18"/>
      <c r="G428" s="160"/>
      <c r="H428" s="18"/>
    </row>
    <row r="429" spans="1:8" ht="12.75">
      <c r="A429" s="17"/>
      <c r="E429" s="18"/>
      <c r="F429" s="18"/>
      <c r="G429" s="160"/>
      <c r="H429" s="18"/>
    </row>
    <row r="430" spans="1:8" ht="12.75">
      <c r="A430" s="17"/>
      <c r="E430" s="18"/>
      <c r="F430" s="18"/>
      <c r="G430" s="160"/>
      <c r="H430" s="18"/>
    </row>
    <row r="431" spans="1:8" ht="12.75">
      <c r="A431" s="17"/>
      <c r="E431" s="18"/>
      <c r="F431" s="18"/>
      <c r="G431" s="160"/>
      <c r="H431" s="18"/>
    </row>
    <row r="432" spans="1:8" ht="12.75">
      <c r="A432" s="17"/>
      <c r="E432" s="18"/>
      <c r="F432" s="18"/>
      <c r="G432" s="160"/>
      <c r="H432" s="18"/>
    </row>
    <row r="433" spans="1:8" ht="12.75">
      <c r="A433" s="17"/>
      <c r="E433" s="18"/>
      <c r="F433" s="18"/>
      <c r="G433" s="160"/>
      <c r="H433" s="18"/>
    </row>
    <row r="434" spans="1:8" ht="12.75">
      <c r="A434" s="17"/>
      <c r="E434" s="18"/>
      <c r="F434" s="18"/>
      <c r="G434" s="160"/>
      <c r="H434" s="18"/>
    </row>
    <row r="435" spans="1:8" ht="12.75">
      <c r="A435" s="17"/>
      <c r="E435" s="18"/>
      <c r="F435" s="18"/>
      <c r="G435" s="160"/>
      <c r="H435" s="18"/>
    </row>
    <row r="436" spans="1:8" ht="12.75">
      <c r="A436" s="17"/>
      <c r="E436" s="18"/>
      <c r="F436" s="18"/>
      <c r="G436" s="160"/>
      <c r="H436" s="18"/>
    </row>
    <row r="437" spans="1:8" ht="12.75">
      <c r="A437" s="17"/>
      <c r="E437" s="18"/>
      <c r="F437" s="18"/>
      <c r="G437" s="160"/>
      <c r="H437" s="18"/>
    </row>
    <row r="438" spans="1:8" ht="12.75">
      <c r="A438" s="17"/>
      <c r="E438" s="18"/>
      <c r="F438" s="18"/>
      <c r="G438" s="160"/>
      <c r="H438" s="18"/>
    </row>
    <row r="439" spans="1:8" ht="12.75">
      <c r="A439" s="17"/>
      <c r="E439" s="18"/>
      <c r="F439" s="18"/>
      <c r="G439" s="160"/>
      <c r="H439" s="18"/>
    </row>
    <row r="440" spans="1:8" ht="12.75">
      <c r="A440" s="17"/>
      <c r="E440" s="18"/>
      <c r="F440" s="18"/>
      <c r="G440" s="160"/>
      <c r="H440" s="18"/>
    </row>
    <row r="441" spans="1:8" ht="12.75">
      <c r="A441" s="17"/>
      <c r="E441" s="18"/>
      <c r="F441" s="18"/>
      <c r="G441" s="160"/>
      <c r="H441" s="18"/>
    </row>
    <row r="442" spans="1:8" ht="12.75">
      <c r="A442" s="17"/>
      <c r="E442" s="18"/>
      <c r="F442" s="18"/>
      <c r="G442" s="160"/>
      <c r="H442" s="18"/>
    </row>
    <row r="443" spans="1:8" ht="12.75">
      <c r="A443" s="17"/>
      <c r="E443" s="18"/>
      <c r="F443" s="18"/>
      <c r="G443" s="160"/>
      <c r="H443" s="18"/>
    </row>
    <row r="444" spans="1:8" ht="12.75">
      <c r="A444" s="17"/>
      <c r="E444" s="18"/>
      <c r="F444" s="18"/>
      <c r="G444" s="160"/>
      <c r="H444" s="18"/>
    </row>
    <row r="445" spans="1:8" ht="12.75">
      <c r="A445" s="17"/>
      <c r="E445" s="18"/>
      <c r="F445" s="18"/>
      <c r="G445" s="160"/>
      <c r="H445" s="18"/>
    </row>
    <row r="446" spans="1:8" ht="12.75">
      <c r="A446" s="17"/>
      <c r="E446" s="18"/>
      <c r="F446" s="18"/>
      <c r="G446" s="160"/>
      <c r="H446" s="18"/>
    </row>
    <row r="447" spans="1:8" ht="12.75">
      <c r="A447" s="17"/>
      <c r="E447" s="18"/>
      <c r="F447" s="18"/>
      <c r="G447" s="160"/>
      <c r="H447" s="18"/>
    </row>
    <row r="448" spans="1:8" ht="12.75">
      <c r="A448" s="17"/>
      <c r="E448" s="18"/>
      <c r="F448" s="18"/>
      <c r="G448" s="160"/>
      <c r="H448" s="18"/>
    </row>
    <row r="449" spans="1:8" ht="12.75">
      <c r="A449" s="17"/>
      <c r="E449" s="18"/>
      <c r="F449" s="18"/>
      <c r="G449" s="160"/>
      <c r="H449" s="18"/>
    </row>
    <row r="450" spans="1:8" ht="12.75">
      <c r="A450" s="17"/>
      <c r="E450" s="18"/>
      <c r="F450" s="18"/>
      <c r="G450" s="160"/>
      <c r="H450" s="18"/>
    </row>
    <row r="451" spans="1:8" ht="12.75">
      <c r="A451" s="17"/>
      <c r="E451" s="18"/>
      <c r="F451" s="18"/>
      <c r="G451" s="160"/>
      <c r="H451" s="18"/>
    </row>
    <row r="452" spans="1:8" ht="12.75">
      <c r="A452" s="17"/>
      <c r="E452" s="18"/>
      <c r="F452" s="18"/>
      <c r="G452" s="160"/>
      <c r="H452" s="18"/>
    </row>
    <row r="453" spans="1:8" ht="12.75">
      <c r="A453" s="17"/>
      <c r="E453" s="18"/>
      <c r="F453" s="18"/>
      <c r="G453" s="160"/>
      <c r="H453" s="18"/>
    </row>
    <row r="454" spans="1:8" ht="12.75">
      <c r="A454" s="17"/>
      <c r="E454" s="18"/>
      <c r="F454" s="18"/>
      <c r="G454" s="160"/>
      <c r="H454" s="18"/>
    </row>
    <row r="455" spans="1:8" ht="12.75">
      <c r="A455" s="17"/>
      <c r="E455" s="18"/>
      <c r="F455" s="18"/>
      <c r="G455" s="160"/>
      <c r="H455" s="18"/>
    </row>
    <row r="456" spans="1:8" ht="12.75">
      <c r="A456" s="17"/>
      <c r="E456" s="18"/>
      <c r="F456" s="18"/>
      <c r="G456" s="160"/>
      <c r="H456" s="18"/>
    </row>
    <row r="457" spans="1:8" ht="12.75">
      <c r="A457" s="17"/>
      <c r="E457" s="18"/>
      <c r="F457" s="18"/>
      <c r="G457" s="160"/>
      <c r="H457" s="18"/>
    </row>
    <row r="458" spans="1:8" ht="12.75">
      <c r="A458" s="17"/>
      <c r="E458" s="18"/>
      <c r="F458" s="18"/>
      <c r="G458" s="160"/>
      <c r="H458" s="18"/>
    </row>
    <row r="459" spans="1:8" ht="12.75">
      <c r="A459" s="17"/>
      <c r="E459" s="18"/>
      <c r="F459" s="18"/>
      <c r="G459" s="160"/>
      <c r="H459" s="18"/>
    </row>
    <row r="460" spans="1:8" ht="12.75">
      <c r="A460" s="17"/>
      <c r="E460" s="18"/>
      <c r="F460" s="18"/>
      <c r="G460" s="160"/>
      <c r="H460" s="18"/>
    </row>
    <row r="461" spans="1:8" ht="12.75">
      <c r="A461" s="17"/>
      <c r="E461" s="18"/>
      <c r="F461" s="18"/>
      <c r="G461" s="160"/>
      <c r="H461" s="18"/>
    </row>
    <row r="462" spans="1:8" ht="12.75">
      <c r="A462" s="17"/>
      <c r="E462" s="18"/>
      <c r="F462" s="18"/>
      <c r="G462" s="160"/>
      <c r="H462" s="18"/>
    </row>
    <row r="463" spans="1:8" ht="12.75">
      <c r="A463" s="17"/>
      <c r="E463" s="18"/>
      <c r="F463" s="18"/>
      <c r="G463" s="160"/>
      <c r="H463" s="18"/>
    </row>
    <row r="464" spans="1:8" ht="12.75">
      <c r="A464" s="17"/>
      <c r="E464" s="18"/>
      <c r="F464" s="18"/>
      <c r="G464" s="160"/>
      <c r="H464" s="18"/>
    </row>
    <row r="465" spans="1:8" ht="12.75">
      <c r="A465" s="17"/>
      <c r="E465" s="18"/>
      <c r="F465" s="18"/>
      <c r="G465" s="160"/>
      <c r="H465" s="18"/>
    </row>
    <row r="466" spans="1:8" ht="12.75">
      <c r="A466" s="17"/>
      <c r="E466" s="18"/>
      <c r="F466" s="18"/>
      <c r="G466" s="160"/>
      <c r="H466" s="18"/>
    </row>
    <row r="467" spans="1:8" ht="12.75">
      <c r="A467" s="17"/>
      <c r="E467" s="18"/>
      <c r="F467" s="18"/>
      <c r="G467" s="160"/>
      <c r="H467" s="18"/>
    </row>
    <row r="468" spans="1:8" ht="12.75">
      <c r="A468" s="17"/>
      <c r="E468" s="18"/>
      <c r="F468" s="18"/>
      <c r="G468" s="160"/>
      <c r="H468" s="18"/>
    </row>
    <row r="469" spans="1:8" ht="12.75">
      <c r="A469" s="17"/>
      <c r="E469" s="18"/>
      <c r="F469" s="18"/>
      <c r="G469" s="160"/>
      <c r="H469" s="18"/>
    </row>
    <row r="470" spans="1:8" ht="12.75">
      <c r="A470" s="17"/>
      <c r="E470" s="18"/>
      <c r="F470" s="18"/>
      <c r="G470" s="160"/>
      <c r="H470" s="18"/>
    </row>
    <row r="471" spans="1:8" ht="12.75">
      <c r="A471" s="17"/>
      <c r="E471" s="18"/>
      <c r="F471" s="18"/>
      <c r="G471" s="160"/>
      <c r="H471" s="18"/>
    </row>
    <row r="472" spans="1:8" ht="12.75">
      <c r="A472" s="17"/>
      <c r="E472" s="18"/>
      <c r="F472" s="18"/>
      <c r="G472" s="160"/>
      <c r="H472" s="18"/>
    </row>
    <row r="473" spans="1:8" ht="12.75">
      <c r="A473" s="17"/>
      <c r="E473" s="18"/>
      <c r="F473" s="18"/>
      <c r="G473" s="160"/>
      <c r="H473" s="18"/>
    </row>
    <row r="474" spans="1:8" ht="12.75">
      <c r="A474" s="17"/>
      <c r="E474" s="18"/>
      <c r="F474" s="18"/>
      <c r="G474" s="160"/>
      <c r="H474" s="18"/>
    </row>
    <row r="475" spans="1:8" ht="12.75">
      <c r="A475" s="17"/>
      <c r="E475" s="18"/>
      <c r="F475" s="18"/>
      <c r="G475" s="160"/>
      <c r="H475" s="18"/>
    </row>
    <row r="476" spans="1:8" ht="12.75">
      <c r="A476" s="17"/>
      <c r="E476" s="18"/>
      <c r="F476" s="18"/>
      <c r="G476" s="160"/>
      <c r="H476" s="18"/>
    </row>
    <row r="477" spans="1:8" ht="12.75">
      <c r="A477" s="17"/>
      <c r="E477" s="18"/>
      <c r="F477" s="18"/>
      <c r="G477" s="160"/>
      <c r="H477" s="18"/>
    </row>
    <row r="478" spans="1:8" ht="12.75">
      <c r="A478" s="17"/>
      <c r="E478" s="18"/>
      <c r="F478" s="18"/>
      <c r="G478" s="160"/>
      <c r="H478" s="18"/>
    </row>
    <row r="479" spans="1:8" ht="12.75">
      <c r="A479" s="17"/>
      <c r="E479" s="18"/>
      <c r="F479" s="18"/>
      <c r="G479" s="160"/>
      <c r="H479" s="18"/>
    </row>
    <row r="480" spans="1:8" ht="12.75">
      <c r="A480" s="17"/>
      <c r="E480" s="18"/>
      <c r="F480" s="18"/>
      <c r="G480" s="160"/>
      <c r="H480" s="18"/>
    </row>
    <row r="481" spans="1:8" ht="12.75">
      <c r="A481" s="17"/>
      <c r="E481" s="18"/>
      <c r="F481" s="18"/>
      <c r="G481" s="160"/>
      <c r="H481" s="18"/>
    </row>
    <row r="482" spans="1:8" ht="12.75">
      <c r="A482" s="17"/>
      <c r="E482" s="18"/>
      <c r="F482" s="18"/>
      <c r="G482" s="160"/>
      <c r="H482" s="18"/>
    </row>
    <row r="483" spans="1:8" ht="12.75">
      <c r="A483" s="17"/>
      <c r="E483" s="18"/>
      <c r="F483" s="18"/>
      <c r="G483" s="160"/>
      <c r="H483" s="18"/>
    </row>
    <row r="484" spans="1:8" ht="12.75">
      <c r="A484" s="17"/>
      <c r="E484" s="18"/>
      <c r="F484" s="18"/>
      <c r="G484" s="160"/>
      <c r="H484" s="18"/>
    </row>
    <row r="485" spans="1:8" ht="12.75">
      <c r="A485" s="17"/>
      <c r="E485" s="18"/>
      <c r="F485" s="18"/>
      <c r="G485" s="160"/>
      <c r="H485" s="18"/>
    </row>
    <row r="486" spans="1:8" ht="12.75">
      <c r="A486" s="17"/>
      <c r="E486" s="18"/>
      <c r="F486" s="18"/>
      <c r="G486" s="160"/>
      <c r="H486" s="18"/>
    </row>
    <row r="487" spans="1:8" ht="12.75">
      <c r="A487" s="17"/>
      <c r="E487" s="18"/>
      <c r="F487" s="18"/>
      <c r="G487" s="160"/>
      <c r="H487" s="18"/>
    </row>
    <row r="488" spans="1:8" ht="12.75">
      <c r="A488" s="17"/>
      <c r="E488" s="18"/>
      <c r="F488" s="18"/>
      <c r="G488" s="160"/>
      <c r="H488" s="18"/>
    </row>
    <row r="489" spans="1:8" ht="12.75">
      <c r="A489" s="17"/>
      <c r="E489" s="18"/>
      <c r="F489" s="18"/>
      <c r="G489" s="160"/>
      <c r="H489" s="18"/>
    </row>
    <row r="490" spans="1:8" ht="12.75">
      <c r="A490" s="17"/>
      <c r="E490" s="18"/>
      <c r="F490" s="18"/>
      <c r="G490" s="160"/>
      <c r="H490" s="18"/>
    </row>
    <row r="491" spans="1:8" ht="12.75">
      <c r="A491" s="17"/>
      <c r="E491" s="18"/>
      <c r="F491" s="18"/>
      <c r="G491" s="160"/>
      <c r="H491" s="18"/>
    </row>
    <row r="492" spans="1:8" ht="12.75">
      <c r="A492" s="17"/>
      <c r="E492" s="18"/>
      <c r="F492" s="18"/>
      <c r="G492" s="160"/>
      <c r="H492" s="18"/>
    </row>
    <row r="493" spans="1:8" ht="12.75">
      <c r="A493" s="17"/>
      <c r="E493" s="18"/>
      <c r="F493" s="18"/>
      <c r="G493" s="160"/>
      <c r="H493" s="18"/>
    </row>
    <row r="494" spans="1:8" ht="12.75">
      <c r="A494" s="17"/>
      <c r="E494" s="18"/>
      <c r="F494" s="18"/>
      <c r="G494" s="160"/>
      <c r="H494" s="18"/>
    </row>
    <row r="495" spans="1:8" ht="12.75">
      <c r="A495" s="17"/>
      <c r="E495" s="18"/>
      <c r="F495" s="18"/>
      <c r="G495" s="160"/>
      <c r="H495" s="18"/>
    </row>
    <row r="496" spans="1:8" ht="12.75">
      <c r="A496" s="17"/>
      <c r="E496" s="18"/>
      <c r="F496" s="18"/>
      <c r="G496" s="160"/>
      <c r="H496" s="18"/>
    </row>
    <row r="497" spans="1:8" ht="12.75">
      <c r="A497" s="17"/>
      <c r="E497" s="18"/>
      <c r="F497" s="18"/>
      <c r="G497" s="160"/>
      <c r="H497" s="18"/>
    </row>
    <row r="498" spans="1:8" ht="12.75">
      <c r="A498" s="17"/>
      <c r="E498" s="18"/>
      <c r="F498" s="18"/>
      <c r="G498" s="160"/>
      <c r="H498" s="18"/>
    </row>
    <row r="499" spans="1:8" ht="12.75">
      <c r="A499" s="17"/>
      <c r="E499" s="18"/>
      <c r="F499" s="18"/>
      <c r="G499" s="160"/>
      <c r="H499" s="18"/>
    </row>
    <row r="500" spans="1:8" ht="12.75">
      <c r="A500" s="17"/>
      <c r="E500" s="18"/>
      <c r="F500" s="18"/>
      <c r="G500" s="160"/>
      <c r="H500" s="18"/>
    </row>
    <row r="501" spans="1:8" ht="12.75">
      <c r="A501" s="17"/>
      <c r="E501" s="18"/>
      <c r="F501" s="18"/>
      <c r="G501" s="160"/>
      <c r="H501" s="18"/>
    </row>
    <row r="502" spans="1:8" ht="12.75">
      <c r="A502" s="17"/>
      <c r="E502" s="18"/>
      <c r="F502" s="18"/>
      <c r="G502" s="160"/>
      <c r="H502" s="18"/>
    </row>
    <row r="503" spans="1:8" ht="12.75">
      <c r="A503" s="17"/>
      <c r="E503" s="18"/>
      <c r="F503" s="18"/>
      <c r="G503" s="160"/>
      <c r="H503" s="18"/>
    </row>
    <row r="504" spans="1:8" ht="12.75">
      <c r="A504" s="17"/>
      <c r="E504" s="18"/>
      <c r="F504" s="18"/>
      <c r="G504" s="160"/>
      <c r="H504" s="18"/>
    </row>
    <row r="505" spans="1:8" ht="12.75">
      <c r="A505" s="17"/>
      <c r="E505" s="18"/>
      <c r="F505" s="18"/>
      <c r="G505" s="160"/>
      <c r="H505" s="18"/>
    </row>
    <row r="506" spans="1:8" ht="12.75">
      <c r="A506" s="17"/>
      <c r="E506" s="18"/>
      <c r="F506" s="18"/>
      <c r="G506" s="160"/>
      <c r="H506" s="18"/>
    </row>
    <row r="507" spans="1:8" ht="12.75">
      <c r="A507" s="17"/>
      <c r="E507" s="18"/>
      <c r="F507" s="18"/>
      <c r="G507" s="160"/>
      <c r="H507" s="18"/>
    </row>
    <row r="508" spans="1:8" ht="12.75">
      <c r="A508" s="17"/>
      <c r="E508" s="18"/>
      <c r="F508" s="18"/>
      <c r="G508" s="160"/>
      <c r="H508" s="18"/>
    </row>
    <row r="509" spans="1:8" ht="12.75">
      <c r="A509" s="17"/>
      <c r="E509" s="18"/>
      <c r="F509" s="18"/>
      <c r="G509" s="160"/>
      <c r="H509" s="18"/>
    </row>
    <row r="510" spans="1:8" ht="12.75">
      <c r="A510" s="17"/>
      <c r="E510" s="18"/>
      <c r="F510" s="18"/>
      <c r="G510" s="160"/>
      <c r="H510" s="18"/>
    </row>
    <row r="511" spans="1:8" ht="12.75">
      <c r="A511" s="17"/>
      <c r="E511" s="18"/>
      <c r="F511" s="18"/>
      <c r="G511" s="160"/>
      <c r="H511" s="18"/>
    </row>
    <row r="512" spans="1:8" ht="12.75">
      <c r="A512" s="17"/>
      <c r="E512" s="18"/>
      <c r="F512" s="18"/>
      <c r="G512" s="160"/>
      <c r="H512" s="18"/>
    </row>
    <row r="513" spans="1:8" ht="12.75">
      <c r="A513" s="17"/>
      <c r="E513" s="18"/>
      <c r="F513" s="18"/>
      <c r="G513" s="160"/>
      <c r="H513" s="18"/>
    </row>
    <row r="514" spans="1:8" ht="12.75">
      <c r="A514" s="17"/>
      <c r="E514" s="18"/>
      <c r="F514" s="18"/>
      <c r="G514" s="160"/>
      <c r="H514" s="18"/>
    </row>
    <row r="515" spans="1:8" ht="12.75">
      <c r="A515" s="17"/>
      <c r="E515" s="18"/>
      <c r="F515" s="18"/>
      <c r="G515" s="160"/>
      <c r="H515" s="18"/>
    </row>
    <row r="516" spans="1:8" ht="12.75">
      <c r="A516" s="17"/>
      <c r="E516" s="18"/>
      <c r="F516" s="18"/>
      <c r="G516" s="160"/>
      <c r="H516" s="18"/>
    </row>
    <row r="517" spans="1:8" ht="12.75">
      <c r="A517" s="17"/>
      <c r="E517" s="18"/>
      <c r="F517" s="18"/>
      <c r="G517" s="160"/>
      <c r="H517" s="18"/>
    </row>
    <row r="518" spans="1:8" ht="12.75">
      <c r="A518" s="17"/>
      <c r="E518" s="18"/>
      <c r="F518" s="18"/>
      <c r="G518" s="160"/>
      <c r="H518" s="18"/>
    </row>
    <row r="519" spans="1:8" ht="12.75">
      <c r="A519" s="17"/>
      <c r="E519" s="18"/>
      <c r="F519" s="18"/>
      <c r="G519" s="160"/>
      <c r="H519" s="18"/>
    </row>
    <row r="520" spans="1:8" ht="12.75">
      <c r="A520" s="17"/>
      <c r="E520" s="18"/>
      <c r="F520" s="18"/>
      <c r="G520" s="160"/>
      <c r="H520" s="18"/>
    </row>
    <row r="521" spans="1:8" ht="12.75">
      <c r="A521" s="17"/>
      <c r="E521" s="18"/>
      <c r="F521" s="18"/>
      <c r="G521" s="160"/>
      <c r="H521" s="18"/>
    </row>
    <row r="522" spans="1:8" ht="12.75">
      <c r="A522" s="17"/>
      <c r="E522" s="18"/>
      <c r="F522" s="18"/>
      <c r="G522" s="160"/>
      <c r="H522" s="18"/>
    </row>
    <row r="523" spans="1:8" ht="12.75">
      <c r="A523" s="17"/>
      <c r="E523" s="18"/>
      <c r="F523" s="18"/>
      <c r="G523" s="160"/>
      <c r="H523" s="18"/>
    </row>
    <row r="524" spans="1:8" ht="12.75">
      <c r="A524" s="17"/>
      <c r="E524" s="18"/>
      <c r="F524" s="18"/>
      <c r="G524" s="160"/>
      <c r="H524" s="18"/>
    </row>
    <row r="525" spans="1:8" ht="12.75">
      <c r="A525" s="17"/>
      <c r="E525" s="18"/>
      <c r="F525" s="18"/>
      <c r="G525" s="160"/>
      <c r="H525" s="18"/>
    </row>
    <row r="526" spans="1:8" ht="12.75">
      <c r="A526" s="17"/>
      <c r="E526" s="18"/>
      <c r="F526" s="18"/>
      <c r="G526" s="160"/>
      <c r="H526" s="18"/>
    </row>
    <row r="527" spans="1:8" ht="12.75">
      <c r="A527" s="17"/>
      <c r="E527" s="18"/>
      <c r="F527" s="18"/>
      <c r="G527" s="160"/>
      <c r="H527" s="18"/>
    </row>
    <row r="528" spans="1:8" ht="12.75">
      <c r="A528" s="17"/>
      <c r="E528" s="18"/>
      <c r="F528" s="18"/>
      <c r="G528" s="160"/>
      <c r="H528" s="18"/>
    </row>
    <row r="529" spans="1:8" ht="12.75">
      <c r="A529" s="17"/>
      <c r="E529" s="18"/>
      <c r="F529" s="18"/>
      <c r="G529" s="160"/>
      <c r="H529" s="18"/>
    </row>
    <row r="530" spans="1:8" ht="12.75">
      <c r="A530" s="17"/>
      <c r="E530" s="18"/>
      <c r="F530" s="18"/>
      <c r="G530" s="160"/>
      <c r="H530" s="18"/>
    </row>
    <row r="531" spans="1:8" ht="12.75">
      <c r="A531" s="17"/>
      <c r="E531" s="18"/>
      <c r="F531" s="18"/>
      <c r="G531" s="160"/>
      <c r="H531" s="18"/>
    </row>
    <row r="532" spans="1:8" ht="12.75">
      <c r="A532" s="17"/>
      <c r="E532" s="18"/>
      <c r="F532" s="18"/>
      <c r="G532" s="160"/>
      <c r="H532" s="18"/>
    </row>
    <row r="533" spans="1:8" ht="12.75">
      <c r="A533" s="17"/>
      <c r="E533" s="18"/>
      <c r="F533" s="18"/>
      <c r="G533" s="160"/>
      <c r="H533" s="18"/>
    </row>
    <row r="534" spans="1:8" ht="12.75">
      <c r="A534" s="17"/>
      <c r="E534" s="18"/>
      <c r="F534" s="18"/>
      <c r="G534" s="160"/>
      <c r="H534" s="18"/>
    </row>
    <row r="535" spans="1:8" ht="12.75">
      <c r="A535" s="17"/>
      <c r="E535" s="18"/>
      <c r="F535" s="18"/>
      <c r="G535" s="160"/>
      <c r="H535" s="18"/>
    </row>
    <row r="536" spans="1:8" ht="12.75">
      <c r="A536" s="17"/>
      <c r="E536" s="18"/>
      <c r="F536" s="18"/>
      <c r="G536" s="160"/>
      <c r="H536" s="18"/>
    </row>
    <row r="537" spans="1:8" ht="12.75">
      <c r="A537" s="17"/>
      <c r="E537" s="18"/>
      <c r="F537" s="18"/>
      <c r="G537" s="160"/>
      <c r="H537" s="18"/>
    </row>
    <row r="538" spans="1:8" ht="12.75">
      <c r="A538" s="17"/>
      <c r="E538" s="18"/>
      <c r="F538" s="18"/>
      <c r="G538" s="160"/>
      <c r="H538" s="18"/>
    </row>
    <row r="539" spans="1:8" ht="12.75">
      <c r="A539" s="17"/>
      <c r="E539" s="18"/>
      <c r="F539" s="18"/>
      <c r="G539" s="160"/>
      <c r="H539" s="18"/>
    </row>
    <row r="540" spans="1:8" ht="12.75">
      <c r="A540" s="17"/>
      <c r="E540" s="18"/>
      <c r="F540" s="18"/>
      <c r="G540" s="160"/>
      <c r="H540" s="18"/>
    </row>
    <row r="541" spans="1:8" ht="12.75">
      <c r="A541" s="17"/>
      <c r="E541" s="18"/>
      <c r="F541" s="18"/>
      <c r="G541" s="160"/>
      <c r="H541" s="18"/>
    </row>
    <row r="542" spans="1:8" ht="12.75">
      <c r="A542" s="17"/>
      <c r="E542" s="18"/>
      <c r="F542" s="18"/>
      <c r="G542" s="160"/>
      <c r="H542" s="18"/>
    </row>
    <row r="543" spans="1:8" ht="12.75">
      <c r="A543" s="17"/>
      <c r="E543" s="18"/>
      <c r="F543" s="18"/>
      <c r="G543" s="160"/>
      <c r="H543" s="18"/>
    </row>
    <row r="544" spans="1:8" ht="12.75">
      <c r="A544" s="17"/>
      <c r="E544" s="18"/>
      <c r="F544" s="18"/>
      <c r="G544" s="160"/>
      <c r="H544" s="18"/>
    </row>
    <row r="545" spans="1:8" ht="12.75">
      <c r="A545" s="17"/>
      <c r="E545" s="18"/>
      <c r="F545" s="18"/>
      <c r="G545" s="160"/>
      <c r="H545" s="18"/>
    </row>
    <row r="546" spans="1:8" ht="12.75">
      <c r="A546" s="17"/>
      <c r="E546" s="18"/>
      <c r="F546" s="18"/>
      <c r="G546" s="160"/>
      <c r="H546" s="18"/>
    </row>
    <row r="547" spans="1:8" ht="12.75">
      <c r="A547" s="17"/>
      <c r="E547" s="18"/>
      <c r="F547" s="18"/>
      <c r="G547" s="160"/>
      <c r="H547" s="18"/>
    </row>
    <row r="548" spans="1:8" ht="12.75">
      <c r="A548" s="17"/>
      <c r="E548" s="18"/>
      <c r="F548" s="18"/>
      <c r="G548" s="160"/>
      <c r="H548" s="18"/>
    </row>
    <row r="549" spans="1:8" ht="12.75">
      <c r="A549" s="17"/>
      <c r="E549" s="18"/>
      <c r="F549" s="18"/>
      <c r="G549" s="160"/>
      <c r="H549" s="18"/>
    </row>
    <row r="550" spans="1:8" ht="12.75">
      <c r="A550" s="17"/>
      <c r="E550" s="18"/>
      <c r="F550" s="18"/>
      <c r="G550" s="160"/>
      <c r="H550" s="18"/>
    </row>
    <row r="551" spans="1:8" ht="12.75">
      <c r="A551" s="17"/>
      <c r="E551" s="18"/>
      <c r="F551" s="18"/>
      <c r="G551" s="160"/>
      <c r="H551" s="18"/>
    </row>
    <row r="552" spans="1:8" ht="12.75">
      <c r="A552" s="17"/>
      <c r="E552" s="18"/>
      <c r="F552" s="18"/>
      <c r="G552" s="160"/>
      <c r="H552" s="18"/>
    </row>
    <row r="553" spans="1:8" ht="12.75">
      <c r="A553" s="17"/>
      <c r="E553" s="18"/>
      <c r="F553" s="18"/>
      <c r="G553" s="160"/>
      <c r="H553" s="18"/>
    </row>
    <row r="554" spans="1:8" ht="12.75">
      <c r="A554" s="17"/>
      <c r="E554" s="18"/>
      <c r="F554" s="18"/>
      <c r="G554" s="160"/>
      <c r="H554" s="18"/>
    </row>
    <row r="555" spans="1:8" ht="12.75">
      <c r="A555" s="17"/>
      <c r="E555" s="18"/>
      <c r="F555" s="18"/>
      <c r="G555" s="160"/>
      <c r="H555" s="18"/>
    </row>
    <row r="556" spans="1:8" ht="12.75">
      <c r="A556" s="17"/>
      <c r="E556" s="18"/>
      <c r="F556" s="18"/>
      <c r="G556" s="160"/>
      <c r="H556" s="18"/>
    </row>
    <row r="557" spans="1:8" ht="12.75">
      <c r="A557" s="17"/>
      <c r="E557" s="18"/>
      <c r="F557" s="18"/>
      <c r="G557" s="160"/>
      <c r="H557" s="18"/>
    </row>
    <row r="558" spans="1:8" ht="12.75">
      <c r="A558" s="17"/>
      <c r="E558" s="18"/>
      <c r="F558" s="18"/>
      <c r="G558" s="160"/>
      <c r="H558" s="18"/>
    </row>
    <row r="559" spans="1:8" ht="12.75">
      <c r="A559" s="17"/>
      <c r="E559" s="18"/>
      <c r="F559" s="18"/>
      <c r="G559" s="160"/>
      <c r="H559" s="18"/>
    </row>
    <row r="560" spans="1:8" ht="12.75">
      <c r="A560" s="17"/>
      <c r="E560" s="18"/>
      <c r="F560" s="18"/>
      <c r="G560" s="160"/>
      <c r="H560" s="18"/>
    </row>
    <row r="561" spans="1:8" ht="12.75">
      <c r="A561" s="17"/>
      <c r="E561" s="18"/>
      <c r="F561" s="18"/>
      <c r="G561" s="160"/>
      <c r="H561" s="18"/>
    </row>
    <row r="562" spans="1:8" ht="12.75">
      <c r="A562" s="17"/>
      <c r="E562" s="18"/>
      <c r="F562" s="18"/>
      <c r="G562" s="160"/>
      <c r="H562" s="18"/>
    </row>
    <row r="563" spans="1:8" ht="12.75">
      <c r="A563" s="17"/>
      <c r="E563" s="18"/>
      <c r="F563" s="18"/>
      <c r="G563" s="160"/>
      <c r="H563" s="18"/>
    </row>
    <row r="564" spans="1:8" ht="12.75">
      <c r="A564" s="17"/>
      <c r="E564" s="18"/>
      <c r="F564" s="18"/>
      <c r="G564" s="160"/>
      <c r="H564" s="18"/>
    </row>
    <row r="565" spans="1:8" ht="12.75">
      <c r="A565" s="17"/>
      <c r="E565" s="18"/>
      <c r="F565" s="18"/>
      <c r="G565" s="160"/>
      <c r="H565" s="18"/>
    </row>
    <row r="566" spans="1:8" ht="12.75">
      <c r="A566" s="17"/>
      <c r="E566" s="18"/>
      <c r="F566" s="18"/>
      <c r="G566" s="160"/>
      <c r="H566" s="18"/>
    </row>
    <row r="567" spans="1:8" ht="12.75">
      <c r="A567" s="17"/>
      <c r="E567" s="18"/>
      <c r="F567" s="18"/>
      <c r="G567" s="160"/>
      <c r="H567" s="18"/>
    </row>
    <row r="568" spans="1:8" ht="12.75">
      <c r="A568" s="17"/>
      <c r="E568" s="18"/>
      <c r="F568" s="18"/>
      <c r="G568" s="160"/>
      <c r="H568" s="18"/>
    </row>
    <row r="569" spans="1:8" ht="12.75">
      <c r="A569" s="17"/>
      <c r="E569" s="18"/>
      <c r="F569" s="18"/>
      <c r="G569" s="160"/>
      <c r="H569" s="18"/>
    </row>
    <row r="570" spans="1:8" ht="12.75">
      <c r="A570" s="17"/>
      <c r="E570" s="18"/>
      <c r="F570" s="18"/>
      <c r="G570" s="160"/>
      <c r="H570" s="18"/>
    </row>
    <row r="571" spans="1:8" ht="12.75">
      <c r="A571" s="17"/>
      <c r="E571" s="18"/>
      <c r="F571" s="18"/>
      <c r="G571" s="160"/>
      <c r="H571" s="18"/>
    </row>
    <row r="572" spans="1:8" ht="12.75">
      <c r="A572" s="17"/>
      <c r="E572" s="18"/>
      <c r="F572" s="18"/>
      <c r="G572" s="160"/>
      <c r="H572" s="18"/>
    </row>
    <row r="573" spans="1:8" ht="12.75">
      <c r="A573" s="17"/>
      <c r="E573" s="18"/>
      <c r="F573" s="18"/>
      <c r="G573" s="160"/>
      <c r="H573" s="18"/>
    </row>
    <row r="574" spans="1:8" ht="12.75">
      <c r="A574" s="17"/>
      <c r="E574" s="18"/>
      <c r="F574" s="18"/>
      <c r="G574" s="160"/>
      <c r="H574" s="18"/>
    </row>
    <row r="575" spans="1:8" ht="12.75">
      <c r="A575" s="17"/>
      <c r="E575" s="18"/>
      <c r="F575" s="18"/>
      <c r="G575" s="160"/>
      <c r="H575" s="18"/>
    </row>
    <row r="576" spans="1:8" ht="12.75">
      <c r="A576" s="17"/>
      <c r="E576" s="18"/>
      <c r="F576" s="18"/>
      <c r="G576" s="160"/>
      <c r="H576" s="18"/>
    </row>
    <row r="577" spans="1:8" ht="12.75">
      <c r="A577" s="17"/>
      <c r="E577" s="18"/>
      <c r="F577" s="18"/>
      <c r="G577" s="160"/>
      <c r="H577" s="18"/>
    </row>
    <row r="578" spans="1:8" ht="12.75">
      <c r="A578" s="17"/>
      <c r="E578" s="18"/>
      <c r="F578" s="18"/>
      <c r="G578" s="160"/>
      <c r="H578" s="18"/>
    </row>
    <row r="579" spans="1:8" ht="12.75">
      <c r="A579" s="17"/>
      <c r="E579" s="18"/>
      <c r="F579" s="18"/>
      <c r="G579" s="160"/>
      <c r="H579" s="18"/>
    </row>
    <row r="580" spans="1:8" ht="12.75">
      <c r="A580" s="17"/>
      <c r="E580" s="18"/>
      <c r="F580" s="18"/>
      <c r="G580" s="160"/>
      <c r="H580" s="18"/>
    </row>
    <row r="581" spans="1:8" ht="12.75">
      <c r="A581" s="17"/>
      <c r="E581" s="18"/>
      <c r="F581" s="18"/>
      <c r="G581" s="160"/>
      <c r="H581" s="18"/>
    </row>
    <row r="582" spans="1:8" ht="12.75">
      <c r="A582" s="17"/>
      <c r="E582" s="18"/>
      <c r="F582" s="18"/>
      <c r="G582" s="160"/>
      <c r="H582" s="18"/>
    </row>
    <row r="583" spans="1:8" ht="12.75">
      <c r="A583" s="17"/>
      <c r="E583" s="18"/>
      <c r="F583" s="18"/>
      <c r="G583" s="160"/>
      <c r="H583" s="18"/>
    </row>
    <row r="584" spans="1:8" ht="12.75">
      <c r="A584" s="17"/>
      <c r="E584" s="18"/>
      <c r="F584" s="18"/>
      <c r="G584" s="160"/>
      <c r="H584" s="18"/>
    </row>
    <row r="585" spans="1:8" ht="12.75">
      <c r="A585" s="17"/>
      <c r="E585" s="18"/>
      <c r="F585" s="18"/>
      <c r="G585" s="160"/>
      <c r="H585" s="18"/>
    </row>
    <row r="586" spans="1:8" ht="12.75">
      <c r="A586" s="17"/>
      <c r="E586" s="18"/>
      <c r="F586" s="18"/>
      <c r="G586" s="160"/>
      <c r="H586" s="18"/>
    </row>
    <row r="587" spans="1:8" ht="12.75">
      <c r="A587" s="17"/>
      <c r="E587" s="18"/>
      <c r="F587" s="18"/>
      <c r="G587" s="160"/>
      <c r="H587" s="18"/>
    </row>
    <row r="588" spans="1:8" ht="12.75">
      <c r="A588" s="17"/>
      <c r="E588" s="18"/>
      <c r="F588" s="18"/>
      <c r="G588" s="160"/>
      <c r="H588" s="18"/>
    </row>
    <row r="589" spans="1:8" ht="12.75">
      <c r="A589" s="17"/>
      <c r="E589" s="18"/>
      <c r="F589" s="18"/>
      <c r="G589" s="160"/>
      <c r="H589" s="18"/>
    </row>
    <row r="590" spans="1:8" ht="12.75">
      <c r="A590" s="17"/>
      <c r="E590" s="18"/>
      <c r="F590" s="18"/>
      <c r="G590" s="160"/>
      <c r="H590" s="18"/>
    </row>
    <row r="591" spans="1:8" ht="12.75">
      <c r="A591" s="17"/>
      <c r="E591" s="18"/>
      <c r="F591" s="18"/>
      <c r="G591" s="160"/>
      <c r="H591" s="18"/>
    </row>
    <row r="592" spans="1:8" ht="12.75">
      <c r="A592" s="17"/>
      <c r="E592" s="18"/>
      <c r="F592" s="18"/>
      <c r="G592" s="160"/>
      <c r="H592" s="18"/>
    </row>
    <row r="593" spans="1:8" ht="12.75">
      <c r="A593" s="17"/>
      <c r="E593" s="18"/>
      <c r="F593" s="18"/>
      <c r="G593" s="160"/>
      <c r="H593" s="18"/>
    </row>
    <row r="594" spans="1:8" ht="12.75">
      <c r="A594" s="17"/>
      <c r="E594" s="18"/>
      <c r="F594" s="18"/>
      <c r="G594" s="160"/>
      <c r="H594" s="18"/>
    </row>
    <row r="595" spans="1:8" ht="12.75">
      <c r="A595" s="17"/>
      <c r="E595" s="18"/>
      <c r="F595" s="18"/>
      <c r="G595" s="160"/>
      <c r="H595" s="18"/>
    </row>
    <row r="596" spans="1:8" ht="12.75">
      <c r="A596" s="17"/>
      <c r="E596" s="18"/>
      <c r="F596" s="18"/>
      <c r="G596" s="160"/>
      <c r="H596" s="18"/>
    </row>
    <row r="597" spans="1:8" ht="12.75">
      <c r="A597" s="17"/>
      <c r="E597" s="18"/>
      <c r="F597" s="18"/>
      <c r="G597" s="160"/>
      <c r="H597" s="18"/>
    </row>
    <row r="598" spans="1:8" ht="12.75">
      <c r="A598" s="17"/>
      <c r="E598" s="18"/>
      <c r="F598" s="18"/>
      <c r="G598" s="160"/>
      <c r="H598" s="18"/>
    </row>
    <row r="599" spans="1:8" ht="12.75">
      <c r="A599" s="17"/>
      <c r="E599" s="18"/>
      <c r="F599" s="18"/>
      <c r="G599" s="160"/>
      <c r="H599" s="18"/>
    </row>
    <row r="600" spans="1:8" ht="12.75">
      <c r="A600" s="17"/>
      <c r="E600" s="18"/>
      <c r="F600" s="18"/>
      <c r="G600" s="160"/>
      <c r="H600" s="18"/>
    </row>
    <row r="601" spans="1:8" ht="12.75">
      <c r="A601" s="17"/>
      <c r="E601" s="18"/>
      <c r="F601" s="18"/>
      <c r="G601" s="160"/>
      <c r="H601" s="18"/>
    </row>
    <row r="602" spans="1:8" ht="12.75">
      <c r="A602" s="17"/>
      <c r="E602" s="18"/>
      <c r="F602" s="18"/>
      <c r="G602" s="160"/>
      <c r="H602" s="18"/>
    </row>
    <row r="603" spans="1:8" ht="12.75">
      <c r="A603" s="17"/>
      <c r="E603" s="18"/>
      <c r="F603" s="18"/>
      <c r="G603" s="160"/>
      <c r="H603" s="18"/>
    </row>
    <row r="604" spans="1:8" ht="12.75">
      <c r="A604" s="17"/>
      <c r="E604" s="18"/>
      <c r="F604" s="18"/>
      <c r="G604" s="160"/>
      <c r="H604" s="18"/>
    </row>
    <row r="605" spans="1:8" ht="12.75">
      <c r="A605" s="17"/>
      <c r="E605" s="18"/>
      <c r="F605" s="18"/>
      <c r="G605" s="160"/>
      <c r="H605" s="18"/>
    </row>
    <row r="606" spans="1:8" ht="12.75">
      <c r="A606" s="17"/>
      <c r="E606" s="18"/>
      <c r="F606" s="18"/>
      <c r="G606" s="160"/>
      <c r="H606" s="18"/>
    </row>
    <row r="607" spans="1:8" ht="12.75">
      <c r="A607" s="17"/>
      <c r="E607" s="18"/>
      <c r="F607" s="18"/>
      <c r="G607" s="160"/>
      <c r="H607" s="18"/>
    </row>
    <row r="608" spans="1:8" ht="12.75">
      <c r="A608" s="17"/>
      <c r="E608" s="18"/>
      <c r="F608" s="18"/>
      <c r="G608" s="160"/>
      <c r="H608" s="18"/>
    </row>
    <row r="609" spans="1:8" ht="12.75">
      <c r="A609" s="17"/>
      <c r="E609" s="18"/>
      <c r="F609" s="18"/>
      <c r="G609" s="160"/>
      <c r="H609" s="18"/>
    </row>
    <row r="610" spans="1:8" ht="12.75">
      <c r="A610" s="17"/>
      <c r="E610" s="18"/>
      <c r="F610" s="18"/>
      <c r="G610" s="160"/>
      <c r="H610" s="18"/>
    </row>
    <row r="611" spans="1:8" ht="12.75">
      <c r="A611" s="17"/>
      <c r="E611" s="18"/>
      <c r="F611" s="18"/>
      <c r="G611" s="160"/>
      <c r="H611" s="18"/>
    </row>
    <row r="612" spans="1:8" ht="12.75">
      <c r="A612" s="17"/>
      <c r="E612" s="18"/>
      <c r="F612" s="18"/>
      <c r="G612" s="160"/>
      <c r="H612" s="18"/>
    </row>
    <row r="613" spans="1:8" ht="12.75">
      <c r="A613" s="17"/>
      <c r="E613" s="18"/>
      <c r="F613" s="18"/>
      <c r="G613" s="160"/>
      <c r="H613" s="18"/>
    </row>
    <row r="614" spans="1:8" ht="12.75">
      <c r="A614" s="17"/>
      <c r="E614" s="18"/>
      <c r="F614" s="18"/>
      <c r="G614" s="160"/>
      <c r="H614" s="18"/>
    </row>
    <row r="615" spans="1:8" ht="12.75">
      <c r="A615" s="17"/>
      <c r="E615" s="18"/>
      <c r="F615" s="18"/>
      <c r="G615" s="160"/>
      <c r="H615" s="18"/>
    </row>
    <row r="616" spans="1:8" ht="12.75">
      <c r="A616" s="17"/>
      <c r="E616" s="18"/>
      <c r="F616" s="18"/>
      <c r="G616" s="160"/>
      <c r="H616" s="18"/>
    </row>
    <row r="617" spans="1:8" ht="12.75">
      <c r="A617" s="17"/>
      <c r="E617" s="18"/>
      <c r="F617" s="18"/>
      <c r="G617" s="160"/>
      <c r="H617" s="18"/>
    </row>
    <row r="618" spans="1:8" ht="12.75">
      <c r="A618" s="17"/>
      <c r="E618" s="18"/>
      <c r="F618" s="18"/>
      <c r="G618" s="160"/>
      <c r="H618" s="18"/>
    </row>
    <row r="619" spans="1:8" ht="12.75">
      <c r="A619" s="17"/>
      <c r="E619" s="18"/>
      <c r="F619" s="18"/>
      <c r="G619" s="160"/>
      <c r="H619" s="18"/>
    </row>
    <row r="620" spans="1:8" ht="12.75">
      <c r="A620" s="17"/>
      <c r="E620" s="18"/>
      <c r="F620" s="18"/>
      <c r="G620" s="160"/>
      <c r="H620" s="18"/>
    </row>
    <row r="621" spans="1:8" ht="12.75">
      <c r="A621" s="17"/>
      <c r="E621" s="18"/>
      <c r="F621" s="18"/>
      <c r="G621" s="160"/>
      <c r="H621" s="18"/>
    </row>
    <row r="622" spans="1:8" ht="12.75">
      <c r="A622" s="17"/>
      <c r="E622" s="18"/>
      <c r="F622" s="18"/>
      <c r="G622" s="160"/>
      <c r="H622" s="18"/>
    </row>
    <row r="623" spans="1:8" ht="12.75">
      <c r="A623" s="17"/>
      <c r="E623" s="18"/>
      <c r="F623" s="18"/>
      <c r="G623" s="160"/>
      <c r="H623" s="18"/>
    </row>
    <row r="624" spans="1:8" ht="12.75">
      <c r="A624" s="17"/>
      <c r="E624" s="18"/>
      <c r="F624" s="18"/>
      <c r="G624" s="160"/>
      <c r="H624" s="18"/>
    </row>
    <row r="625" spans="1:8" ht="12.75">
      <c r="A625" s="17"/>
      <c r="E625" s="18"/>
      <c r="F625" s="18"/>
      <c r="G625" s="160"/>
      <c r="H625" s="18"/>
    </row>
    <row r="626" spans="1:8" ht="12.75">
      <c r="A626" s="17"/>
      <c r="E626" s="18"/>
      <c r="F626" s="18"/>
      <c r="G626" s="160"/>
      <c r="H626" s="18"/>
    </row>
    <row r="627" spans="1:8" ht="12.75">
      <c r="A627" s="17"/>
      <c r="E627" s="18"/>
      <c r="F627" s="18"/>
      <c r="G627" s="160"/>
      <c r="H627" s="18"/>
    </row>
    <row r="628" spans="1:8" ht="12.75">
      <c r="A628" s="17"/>
      <c r="E628" s="18"/>
      <c r="F628" s="18"/>
      <c r="G628" s="160"/>
      <c r="H628" s="18"/>
    </row>
    <row r="629" spans="1:8" ht="12.75">
      <c r="A629" s="17"/>
      <c r="E629" s="18"/>
      <c r="F629" s="18"/>
      <c r="G629" s="160"/>
      <c r="H629" s="18"/>
    </row>
    <row r="630" spans="1:8" ht="12.75">
      <c r="A630" s="17"/>
      <c r="E630" s="18"/>
      <c r="F630" s="18"/>
      <c r="G630" s="160"/>
      <c r="H630" s="18"/>
    </row>
    <row r="631" spans="1:8" ht="12.75">
      <c r="A631" s="17"/>
      <c r="E631" s="18"/>
      <c r="F631" s="18"/>
      <c r="G631" s="160"/>
      <c r="H631" s="18"/>
    </row>
    <row r="632" spans="1:8" ht="12.75">
      <c r="A632" s="17"/>
      <c r="E632" s="18"/>
      <c r="F632" s="18"/>
      <c r="G632" s="160"/>
      <c r="H632" s="18"/>
    </row>
    <row r="633" spans="1:8" ht="12.75">
      <c r="A633" s="17"/>
      <c r="E633" s="18"/>
      <c r="F633" s="18"/>
      <c r="G633" s="160"/>
      <c r="H633" s="18"/>
    </row>
    <row r="634" spans="1:8" ht="12.75">
      <c r="A634" s="17"/>
      <c r="E634" s="18"/>
      <c r="F634" s="18"/>
      <c r="G634" s="160"/>
      <c r="H634" s="18"/>
    </row>
    <row r="635" spans="1:8" ht="12.75">
      <c r="A635" s="17"/>
      <c r="E635" s="18"/>
      <c r="F635" s="18"/>
      <c r="G635" s="160"/>
      <c r="H635" s="18"/>
    </row>
    <row r="636" spans="1:8" ht="12.75">
      <c r="A636" s="17"/>
      <c r="E636" s="18"/>
      <c r="F636" s="18"/>
      <c r="G636" s="160"/>
      <c r="H636" s="18"/>
    </row>
    <row r="637" spans="1:8" ht="12.75">
      <c r="A637" s="17"/>
      <c r="E637" s="18"/>
      <c r="F637" s="18"/>
      <c r="G637" s="160"/>
      <c r="H637" s="18"/>
    </row>
    <row r="638" spans="1:8" ht="12.75">
      <c r="A638" s="17"/>
      <c r="E638" s="18"/>
      <c r="F638" s="18"/>
      <c r="G638" s="160"/>
      <c r="H638" s="18"/>
    </row>
    <row r="639" spans="1:8" ht="12.75">
      <c r="A639" s="17"/>
      <c r="E639" s="18"/>
      <c r="F639" s="18"/>
      <c r="G639" s="160"/>
      <c r="H639" s="18"/>
    </row>
    <row r="640" spans="1:8" ht="12.75">
      <c r="A640" s="17"/>
      <c r="E640" s="18"/>
      <c r="F640" s="18"/>
      <c r="G640" s="160"/>
      <c r="H640" s="18"/>
    </row>
    <row r="641" spans="1:8" ht="12.75">
      <c r="A641" s="17"/>
      <c r="E641" s="18"/>
      <c r="F641" s="18"/>
      <c r="G641" s="160"/>
      <c r="H641" s="18"/>
    </row>
    <row r="642" spans="1:8" ht="12.75">
      <c r="A642" s="17"/>
      <c r="E642" s="18"/>
      <c r="F642" s="18"/>
      <c r="G642" s="160"/>
      <c r="H642" s="18"/>
    </row>
    <row r="643" spans="1:8" ht="12.75">
      <c r="A643" s="17"/>
      <c r="E643" s="18"/>
      <c r="F643" s="18"/>
      <c r="G643" s="160"/>
      <c r="H643" s="18"/>
    </row>
    <row r="644" spans="1:8" ht="12.75">
      <c r="A644" s="17"/>
      <c r="E644" s="18"/>
      <c r="F644" s="18"/>
      <c r="G644" s="160"/>
      <c r="H644" s="18"/>
    </row>
    <row r="645" spans="1:8" ht="12.75">
      <c r="A645" s="17"/>
      <c r="E645" s="18"/>
      <c r="F645" s="18"/>
      <c r="G645" s="160"/>
      <c r="H645" s="18"/>
    </row>
    <row r="646" spans="1:8" ht="12.75">
      <c r="A646" s="17"/>
      <c r="E646" s="18"/>
      <c r="F646" s="18"/>
      <c r="G646" s="160"/>
      <c r="H646" s="18"/>
    </row>
    <row r="647" spans="1:8" ht="12.75">
      <c r="A647" s="17"/>
      <c r="E647" s="18"/>
      <c r="F647" s="18"/>
      <c r="G647" s="160"/>
      <c r="H647" s="18"/>
    </row>
    <row r="648" spans="1:8" ht="12.75">
      <c r="A648" s="17"/>
      <c r="E648" s="18"/>
      <c r="F648" s="18"/>
      <c r="G648" s="160"/>
      <c r="H648" s="18"/>
    </row>
    <row r="649" spans="1:8" ht="12.75">
      <c r="A649" s="17"/>
      <c r="E649" s="18"/>
      <c r="F649" s="18"/>
      <c r="G649" s="160"/>
      <c r="H649" s="18"/>
    </row>
    <row r="650" spans="1:8" ht="12.75">
      <c r="A650" s="17"/>
      <c r="E650" s="18"/>
      <c r="F650" s="18"/>
      <c r="G650" s="160"/>
      <c r="H650" s="18"/>
    </row>
    <row r="651" spans="1:8" ht="12.75">
      <c r="A651" s="17"/>
      <c r="E651" s="18"/>
      <c r="F651" s="18"/>
      <c r="G651" s="160"/>
      <c r="H651" s="18"/>
    </row>
    <row r="652" spans="1:8" ht="12.75">
      <c r="A652" s="17"/>
      <c r="E652" s="18"/>
      <c r="F652" s="18"/>
      <c r="G652" s="160"/>
      <c r="H652" s="18"/>
    </row>
    <row r="653" spans="1:8" ht="12.75">
      <c r="A653" s="17"/>
      <c r="E653" s="18"/>
      <c r="F653" s="18"/>
      <c r="G653" s="160"/>
      <c r="H653" s="18"/>
    </row>
    <row r="654" spans="1:8" ht="12.75">
      <c r="A654" s="17"/>
      <c r="E654" s="18"/>
      <c r="F654" s="18"/>
      <c r="G654" s="160"/>
      <c r="H654" s="18"/>
    </row>
    <row r="655" spans="1:8" ht="12.75">
      <c r="A655" s="17"/>
      <c r="E655" s="18"/>
      <c r="F655" s="18"/>
      <c r="G655" s="160"/>
      <c r="H655" s="18"/>
    </row>
    <row r="656" spans="1:8" ht="12.75">
      <c r="A656" s="17"/>
      <c r="E656" s="18"/>
      <c r="F656" s="18"/>
      <c r="G656" s="160"/>
      <c r="H656" s="18"/>
    </row>
    <row r="657" spans="1:8" ht="12.75">
      <c r="A657" s="17"/>
      <c r="E657" s="18"/>
      <c r="F657" s="18"/>
      <c r="G657" s="160"/>
      <c r="H657" s="18"/>
    </row>
    <row r="658" spans="1:8" ht="12.75">
      <c r="A658" s="17"/>
      <c r="E658" s="18"/>
      <c r="F658" s="18"/>
      <c r="G658" s="160"/>
      <c r="H658" s="18"/>
    </row>
    <row r="659" spans="1:8" ht="12.75">
      <c r="A659" s="17"/>
      <c r="E659" s="18"/>
      <c r="F659" s="18"/>
      <c r="G659" s="160"/>
      <c r="H659" s="18"/>
    </row>
    <row r="660" spans="1:8" ht="12.75">
      <c r="A660" s="17"/>
      <c r="E660" s="18"/>
      <c r="F660" s="18"/>
      <c r="G660" s="160"/>
      <c r="H660" s="18"/>
    </row>
    <row r="661" spans="1:8" ht="12.75">
      <c r="A661" s="17"/>
      <c r="E661" s="18"/>
      <c r="F661" s="18"/>
      <c r="G661" s="160"/>
      <c r="H661" s="18"/>
    </row>
    <row r="662" spans="1:8" ht="12.75">
      <c r="A662" s="17"/>
      <c r="E662" s="18"/>
      <c r="F662" s="18"/>
      <c r="G662" s="160"/>
      <c r="H662" s="18"/>
    </row>
    <row r="663" spans="1:8" ht="12.75">
      <c r="A663" s="17"/>
      <c r="E663" s="18"/>
      <c r="F663" s="18"/>
      <c r="G663" s="160"/>
      <c r="H663" s="18"/>
    </row>
    <row r="664" spans="1:8" ht="12.75">
      <c r="A664" s="17"/>
      <c r="E664" s="18"/>
      <c r="F664" s="18"/>
      <c r="G664" s="160"/>
      <c r="H664" s="18"/>
    </row>
    <row r="665" spans="1:8" ht="12.75">
      <c r="A665" s="17"/>
      <c r="E665" s="18"/>
      <c r="F665" s="18"/>
      <c r="G665" s="160"/>
      <c r="H665" s="18"/>
    </row>
    <row r="666" spans="1:8" ht="12.75">
      <c r="A666" s="17"/>
      <c r="E666" s="18"/>
      <c r="F666" s="18"/>
      <c r="G666" s="160"/>
      <c r="H666" s="18"/>
    </row>
    <row r="667" spans="1:8" ht="12.75">
      <c r="A667" s="17"/>
      <c r="E667" s="18"/>
      <c r="F667" s="18"/>
      <c r="G667" s="160"/>
      <c r="H667" s="18"/>
    </row>
    <row r="668" spans="1:8" ht="12.75">
      <c r="A668" s="17"/>
      <c r="E668" s="18"/>
      <c r="F668" s="18"/>
      <c r="G668" s="160"/>
      <c r="H668" s="18"/>
    </row>
    <row r="669" spans="1:8" ht="12.75">
      <c r="A669" s="17"/>
      <c r="E669" s="18"/>
      <c r="F669" s="18"/>
      <c r="G669" s="160"/>
      <c r="H669" s="18"/>
    </row>
    <row r="670" spans="1:8" ht="12.75">
      <c r="A670" s="17"/>
      <c r="E670" s="18"/>
      <c r="F670" s="18"/>
      <c r="G670" s="160"/>
      <c r="H670" s="18"/>
    </row>
    <row r="671" spans="1:8" ht="12.75">
      <c r="A671" s="17"/>
      <c r="E671" s="18"/>
      <c r="F671" s="18"/>
      <c r="G671" s="160"/>
      <c r="H671" s="18"/>
    </row>
    <row r="672" spans="1:8" ht="12.75">
      <c r="A672" s="17"/>
      <c r="E672" s="18"/>
      <c r="F672" s="18"/>
      <c r="G672" s="160"/>
      <c r="H672" s="18"/>
    </row>
    <row r="673" spans="1:8" ht="12.75">
      <c r="A673" s="17"/>
      <c r="E673" s="18"/>
      <c r="F673" s="18"/>
      <c r="G673" s="160"/>
      <c r="H673" s="18"/>
    </row>
    <row r="674" spans="1:8" ht="12.75">
      <c r="A674" s="17"/>
      <c r="E674" s="18"/>
      <c r="F674" s="18"/>
      <c r="G674" s="160"/>
      <c r="H674" s="18"/>
    </row>
    <row r="675" spans="1:8" ht="12.75">
      <c r="A675" s="17"/>
      <c r="E675" s="18"/>
      <c r="F675" s="18"/>
      <c r="G675" s="160"/>
      <c r="H675" s="18"/>
    </row>
    <row r="676" spans="1:8" ht="12.75">
      <c r="A676" s="17"/>
      <c r="E676" s="18"/>
      <c r="F676" s="18"/>
      <c r="G676" s="160"/>
      <c r="H676" s="18"/>
    </row>
    <row r="677" spans="1:8" ht="12.75">
      <c r="A677" s="17"/>
      <c r="E677" s="18"/>
      <c r="F677" s="18"/>
      <c r="G677" s="160"/>
      <c r="H677" s="18"/>
    </row>
    <row r="678" spans="1:8" ht="12.75">
      <c r="A678" s="17"/>
      <c r="E678" s="18"/>
      <c r="F678" s="18"/>
      <c r="G678" s="160"/>
      <c r="H678" s="18"/>
    </row>
    <row r="679" spans="1:8" ht="12.75">
      <c r="A679" s="17"/>
      <c r="E679" s="18"/>
      <c r="F679" s="18"/>
      <c r="G679" s="160"/>
      <c r="H679" s="18"/>
    </row>
    <row r="680" spans="1:8" ht="12.75">
      <c r="A680" s="17"/>
      <c r="E680" s="18"/>
      <c r="F680" s="18"/>
      <c r="G680" s="160"/>
      <c r="H680" s="18"/>
    </row>
    <row r="681" spans="1:8" ht="12.75">
      <c r="A681" s="17"/>
      <c r="E681" s="18"/>
      <c r="F681" s="18"/>
      <c r="G681" s="160"/>
      <c r="H681" s="18"/>
    </row>
    <row r="682" spans="1:8" ht="12.75">
      <c r="A682" s="17"/>
      <c r="E682" s="18"/>
      <c r="F682" s="18"/>
      <c r="G682" s="160"/>
      <c r="H682" s="18"/>
    </row>
    <row r="683" spans="1:8" ht="12.75">
      <c r="A683" s="17"/>
      <c r="E683" s="18"/>
      <c r="F683" s="18"/>
      <c r="G683" s="160"/>
      <c r="H683" s="18"/>
    </row>
    <row r="684" spans="1:8" ht="12.75">
      <c r="A684" s="17"/>
      <c r="E684" s="18"/>
      <c r="F684" s="18"/>
      <c r="G684" s="160"/>
      <c r="H684" s="18"/>
    </row>
    <row r="685" spans="1:8" ht="12.75">
      <c r="A685" s="17"/>
      <c r="E685" s="18"/>
      <c r="F685" s="18"/>
      <c r="G685" s="160"/>
      <c r="H685" s="18"/>
    </row>
    <row r="686" spans="1:8" ht="12.75">
      <c r="A686" s="17"/>
      <c r="E686" s="18"/>
      <c r="F686" s="18"/>
      <c r="G686" s="160"/>
      <c r="H686" s="18"/>
    </row>
    <row r="687" spans="1:8" ht="12.75">
      <c r="A687" s="17"/>
      <c r="E687" s="18"/>
      <c r="F687" s="18"/>
      <c r="G687" s="160"/>
      <c r="H687" s="18"/>
    </row>
    <row r="688" spans="1:8" ht="12.75">
      <c r="A688" s="17"/>
      <c r="E688" s="18"/>
      <c r="F688" s="18"/>
      <c r="G688" s="160"/>
      <c r="H688" s="18"/>
    </row>
    <row r="689" spans="1:8" ht="12.75">
      <c r="A689" s="17"/>
      <c r="E689" s="18"/>
      <c r="F689" s="18"/>
      <c r="G689" s="160"/>
      <c r="H689" s="18"/>
    </row>
    <row r="690" spans="1:8" ht="12.75">
      <c r="A690" s="17"/>
      <c r="E690" s="18"/>
      <c r="F690" s="18"/>
      <c r="G690" s="160"/>
      <c r="H690" s="18"/>
    </row>
    <row r="691" spans="1:8" ht="12.75">
      <c r="A691" s="17"/>
      <c r="E691" s="18"/>
      <c r="F691" s="18"/>
      <c r="G691" s="160"/>
      <c r="H691" s="18"/>
    </row>
    <row r="692" spans="1:8" ht="12.75">
      <c r="A692" s="17"/>
      <c r="E692" s="18"/>
      <c r="F692" s="18"/>
      <c r="G692" s="160"/>
      <c r="H692" s="18"/>
    </row>
    <row r="693" spans="1:8" ht="12.75">
      <c r="A693" s="17"/>
      <c r="E693" s="18"/>
      <c r="F693" s="18"/>
      <c r="G693" s="160"/>
      <c r="H693" s="18"/>
    </row>
    <row r="694" spans="1:8" ht="12.75">
      <c r="A694" s="17"/>
      <c r="E694" s="18"/>
      <c r="F694" s="18"/>
      <c r="G694" s="160"/>
      <c r="H694" s="18"/>
    </row>
    <row r="695" spans="1:8" ht="12.75">
      <c r="A695" s="17"/>
      <c r="E695" s="18"/>
      <c r="F695" s="18"/>
      <c r="G695" s="160"/>
      <c r="H695" s="18"/>
    </row>
    <row r="696" spans="1:8" ht="12.75">
      <c r="A696" s="17"/>
      <c r="E696" s="18"/>
      <c r="F696" s="18"/>
      <c r="G696" s="160"/>
      <c r="H696" s="18"/>
    </row>
    <row r="697" spans="1:8" ht="12.75">
      <c r="A697" s="17"/>
      <c r="E697" s="18"/>
      <c r="F697" s="18"/>
      <c r="G697" s="160"/>
      <c r="H697" s="18"/>
    </row>
    <row r="698" spans="1:8" ht="12.75">
      <c r="A698" s="17"/>
      <c r="E698" s="18"/>
      <c r="F698" s="18"/>
      <c r="G698" s="160"/>
      <c r="H698" s="18"/>
    </row>
    <row r="699" spans="1:8" ht="12.75">
      <c r="A699" s="17"/>
      <c r="E699" s="18"/>
      <c r="F699" s="18"/>
      <c r="G699" s="160"/>
      <c r="H699" s="18"/>
    </row>
    <row r="700" spans="1:8" ht="12.75">
      <c r="A700" s="17"/>
      <c r="E700" s="18"/>
      <c r="F700" s="18"/>
      <c r="G700" s="160"/>
      <c r="H700" s="18"/>
    </row>
    <row r="701" spans="1:8" ht="12.75">
      <c r="A701" s="17"/>
      <c r="E701" s="18"/>
      <c r="F701" s="18"/>
      <c r="G701" s="160"/>
      <c r="H701" s="18"/>
    </row>
    <row r="702" spans="1:8" ht="12.75">
      <c r="A702" s="17"/>
      <c r="E702" s="18"/>
      <c r="F702" s="18"/>
      <c r="G702" s="160"/>
      <c r="H702" s="18"/>
    </row>
    <row r="703" spans="1:8" ht="12.75">
      <c r="A703" s="17"/>
      <c r="E703" s="18"/>
      <c r="F703" s="18"/>
      <c r="G703" s="160"/>
      <c r="H703" s="18"/>
    </row>
    <row r="704" spans="1:8" ht="12.75">
      <c r="A704" s="17"/>
      <c r="E704" s="18"/>
      <c r="F704" s="18"/>
      <c r="G704" s="160"/>
      <c r="H704" s="18"/>
    </row>
    <row r="705" spans="1:8" ht="12.75">
      <c r="A705" s="17"/>
      <c r="E705" s="18"/>
      <c r="F705" s="18"/>
      <c r="G705" s="160"/>
      <c r="H705" s="18"/>
    </row>
    <row r="706" spans="1:8" ht="12.75">
      <c r="A706" s="17"/>
      <c r="E706" s="18"/>
      <c r="F706" s="18"/>
      <c r="G706" s="160"/>
      <c r="H706" s="18"/>
    </row>
    <row r="707" spans="1:8" ht="12.75">
      <c r="A707" s="17"/>
      <c r="E707" s="18"/>
      <c r="F707" s="18"/>
      <c r="G707" s="160"/>
      <c r="H707" s="18"/>
    </row>
    <row r="708" spans="1:8" ht="12.75">
      <c r="A708" s="17"/>
      <c r="E708" s="18"/>
      <c r="F708" s="18"/>
      <c r="G708" s="160"/>
      <c r="H708" s="18"/>
    </row>
    <row r="709" spans="1:8" ht="12.75">
      <c r="A709" s="17"/>
      <c r="E709" s="18"/>
      <c r="F709" s="18"/>
      <c r="G709" s="160"/>
      <c r="H709" s="18"/>
    </row>
    <row r="710" spans="1:8" ht="12.75">
      <c r="A710" s="17"/>
      <c r="E710" s="18"/>
      <c r="F710" s="18"/>
      <c r="G710" s="160"/>
      <c r="H710" s="18"/>
    </row>
    <row r="711" spans="1:8" ht="12.75">
      <c r="A711" s="17"/>
      <c r="E711" s="18"/>
      <c r="F711" s="18"/>
      <c r="G711" s="160"/>
      <c r="H711" s="18"/>
    </row>
    <row r="712" spans="1:8" ht="12.75">
      <c r="A712" s="17"/>
      <c r="E712" s="18"/>
      <c r="F712" s="18"/>
      <c r="G712" s="160"/>
      <c r="H712" s="18"/>
    </row>
    <row r="713" spans="1:8" ht="12.75">
      <c r="A713" s="17"/>
      <c r="E713" s="18"/>
      <c r="F713" s="18"/>
      <c r="G713" s="160"/>
      <c r="H713" s="18"/>
    </row>
    <row r="714" spans="1:8" ht="12.75">
      <c r="A714" s="17"/>
      <c r="E714" s="18"/>
      <c r="F714" s="18"/>
      <c r="G714" s="160"/>
      <c r="H714" s="18"/>
    </row>
    <row r="715" spans="1:8" ht="12.75">
      <c r="A715" s="17"/>
      <c r="E715" s="18"/>
      <c r="F715" s="18"/>
      <c r="G715" s="160"/>
      <c r="H715" s="18"/>
    </row>
    <row r="716" spans="1:8" ht="12.75">
      <c r="A716" s="17"/>
      <c r="E716" s="18"/>
      <c r="F716" s="18"/>
      <c r="G716" s="160"/>
      <c r="H716" s="18"/>
    </row>
    <row r="717" spans="1:8" ht="12.75">
      <c r="A717" s="17"/>
      <c r="E717" s="18"/>
      <c r="F717" s="18"/>
      <c r="G717" s="160"/>
      <c r="H717" s="18"/>
    </row>
    <row r="718" spans="1:8" ht="12.75">
      <c r="A718" s="17"/>
      <c r="E718" s="18"/>
      <c r="F718" s="18"/>
      <c r="G718" s="160"/>
      <c r="H718" s="18"/>
    </row>
    <row r="719" spans="1:8" ht="12.75">
      <c r="A719" s="17"/>
      <c r="E719" s="18"/>
      <c r="F719" s="18"/>
      <c r="G719" s="160"/>
      <c r="H719" s="18"/>
    </row>
    <row r="720" spans="1:8" ht="12.75">
      <c r="A720" s="17"/>
      <c r="E720" s="18"/>
      <c r="F720" s="18"/>
      <c r="G720" s="160"/>
      <c r="H720" s="18"/>
    </row>
    <row r="721" spans="1:8" ht="12.75">
      <c r="A721" s="17"/>
      <c r="E721" s="18"/>
      <c r="F721" s="18"/>
      <c r="G721" s="160"/>
      <c r="H721" s="18"/>
    </row>
    <row r="722" spans="1:8" ht="12.75">
      <c r="A722" s="17"/>
      <c r="E722" s="18"/>
      <c r="F722" s="18"/>
      <c r="G722" s="160"/>
      <c r="H722" s="18"/>
    </row>
    <row r="723" spans="1:8" ht="12.75">
      <c r="A723" s="17"/>
      <c r="E723" s="18"/>
      <c r="F723" s="18"/>
      <c r="G723" s="160"/>
      <c r="H723" s="18"/>
    </row>
    <row r="724" spans="1:8" ht="12.75">
      <c r="A724" s="17"/>
      <c r="E724" s="18"/>
      <c r="F724" s="18"/>
      <c r="G724" s="160"/>
      <c r="H724" s="18"/>
    </row>
    <row r="725" spans="1:8" ht="12.75">
      <c r="A725" s="17"/>
      <c r="E725" s="18"/>
      <c r="F725" s="18"/>
      <c r="G725" s="160"/>
      <c r="H725" s="18"/>
    </row>
    <row r="726" spans="1:8" ht="12.75">
      <c r="A726" s="17"/>
      <c r="E726" s="18"/>
      <c r="F726" s="18"/>
      <c r="G726" s="160"/>
      <c r="H726" s="18"/>
    </row>
    <row r="727" spans="1:8" ht="12.75">
      <c r="A727" s="17"/>
      <c r="E727" s="18"/>
      <c r="F727" s="18"/>
      <c r="G727" s="160"/>
      <c r="H727" s="18"/>
    </row>
    <row r="728" spans="1:8" ht="12.75">
      <c r="A728" s="17"/>
      <c r="E728" s="18"/>
      <c r="F728" s="18"/>
      <c r="G728" s="160"/>
      <c r="H728" s="18"/>
    </row>
    <row r="729" spans="1:8" ht="12.75">
      <c r="A729" s="17"/>
      <c r="E729" s="18"/>
      <c r="F729" s="18"/>
      <c r="G729" s="160"/>
      <c r="H729" s="18"/>
    </row>
    <row r="730" spans="1:8" ht="12.75">
      <c r="A730" s="17"/>
      <c r="E730" s="18"/>
      <c r="F730" s="18"/>
      <c r="G730" s="160"/>
      <c r="H730" s="18"/>
    </row>
    <row r="731" spans="1:8" ht="12.75">
      <c r="A731" s="17"/>
      <c r="E731" s="18"/>
      <c r="F731" s="18"/>
      <c r="G731" s="160"/>
      <c r="H731" s="18"/>
    </row>
    <row r="732" spans="1:8" ht="12.75">
      <c r="A732" s="17"/>
      <c r="E732" s="18"/>
      <c r="F732" s="18"/>
      <c r="G732" s="160"/>
      <c r="H732" s="18"/>
    </row>
    <row r="733" spans="1:8" ht="12.75">
      <c r="A733" s="17"/>
      <c r="E733" s="18"/>
      <c r="F733" s="18"/>
      <c r="G733" s="160"/>
      <c r="H733" s="18"/>
    </row>
    <row r="734" spans="1:8" ht="12.75">
      <c r="A734" s="17"/>
      <c r="E734" s="18"/>
      <c r="F734" s="18"/>
      <c r="G734" s="160"/>
      <c r="H734" s="18"/>
    </row>
    <row r="735" spans="1:8" ht="12.75">
      <c r="A735" s="17"/>
      <c r="E735" s="18"/>
      <c r="F735" s="18"/>
      <c r="G735" s="160"/>
      <c r="H735" s="18"/>
    </row>
    <row r="736" spans="1:8" ht="12.75">
      <c r="A736" s="17"/>
      <c r="E736" s="18"/>
      <c r="F736" s="18"/>
      <c r="G736" s="160"/>
      <c r="H736" s="18"/>
    </row>
    <row r="737" spans="1:8" ht="12.75">
      <c r="A737" s="17"/>
      <c r="E737" s="18"/>
      <c r="F737" s="18"/>
      <c r="G737" s="160"/>
      <c r="H737" s="18"/>
    </row>
    <row r="738" spans="1:8" ht="12.75">
      <c r="A738" s="17"/>
      <c r="E738" s="18"/>
      <c r="F738" s="18"/>
      <c r="G738" s="160"/>
      <c r="H738" s="18"/>
    </row>
    <row r="739" spans="1:8" ht="12.75">
      <c r="A739" s="17"/>
      <c r="E739" s="18"/>
      <c r="F739" s="18"/>
      <c r="G739" s="160"/>
      <c r="H739" s="18"/>
    </row>
    <row r="740" spans="1:8" ht="12.75">
      <c r="A740" s="17"/>
      <c r="E740" s="18"/>
      <c r="F740" s="18"/>
      <c r="G740" s="160"/>
      <c r="H740" s="18"/>
    </row>
    <row r="741" spans="1:8" ht="12.75">
      <c r="A741" s="17"/>
      <c r="E741" s="18"/>
      <c r="F741" s="18"/>
      <c r="G741" s="160"/>
      <c r="H741" s="18"/>
    </row>
    <row r="742" spans="1:8" ht="12.75">
      <c r="A742" s="17"/>
      <c r="E742" s="18"/>
      <c r="F742" s="18"/>
      <c r="G742" s="160"/>
      <c r="H742" s="18"/>
    </row>
    <row r="743" spans="1:8" ht="12.75">
      <c r="A743" s="17"/>
      <c r="E743" s="18"/>
      <c r="F743" s="18"/>
      <c r="G743" s="160"/>
      <c r="H743" s="18"/>
    </row>
    <row r="744" spans="1:8" ht="12.75">
      <c r="A744" s="17"/>
      <c r="E744" s="18"/>
      <c r="F744" s="18"/>
      <c r="G744" s="160"/>
      <c r="H744" s="18"/>
    </row>
    <row r="745" spans="1:8" ht="12.75">
      <c r="A745" s="17"/>
      <c r="E745" s="18"/>
      <c r="F745" s="18"/>
      <c r="G745" s="160"/>
      <c r="H745" s="18"/>
    </row>
    <row r="746" spans="1:8" ht="12.75">
      <c r="A746" s="17"/>
      <c r="E746" s="18"/>
      <c r="F746" s="18"/>
      <c r="G746" s="160"/>
      <c r="H746" s="18"/>
    </row>
    <row r="747" spans="1:8" ht="12.75">
      <c r="A747" s="17"/>
      <c r="E747" s="18"/>
      <c r="F747" s="18"/>
      <c r="G747" s="160"/>
      <c r="H747" s="18"/>
    </row>
    <row r="748" spans="1:8" ht="12.75">
      <c r="A748" s="17"/>
      <c r="E748" s="18"/>
      <c r="F748" s="18"/>
      <c r="G748" s="160"/>
      <c r="H748" s="18"/>
    </row>
    <row r="749" spans="1:8" ht="12.75">
      <c r="A749" s="17"/>
      <c r="E749" s="18"/>
      <c r="F749" s="18"/>
      <c r="G749" s="160"/>
      <c r="H749" s="18"/>
    </row>
    <row r="750" spans="1:8" ht="12.75">
      <c r="A750" s="17"/>
      <c r="E750" s="18"/>
      <c r="F750" s="18"/>
      <c r="G750" s="160"/>
      <c r="H750" s="18"/>
    </row>
    <row r="751" spans="1:8" ht="12.75">
      <c r="A751" s="17"/>
      <c r="E751" s="18"/>
      <c r="F751" s="18"/>
      <c r="G751" s="160"/>
      <c r="H751" s="18"/>
    </row>
    <row r="752" spans="1:8" ht="12.75">
      <c r="A752" s="17"/>
      <c r="E752" s="18"/>
      <c r="F752" s="18"/>
      <c r="G752" s="160"/>
      <c r="H752" s="18"/>
    </row>
    <row r="753" spans="1:8" ht="12.75">
      <c r="A753" s="17"/>
      <c r="E753" s="18"/>
      <c r="F753" s="18"/>
      <c r="G753" s="160"/>
      <c r="H753" s="18"/>
    </row>
    <row r="754" spans="1:8" ht="12.75">
      <c r="A754" s="17"/>
      <c r="E754" s="18"/>
      <c r="F754" s="18"/>
      <c r="G754" s="160"/>
      <c r="H754" s="18"/>
    </row>
    <row r="755" spans="1:8" ht="12.75">
      <c r="A755" s="17"/>
      <c r="E755" s="18"/>
      <c r="F755" s="18"/>
      <c r="G755" s="160"/>
      <c r="H755" s="18"/>
    </row>
    <row r="756" spans="1:8" ht="12.75">
      <c r="A756" s="17"/>
      <c r="E756" s="18"/>
      <c r="F756" s="18"/>
      <c r="G756" s="160"/>
      <c r="H756" s="18"/>
    </row>
    <row r="757" spans="1:8" ht="12.75">
      <c r="A757" s="17"/>
      <c r="E757" s="18"/>
      <c r="F757" s="18"/>
      <c r="G757" s="160"/>
      <c r="H757" s="18"/>
    </row>
    <row r="758" spans="1:8" ht="12.75">
      <c r="A758" s="17"/>
      <c r="E758" s="18"/>
      <c r="F758" s="18"/>
      <c r="G758" s="160"/>
      <c r="H758" s="18"/>
    </row>
    <row r="759" spans="1:8" ht="12.75">
      <c r="A759" s="17"/>
      <c r="E759" s="18"/>
      <c r="F759" s="18"/>
      <c r="G759" s="160"/>
      <c r="H759" s="18"/>
    </row>
    <row r="760" spans="1:8" ht="12.75">
      <c r="A760" s="17"/>
      <c r="E760" s="18"/>
      <c r="F760" s="18"/>
      <c r="G760" s="160"/>
      <c r="H760" s="18"/>
    </row>
    <row r="761" spans="1:8" ht="12.75">
      <c r="A761" s="17"/>
      <c r="E761" s="18"/>
      <c r="F761" s="18"/>
      <c r="G761" s="160"/>
      <c r="H761" s="18"/>
    </row>
    <row r="762" spans="1:8" ht="12.75">
      <c r="A762" s="17"/>
      <c r="E762" s="18"/>
      <c r="F762" s="18"/>
      <c r="G762" s="160"/>
      <c r="H762" s="18"/>
    </row>
    <row r="763" spans="1:8" ht="12.75">
      <c r="A763" s="17"/>
      <c r="E763" s="18"/>
      <c r="F763" s="18"/>
      <c r="G763" s="160"/>
      <c r="H763" s="18"/>
    </row>
    <row r="764" spans="1:8" ht="12.75">
      <c r="A764" s="17"/>
      <c r="E764" s="18"/>
      <c r="F764" s="18"/>
      <c r="G764" s="160"/>
      <c r="H764" s="18"/>
    </row>
    <row r="765" spans="1:8" ht="12.75">
      <c r="A765" s="17"/>
      <c r="E765" s="18"/>
      <c r="F765" s="18"/>
      <c r="G765" s="160"/>
      <c r="H765" s="18"/>
    </row>
    <row r="766" spans="1:8" ht="12.75">
      <c r="A766" s="17"/>
      <c r="E766" s="18"/>
      <c r="F766" s="18"/>
      <c r="G766" s="160"/>
      <c r="H766" s="18"/>
    </row>
    <row r="767" spans="1:8" ht="12.75">
      <c r="A767" s="17"/>
      <c r="E767" s="18"/>
      <c r="F767" s="18"/>
      <c r="G767" s="160"/>
      <c r="H767" s="18"/>
    </row>
    <row r="768" spans="1:8" ht="12.75">
      <c r="A768" s="17"/>
      <c r="E768" s="18"/>
      <c r="F768" s="18"/>
      <c r="G768" s="160"/>
      <c r="H768" s="18"/>
    </row>
    <row r="769" spans="1:8" ht="12.75">
      <c r="A769" s="17"/>
      <c r="E769" s="18"/>
      <c r="F769" s="18"/>
      <c r="G769" s="160"/>
      <c r="H769" s="18"/>
    </row>
    <row r="770" spans="1:8" ht="12.75">
      <c r="A770" s="17"/>
      <c r="E770" s="18"/>
      <c r="F770" s="18"/>
      <c r="G770" s="160"/>
      <c r="H770" s="18"/>
    </row>
    <row r="771" spans="1:8" ht="12.75">
      <c r="A771" s="17"/>
      <c r="E771" s="18"/>
      <c r="F771" s="18"/>
      <c r="G771" s="160"/>
      <c r="H771" s="18"/>
    </row>
    <row r="772" spans="1:8" ht="12.75">
      <c r="A772" s="17"/>
      <c r="E772" s="18"/>
      <c r="F772" s="18"/>
      <c r="G772" s="160"/>
      <c r="H772" s="18"/>
    </row>
    <row r="773" spans="1:8" ht="12.75">
      <c r="A773" s="17"/>
      <c r="E773" s="18"/>
      <c r="F773" s="18"/>
      <c r="G773" s="160"/>
      <c r="H773" s="18"/>
    </row>
    <row r="774" spans="1:8" ht="12.75">
      <c r="A774" s="17"/>
      <c r="E774" s="18"/>
      <c r="F774" s="18"/>
      <c r="G774" s="160"/>
      <c r="H774" s="18"/>
    </row>
    <row r="775" spans="1:8" ht="12.75">
      <c r="A775" s="17"/>
      <c r="E775" s="18"/>
      <c r="F775" s="18"/>
      <c r="G775" s="160"/>
      <c r="H775" s="18"/>
    </row>
    <row r="776" spans="1:8" ht="12.75">
      <c r="A776" s="17"/>
      <c r="E776" s="18"/>
      <c r="F776" s="18"/>
      <c r="G776" s="160"/>
      <c r="H776" s="18"/>
    </row>
    <row r="777" spans="1:8" ht="12.75">
      <c r="A777" s="17"/>
      <c r="E777" s="18"/>
      <c r="F777" s="18"/>
      <c r="G777" s="160"/>
      <c r="H777" s="18"/>
    </row>
    <row r="778" spans="1:8" ht="12.75">
      <c r="A778" s="17"/>
      <c r="E778" s="18"/>
      <c r="F778" s="18"/>
      <c r="G778" s="160"/>
      <c r="H778" s="18"/>
    </row>
    <row r="779" spans="1:8" ht="12.75">
      <c r="A779" s="17"/>
      <c r="E779" s="18"/>
      <c r="F779" s="18"/>
      <c r="G779" s="160"/>
      <c r="H779" s="18"/>
    </row>
    <row r="780" spans="1:8" ht="12.75">
      <c r="A780" s="17"/>
      <c r="E780" s="18"/>
      <c r="F780" s="18"/>
      <c r="G780" s="160"/>
      <c r="H780" s="18"/>
    </row>
    <row r="781" spans="1:8" ht="12.75">
      <c r="A781" s="17"/>
      <c r="E781" s="18"/>
      <c r="F781" s="18"/>
      <c r="G781" s="160"/>
      <c r="H781" s="18"/>
    </row>
    <row r="782" spans="1:8" ht="12.75">
      <c r="A782" s="17"/>
      <c r="E782" s="18"/>
      <c r="F782" s="18"/>
      <c r="G782" s="160"/>
      <c r="H782" s="18"/>
    </row>
    <row r="783" spans="1:8" ht="12.75">
      <c r="A783" s="17"/>
      <c r="E783" s="18"/>
      <c r="F783" s="18"/>
      <c r="G783" s="160"/>
      <c r="H783" s="18"/>
    </row>
    <row r="784" spans="1:8" ht="12.75">
      <c r="A784" s="17"/>
      <c r="E784" s="18"/>
      <c r="F784" s="18"/>
      <c r="G784" s="160"/>
      <c r="H784" s="18"/>
    </row>
    <row r="785" spans="1:8" ht="12.75">
      <c r="A785" s="17"/>
      <c r="E785" s="18"/>
      <c r="F785" s="18"/>
      <c r="G785" s="160"/>
      <c r="H785" s="18"/>
    </row>
    <row r="786" spans="1:8" ht="12.75">
      <c r="A786" s="17"/>
      <c r="E786" s="18"/>
      <c r="F786" s="18"/>
      <c r="G786" s="160"/>
      <c r="H786" s="18"/>
    </row>
    <row r="787" spans="1:8" ht="12.75">
      <c r="A787" s="17"/>
      <c r="E787" s="18"/>
      <c r="F787" s="18"/>
      <c r="G787" s="160"/>
      <c r="H787" s="18"/>
    </row>
    <row r="788" spans="1:8" ht="12.75">
      <c r="A788" s="17"/>
      <c r="E788" s="18"/>
      <c r="F788" s="18"/>
      <c r="G788" s="160"/>
      <c r="H788" s="18"/>
    </row>
    <row r="789" spans="1:8" ht="12.75">
      <c r="A789" s="17"/>
      <c r="E789" s="18"/>
      <c r="F789" s="18"/>
      <c r="G789" s="160"/>
      <c r="H789" s="18"/>
    </row>
    <row r="790" spans="1:8" ht="12.75">
      <c r="A790" s="17"/>
      <c r="E790" s="18"/>
      <c r="F790" s="18"/>
      <c r="G790" s="160"/>
      <c r="H790" s="18"/>
    </row>
    <row r="791" spans="1:8" ht="12.75">
      <c r="A791" s="17"/>
      <c r="E791" s="18"/>
      <c r="F791" s="18"/>
      <c r="G791" s="160"/>
      <c r="H791" s="18"/>
    </row>
    <row r="792" spans="1:8" ht="12.75">
      <c r="A792" s="17"/>
      <c r="E792" s="18"/>
      <c r="F792" s="18"/>
      <c r="G792" s="160"/>
      <c r="H792" s="18"/>
    </row>
    <row r="793" spans="1:8" ht="12.75">
      <c r="A793" s="17"/>
      <c r="E793" s="18"/>
      <c r="F793" s="18"/>
      <c r="G793" s="160"/>
      <c r="H793" s="18"/>
    </row>
    <row r="794" spans="1:8" ht="12.75">
      <c r="A794" s="17"/>
      <c r="E794" s="18"/>
      <c r="F794" s="18"/>
      <c r="G794" s="160"/>
      <c r="H794" s="18"/>
    </row>
    <row r="795" spans="1:8" ht="12.75">
      <c r="A795" s="17"/>
      <c r="E795" s="18"/>
      <c r="F795" s="18"/>
      <c r="G795" s="160"/>
      <c r="H795" s="18"/>
    </row>
    <row r="796" spans="1:8" ht="12.75">
      <c r="A796" s="17"/>
      <c r="E796" s="18"/>
      <c r="F796" s="18"/>
      <c r="G796" s="160"/>
      <c r="H796" s="18"/>
    </row>
    <row r="797" spans="1:8" ht="12.75">
      <c r="A797" s="17"/>
      <c r="E797" s="18"/>
      <c r="F797" s="18"/>
      <c r="G797" s="160"/>
      <c r="H797" s="18"/>
    </row>
    <row r="798" spans="1:8" ht="12.75">
      <c r="A798" s="17"/>
      <c r="E798" s="18"/>
      <c r="F798" s="18"/>
      <c r="G798" s="160"/>
      <c r="H798" s="18"/>
    </row>
    <row r="799" spans="1:8" ht="12.75">
      <c r="A799" s="17"/>
      <c r="E799" s="18"/>
      <c r="F799" s="18"/>
      <c r="G799" s="160"/>
      <c r="H799" s="18"/>
    </row>
    <row r="800" spans="1:8" ht="12.75">
      <c r="A800" s="17"/>
      <c r="E800" s="18"/>
      <c r="F800" s="18"/>
      <c r="G800" s="160"/>
      <c r="H800" s="18"/>
    </row>
    <row r="801" spans="1:8" ht="12.75">
      <c r="A801" s="17"/>
      <c r="E801" s="18"/>
      <c r="F801" s="18"/>
      <c r="G801" s="160"/>
      <c r="H801" s="18"/>
    </row>
    <row r="802" spans="1:8" ht="12.75">
      <c r="A802" s="17"/>
      <c r="E802" s="18"/>
      <c r="F802" s="18"/>
      <c r="G802" s="160"/>
      <c r="H802" s="18"/>
    </row>
    <row r="803" spans="1:8" ht="12.75">
      <c r="A803" s="17"/>
      <c r="E803" s="18"/>
      <c r="F803" s="18"/>
      <c r="G803" s="160"/>
      <c r="H803" s="18"/>
    </row>
    <row r="804" spans="1:8" ht="12.75">
      <c r="A804" s="17"/>
      <c r="E804" s="18"/>
      <c r="F804" s="18"/>
      <c r="G804" s="160"/>
      <c r="H804" s="18"/>
    </row>
    <row r="805" spans="1:8" ht="12.75">
      <c r="A805" s="17"/>
      <c r="E805" s="18"/>
      <c r="F805" s="18"/>
      <c r="G805" s="160"/>
      <c r="H805" s="18"/>
    </row>
    <row r="806" spans="1:8" ht="12.75">
      <c r="A806" s="17"/>
      <c r="E806" s="18"/>
      <c r="F806" s="18"/>
      <c r="G806" s="160"/>
      <c r="H806" s="18"/>
    </row>
    <row r="807" spans="1:8" ht="12.75">
      <c r="A807" s="17"/>
      <c r="E807" s="18"/>
      <c r="F807" s="18"/>
      <c r="G807" s="160"/>
      <c r="H807" s="18"/>
    </row>
    <row r="808" spans="1:8" ht="12.75">
      <c r="A808" s="17"/>
      <c r="E808" s="18"/>
      <c r="F808" s="18"/>
      <c r="G808" s="160"/>
      <c r="H808" s="18"/>
    </row>
    <row r="809" spans="1:8" ht="12.75">
      <c r="A809" s="17"/>
      <c r="E809" s="18"/>
      <c r="F809" s="18"/>
      <c r="G809" s="160"/>
      <c r="H809" s="18"/>
    </row>
    <row r="810" spans="1:8" ht="12.75">
      <c r="A810" s="17"/>
      <c r="E810" s="18"/>
      <c r="F810" s="18"/>
      <c r="G810" s="160"/>
      <c r="H810" s="18"/>
    </row>
    <row r="811" spans="1:8" ht="12.75">
      <c r="A811" s="17"/>
      <c r="E811" s="18"/>
      <c r="F811" s="18"/>
      <c r="G811" s="160"/>
      <c r="H811" s="18"/>
    </row>
    <row r="812" spans="1:8" ht="12.75">
      <c r="A812" s="17"/>
      <c r="E812" s="18"/>
      <c r="F812" s="18"/>
      <c r="G812" s="160"/>
      <c r="H812" s="18"/>
    </row>
    <row r="813" spans="1:8" ht="12.75">
      <c r="A813" s="17"/>
      <c r="E813" s="18"/>
      <c r="F813" s="18"/>
      <c r="G813" s="160"/>
      <c r="H813" s="18"/>
    </row>
    <row r="814" spans="1:8" ht="12.75">
      <c r="A814" s="17"/>
      <c r="E814" s="18"/>
      <c r="F814" s="18"/>
      <c r="G814" s="160"/>
      <c r="H814" s="18"/>
    </row>
    <row r="815" spans="1:8" ht="12.75">
      <c r="A815" s="17"/>
      <c r="E815" s="18"/>
      <c r="F815" s="18"/>
      <c r="G815" s="160"/>
      <c r="H815" s="18"/>
    </row>
    <row r="816" spans="1:8" ht="12.75">
      <c r="A816" s="17"/>
      <c r="E816" s="18"/>
      <c r="F816" s="18"/>
      <c r="G816" s="160"/>
      <c r="H816" s="18"/>
    </row>
    <row r="817" spans="1:8" ht="12.75">
      <c r="A817" s="17"/>
      <c r="E817" s="18"/>
      <c r="F817" s="18"/>
      <c r="G817" s="160"/>
      <c r="H817" s="18"/>
    </row>
    <row r="818" spans="1:8" ht="12.75">
      <c r="A818" s="17"/>
      <c r="E818" s="18"/>
      <c r="F818" s="18"/>
      <c r="G818" s="160"/>
      <c r="H818" s="18"/>
    </row>
    <row r="819" spans="1:8" ht="12.75">
      <c r="A819" s="17"/>
      <c r="E819" s="18"/>
      <c r="F819" s="18"/>
      <c r="G819" s="160"/>
      <c r="H819" s="18"/>
    </row>
    <row r="820" spans="1:8" ht="12.75">
      <c r="A820" s="17"/>
      <c r="E820" s="18"/>
      <c r="F820" s="18"/>
      <c r="G820" s="160"/>
      <c r="H820" s="18"/>
    </row>
    <row r="821" spans="1:8" ht="12.75">
      <c r="A821" s="17"/>
      <c r="E821" s="18"/>
      <c r="F821" s="18"/>
      <c r="G821" s="160"/>
      <c r="H821" s="18"/>
    </row>
    <row r="822" spans="1:8" ht="12.75">
      <c r="A822" s="17"/>
      <c r="E822" s="18"/>
      <c r="F822" s="18"/>
      <c r="G822" s="160"/>
      <c r="H822" s="18"/>
    </row>
    <row r="823" spans="1:8" ht="12.75">
      <c r="A823" s="17"/>
      <c r="E823" s="18"/>
      <c r="F823" s="18"/>
      <c r="G823" s="160"/>
      <c r="H823" s="18"/>
    </row>
    <row r="824" spans="1:8" ht="12.75">
      <c r="A824" s="17"/>
      <c r="E824" s="18"/>
      <c r="F824" s="18"/>
      <c r="G824" s="160"/>
      <c r="H824" s="18"/>
    </row>
    <row r="825" spans="1:8" ht="12.75">
      <c r="A825" s="17"/>
      <c r="E825" s="18"/>
      <c r="F825" s="18"/>
      <c r="G825" s="160"/>
      <c r="H825" s="18"/>
    </row>
    <row r="826" spans="1:8" ht="12.75">
      <c r="A826" s="17"/>
      <c r="E826" s="18"/>
      <c r="F826" s="18"/>
      <c r="G826" s="160"/>
      <c r="H826" s="18"/>
    </row>
    <row r="827" spans="1:8" ht="12.75">
      <c r="A827" s="17"/>
      <c r="E827" s="18"/>
      <c r="F827" s="18"/>
      <c r="G827" s="160"/>
      <c r="H827" s="18"/>
    </row>
    <row r="828" spans="1:8" ht="12.75">
      <c r="A828" s="17"/>
      <c r="E828" s="18"/>
      <c r="F828" s="18"/>
      <c r="G828" s="160"/>
      <c r="H828" s="18"/>
    </row>
    <row r="829" spans="1:8" ht="12.75">
      <c r="A829" s="17"/>
      <c r="E829" s="18"/>
      <c r="F829" s="18"/>
      <c r="G829" s="160"/>
      <c r="H829" s="18"/>
    </row>
    <row r="830" spans="1:8" ht="12.75">
      <c r="A830" s="17"/>
      <c r="E830" s="18"/>
      <c r="F830" s="18"/>
      <c r="G830" s="160"/>
      <c r="H830" s="18"/>
    </row>
    <row r="831" spans="1:8" ht="12.75">
      <c r="A831" s="17"/>
      <c r="E831" s="18"/>
      <c r="F831" s="18"/>
      <c r="G831" s="160"/>
      <c r="H831" s="18"/>
    </row>
    <row r="832" spans="1:8" ht="12.75">
      <c r="A832" s="17"/>
      <c r="E832" s="18"/>
      <c r="F832" s="18"/>
      <c r="G832" s="160"/>
      <c r="H832" s="18"/>
    </row>
    <row r="833" spans="1:8" ht="12.75">
      <c r="A833" s="17"/>
      <c r="E833" s="18"/>
      <c r="F833" s="18"/>
      <c r="G833" s="160"/>
      <c r="H833" s="18"/>
    </row>
    <row r="834" spans="1:8" ht="12.75">
      <c r="A834" s="17"/>
      <c r="E834" s="18"/>
      <c r="F834" s="18"/>
      <c r="G834" s="160"/>
      <c r="H834" s="18"/>
    </row>
    <row r="835" spans="1:8" ht="12.75">
      <c r="A835" s="17"/>
      <c r="E835" s="18"/>
      <c r="F835" s="18"/>
      <c r="G835" s="160"/>
      <c r="H835" s="18"/>
    </row>
    <row r="836" spans="1:8" ht="12.75">
      <c r="A836" s="17"/>
      <c r="E836" s="18"/>
      <c r="F836" s="18"/>
      <c r="G836" s="160"/>
      <c r="H836" s="18"/>
    </row>
    <row r="837" spans="1:8" ht="12.75">
      <c r="A837" s="17"/>
      <c r="E837" s="18"/>
      <c r="F837" s="18"/>
      <c r="G837" s="160"/>
      <c r="H837" s="18"/>
    </row>
    <row r="838" spans="1:8" ht="12.75">
      <c r="A838" s="17"/>
      <c r="E838" s="18"/>
      <c r="F838" s="18"/>
      <c r="G838" s="160"/>
      <c r="H838" s="18"/>
    </row>
    <row r="839" spans="1:8" ht="12.75">
      <c r="A839" s="17"/>
      <c r="E839" s="18"/>
      <c r="F839" s="18"/>
      <c r="G839" s="160"/>
      <c r="H839" s="18"/>
    </row>
    <row r="840" spans="1:8" ht="12.75">
      <c r="A840" s="17"/>
      <c r="E840" s="18"/>
      <c r="F840" s="18"/>
      <c r="G840" s="160"/>
      <c r="H840" s="18"/>
    </row>
    <row r="841" spans="1:8" ht="12.75">
      <c r="A841" s="17"/>
      <c r="E841" s="18"/>
      <c r="F841" s="18"/>
      <c r="G841" s="160"/>
      <c r="H841" s="18"/>
    </row>
    <row r="842" spans="1:8" ht="12.75">
      <c r="A842" s="17"/>
      <c r="E842" s="18"/>
      <c r="F842" s="18"/>
      <c r="G842" s="160"/>
      <c r="H842" s="18"/>
    </row>
    <row r="843" spans="1:8" ht="12.75">
      <c r="A843" s="17"/>
      <c r="E843" s="18"/>
      <c r="F843" s="18"/>
      <c r="G843" s="160"/>
      <c r="H843" s="18"/>
    </row>
    <row r="844" spans="1:8" ht="12.75">
      <c r="A844" s="17"/>
      <c r="E844" s="18"/>
      <c r="F844" s="18"/>
      <c r="G844" s="160"/>
      <c r="H844" s="18"/>
    </row>
    <row r="845" spans="1:8" ht="12.75">
      <c r="A845" s="17"/>
      <c r="E845" s="18"/>
      <c r="F845" s="18"/>
      <c r="G845" s="160"/>
      <c r="H845" s="18"/>
    </row>
    <row r="846" spans="1:8" ht="12.75">
      <c r="A846" s="17"/>
      <c r="E846" s="18"/>
      <c r="F846" s="18"/>
      <c r="G846" s="160"/>
      <c r="H846" s="18"/>
    </row>
    <row r="847" spans="1:8" ht="12.75">
      <c r="A847" s="17"/>
      <c r="E847" s="18"/>
      <c r="F847" s="18"/>
      <c r="G847" s="160"/>
      <c r="H847" s="18"/>
    </row>
    <row r="848" spans="1:8" ht="12.75">
      <c r="A848" s="17"/>
      <c r="E848" s="18"/>
      <c r="F848" s="18"/>
      <c r="G848" s="160"/>
      <c r="H848" s="18"/>
    </row>
    <row r="849" spans="1:8" ht="12.75">
      <c r="A849" s="17"/>
      <c r="E849" s="18"/>
      <c r="F849" s="18"/>
      <c r="G849" s="160"/>
      <c r="H849" s="18"/>
    </row>
    <row r="850" spans="1:8" ht="12.75">
      <c r="A850" s="17"/>
      <c r="E850" s="18"/>
      <c r="F850" s="18"/>
      <c r="G850" s="160"/>
      <c r="H850" s="18"/>
    </row>
    <row r="851" spans="1:8" ht="12.75">
      <c r="A851" s="17"/>
      <c r="E851" s="18"/>
      <c r="F851" s="18"/>
      <c r="G851" s="160"/>
      <c r="H851" s="18"/>
    </row>
    <row r="852" spans="1:8" ht="12.75">
      <c r="A852" s="17"/>
      <c r="E852" s="18"/>
      <c r="F852" s="18"/>
      <c r="G852" s="160"/>
      <c r="H852" s="18"/>
    </row>
    <row r="853" spans="1:8" ht="12.75">
      <c r="A853" s="17"/>
      <c r="E853" s="18"/>
      <c r="F853" s="18"/>
      <c r="G853" s="160"/>
      <c r="H853" s="18"/>
    </row>
    <row r="854" spans="1:8" ht="12.75">
      <c r="A854" s="17"/>
      <c r="E854" s="18"/>
      <c r="F854" s="18"/>
      <c r="G854" s="160"/>
      <c r="H854" s="18"/>
    </row>
    <row r="855" spans="1:8" ht="12.75">
      <c r="A855" s="17"/>
      <c r="E855" s="18"/>
      <c r="F855" s="18"/>
      <c r="G855" s="160"/>
      <c r="H855" s="18"/>
    </row>
    <row r="856" spans="1:8" ht="12.75">
      <c r="A856" s="17"/>
      <c r="E856" s="18"/>
      <c r="F856" s="18"/>
      <c r="G856" s="160"/>
      <c r="H856" s="18"/>
    </row>
    <row r="857" spans="1:8" ht="12.75">
      <c r="A857" s="17"/>
      <c r="E857" s="18"/>
      <c r="F857" s="18"/>
      <c r="G857" s="160"/>
      <c r="H857" s="18"/>
    </row>
    <row r="858" spans="1:8" ht="12.75">
      <c r="A858" s="17"/>
      <c r="E858" s="18"/>
      <c r="F858" s="18"/>
      <c r="G858" s="160"/>
      <c r="H858" s="18"/>
    </row>
    <row r="859" spans="1:8" ht="12.75">
      <c r="A859" s="17"/>
      <c r="E859" s="18"/>
      <c r="F859" s="18"/>
      <c r="G859" s="160"/>
      <c r="H859" s="18"/>
    </row>
    <row r="860" spans="1:8" ht="12.75">
      <c r="A860" s="17"/>
      <c r="E860" s="18"/>
      <c r="F860" s="18"/>
      <c r="G860" s="160"/>
      <c r="H860" s="18"/>
    </row>
    <row r="861" spans="1:8" ht="12.75">
      <c r="A861" s="17"/>
      <c r="E861" s="18"/>
      <c r="F861" s="18"/>
      <c r="G861" s="160"/>
      <c r="H861" s="18"/>
    </row>
    <row r="862" spans="1:8" ht="12.75">
      <c r="A862" s="17"/>
      <c r="E862" s="18"/>
      <c r="F862" s="18"/>
      <c r="G862" s="160"/>
      <c r="H862" s="18"/>
    </row>
    <row r="863" spans="1:8" ht="12.75">
      <c r="A863" s="17"/>
      <c r="E863" s="18"/>
      <c r="F863" s="18"/>
      <c r="G863" s="160"/>
      <c r="H863" s="18"/>
    </row>
    <row r="864" spans="1:8" ht="12.75">
      <c r="A864" s="17"/>
      <c r="E864" s="18"/>
      <c r="F864" s="18"/>
      <c r="G864" s="160"/>
      <c r="H864" s="18"/>
    </row>
    <row r="865" spans="1:8" ht="12.75">
      <c r="A865" s="17"/>
      <c r="E865" s="18"/>
      <c r="F865" s="18"/>
      <c r="G865" s="160"/>
      <c r="H865" s="18"/>
    </row>
    <row r="866" spans="1:8" ht="12.75">
      <c r="A866" s="17"/>
      <c r="E866" s="18"/>
      <c r="F866" s="18"/>
      <c r="G866" s="160"/>
      <c r="H866" s="18"/>
    </row>
    <row r="867" spans="1:8" ht="12.75">
      <c r="A867" s="17"/>
      <c r="E867" s="18"/>
      <c r="F867" s="18"/>
      <c r="G867" s="160"/>
      <c r="H867" s="18"/>
    </row>
    <row r="868" spans="1:8" ht="12.75">
      <c r="A868" s="17"/>
      <c r="E868" s="18"/>
      <c r="F868" s="18"/>
      <c r="G868" s="160"/>
      <c r="H868" s="18"/>
    </row>
    <row r="869" spans="1:8" ht="12.75">
      <c r="A869" s="17"/>
      <c r="E869" s="18"/>
      <c r="F869" s="18"/>
      <c r="G869" s="160"/>
      <c r="H869" s="18"/>
    </row>
    <row r="870" spans="1:8" ht="12.75">
      <c r="A870" s="17"/>
      <c r="E870" s="18"/>
      <c r="F870" s="18"/>
      <c r="G870" s="160"/>
      <c r="H870" s="18"/>
    </row>
    <row r="871" spans="1:8" ht="12.75">
      <c r="A871" s="17"/>
      <c r="E871" s="18"/>
      <c r="F871" s="18"/>
      <c r="G871" s="160"/>
      <c r="H871" s="18"/>
    </row>
    <row r="872" spans="1:8" ht="12.75">
      <c r="A872" s="17"/>
      <c r="E872" s="18"/>
      <c r="F872" s="18"/>
      <c r="G872" s="160"/>
      <c r="H872" s="18"/>
    </row>
    <row r="873" spans="1:8" ht="12.75">
      <c r="A873" s="17"/>
      <c r="E873" s="18"/>
      <c r="F873" s="18"/>
      <c r="G873" s="160"/>
      <c r="H873" s="18"/>
    </row>
    <row r="874" spans="1:8" ht="12.75">
      <c r="A874" s="17"/>
      <c r="E874" s="18"/>
      <c r="F874" s="18"/>
      <c r="G874" s="160"/>
      <c r="H874" s="18"/>
    </row>
    <row r="875" spans="1:8" ht="12.75">
      <c r="A875" s="17"/>
      <c r="E875" s="18"/>
      <c r="F875" s="18"/>
      <c r="G875" s="160"/>
      <c r="H875" s="18"/>
    </row>
    <row r="876" spans="1:8" ht="12.75">
      <c r="A876" s="17"/>
      <c r="E876" s="18"/>
      <c r="F876" s="18"/>
      <c r="G876" s="160"/>
      <c r="H876" s="18"/>
    </row>
    <row r="877" spans="1:8" ht="12.75">
      <c r="A877" s="17"/>
      <c r="E877" s="18"/>
      <c r="F877" s="18"/>
      <c r="G877" s="160"/>
      <c r="H877" s="18"/>
    </row>
    <row r="878" spans="1:8" ht="12.75">
      <c r="A878" s="17"/>
      <c r="E878" s="18"/>
      <c r="F878" s="18"/>
      <c r="G878" s="160"/>
      <c r="H878" s="18"/>
    </row>
    <row r="879" spans="1:8" ht="12.75">
      <c r="A879" s="17"/>
      <c r="E879" s="18"/>
      <c r="F879" s="18"/>
      <c r="G879" s="160"/>
      <c r="H879" s="18"/>
    </row>
    <row r="880" spans="1:8" ht="12.75">
      <c r="A880" s="17"/>
      <c r="E880" s="18"/>
      <c r="F880" s="18"/>
      <c r="G880" s="160"/>
      <c r="H880" s="18"/>
    </row>
    <row r="881" spans="1:8" ht="12.75">
      <c r="A881" s="17"/>
      <c r="E881" s="18"/>
      <c r="F881" s="18"/>
      <c r="G881" s="160"/>
      <c r="H881" s="18"/>
    </row>
    <row r="882" spans="1:8" ht="12.75">
      <c r="A882" s="17"/>
      <c r="E882" s="18"/>
      <c r="F882" s="18"/>
      <c r="G882" s="160"/>
      <c r="H882" s="18"/>
    </row>
    <row r="883" spans="1:8" ht="12.75">
      <c r="A883" s="17"/>
      <c r="E883" s="18"/>
      <c r="F883" s="18"/>
      <c r="G883" s="160"/>
      <c r="H883" s="18"/>
    </row>
    <row r="884" spans="1:8" ht="12.75">
      <c r="A884" s="17"/>
      <c r="E884" s="18"/>
      <c r="F884" s="18"/>
      <c r="G884" s="160"/>
      <c r="H884" s="18"/>
    </row>
    <row r="885" spans="1:8" ht="12.75">
      <c r="A885" s="17"/>
      <c r="E885" s="18"/>
      <c r="F885" s="18"/>
      <c r="G885" s="160"/>
      <c r="H885" s="18"/>
    </row>
    <row r="886" spans="1:8" ht="12.75">
      <c r="A886" s="17"/>
      <c r="E886" s="18"/>
      <c r="F886" s="18"/>
      <c r="G886" s="160"/>
      <c r="H886" s="18"/>
    </row>
    <row r="887" spans="1:8" ht="12.75">
      <c r="A887" s="17"/>
      <c r="E887" s="18"/>
      <c r="F887" s="18"/>
      <c r="G887" s="160"/>
      <c r="H887" s="18"/>
    </row>
    <row r="888" spans="1:8" ht="12.75">
      <c r="A888" s="17"/>
      <c r="E888" s="18"/>
      <c r="F888" s="18"/>
      <c r="G888" s="160"/>
      <c r="H888" s="18"/>
    </row>
    <row r="889" spans="1:8" ht="12.75">
      <c r="A889" s="17"/>
      <c r="E889" s="18"/>
      <c r="F889" s="18"/>
      <c r="G889" s="160"/>
      <c r="H889" s="18"/>
    </row>
    <row r="890" spans="1:8" ht="12.75">
      <c r="A890" s="17"/>
      <c r="E890" s="18"/>
      <c r="F890" s="18"/>
      <c r="G890" s="160"/>
      <c r="H890" s="18"/>
    </row>
    <row r="891" spans="1:8" ht="12.75">
      <c r="A891" s="17"/>
      <c r="E891" s="18"/>
      <c r="F891" s="18"/>
      <c r="G891" s="160"/>
      <c r="H891" s="18"/>
    </row>
    <row r="892" spans="1:8" ht="12.75">
      <c r="A892" s="17"/>
      <c r="E892" s="18"/>
      <c r="F892" s="18"/>
      <c r="G892" s="160"/>
      <c r="H892" s="18"/>
    </row>
    <row r="893" spans="1:8" ht="12.75">
      <c r="A893" s="17"/>
      <c r="E893" s="18"/>
      <c r="F893" s="18"/>
      <c r="G893" s="160"/>
      <c r="H893" s="18"/>
    </row>
    <row r="894" spans="1:8" ht="12.75">
      <c r="A894" s="17"/>
      <c r="E894" s="18"/>
      <c r="F894" s="18"/>
      <c r="G894" s="160"/>
      <c r="H894" s="18"/>
    </row>
    <row r="895" spans="1:8" ht="12.75">
      <c r="A895" s="17"/>
      <c r="E895" s="18"/>
      <c r="F895" s="18"/>
      <c r="G895" s="160"/>
      <c r="H895" s="18"/>
    </row>
    <row r="896" spans="1:8" ht="12.75">
      <c r="A896" s="17"/>
      <c r="E896" s="18"/>
      <c r="F896" s="18"/>
      <c r="G896" s="160"/>
      <c r="H896" s="18"/>
    </row>
    <row r="897" spans="1:8" ht="12.75">
      <c r="A897" s="17"/>
      <c r="E897" s="18"/>
      <c r="F897" s="18"/>
      <c r="G897" s="160"/>
      <c r="H897" s="18"/>
    </row>
    <row r="898" spans="1:8" ht="12.75">
      <c r="A898" s="17"/>
      <c r="E898" s="18"/>
      <c r="F898" s="18"/>
      <c r="G898" s="160"/>
      <c r="H898" s="18"/>
    </row>
    <row r="899" spans="1:8" ht="12.75">
      <c r="A899" s="17"/>
      <c r="E899" s="18"/>
      <c r="F899" s="18"/>
      <c r="G899" s="160"/>
      <c r="H899" s="18"/>
    </row>
    <row r="900" spans="1:8" ht="12.75">
      <c r="A900" s="17"/>
      <c r="E900" s="18"/>
      <c r="F900" s="18"/>
      <c r="G900" s="160"/>
      <c r="H900" s="18"/>
    </row>
    <row r="901" spans="1:8" ht="12.75">
      <c r="A901" s="17"/>
      <c r="E901" s="18"/>
      <c r="F901" s="18"/>
      <c r="G901" s="160"/>
      <c r="H901" s="18"/>
    </row>
    <row r="902" spans="1:8" ht="12.75">
      <c r="A902" s="17"/>
      <c r="E902" s="18"/>
      <c r="F902" s="18"/>
      <c r="G902" s="160"/>
      <c r="H902" s="18"/>
    </row>
    <row r="903" spans="1:8" ht="12.75">
      <c r="A903" s="17"/>
      <c r="E903" s="18"/>
      <c r="F903" s="18"/>
      <c r="G903" s="160"/>
      <c r="H903" s="18"/>
    </row>
    <row r="904" spans="1:8" ht="12.75">
      <c r="A904" s="17"/>
      <c r="E904" s="18"/>
      <c r="F904" s="18"/>
      <c r="G904" s="160"/>
      <c r="H904" s="18"/>
    </row>
    <row r="905" spans="1:8" ht="12.75">
      <c r="A905" s="17"/>
      <c r="E905" s="18"/>
      <c r="F905" s="18"/>
      <c r="G905" s="160"/>
      <c r="H905" s="18"/>
    </row>
    <row r="906" spans="1:8" ht="12.75">
      <c r="A906" s="17"/>
      <c r="E906" s="18"/>
      <c r="F906" s="18"/>
      <c r="G906" s="160"/>
      <c r="H906" s="18"/>
    </row>
    <row r="907" spans="1:8" ht="12.75">
      <c r="A907" s="17"/>
      <c r="E907" s="18"/>
      <c r="F907" s="18"/>
      <c r="G907" s="160"/>
      <c r="H907" s="18"/>
    </row>
    <row r="908" spans="1:8" ht="12.75">
      <c r="A908" s="17"/>
      <c r="E908" s="18"/>
      <c r="F908" s="18"/>
      <c r="G908" s="160"/>
      <c r="H908" s="18"/>
    </row>
    <row r="909" spans="1:8" ht="12.75">
      <c r="A909" s="17"/>
      <c r="E909" s="18"/>
      <c r="F909" s="18"/>
      <c r="G909" s="160"/>
      <c r="H909" s="18"/>
    </row>
    <row r="910" spans="1:8" ht="12.75">
      <c r="A910" s="17"/>
      <c r="E910" s="18"/>
      <c r="F910" s="18"/>
      <c r="G910" s="160"/>
      <c r="H910" s="18"/>
    </row>
    <row r="911" spans="1:8" ht="12.75">
      <c r="A911" s="17"/>
      <c r="E911" s="18"/>
      <c r="F911" s="18"/>
      <c r="G911" s="160"/>
      <c r="H911" s="18"/>
    </row>
    <row r="912" spans="1:8" ht="12.75">
      <c r="A912" s="17"/>
      <c r="E912" s="18"/>
      <c r="F912" s="18"/>
      <c r="G912" s="160"/>
      <c r="H912" s="18"/>
    </row>
    <row r="913" spans="1:8" ht="12.75">
      <c r="A913" s="17"/>
      <c r="E913" s="18"/>
      <c r="F913" s="18"/>
      <c r="G913" s="160"/>
      <c r="H913" s="18"/>
    </row>
    <row r="914" spans="1:8" ht="12.75">
      <c r="A914" s="17"/>
      <c r="E914" s="18"/>
      <c r="F914" s="18"/>
      <c r="G914" s="160"/>
      <c r="H914" s="18"/>
    </row>
    <row r="915" spans="1:8" ht="12.75">
      <c r="A915" s="17"/>
      <c r="E915" s="18"/>
      <c r="F915" s="18"/>
      <c r="G915" s="160"/>
      <c r="H915" s="18"/>
    </row>
    <row r="916" spans="1:8" ht="12.75">
      <c r="A916" s="17"/>
      <c r="E916" s="18"/>
      <c r="F916" s="18"/>
      <c r="G916" s="160"/>
      <c r="H916" s="18"/>
    </row>
    <row r="917" spans="1:8" ht="12.75">
      <c r="A917" s="17"/>
      <c r="E917" s="18"/>
      <c r="F917" s="18"/>
      <c r="G917" s="160"/>
      <c r="H917" s="18"/>
    </row>
    <row r="918" spans="1:8" ht="12.75">
      <c r="A918" s="17"/>
      <c r="E918" s="18"/>
      <c r="F918" s="18"/>
      <c r="G918" s="160"/>
      <c r="H918" s="18"/>
    </row>
    <row r="919" spans="1:8" ht="12.75">
      <c r="A919" s="17"/>
      <c r="E919" s="18"/>
      <c r="F919" s="18"/>
      <c r="G919" s="160"/>
      <c r="H919" s="18"/>
    </row>
    <row r="920" spans="1:8" ht="12.75">
      <c r="A920" s="17"/>
      <c r="E920" s="18"/>
      <c r="F920" s="18"/>
      <c r="G920" s="160"/>
      <c r="H920" s="18"/>
    </row>
    <row r="921" spans="1:8" ht="12.75">
      <c r="A921" s="17"/>
      <c r="E921" s="18"/>
      <c r="F921" s="18"/>
      <c r="G921" s="160"/>
      <c r="H921" s="18"/>
    </row>
    <row r="922" spans="1:8" ht="12.75">
      <c r="A922" s="17"/>
      <c r="E922" s="18"/>
      <c r="F922" s="18"/>
      <c r="G922" s="160"/>
      <c r="H922" s="18"/>
    </row>
    <row r="923" spans="1:8" ht="12.75">
      <c r="A923" s="17"/>
      <c r="E923" s="18"/>
      <c r="F923" s="18"/>
      <c r="G923" s="160"/>
      <c r="H923" s="18"/>
    </row>
    <row r="924" spans="1:8" ht="12.75">
      <c r="A924" s="17"/>
      <c r="E924" s="18"/>
      <c r="F924" s="18"/>
      <c r="G924" s="160"/>
      <c r="H924" s="18"/>
    </row>
    <row r="925" spans="1:8" ht="12.75">
      <c r="A925" s="17"/>
      <c r="E925" s="18"/>
      <c r="F925" s="18"/>
      <c r="G925" s="160"/>
      <c r="H925" s="18"/>
    </row>
    <row r="926" spans="1:8" ht="12.75">
      <c r="A926" s="17"/>
      <c r="E926" s="18"/>
      <c r="F926" s="18"/>
      <c r="G926" s="160"/>
      <c r="H926" s="18"/>
    </row>
    <row r="927" spans="1:8" ht="12.75">
      <c r="A927" s="17"/>
      <c r="E927" s="18"/>
      <c r="F927" s="18"/>
      <c r="G927" s="160"/>
      <c r="H927" s="18"/>
    </row>
    <row r="928" spans="1:8" ht="12.75">
      <c r="A928" s="17"/>
      <c r="E928" s="18"/>
      <c r="F928" s="18"/>
      <c r="G928" s="160"/>
      <c r="H928" s="18"/>
    </row>
    <row r="929" spans="1:8" ht="12.75">
      <c r="A929" s="17"/>
      <c r="E929" s="18"/>
      <c r="F929" s="18"/>
      <c r="G929" s="160"/>
      <c r="H929" s="18"/>
    </row>
    <row r="930" spans="1:8" ht="12.75">
      <c r="A930" s="17"/>
      <c r="E930" s="18"/>
      <c r="F930" s="18"/>
      <c r="G930" s="160"/>
      <c r="H930" s="18"/>
    </row>
    <row r="931" spans="1:8" ht="12.75">
      <c r="A931" s="17"/>
      <c r="E931" s="18"/>
      <c r="F931" s="18"/>
      <c r="G931" s="160"/>
      <c r="H931" s="18"/>
    </row>
    <row r="932" spans="1:8" ht="12.75">
      <c r="A932" s="17"/>
      <c r="E932" s="18"/>
      <c r="F932" s="18"/>
      <c r="G932" s="160"/>
      <c r="H932" s="18"/>
    </row>
    <row r="933" spans="1:8" ht="12.75">
      <c r="A933" s="17"/>
      <c r="E933" s="18"/>
      <c r="F933" s="18"/>
      <c r="G933" s="160"/>
      <c r="H933" s="18"/>
    </row>
    <row r="934" spans="1:8" ht="12.75">
      <c r="A934" s="17"/>
      <c r="E934" s="18"/>
      <c r="F934" s="18"/>
      <c r="G934" s="160"/>
      <c r="H934" s="18"/>
    </row>
    <row r="935" spans="1:8" ht="12.75">
      <c r="A935" s="17"/>
      <c r="E935" s="18"/>
      <c r="F935" s="18"/>
      <c r="G935" s="160"/>
      <c r="H935" s="18"/>
    </row>
    <row r="936" spans="1:8" ht="12.75">
      <c r="A936" s="17"/>
      <c r="E936" s="18"/>
      <c r="F936" s="18"/>
      <c r="G936" s="160"/>
      <c r="H936" s="18"/>
    </row>
    <row r="937" spans="1:8" ht="12.75">
      <c r="A937" s="17"/>
      <c r="E937" s="18"/>
      <c r="F937" s="18"/>
      <c r="G937" s="160"/>
      <c r="H937" s="18"/>
    </row>
    <row r="938" spans="1:8" ht="12.75">
      <c r="A938" s="17"/>
      <c r="E938" s="18"/>
      <c r="F938" s="18"/>
      <c r="G938" s="160"/>
      <c r="H938" s="18"/>
    </row>
    <row r="939" spans="1:8" ht="12.75">
      <c r="A939" s="17"/>
      <c r="E939" s="18"/>
      <c r="F939" s="18"/>
      <c r="G939" s="160"/>
      <c r="H939" s="18"/>
    </row>
    <row r="940" spans="1:8" ht="12.75">
      <c r="A940" s="17"/>
      <c r="E940" s="18"/>
      <c r="F940" s="18"/>
      <c r="G940" s="160"/>
      <c r="H940" s="18"/>
    </row>
    <row r="941" spans="1:8" ht="12.75">
      <c r="A941" s="17"/>
      <c r="E941" s="18"/>
      <c r="F941" s="18"/>
      <c r="G941" s="160"/>
      <c r="H941" s="18"/>
    </row>
    <row r="942" spans="1:8" ht="12.75">
      <c r="A942" s="17"/>
      <c r="E942" s="18"/>
      <c r="F942" s="18"/>
      <c r="G942" s="160"/>
      <c r="H942" s="18"/>
    </row>
    <row r="943" spans="1:8" ht="12.75">
      <c r="A943" s="17"/>
      <c r="E943" s="18"/>
      <c r="F943" s="18"/>
      <c r="G943" s="160"/>
      <c r="H943" s="18"/>
    </row>
    <row r="944" spans="1:8" ht="12.75">
      <c r="A944" s="17"/>
      <c r="E944" s="18"/>
      <c r="F944" s="18"/>
      <c r="G944" s="160"/>
      <c r="H944" s="18"/>
    </row>
    <row r="945" spans="1:8" ht="12.75">
      <c r="A945" s="17"/>
      <c r="E945" s="18"/>
      <c r="F945" s="18"/>
      <c r="G945" s="160"/>
      <c r="H945" s="18"/>
    </row>
    <row r="946" spans="1:8" ht="12.75">
      <c r="A946" s="17"/>
      <c r="E946" s="18"/>
      <c r="F946" s="18"/>
      <c r="G946" s="160"/>
      <c r="H946" s="18"/>
    </row>
    <row r="947" spans="1:8" ht="12.75">
      <c r="A947" s="17"/>
      <c r="E947" s="18"/>
      <c r="F947" s="18"/>
      <c r="G947" s="160"/>
      <c r="H947" s="18"/>
    </row>
    <row r="948" spans="1:8" ht="12.75">
      <c r="A948" s="17"/>
      <c r="E948" s="18"/>
      <c r="F948" s="18"/>
      <c r="G948" s="160"/>
      <c r="H948" s="18"/>
    </row>
    <row r="949" spans="1:8" ht="12.75">
      <c r="A949" s="17"/>
      <c r="E949" s="18"/>
      <c r="F949" s="18"/>
      <c r="G949" s="160"/>
      <c r="H949" s="18"/>
    </row>
    <row r="950" spans="1:8" ht="12.75">
      <c r="A950" s="17"/>
      <c r="E950" s="18"/>
      <c r="F950" s="18"/>
      <c r="G950" s="160"/>
      <c r="H950" s="18"/>
    </row>
    <row r="951" spans="1:8" ht="12.75">
      <c r="A951" s="17"/>
      <c r="E951" s="18"/>
      <c r="F951" s="18"/>
      <c r="G951" s="160"/>
      <c r="H951" s="18"/>
    </row>
    <row r="952" spans="1:8" ht="12.75">
      <c r="A952" s="17"/>
      <c r="E952" s="18"/>
      <c r="F952" s="18"/>
      <c r="G952" s="160"/>
      <c r="H952" s="18"/>
    </row>
    <row r="953" spans="1:8" ht="12.75">
      <c r="A953" s="17"/>
      <c r="E953" s="18"/>
      <c r="F953" s="18"/>
      <c r="G953" s="160"/>
      <c r="H953" s="18"/>
    </row>
    <row r="954" spans="1:8" ht="12.75">
      <c r="A954" s="17"/>
      <c r="E954" s="18"/>
      <c r="F954" s="18"/>
      <c r="G954" s="160"/>
      <c r="H954" s="18"/>
    </row>
    <row r="955" spans="1:8" ht="12.75">
      <c r="A955" s="17"/>
      <c r="E955" s="18"/>
      <c r="F955" s="18"/>
      <c r="G955" s="160"/>
      <c r="H955" s="18"/>
    </row>
    <row r="956" spans="1:8" ht="12.75">
      <c r="A956" s="17"/>
      <c r="E956" s="18"/>
      <c r="F956" s="18"/>
      <c r="G956" s="160"/>
      <c r="H956" s="18"/>
    </row>
    <row r="957" spans="1:8" ht="12.75">
      <c r="A957" s="17"/>
      <c r="E957" s="18"/>
      <c r="F957" s="18"/>
      <c r="G957" s="160"/>
      <c r="H957" s="18"/>
    </row>
    <row r="958" spans="1:8" ht="12.75">
      <c r="A958" s="17"/>
      <c r="E958" s="18"/>
      <c r="F958" s="18"/>
      <c r="G958" s="160"/>
      <c r="H958" s="18"/>
    </row>
    <row r="959" spans="1:8" ht="12.75">
      <c r="A959" s="17"/>
      <c r="E959" s="18"/>
      <c r="F959" s="18"/>
      <c r="G959" s="160"/>
      <c r="H959" s="18"/>
    </row>
    <row r="960" spans="1:8" ht="12.75">
      <c r="A960" s="17"/>
      <c r="E960" s="18"/>
      <c r="F960" s="18"/>
      <c r="G960" s="160"/>
      <c r="H960" s="18"/>
    </row>
    <row r="961" spans="1:8" ht="12.75">
      <c r="A961" s="17"/>
      <c r="E961" s="18"/>
      <c r="F961" s="18"/>
      <c r="G961" s="160"/>
      <c r="H961" s="18"/>
    </row>
    <row r="962" spans="1:8" ht="12.75">
      <c r="A962" s="17"/>
      <c r="E962" s="18"/>
      <c r="F962" s="18"/>
      <c r="G962" s="160"/>
      <c r="H962" s="18"/>
    </row>
    <row r="963" spans="1:8" ht="12.75">
      <c r="A963" s="17"/>
      <c r="E963" s="18"/>
      <c r="F963" s="18"/>
      <c r="G963" s="160"/>
      <c r="H963" s="18"/>
    </row>
    <row r="964" spans="1:8" ht="12.75">
      <c r="A964" s="17"/>
      <c r="E964" s="18"/>
      <c r="F964" s="18"/>
      <c r="G964" s="160"/>
      <c r="H964" s="18"/>
    </row>
    <row r="965" spans="1:8" ht="12.75">
      <c r="A965" s="17"/>
      <c r="E965" s="18"/>
      <c r="F965" s="18"/>
      <c r="G965" s="160"/>
      <c r="H965" s="18"/>
    </row>
    <row r="966" spans="1:8" ht="12.75">
      <c r="A966" s="17"/>
      <c r="E966" s="18"/>
      <c r="F966" s="18"/>
      <c r="G966" s="160"/>
      <c r="H966" s="18"/>
    </row>
    <row r="967" spans="1:8" ht="12.75">
      <c r="A967" s="17"/>
      <c r="E967" s="18"/>
      <c r="F967" s="18"/>
      <c r="G967" s="160"/>
      <c r="H967" s="18"/>
    </row>
    <row r="968" spans="1:8" ht="12.75">
      <c r="A968" s="17"/>
      <c r="E968" s="18"/>
      <c r="F968" s="18"/>
      <c r="G968" s="160"/>
      <c r="H968" s="18"/>
    </row>
    <row r="969" spans="1:8" ht="12.75">
      <c r="A969" s="17"/>
      <c r="E969" s="18"/>
      <c r="F969" s="18"/>
      <c r="G969" s="160"/>
      <c r="H969" s="18"/>
    </row>
    <row r="970" spans="1:8" ht="12.75">
      <c r="A970" s="17"/>
      <c r="E970" s="18"/>
      <c r="F970" s="18"/>
      <c r="G970" s="160"/>
      <c r="H970" s="18"/>
    </row>
    <row r="971" spans="1:8" ht="12.75">
      <c r="A971" s="17"/>
      <c r="E971" s="18"/>
      <c r="F971" s="18"/>
      <c r="G971" s="160"/>
      <c r="H971" s="18"/>
    </row>
    <row r="972" spans="1:8" ht="12.75">
      <c r="A972" s="17"/>
      <c r="E972" s="18"/>
      <c r="F972" s="18"/>
      <c r="G972" s="160"/>
      <c r="H972" s="18"/>
    </row>
    <row r="973" spans="1:8" ht="12.75">
      <c r="A973" s="17"/>
      <c r="E973" s="18"/>
      <c r="F973" s="18"/>
      <c r="G973" s="160"/>
      <c r="H973" s="18"/>
    </row>
    <row r="974" spans="1:8" ht="12.75">
      <c r="A974" s="17"/>
      <c r="E974" s="18"/>
      <c r="F974" s="18"/>
      <c r="G974" s="160"/>
      <c r="H974" s="18"/>
    </row>
    <row r="975" spans="1:8" ht="12.75">
      <c r="A975" s="17"/>
      <c r="E975" s="18"/>
      <c r="F975" s="18"/>
      <c r="G975" s="160"/>
      <c r="H975" s="18"/>
    </row>
    <row r="976" spans="1:8" ht="12.75">
      <c r="A976" s="17"/>
      <c r="E976" s="18"/>
      <c r="F976" s="18"/>
      <c r="G976" s="160"/>
      <c r="H976" s="18"/>
    </row>
    <row r="977" spans="1:8" ht="12.75">
      <c r="A977" s="17"/>
      <c r="E977" s="18"/>
      <c r="F977" s="18"/>
      <c r="G977" s="160"/>
      <c r="H977" s="18"/>
    </row>
    <row r="978" spans="1:8" ht="12.75">
      <c r="A978" s="17"/>
      <c r="E978" s="18"/>
      <c r="F978" s="18"/>
      <c r="G978" s="160"/>
      <c r="H978" s="18"/>
    </row>
    <row r="979" spans="1:8" ht="12.75">
      <c r="A979" s="17"/>
      <c r="E979" s="18"/>
      <c r="F979" s="18"/>
      <c r="G979" s="160"/>
      <c r="H979" s="18"/>
    </row>
    <row r="980" spans="1:8" ht="12.75">
      <c r="A980" s="17"/>
      <c r="E980" s="18"/>
      <c r="F980" s="18"/>
      <c r="G980" s="160"/>
      <c r="H980" s="18"/>
    </row>
    <row r="981" spans="1:8" ht="12.75">
      <c r="A981" s="17"/>
      <c r="E981" s="18"/>
      <c r="F981" s="18"/>
      <c r="G981" s="160"/>
      <c r="H981" s="18"/>
    </row>
    <row r="982" spans="1:8" ht="12.75">
      <c r="A982" s="17"/>
      <c r="E982" s="18"/>
      <c r="F982" s="18"/>
      <c r="G982" s="160"/>
      <c r="H982" s="18"/>
    </row>
    <row r="983" spans="1:8" ht="12.75">
      <c r="A983" s="17"/>
      <c r="E983" s="18"/>
      <c r="F983" s="18"/>
      <c r="G983" s="160"/>
      <c r="H983" s="18"/>
    </row>
    <row r="984" spans="1:8" ht="12.75">
      <c r="A984" s="17"/>
      <c r="E984" s="18"/>
      <c r="F984" s="18"/>
      <c r="G984" s="160"/>
      <c r="H984" s="18"/>
    </row>
    <row r="985" spans="1:8" ht="12.75">
      <c r="A985" s="17"/>
      <c r="E985" s="18"/>
      <c r="F985" s="18"/>
      <c r="G985" s="160"/>
      <c r="H985" s="18"/>
    </row>
    <row r="986" spans="1:8" ht="12.75">
      <c r="A986" s="17"/>
      <c r="E986" s="18"/>
      <c r="F986" s="18"/>
      <c r="G986" s="160"/>
      <c r="H986" s="18"/>
    </row>
    <row r="987" spans="1:8" ht="12.75">
      <c r="A987" s="17"/>
      <c r="E987" s="18"/>
      <c r="F987" s="18"/>
      <c r="G987" s="160"/>
      <c r="H987" s="18"/>
    </row>
    <row r="988" spans="1:8" ht="12.75">
      <c r="A988" s="17"/>
      <c r="E988" s="18"/>
      <c r="F988" s="18"/>
      <c r="G988" s="160"/>
      <c r="H988" s="18"/>
    </row>
    <row r="989" spans="1:8" ht="12.75">
      <c r="A989" s="17"/>
      <c r="E989" s="18"/>
      <c r="F989" s="18"/>
      <c r="G989" s="160"/>
      <c r="H989" s="18"/>
    </row>
    <row r="990" spans="1:8" ht="12.75">
      <c r="A990" s="17"/>
      <c r="E990" s="18"/>
      <c r="F990" s="18"/>
      <c r="G990" s="160"/>
      <c r="H990" s="18"/>
    </row>
    <row r="991" spans="1:8" ht="12.75">
      <c r="A991" s="17"/>
      <c r="E991" s="18"/>
      <c r="F991" s="18"/>
      <c r="G991" s="160"/>
      <c r="H991" s="18"/>
    </row>
    <row r="992" spans="1:8" ht="12.75">
      <c r="A992" s="17"/>
      <c r="E992" s="18"/>
      <c r="F992" s="18"/>
      <c r="G992" s="160"/>
      <c r="H992" s="18"/>
    </row>
    <row r="993" spans="1:8" ht="12.75">
      <c r="A993" s="17"/>
      <c r="E993" s="18"/>
      <c r="F993" s="18"/>
      <c r="G993" s="160"/>
      <c r="H993" s="18"/>
    </row>
    <row r="994" spans="1:8" ht="12.75">
      <c r="A994" s="17"/>
      <c r="E994" s="18"/>
      <c r="F994" s="18"/>
      <c r="G994" s="160"/>
      <c r="H994" s="18"/>
    </row>
    <row r="995" spans="1:8" ht="12.75">
      <c r="A995" s="17"/>
      <c r="E995" s="18"/>
      <c r="F995" s="18"/>
      <c r="G995" s="160"/>
      <c r="H995" s="18"/>
    </row>
    <row r="996" spans="1:8" ht="12.75">
      <c r="A996" s="17"/>
      <c r="E996" s="18"/>
      <c r="F996" s="18"/>
      <c r="G996" s="160"/>
      <c r="H996" s="18"/>
    </row>
    <row r="997" spans="1:8" ht="12.75">
      <c r="A997" s="17"/>
      <c r="E997" s="18"/>
      <c r="F997" s="18"/>
      <c r="G997" s="160"/>
      <c r="H997" s="18"/>
    </row>
    <row r="998" spans="1:8" ht="12.75">
      <c r="A998" s="17"/>
      <c r="E998" s="18"/>
      <c r="F998" s="18"/>
      <c r="G998" s="160"/>
      <c r="H998" s="18"/>
    </row>
    <row r="999" spans="1:8" ht="12.75">
      <c r="A999" s="17"/>
      <c r="E999" s="18"/>
      <c r="F999" s="18"/>
      <c r="G999" s="160"/>
      <c r="H999" s="18"/>
    </row>
    <row r="1000" spans="1:8" ht="12.75">
      <c r="A1000" s="17"/>
      <c r="E1000" s="18"/>
      <c r="F1000" s="18"/>
      <c r="G1000" s="160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218</v>
      </c>
      <c r="C1" s="96" t="s">
        <v>219</v>
      </c>
      <c r="D1" s="96" t="s">
        <v>220</v>
      </c>
      <c r="E1" s="96" t="s">
        <v>221</v>
      </c>
      <c r="F1" s="96" t="s">
        <v>222</v>
      </c>
      <c r="G1" s="96" t="s">
        <v>223</v>
      </c>
      <c r="H1" s="96" t="s">
        <v>224</v>
      </c>
      <c r="I1" s="96" t="s">
        <v>225</v>
      </c>
      <c r="J1" s="96" t="s">
        <v>226</v>
      </c>
      <c r="K1" s="96" t="s">
        <v>227</v>
      </c>
      <c r="L1" s="96" t="s">
        <v>228</v>
      </c>
      <c r="M1" s="97" t="s">
        <v>229</v>
      </c>
      <c r="N1" s="117" t="s">
        <v>230</v>
      </c>
      <c r="O1" s="116" t="s">
        <v>231</v>
      </c>
      <c r="P1" s="96" t="s">
        <v>232</v>
      </c>
      <c r="Q1" s="96" t="s">
        <v>233</v>
      </c>
      <c r="R1" s="79" t="s">
        <v>234</v>
      </c>
      <c r="S1" s="79" t="s">
        <v>235</v>
      </c>
      <c r="T1" s="79" t="s">
        <v>236</v>
      </c>
      <c r="U1" s="79" t="s">
        <v>237</v>
      </c>
      <c r="V1" s="80" t="s">
        <v>238</v>
      </c>
      <c r="AB1" s="81" t="s">
        <v>239</v>
      </c>
      <c r="AD1" s="81"/>
      <c r="AE1" s="81" t="s">
        <v>240</v>
      </c>
      <c r="AF1" s="81" t="s">
        <v>241</v>
      </c>
      <c r="AG1" s="81" t="s">
        <v>242</v>
      </c>
      <c r="AH1" s="81" t="s">
        <v>243</v>
      </c>
    </row>
    <row r="2" spans="1:35">
      <c r="A2" s="115" t="str">
        <f>'Portfolio Ned'!A:A</f>
        <v>Johnson&amp;Johnson</v>
      </c>
      <c r="B2" s="12"/>
      <c r="C2" s="12"/>
      <c r="D2" s="7">
        <f>'Portfolio Ned'!$G$2*$O$2*$AC$2*0.85</f>
        <v>51.000000000000007</v>
      </c>
      <c r="E2" s="6"/>
      <c r="F2" s="6"/>
      <c r="G2" s="7">
        <f>'Portfolio Ned'!$G$2*$O$2*$AC$2*0.85</f>
        <v>51.000000000000007</v>
      </c>
      <c r="H2" s="6"/>
      <c r="I2" s="6"/>
      <c r="J2" s="7">
        <f>'Portfolio Ned'!$G$2*$O$2*$AC$2*0.85</f>
        <v>51.000000000000007</v>
      </c>
      <c r="K2" s="6"/>
      <c r="L2" s="6"/>
      <c r="M2" s="7">
        <f>'Portfolio Ned'!$G$2*$O$2*$AC$2*0.85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218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244</v>
      </c>
      <c r="V2" s="26">
        <f>N2/('Portfolio Ned'!F2*'Portfolio Ned'!G2)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Ned'!G2*AE2*((1+AF2)^10)*0.75</f>
        <v>336.38288209651569</v>
      </c>
      <c r="AH2" s="26">
        <f>AG2/('Portfolio Ned'!F2*'Portfolio Ned'!G2)</f>
        <v>4.110508834261907E-2</v>
      </c>
      <c r="AI2" s="28"/>
    </row>
    <row r="3" spans="1:35">
      <c r="A3" s="115" t="str">
        <f>'Portfolio Ned'!A:A</f>
        <v>ThermoFisher Scientific</v>
      </c>
      <c r="B3" s="7">
        <f>'Portfolio Ned'!$G$3*$O$3*$AC$2*0.85</f>
        <v>1.3347107438016528</v>
      </c>
      <c r="C3" s="6"/>
      <c r="D3" s="6"/>
      <c r="E3" s="7">
        <f>'Portfolio Ned'!$G$3*$O$3*$AC$2*0.85</f>
        <v>1.3347107438016528</v>
      </c>
      <c r="F3" s="6"/>
      <c r="G3" s="6"/>
      <c r="H3" s="7">
        <f>'Portfolio Ned'!$G$3*$O$3*$AC$2*0.85</f>
        <v>1.3347107438016528</v>
      </c>
      <c r="I3" s="6"/>
      <c r="J3" s="6"/>
      <c r="K3" s="7">
        <f>'Portfolio Ned'!$G$3*$O$3*$AC$2*0.85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219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Ned'!F3*'Portfolio Ned'!G3)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Ned'!G3*AE3*((1+AF3)^10)*0.75</f>
        <v>13.440301838700009</v>
      </c>
      <c r="AH3" s="26">
        <f>AG3/('Portfolio Ned'!F3*'Portfolio Ned'!G3)</f>
        <v>7.4897196091947664E-3</v>
      </c>
    </row>
    <row r="4" spans="1:35">
      <c r="A4" s="115" t="str">
        <f>'Portfolio Ned'!A:A</f>
        <v>Alphabet</v>
      </c>
      <c r="B4" s="7">
        <f>'Portfolio Ned'!$G$3*$O$4*$AC$2*0.85</f>
        <v>1.4049586776859504</v>
      </c>
      <c r="F4" s="7">
        <f>'Portfolio Ned'!$G$3*$O$4*$AC$2*0.85</f>
        <v>1.4049586776859504</v>
      </c>
      <c r="G4" s="6"/>
      <c r="H4" s="6"/>
      <c r="I4" s="7">
        <f>'Portfolio Ned'!$G$3*$O$4*$AC$2*0.85</f>
        <v>1.4049586776859504</v>
      </c>
      <c r="J4" s="12"/>
      <c r="K4" s="12"/>
      <c r="L4" s="7">
        <f>'Portfolio Ned'!$G$3*$O$4*$AC$2*0.85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220</v>
      </c>
      <c r="Q4" s="23" t="e">
        <f>SUM(D2:D152)</f>
        <v>#REF!</v>
      </c>
      <c r="R4" s="12"/>
      <c r="T4" s="12"/>
      <c r="U4" s="30"/>
      <c r="V4" s="26">
        <f>N4/('Portfolio Ned'!F4*'Portfolio Ned'!G4)</f>
        <v>1.1544632431806196E-3</v>
      </c>
      <c r="AB4" s="11" t="s">
        <v>245</v>
      </c>
      <c r="AC4" s="11">
        <f>1/131</f>
        <v>7.6335877862595417E-3</v>
      </c>
      <c r="AE4" s="7">
        <v>3.2</v>
      </c>
      <c r="AF4" s="26">
        <v>0.02</v>
      </c>
      <c r="AG4" s="27">
        <f>'Portfolio Ned'!G7*AE4*((1+AF4)^10)*0.75</f>
        <v>336.44245991855297</v>
      </c>
      <c r="AH4" s="26">
        <f>AG4/('Portfolio Ned'!F7*'Portfolio Ned'!G7)</f>
        <v>4.9071075524404519E-2</v>
      </c>
    </row>
    <row r="5" spans="1:35">
      <c r="A5" s="115" t="str">
        <f>'Portfolio Ned'!A:A</f>
        <v>Samsung</v>
      </c>
      <c r="D5" s="7">
        <f>58*6.77</f>
        <v>392.65999999999997</v>
      </c>
      <c r="E5" s="7"/>
      <c r="F5" s="7"/>
      <c r="G5" s="7">
        <f>58*6.77</f>
        <v>392.65999999999997</v>
      </c>
      <c r="H5" s="7"/>
      <c r="I5" s="7"/>
      <c r="J5" s="7">
        <f>58*6.77</f>
        <v>392.65999999999997</v>
      </c>
      <c r="K5" s="7"/>
      <c r="L5" s="7"/>
      <c r="M5" s="7">
        <f>58*6.77</f>
        <v>392.65999999999997</v>
      </c>
      <c r="N5" s="20">
        <f>SUM(B5:L5)</f>
        <v>1177.98</v>
      </c>
      <c r="O5" s="21">
        <v>7.798</v>
      </c>
      <c r="P5" s="22" t="s">
        <v>221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Ned'!F5*'Portfolio Ned'!G5)</f>
        <v>2.4542205100815177E-2</v>
      </c>
      <c r="AB5" s="11" t="s">
        <v>91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Ned'!G5*AE5*((1+AF5)^10)*0.75</f>
        <v>362.30190279571673</v>
      </c>
      <c r="AH5" s="26">
        <f>AG5/('Portfolio Ned'!F5*'Portfolio Ned'!G5)</f>
        <v>7.5482500609756389E-3</v>
      </c>
    </row>
    <row r="6" spans="1:35">
      <c r="A6" s="115" t="str">
        <f>'Portfolio Ned'!A:A</f>
        <v>Brookfield Corp</v>
      </c>
      <c r="B6" s="7">
        <f>'Portfolio Ned'!$G6*$O$6*$AC$8*0.85</f>
        <v>19.800641025641024</v>
      </c>
      <c r="C6" s="6"/>
      <c r="E6" s="7">
        <f>'Portfolio Ned'!$G6*$O$6*$AC$8*0.85</f>
        <v>19.800641025641024</v>
      </c>
      <c r="F6" s="6"/>
      <c r="G6" s="6"/>
      <c r="H6" s="7">
        <f>'Portfolio Ned'!$G6*$O$6*$AC$8*0.85</f>
        <v>19.800641025641024</v>
      </c>
      <c r="I6" s="6"/>
      <c r="J6" s="6"/>
      <c r="K6" s="7">
        <f>'Portfolio Ned'!$G6*$O$6*$AC$8*0.85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222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Ned'!F6*'Portfolio Ned'!G6)</f>
        <v>1.5400669694050731E-2</v>
      </c>
      <c r="AB6" s="11" t="s">
        <v>38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Ned'!G6*AE6*((1+AF6)^10)*0.75</f>
        <v>233.35441935265169</v>
      </c>
      <c r="AH6" s="26">
        <f>AG6/('Portfolio Ned'!F6*'Portfolio Ned'!G6)</f>
        <v>4.5374974596066674E-2</v>
      </c>
    </row>
    <row r="7" spans="1:35">
      <c r="A7" s="115" t="str">
        <f>'Portfolio Ned'!A:A</f>
        <v>BASF</v>
      </c>
      <c r="B7" s="6"/>
      <c r="C7" s="7"/>
      <c r="D7" s="6"/>
      <c r="E7" s="6"/>
      <c r="F7" s="7">
        <f>'Portfolio Ned'!$G$7*$O$7*$AC$3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223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246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5" t="str">
        <f>'Portfolio Ned'!A:A</f>
        <v>NVIDIA</v>
      </c>
      <c r="B8" s="6"/>
      <c r="C8" s="7">
        <f>'Portfolio Ned'!$G$8*$O$8*$AC$2*0.85</f>
        <v>4.4958677685950414</v>
      </c>
      <c r="D8" s="6"/>
      <c r="E8" s="6"/>
      <c r="F8" s="7">
        <f>'Portfolio Ned'!$G$8*$O$8*$AC$2*0.85</f>
        <v>4.4958677685950414</v>
      </c>
      <c r="G8" s="6"/>
      <c r="H8" s="6"/>
      <c r="I8" s="7">
        <f>'Portfolio Ned'!$G$8*$O$8*$AC$2*0.85</f>
        <v>4.4958677685950414</v>
      </c>
      <c r="J8" s="6"/>
      <c r="K8" s="6"/>
      <c r="L8" s="7">
        <f>'Portfolio Ned'!$G$8*$O$8*$AC$2*0.85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224</v>
      </c>
      <c r="Q8" s="23" t="e">
        <f>SUM(H2:H156)</f>
        <v>#REF!</v>
      </c>
      <c r="S8" s="24">
        <v>43593</v>
      </c>
      <c r="U8" s="17"/>
      <c r="V8" s="26">
        <f>N8/('Portfolio Ned'!F7*'Portfolio Ned'!G7)</f>
        <v>2.6229396476755156E-3</v>
      </c>
      <c r="AB8" s="11" t="s">
        <v>58</v>
      </c>
      <c r="AC8" s="11">
        <f>1/1.56</f>
        <v>0.64102564102564097</v>
      </c>
      <c r="AF8" s="26"/>
      <c r="AG8" s="27">
        <f>'Portfolio Ned'!G11*AE9*((1+AF8)^10)*0.75</f>
        <v>26.18181818181818</v>
      </c>
      <c r="AH8" s="26">
        <f>AG8/('Portfolio Ned'!F11*'Portfolio Ned'!G11)</f>
        <v>2.5155184732216585E-3</v>
      </c>
    </row>
    <row r="9" spans="1:35">
      <c r="A9" s="115" t="str">
        <f>'Portfolio Ned'!A:A</f>
        <v>Rexford Realty</v>
      </c>
      <c r="C9" s="7">
        <f>'Portfolio Ned'!$G$9*$O$9*$AC$2*0.85</f>
        <v>8.7880165289256205</v>
      </c>
      <c r="D9" s="7"/>
      <c r="E9" s="6"/>
      <c r="F9" s="7">
        <f>'Portfolio Ned'!$G$9*$O$9*$AC$2*0.85</f>
        <v>8.7880165289256205</v>
      </c>
      <c r="G9" s="7"/>
      <c r="H9" s="6"/>
      <c r="I9" s="7">
        <f>'Portfolio Ned'!$G$9*$O$9*$AC$2*0.85</f>
        <v>8.7880165289256205</v>
      </c>
      <c r="J9" s="7"/>
      <c r="K9" s="6"/>
      <c r="L9" s="7">
        <f>'Portfolio Ned'!$G$9*$O$9*$AC$2*0.85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225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Ned'!F8*'Portfolio Ned'!G8)</f>
        <v>2.3614178500404731E-2</v>
      </c>
      <c r="AB9" s="11" t="s">
        <v>72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Ned'!G8*AE10*((1+AF9)^10)*0.75</f>
        <v>1598.6885344980008</v>
      </c>
      <c r="AH9" s="26">
        <f>AG9/('Portfolio Ned'!F8*'Portfolio Ned'!G8)</f>
        <v>1.0739544098468365</v>
      </c>
    </row>
    <row r="10" spans="1:35">
      <c r="A10" s="115">
        <f>'Portfolio Ned'!A:A</f>
        <v>0</v>
      </c>
      <c r="D10" s="7">
        <f>'Portfolio Ned'!$G$10*$O$10*$AC$2*0.85</f>
        <v>0</v>
      </c>
      <c r="G10" s="7">
        <f>'Portfolio Ned'!$G$10*$O$10*$AC$2*0.85</f>
        <v>0</v>
      </c>
      <c r="J10" s="7">
        <f>'Portfolio Ned'!$G$10*$O$10*$AC$2*0.85</f>
        <v>0</v>
      </c>
      <c r="M10" s="7">
        <f>'Portfolio Ned'!$G$10*$O$10*$AC$2*0.85</f>
        <v>0</v>
      </c>
      <c r="N10" s="20">
        <f t="shared" si="1"/>
        <v>0</v>
      </c>
      <c r="O10" s="33">
        <v>1.29</v>
      </c>
      <c r="P10" s="22" t="s">
        <v>226</v>
      </c>
      <c r="Q10" s="23" t="e">
        <f>SUM(J2:J158)</f>
        <v>#REF!</v>
      </c>
      <c r="R10" s="35" t="s">
        <v>247</v>
      </c>
      <c r="S10" s="32">
        <v>43634</v>
      </c>
      <c r="T10" s="24">
        <v>43729</v>
      </c>
      <c r="U10" s="25" t="s">
        <v>248</v>
      </c>
      <c r="V10" s="26">
        <f>N10/('Portfolio Ned'!F31*'Portfolio Ned'!G31)</f>
        <v>0</v>
      </c>
      <c r="AB10" s="11"/>
      <c r="AC10" s="11"/>
      <c r="AE10" s="7">
        <f>2.26/1.1</f>
        <v>2.0545454545454542</v>
      </c>
      <c r="AF10" s="26">
        <v>0.03</v>
      </c>
      <c r="AG10" s="27">
        <f>'Portfolio Ned'!G39*AE10*((1+AF10)^10)*0.75</f>
        <v>12.425117798117924</v>
      </c>
      <c r="AH10" s="26">
        <f>AG10/('Portfolio Ned'!F39*'Portfolio Ned'!G39)</f>
        <v>3.1645063666763257E-2</v>
      </c>
    </row>
    <row r="11" spans="1:35">
      <c r="A11" s="11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227</v>
      </c>
      <c r="Q11" s="23" t="e">
        <f>SUM(K2:K159)</f>
        <v>#REF!</v>
      </c>
      <c r="S11" s="24">
        <v>43584</v>
      </c>
      <c r="U11" s="17"/>
      <c r="V11" s="26" t="e">
        <f>N11/('Portfolio Ned'!F10*'Portfolio Ned'!G10)</f>
        <v>#DIV/0!</v>
      </c>
      <c r="AE11" s="7">
        <f>5/AA49</f>
        <v>4.545454545454545</v>
      </c>
      <c r="AF11" s="26">
        <v>7.0000000000000007E-2</v>
      </c>
      <c r="AG11" s="27">
        <f>'Portfolio Ned'!G10*AE11*((1+AF11)^10)*0.75</f>
        <v>0</v>
      </c>
      <c r="AH11" s="26" t="e">
        <f>AG11/('Portfolio Ned'!F10*'Portfolio Ned'!G10)</f>
        <v>#DIV/0!</v>
      </c>
    </row>
    <row r="12" spans="1:35">
      <c r="A12" s="115" t="str">
        <f>'Portfolio Ned'!A:A</f>
        <v>Prosus NV</v>
      </c>
      <c r="B12" s="6"/>
      <c r="C12" s="6"/>
      <c r="D12" s="12"/>
      <c r="E12" s="7"/>
      <c r="G12" s="12"/>
      <c r="H12" s="7">
        <f>'Portfolio Ned'!$G$12*$O$12*$AC$3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228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Ned'!G58*AE12*((1+AF12)^10)*0.75</f>
        <v>104.18410032868516</v>
      </c>
      <c r="AH12" s="26">
        <f>AG12/('Portfolio Ned'!F58*'Portfolio Ned'!G58)</f>
        <v>4.4856476183801522E-2</v>
      </c>
    </row>
    <row r="13" spans="1:35">
      <c r="A13" s="115" t="str">
        <f>'Portfolio Ned'!A:A</f>
        <v>Texas Instruments</v>
      </c>
      <c r="B13" s="7">
        <f>'Portfolio Ned'!$G$30*$O$13*$AC$2*0.85</f>
        <v>68.491735537190081</v>
      </c>
      <c r="C13" s="6"/>
      <c r="D13" s="7">
        <f>'Portfolio Ned'!$G$30*$O$13*$AC$2*0.85</f>
        <v>68.491735537190081</v>
      </c>
      <c r="G13" s="7">
        <f>'Portfolio Ned'!$G$30*$O$13*$AC$2*0.85</f>
        <v>68.491735537190081</v>
      </c>
      <c r="J13" s="7">
        <f>'Portfolio Ned'!$G$30*$O$13*$AC$2*0.85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229</v>
      </c>
      <c r="Q13" s="23" t="e">
        <f>SUM(M2:M161)</f>
        <v>#REF!</v>
      </c>
      <c r="T13" s="24"/>
      <c r="U13" s="17"/>
      <c r="V13" s="26">
        <f>N13/('Portfolio Ned'!F11*'Portfolio Ned'!G11)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5">
        <f>'Portfolio Ned'!A:A</f>
        <v>0</v>
      </c>
      <c r="B14" s="6"/>
      <c r="C14" s="6"/>
      <c r="D14" s="6"/>
      <c r="E14" s="7">
        <f>'Portfolio Ned'!$G$26*$O$14*$AC6*0.7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249</v>
      </c>
      <c r="Q14" s="37" t="e">
        <f>SUM(B2:M400)</f>
        <v>#REF!</v>
      </c>
      <c r="R14" s="35"/>
      <c r="S14" s="35"/>
      <c r="U14" s="32">
        <v>43788</v>
      </c>
      <c r="V14" s="26">
        <f>N14/('Portfolio Ned'!F12*'Portfolio Ned'!G12)</f>
        <v>5.1727565706325045E-3</v>
      </c>
      <c r="AE14" s="7"/>
      <c r="AF14" s="26"/>
      <c r="AG14" s="27">
        <f>'Portfolio Ned'!G4*AE14*((1+AF14)^10)*0.75</f>
        <v>0</v>
      </c>
      <c r="AH14" s="26">
        <f>AG14/('Portfolio Ned'!F4*'Portfolio Ned'!G4)</f>
        <v>0</v>
      </c>
    </row>
    <row r="15" spans="1:35">
      <c r="A15" s="115">
        <f>'Portfolio Ned'!A:A</f>
        <v>0</v>
      </c>
      <c r="N15" s="20">
        <f>SUM(B19:M19)</f>
        <v>79.409090909090935</v>
      </c>
      <c r="P15" s="38" t="s">
        <v>250</v>
      </c>
      <c r="Q15" s="39" t="e">
        <f>(Q14-801)*0.72+801</f>
        <v>#REF!</v>
      </c>
      <c r="R15" s="35" t="s">
        <v>251</v>
      </c>
      <c r="S15" s="35" t="s">
        <v>251</v>
      </c>
      <c r="T15" s="35" t="s">
        <v>251</v>
      </c>
      <c r="U15" s="35" t="s">
        <v>251</v>
      </c>
      <c r="V15" s="26">
        <f>N15/('Portfolio Ned'!F19*'Portfolio Ned'!G19)</f>
        <v>4.3816747177117983E-2</v>
      </c>
      <c r="AE15" s="7"/>
      <c r="AF15" s="26"/>
      <c r="AG15" s="27">
        <f>'Portfolio Ned'!G12*AE15*((1+AF15)^10)*0.75</f>
        <v>0</v>
      </c>
      <c r="AH15" s="26">
        <f>AG15/('Portfolio Ned'!F12*'Portfolio Ned'!G12)</f>
        <v>0</v>
      </c>
    </row>
    <row r="16" spans="1:35">
      <c r="A16" s="115">
        <f>'Portfolio Ned'!A:A</f>
        <v>0</v>
      </c>
      <c r="B16" s="6"/>
      <c r="C16" s="6"/>
      <c r="D16" s="6"/>
      <c r="E16" s="6"/>
      <c r="F16" s="7">
        <f>'Portfolio Ned'!$G$16*$O$16*$AC$3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252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Ned'!F60*'Portfolio Ned'!G60)</f>
        <v>0</v>
      </c>
      <c r="AE16" s="7">
        <f>2.28/AA49</f>
        <v>2.0727272727272723</v>
      </c>
      <c r="AF16" s="26">
        <v>0.02</v>
      </c>
      <c r="AG16" s="27">
        <f>'Portfolio Ned'!G19*AE16*((1+AF16)^10)*0.75</f>
        <v>94.749111735956092</v>
      </c>
      <c r="AH16" s="26">
        <f>AG16/('Portfolio Ned'!F19*'Portfolio Ned'!G19)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Ned'!$G$17*$O$17*$AC$2*0.85</f>
        <v>6.1115702479338836</v>
      </c>
      <c r="G17" s="7">
        <f>'Portfolio Ned'!$G$17*$O$17*$AC$2*0.85</f>
        <v>6.1115702479338836</v>
      </c>
      <c r="J17" s="7">
        <f>'Portfolio Ned'!$G$17*$O$17*$AC$2*0.85</f>
        <v>6.1115702479338836</v>
      </c>
      <c r="M17" s="7">
        <f>'Portfolio Ned'!$G$17*$O$17*$AC$2*0.85</f>
        <v>6.1115702479338836</v>
      </c>
      <c r="N17" s="20">
        <f t="shared" si="1"/>
        <v>24.446280991735534</v>
      </c>
      <c r="O17" s="33">
        <v>0.87</v>
      </c>
      <c r="P17" s="42" t="s">
        <v>253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Ned'!G60*AE17*((1+AF17)^10)*0.75</f>
        <v>86.853352424626451</v>
      </c>
      <c r="AH17" s="26">
        <f>AG17/('Portfolio Ned'!F60*'Portfolio Ned'!G60)</f>
        <v>0.19386909023354118</v>
      </c>
    </row>
    <row r="18" spans="1:34">
      <c r="A18" s="5" t="str">
        <f>'Portfolio Ned'!A:A</f>
        <v>Ball Corp.</v>
      </c>
      <c r="D18" s="7">
        <f>'Portfolio Ned'!$G$18*$O$18*$AC$2*0.85</f>
        <v>1.4049586776859504</v>
      </c>
      <c r="F18" s="11"/>
      <c r="G18" s="7">
        <f>'Portfolio Ned'!$G$18*$O$18*$AC$2*0.85</f>
        <v>1.4049586776859504</v>
      </c>
      <c r="I18" s="11"/>
      <c r="J18" s="7">
        <f>'Portfolio Ned'!$G$18*$O$18*$AC$2*0.85</f>
        <v>1.4049586776859504</v>
      </c>
      <c r="L18" s="6"/>
      <c r="M18" s="7">
        <f>'Portfolio Ned'!$G$18*$O$18*$AC$2*0.85</f>
        <v>1.4049586776859504</v>
      </c>
      <c r="N18" s="20">
        <f t="shared" si="1"/>
        <v>5.6198347107438016</v>
      </c>
      <c r="O18" s="33">
        <v>0.2</v>
      </c>
      <c r="P18" s="43" t="s">
        <v>254</v>
      </c>
      <c r="Q18" s="43" t="e">
        <f t="shared" ref="Q18:Q19" si="2">Q14/12</f>
        <v>#REF!</v>
      </c>
      <c r="R18" s="35" t="s">
        <v>255</v>
      </c>
      <c r="S18" s="24">
        <v>43634</v>
      </c>
      <c r="T18" s="24">
        <v>43728</v>
      </c>
      <c r="U18" s="25" t="s">
        <v>256</v>
      </c>
      <c r="V18" s="26">
        <f>N18/('Portfolio Ned'!F18*'Portfolio Ned'!G18)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Ned'!$G$19*$O$20*$AC$2*0.85</f>
        <v>6.6735537190082646</v>
      </c>
      <c r="D19" s="7">
        <f>'Portfolio Ned'!$G$19*$O$20*$AC$2*0.85</f>
        <v>6.6735537190082646</v>
      </c>
      <c r="E19" s="7">
        <f>'Portfolio Ned'!$G$19*$O$20*$AC$2*0.85</f>
        <v>6.6735537190082646</v>
      </c>
      <c r="F19" s="7">
        <f>'Portfolio Ned'!$G$19*$O$20*$AC$2*0.85</f>
        <v>6.6735537190082646</v>
      </c>
      <c r="G19" s="7">
        <f>'Portfolio Ned'!$G$19*$O$20*$AC$2*0.85</f>
        <v>6.6735537190082646</v>
      </c>
      <c r="H19" s="7">
        <f>'Portfolio Ned'!$G$19*$O$20*$AC$2*0.85</f>
        <v>6.6735537190082646</v>
      </c>
      <c r="I19" s="7">
        <f>'Portfolio Ned'!$G$19*$O$20*$AC$2*0.85</f>
        <v>6.6735537190082646</v>
      </c>
      <c r="J19" s="7">
        <f>'Portfolio Ned'!$G$19*$O$20*$AC$2*0.85</f>
        <v>6.6735537190082646</v>
      </c>
      <c r="K19" s="7">
        <f>'Portfolio Ned'!$G$19*$O$20*$AC$2*0.85</f>
        <v>6.6735537190082646</v>
      </c>
      <c r="L19" s="7">
        <f>'Portfolio Ned'!$G$19*$O$20*$AC$2*0.85</f>
        <v>6.6735537190082646</v>
      </c>
      <c r="M19" s="7">
        <f>'Portfolio Ned'!$G$19*$O$20*$AC$2*0.85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257</v>
      </c>
      <c r="Q19" s="43" t="e">
        <f t="shared" si="2"/>
        <v>#REF!</v>
      </c>
      <c r="R19" s="35"/>
      <c r="S19" s="44">
        <v>43618</v>
      </c>
      <c r="T19" s="45"/>
      <c r="U19" s="25" t="s">
        <v>258</v>
      </c>
      <c r="V19" s="26">
        <f>N19/('Portfolio Ned'!F36*'Portfolio Ned'!G36)</f>
        <v>0.11652104315347166</v>
      </c>
      <c r="AE19" s="7">
        <f>0.6/AA49</f>
        <v>0.54545454545454541</v>
      </c>
      <c r="AF19" s="26">
        <v>0.08</v>
      </c>
      <c r="AG19" s="27">
        <f>'Portfolio Ned'!G18*AE19*((1+AF19)^10)*0.75</f>
        <v>8.8319658979341309</v>
      </c>
      <c r="AH19" s="26">
        <f>AG19/('Portfolio Ned'!F18*'Portfolio Ned'!G18)</f>
        <v>2.9518602600047225E-2</v>
      </c>
    </row>
    <row r="20" spans="1:34">
      <c r="A20" s="5" t="str">
        <f>'Portfolio Ned'!A:A</f>
        <v>Realty Income REIT</v>
      </c>
      <c r="B20" s="7">
        <f>'Portfolio Ned'!$G$20*$O$53*$AC$2*0.85</f>
        <v>25.974173553719012</v>
      </c>
      <c r="C20" s="7">
        <f>'Portfolio Ned'!$G$20*$O$53*$AC$2*0.85</f>
        <v>25.974173553719012</v>
      </c>
      <c r="D20" s="7">
        <f>'Portfolio Ned'!$G$20*$O$53*$AC$2*0.85</f>
        <v>25.974173553719012</v>
      </c>
      <c r="E20" s="7">
        <f>'Portfolio Ned'!$G$20*$O$53*$AC$2*0.85</f>
        <v>25.974173553719012</v>
      </c>
      <c r="F20" s="7">
        <f>'Portfolio Ned'!$G$20*$O$53*$AC$2*0.85</f>
        <v>25.974173553719012</v>
      </c>
      <c r="G20" s="7">
        <f>'Portfolio Ned'!$G$20*$O$53*$AC$2*0.85</f>
        <v>25.974173553719012</v>
      </c>
      <c r="H20" s="7">
        <f>'Portfolio Ned'!$G$20*$O$53*$AC$2*0.85</f>
        <v>25.974173553719012</v>
      </c>
      <c r="I20" s="7">
        <f>'Portfolio Ned'!$G$20*$O$53*$AC$2*0.85</f>
        <v>25.974173553719012</v>
      </c>
      <c r="J20" s="7">
        <f>'Portfolio Ned'!$G$20*$O$53*$AC$2*0.85</f>
        <v>25.974173553719012</v>
      </c>
      <c r="K20" s="7">
        <f>'Portfolio Ned'!$G$20*$O$53*$AC$2*0.85</f>
        <v>25.974173553719012</v>
      </c>
      <c r="L20" s="7">
        <f>'Portfolio Ned'!$G$20*$O$53*$AC$2*0.85</f>
        <v>25.974173553719012</v>
      </c>
      <c r="M20" s="7">
        <f>'Portfolio Ned'!$G$20*$O$53*$AC$2*0.85</f>
        <v>25.974173553719012</v>
      </c>
      <c r="N20" s="20">
        <f t="shared" si="1"/>
        <v>311.69008264462826</v>
      </c>
      <c r="O20" s="33">
        <v>0.19</v>
      </c>
      <c r="P20" s="43" t="s">
        <v>259</v>
      </c>
      <c r="Q20" s="46">
        <f>COUNTIF(B2:M500, "&gt;0.1")</f>
        <v>207</v>
      </c>
      <c r="R20" s="35"/>
      <c r="S20" s="32">
        <v>43559</v>
      </c>
      <c r="T20" s="35"/>
      <c r="U20" s="25"/>
      <c r="V20" s="26">
        <f>N20/('Portfolio Ned'!F52*'Portfolio Ned'!G52)</f>
        <v>0.75561232156273517</v>
      </c>
      <c r="AE20" s="7"/>
      <c r="AF20" s="26"/>
      <c r="AG20" s="27">
        <f>'Portfolio Ned'!G36*AE20*((1+AF20)^10)*0.75</f>
        <v>0</v>
      </c>
      <c r="AH20" s="26">
        <f>AG20/('Portfolio Ned'!F36*'Portfolio Ned'!G36)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Ned'!$G$21*$O$21*$AC6*0.7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260</v>
      </c>
      <c r="Q21" s="47">
        <f>SUM(B2:M12)</f>
        <v>2321.4476829785972</v>
      </c>
      <c r="R21" s="48"/>
      <c r="S21" s="32">
        <v>43592</v>
      </c>
      <c r="T21" s="35"/>
      <c r="U21" s="25"/>
      <c r="V21" s="26">
        <f>N21/('Portfolio Ned'!F21*'Portfolio Ned'!G21)</f>
        <v>0</v>
      </c>
      <c r="AE21" s="7"/>
      <c r="AF21" s="26"/>
      <c r="AG21" s="27">
        <f>'Portfolio Ned'!G52*AE21*((1+AF21)^10)*0.75</f>
        <v>0</v>
      </c>
      <c r="AH21" s="26">
        <f>AG21/('Portfolio Ned'!F52*'Portfolio Ned'!G52)</f>
        <v>0</v>
      </c>
    </row>
    <row r="22" spans="1:34">
      <c r="A22" s="5" t="str">
        <f>'Portfolio Ned'!A:A</f>
        <v>IBM</v>
      </c>
      <c r="B22" s="12"/>
      <c r="C22" s="6"/>
      <c r="D22" s="7">
        <f>'Portfolio Ned'!$G$22*$O$22*$AC$2*0.85</f>
        <v>6.9123966942148751</v>
      </c>
      <c r="F22" s="6"/>
      <c r="G22" s="7">
        <f>'Portfolio Ned'!$G$22*$O$22*$AC$2*0.85</f>
        <v>6.9123966942148751</v>
      </c>
      <c r="H22" s="6"/>
      <c r="I22" s="6"/>
      <c r="J22" s="7">
        <f>'Portfolio Ned'!$G$22*$O$22*$AC$2*0.85</f>
        <v>6.9123966942148751</v>
      </c>
      <c r="K22" s="6"/>
      <c r="L22" s="6"/>
      <c r="M22" s="7">
        <f>'Portfolio Ned'!$G$22*$O$22*$AC$2*0.85</f>
        <v>6.9123966942148751</v>
      </c>
      <c r="N22" s="20">
        <f t="shared" si="1"/>
        <v>27.649586776859501</v>
      </c>
      <c r="O22" s="33">
        <v>1.64</v>
      </c>
      <c r="P22" s="43" t="s">
        <v>261</v>
      </c>
      <c r="Q22" s="47" t="e">
        <f>SUM(B16:M78)</f>
        <v>#REF!</v>
      </c>
      <c r="R22" s="32" t="s">
        <v>262</v>
      </c>
      <c r="S22" s="32">
        <v>43629</v>
      </c>
      <c r="T22" s="32">
        <v>43721</v>
      </c>
      <c r="U22" s="25" t="s">
        <v>244</v>
      </c>
      <c r="V22" s="26">
        <f>N22/('Portfolio Ned'!F22*'Portfolio Ned'!G22)</f>
        <v>4.5986991685393545E-2</v>
      </c>
      <c r="AE22" s="7"/>
      <c r="AF22" s="26"/>
      <c r="AG22" s="27">
        <f>'Portfolio Ned'!G21*AE22*((1+AF22)^10)*0.75</f>
        <v>0</v>
      </c>
      <c r="AH22" s="26">
        <f>AG22/('Portfolio Ned'!F21*'Portfolio Ned'!G21)</f>
        <v>0</v>
      </c>
    </row>
    <row r="23" spans="1:34">
      <c r="A23" s="5" t="str">
        <f>'Portfolio Ned'!A:A</f>
        <v>Nike</v>
      </c>
      <c r="B23" s="7">
        <f>'Portfolio Ned'!$G$23*$O$23*$AC$2*0.85</f>
        <v>7.7975206611570247</v>
      </c>
      <c r="C23" s="6"/>
      <c r="E23" s="7">
        <f>'Portfolio Ned'!$G$23*$O$23*$AC$2*0.85</f>
        <v>7.7975206611570247</v>
      </c>
      <c r="F23" s="6"/>
      <c r="H23" s="7">
        <f>'Portfolio Ned'!$G$23*$O$23*$AC$2*0.85</f>
        <v>7.7975206611570247</v>
      </c>
      <c r="I23" s="6"/>
      <c r="K23" s="7">
        <f>'Portfolio Ned'!$G$23*$O$23*$AC$2*0.85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Ned'!F85*'Portfolio Ned'!G85)</f>
        <v>4.2234370541134866E-2</v>
      </c>
      <c r="AE23" s="7"/>
      <c r="AF23" s="26"/>
      <c r="AG23" s="27">
        <f>'Portfolio Ned'!G22*AE23*((1+AF23)^10)*0.75</f>
        <v>0</v>
      </c>
      <c r="AH23" s="26">
        <f>AG23/('Portfolio Ned'!F22*'Portfolio Ned'!G22)</f>
        <v>0</v>
      </c>
    </row>
    <row r="24" spans="1:34">
      <c r="A24" s="5">
        <f>'Portfolio Ned'!A:A</f>
        <v>0</v>
      </c>
      <c r="B24" s="12"/>
      <c r="C24" s="7">
        <f>'Portfolio Ned'!$G84*$O24*$AC$8*0.85</f>
        <v>46.314102564102555</v>
      </c>
      <c r="D24" s="7"/>
      <c r="E24" s="6"/>
      <c r="F24" s="6"/>
      <c r="G24" s="12"/>
      <c r="H24" s="6"/>
      <c r="I24" s="7">
        <f>'Portfolio Ned'!$G84*$O24*$AC$8*0.85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Ned'!F84*'Portfolio Ned'!G84)</f>
        <v>6.6662975982875211E-2</v>
      </c>
      <c r="AE24" s="7"/>
      <c r="AF24" s="26"/>
      <c r="AG24" s="27">
        <f>'Portfolio Ned'!G85*AE24*((1+AF24)^10)*0.75</f>
        <v>0</v>
      </c>
      <c r="AH24" s="26">
        <f>AG24/('Portfolio Ned'!F85*'Portfolio Ned'!G85)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Ned'!$G$25*$O$25*$AC$3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Ned'!F25*'Portfolio Ned'!G25)</f>
        <v>3.4954527481217877E-2</v>
      </c>
      <c r="AE25" s="7"/>
      <c r="AF25" s="26"/>
      <c r="AG25" s="27">
        <f>'Portfolio Ned'!G84*AE25*((1+AF25)^10)*0.75</f>
        <v>0</v>
      </c>
      <c r="AH25" s="26">
        <f>AG25/('Portfolio Ned'!F84*'Portfolio Ned'!G84)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263</v>
      </c>
      <c r="S26" s="32">
        <v>43620</v>
      </c>
      <c r="T26" s="32">
        <v>43707</v>
      </c>
      <c r="U26" s="25" t="s">
        <v>264</v>
      </c>
      <c r="V26" s="26">
        <f>N26/('Portfolio Ned'!F86*'Portfolio Ned'!G86)</f>
        <v>3.7647058823529408E-2</v>
      </c>
      <c r="AE26" s="7"/>
      <c r="AF26" s="26"/>
      <c r="AG26" s="27">
        <f>'Portfolio Ned'!G25*AE26*((1+AF26)^10)*0.75</f>
        <v>0</v>
      </c>
      <c r="AH26" s="26">
        <f>AG26/('Portfolio Ned'!F25*'Portfolio Ned'!G25)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Ned'!$G$27*$O$27*$AC$3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Ned'!F27*'Portfolio Ned'!G27)</f>
        <v>1.772566130351786E-2</v>
      </c>
      <c r="AE27" s="7"/>
      <c r="AF27" s="26"/>
      <c r="AG27" s="27">
        <f>'Portfolio Ned'!G86*AE27*((1+AF27)^10)*0.75</f>
        <v>0</v>
      </c>
      <c r="AH27" s="26">
        <f>AG27/('Portfolio Ned'!F86*'Portfolio Ned'!G86)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Ned'!$G$28*$O$28*$AC$2*0.85</f>
        <v>10.818181818181818</v>
      </c>
      <c r="E28" s="6"/>
      <c r="F28" s="6"/>
      <c r="G28" s="7">
        <f>'Portfolio Ned'!$G$28*$O$28*$AC$2*0.85</f>
        <v>10.818181818181818</v>
      </c>
      <c r="H28" s="6"/>
      <c r="I28" s="6"/>
      <c r="J28" s="7">
        <f>'Portfolio Ned'!$G$28*$O$28*$AC$2*0.85</f>
        <v>10.818181818181818</v>
      </c>
      <c r="K28" s="6"/>
      <c r="L28" s="6"/>
      <c r="M28" s="7">
        <f>'Portfolio Ned'!$G$28*$O$28*$AC$2*0.85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255</v>
      </c>
      <c r="S28" s="32">
        <v>43634</v>
      </c>
      <c r="T28" s="32">
        <v>43728</v>
      </c>
      <c r="U28" s="25" t="s">
        <v>256</v>
      </c>
      <c r="V28" s="26">
        <f>N28/('Portfolio Ned'!F28*'Portfolio Ned'!G28)</f>
        <v>2.7976549069162613E-2</v>
      </c>
      <c r="AE28" s="7"/>
      <c r="AF28" s="26"/>
      <c r="AG28" s="27">
        <f>'Portfolio Ned'!G27*AE28*((1+AF28)^10)*0.75</f>
        <v>0</v>
      </c>
      <c r="AH28" s="26">
        <f>AG28/('Portfolio Ned'!F27*'Portfolio Ned'!G27)</f>
        <v>0</v>
      </c>
    </row>
    <row r="29" spans="1:34">
      <c r="A29" s="5" t="str">
        <f>'Portfolio Ned'!A:A</f>
        <v>Sony Corp</v>
      </c>
      <c r="E29" s="7">
        <f>'Portfolio Ned'!$G29*$O29*$AC$4*0.85</f>
        <v>3.893129770992366</v>
      </c>
      <c r="G29" s="7"/>
      <c r="H29" s="6"/>
      <c r="I29" s="6"/>
      <c r="J29" s="6"/>
      <c r="K29" s="7">
        <f>'Portfolio Ned'!$G29*$O29*$AC$4*0.85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Ned'!F29*'Portfolio Ned'!G29)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Ned'!$G$31*$O$30*$AC$2*0.85</f>
        <v>3.3789256198347104</v>
      </c>
      <c r="D30" s="6"/>
      <c r="E30" s="6"/>
      <c r="F30" s="7">
        <f>'Portfolio Ned'!$G$31*$O$30*$AC$2*0.85</f>
        <v>3.3789256198347104</v>
      </c>
      <c r="G30" s="6"/>
      <c r="H30" s="6"/>
      <c r="I30" s="7">
        <f>'Portfolio Ned'!$G$31*$O$30*$AC$2*0.85</f>
        <v>3.3789256198347104</v>
      </c>
      <c r="J30" s="6"/>
      <c r="K30" s="6"/>
      <c r="L30" s="7">
        <f>'Portfolio Ned'!$G$31*$O$30*$AC$2*0.85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Ned'!F105*'Portfolio Ned'!G105)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Ned'!G28*AE30*((1+AF30)^10)*0.75</f>
        <v>0</v>
      </c>
      <c r="AH30" s="26">
        <f>AG30/('Portfolio Ned'!F28*'Portfolio Ned'!G28)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Ned'!$G$87*$O$31*$AC$9*0.85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Ned'!F87*'Portfolio Ned'!G87)</f>
        <v>1.7671887563330543E-2</v>
      </c>
      <c r="Y31" s="9" t="e">
        <f t="shared" si="4"/>
        <v>#REF!</v>
      </c>
      <c r="AE31" s="7"/>
      <c r="AF31" s="26"/>
      <c r="AG31" s="27">
        <f>'Portfolio Ned'!G29*AE31*((1+AF31)^10)*0.75</f>
        <v>0</v>
      </c>
      <c r="AH31" s="26">
        <f>AG31/('Portfolio Ned'!F29*'Portfolio Ned'!G29)</f>
        <v>0</v>
      </c>
    </row>
    <row r="32" spans="1:34">
      <c r="A32" s="5" t="str">
        <f>'Portfolio Ned'!A:A</f>
        <v>3M</v>
      </c>
      <c r="B32" s="6"/>
      <c r="C32" s="6"/>
      <c r="D32" s="7">
        <f>'Portfolio Ned'!$G$32*$O$32*$AC$2*0.85</f>
        <v>31.190082644628099</v>
      </c>
      <c r="E32" s="6"/>
      <c r="F32" s="6"/>
      <c r="G32" s="7">
        <f>'Portfolio Ned'!$G$32*$O$32*$AC$2*0.85</f>
        <v>31.190082644628099</v>
      </c>
      <c r="H32" s="6"/>
      <c r="I32" s="6"/>
      <c r="J32" s="7">
        <f>'Portfolio Ned'!$G$32*$O$32*$AC$2*0.85</f>
        <v>31.190082644628099</v>
      </c>
      <c r="K32" s="6"/>
      <c r="L32" s="6"/>
      <c r="M32" s="7">
        <f>'Portfolio Ned'!$G$32*$O$32*$AC$2*0.85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Ned'!F32*'Portfolio Ned'!G32)</f>
        <v>3.4609213355002152E-2</v>
      </c>
      <c r="Y32" s="9" t="e">
        <f t="shared" si="4"/>
        <v>#REF!</v>
      </c>
      <c r="AE32" s="7"/>
      <c r="AF32" s="26"/>
      <c r="AG32" s="27">
        <f>'Portfolio Ned'!G105*AE32*((1+AF32)^10)*0.75</f>
        <v>0</v>
      </c>
      <c r="AH32" s="26">
        <f>AG32/('Portfolio Ned'!F105*'Portfolio Ned'!G105)</f>
        <v>0</v>
      </c>
    </row>
    <row r="33" spans="1:34">
      <c r="A33" s="5" t="str">
        <f>'Portfolio Ned'!A:A</f>
        <v>Exxon Mobil Corp</v>
      </c>
      <c r="B33" s="7">
        <f>'Portfolio Ned'!$G33*$O$33*$AC$2*0.85</f>
        <v>10.50909090909091</v>
      </c>
      <c r="C33" s="6"/>
      <c r="D33" s="7"/>
      <c r="E33" s="7">
        <f>'Portfolio Ned'!$G33*$O$33*$AC$2*0.85</f>
        <v>10.50909090909091</v>
      </c>
      <c r="F33" s="6"/>
      <c r="G33" s="7"/>
      <c r="H33" s="7">
        <f>'Portfolio Ned'!$G33*$O$33*$AC$2*0.85</f>
        <v>10.50909090909091</v>
      </c>
      <c r="I33" s="6"/>
      <c r="K33" s="7">
        <f>'Portfolio Ned'!$G33*$O$33*$AC$2*0.85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Ned'!F33*'Portfolio Ned'!G33)</f>
        <v>3.6766284490961747E-2</v>
      </c>
      <c r="Y33" s="9" t="e">
        <f t="shared" si="4"/>
        <v>#REF!</v>
      </c>
      <c r="AE33" s="7"/>
      <c r="AF33" s="26"/>
      <c r="AG33" s="27">
        <f>'Portfolio Ned'!G87*AE33*((1+AF33)^10)*0.75</f>
        <v>0</v>
      </c>
      <c r="AH33" s="26">
        <f>AG33/('Portfolio Ned'!F87*'Portfolio Ned'!G87)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Ned'!$G$34*$O$34*$AC$2*0.85</f>
        <v>2.5289256198347108</v>
      </c>
      <c r="E34" s="6"/>
      <c r="F34" s="6"/>
      <c r="G34" s="7">
        <f>'Portfolio Ned'!$G$34*$O$34*$AC$2*0.85</f>
        <v>2.5289256198347108</v>
      </c>
      <c r="H34" s="6"/>
      <c r="I34" s="6"/>
      <c r="J34" s="7">
        <f>'Portfolio Ned'!$G$34*$O$34*$AC$2*0.85</f>
        <v>2.5289256198347108</v>
      </c>
      <c r="K34" s="6"/>
      <c r="M34" s="7">
        <f>'Portfolio Ned'!$G$34*$O$34*$AC$2*0.85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Ned'!F34*'Portfolio Ned'!G34)</f>
        <v>1.3639088184630896E-2</v>
      </c>
      <c r="Y34" s="9" t="e">
        <f t="shared" si="4"/>
        <v>#REF!</v>
      </c>
      <c r="AE34" s="7"/>
      <c r="AF34" s="26"/>
      <c r="AG34" s="27">
        <f>'Portfolio Ned'!G32*AE34*((1+AF34)^10)*0.75</f>
        <v>0</v>
      </c>
      <c r="AH34" s="26">
        <f>AG34/('Portfolio Ned'!F32*'Portfolio Ned'!G32)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Ned'!$G$35*$O$35*$AC$2*0.85</f>
        <v>1.1801652892561985</v>
      </c>
      <c r="E35" s="6"/>
      <c r="F35" s="6"/>
      <c r="G35" s="7">
        <f>'Portfolio Ned'!$G$35*$O$35*$AC$2*0.85</f>
        <v>1.1801652892561985</v>
      </c>
      <c r="H35" s="6"/>
      <c r="I35" s="6"/>
      <c r="J35" s="7">
        <f>'Portfolio Ned'!$G$35*$O$35*$AC$2*0.85</f>
        <v>1.1801652892561985</v>
      </c>
      <c r="K35" s="6"/>
      <c r="M35" s="7">
        <f>'Portfolio Ned'!$G$35*$O$35*$AC$2*0.85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Ned'!F35*'Portfolio Ned'!G35)</f>
        <v>1.9094980505804028E-2</v>
      </c>
      <c r="Y35" s="9" t="e">
        <f t="shared" si="4"/>
        <v>#REF!</v>
      </c>
      <c r="AE35" s="7"/>
      <c r="AF35" s="26"/>
      <c r="AG35" s="27">
        <f>'Portfolio Ned'!G33*AE35*((1+AF35)^10)*0.75</f>
        <v>0</v>
      </c>
      <c r="AH35" s="26">
        <f>AG35/('Portfolio Ned'!F33*'Portfolio Ned'!G33)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Ned'!G34*AE36*((1+AF36)^10)*0.75</f>
        <v>0</v>
      </c>
      <c r="AH36" s="26">
        <f>AG36/('Portfolio Ned'!F34*'Portfolio Ned'!G34)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Ned'!$G$101*$O$37*$AC$3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Ned'!F101*'Portfolio Ned'!G101)</f>
        <v>#DIV/0!</v>
      </c>
      <c r="Y37" s="9" t="e">
        <f t="shared" si="4"/>
        <v>#REF!</v>
      </c>
      <c r="AE37" s="7"/>
      <c r="AF37" s="26"/>
      <c r="AG37" s="27">
        <f>'Portfolio Ned'!G35*AE37*((1+AF37)^10)*0.75</f>
        <v>0</v>
      </c>
      <c r="AH37" s="26">
        <f>AG37/('Portfolio Ned'!F35*'Portfolio Ned'!G35)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Ned'!$G$38*$O$38*$AC$3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Ned'!F38*'Portfolio Ned'!G38)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Ned'!$G39*$O39*$AC6*0.7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265</v>
      </c>
      <c r="V39" s="26">
        <f>N39/('Portfolio Ned'!F39*'Portfolio Ned'!G39)</f>
        <v>3.5299511002444987E-2</v>
      </c>
      <c r="Y39" s="9" t="e">
        <f t="shared" si="4"/>
        <v>#REF!</v>
      </c>
      <c r="AE39" s="7"/>
      <c r="AF39" s="26"/>
      <c r="AG39" s="27">
        <f>'Portfolio Ned'!G101*AE39*((1+AF39)^10)*0.75</f>
        <v>0</v>
      </c>
      <c r="AH39" s="26" t="e">
        <f>AG39/('Portfolio Ned'!F101*'Portfolio Ned'!G101)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Ned'!$G$40*$O$40*$AC$4*0.8465</f>
        <v>10.662022900763359</v>
      </c>
      <c r="H40" s="6"/>
      <c r="I40" s="6"/>
      <c r="J40" s="7"/>
      <c r="K40" s="6"/>
      <c r="L40" s="7">
        <f>'Portfolio Ned'!$G$40*$O$40*$AC$4*0.8465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Ned'!F40*'Portfolio Ned'!G40)</f>
        <v>7.8722100586156914E-3</v>
      </c>
      <c r="Y40" s="9" t="e">
        <f t="shared" si="4"/>
        <v>#REF!</v>
      </c>
      <c r="AE40" s="7"/>
      <c r="AF40" s="26"/>
      <c r="AG40" s="27">
        <f>'Portfolio Ned'!G38*AE40*((1+AF40)^10)*0.75</f>
        <v>0</v>
      </c>
      <c r="AH40" s="26">
        <f>AG40/('Portfolio Ned'!F38*'Portfolio Ned'!G38)</f>
        <v>0</v>
      </c>
    </row>
    <row r="41" spans="1:34">
      <c r="A41" s="5" t="str">
        <f>'Portfolio Ned'!A:A</f>
        <v>BP PLC</v>
      </c>
      <c r="D41" s="7">
        <f>'Portfolio Ned'!$G$41*$O$41*$AC$5*0.85</f>
        <v>5.9942000000000002</v>
      </c>
      <c r="G41" s="7">
        <f>'Portfolio Ned'!$G$41*$O$41*$AC$5*0.85</f>
        <v>5.9942000000000002</v>
      </c>
      <c r="J41" s="7">
        <f>'Portfolio Ned'!$G$41*$O$41*$AC$5*0.85</f>
        <v>5.9942000000000002</v>
      </c>
      <c r="M41" s="7">
        <f>'Portfolio Ned'!$G$41*$O$41*$AC$5*0.85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Ned'!F41*'Portfolio Ned'!G41)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Ned'!$G9*$O42*$AC$2*0.85</f>
        <v>5.0578512396694215</v>
      </c>
      <c r="E42" s="7">
        <f>'Portfolio Ned'!$G9*$O42*$AC$2*0.85</f>
        <v>5.0578512396694215</v>
      </c>
      <c r="H42" s="7">
        <f>'Portfolio Ned'!$G9*$O42*$AC$2*0.85</f>
        <v>5.0578512396694215</v>
      </c>
      <c r="K42" s="7">
        <f>'Portfolio Ned'!$G9*$O42*$AC$2*0.85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 t="e">
        <f>N42/('Portfolio Ned'!#REF!*'Portfolio Ned'!G9)</f>
        <v>#REF!</v>
      </c>
      <c r="Y42" s="9" t="e">
        <f t="shared" si="4"/>
        <v>#REF!</v>
      </c>
      <c r="AE42" s="7"/>
      <c r="AF42" s="26"/>
      <c r="AG42" s="27">
        <f>'Portfolio Ned'!G31*AE42*((1+AF42)^10)*0.75</f>
        <v>0</v>
      </c>
      <c r="AH42" s="26">
        <f>AG42/('Portfolio Ned'!F31*'Portfolio Ned'!G31)</f>
        <v>0</v>
      </c>
    </row>
    <row r="43" spans="1:34">
      <c r="A43" s="5" t="str">
        <f>'Portfolio Ned'!A:A</f>
        <v>Royal Dutch Shell</v>
      </c>
      <c r="D43" s="7">
        <f>'Portfolio Ned'!$G$43*$O$43*$AC$2*0.85</f>
        <v>6.3981818181818184</v>
      </c>
      <c r="G43" s="7">
        <f>'Portfolio Ned'!$G$43*$O$43*$AC$2*0.85</f>
        <v>6.3981818181818184</v>
      </c>
      <c r="J43" s="7">
        <f>'Portfolio Ned'!$G$43*$O$43*$AC$2*0.85</f>
        <v>6.3981818181818184</v>
      </c>
      <c r="M43" s="7">
        <f>'Portfolio Ned'!$G$43*$O$43*$AC$2*0.85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Ned'!F43*'Portfolio Ned'!G43)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Ned'!G40*AE43*((1+AF43)^10)*0.75</f>
        <v>45.669567250001279</v>
      </c>
      <c r="AH43" s="26">
        <f>AG43/('Portfolio Ned'!F40*'Portfolio Ned'!G40)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Ned'!F44*'Portfolio Ned'!G44)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Ned'!G41*AE44*((1+AF44)^10)*0.75</f>
        <v>64.645118120508528</v>
      </c>
      <c r="AH44" s="26">
        <f>AG44/('Portfolio Ned'!F41*'Portfolio Ned'!G41)</f>
        <v>5.8836218288850335E-2</v>
      </c>
    </row>
    <row r="45" spans="1:34">
      <c r="A45" s="5" t="str">
        <f>'Portfolio Ned'!A:A</f>
        <v>Diageo</v>
      </c>
      <c r="D45" s="7">
        <f>'Portfolio Ned'!$G45*$O45*$AC$5*0.85</f>
        <v>3.9474</v>
      </c>
      <c r="E45" s="7"/>
      <c r="I45" s="7">
        <f>'Portfolio Ned'!$G45*$O45*$AC$5*0.85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Ned'!F45*'Portfolio Ned'!G45)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Ned'!G9*AE45*((1+AF45)^10)*0.75</f>
        <v>32.678273822356289</v>
      </c>
      <c r="AH45" s="26" t="e">
        <f>AG45/('Portfolio Ned'!#REF!*'Portfolio Ned'!G9)</f>
        <v>#REF!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Ned'!F100*'Portfolio Ned'!G100)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Ned'!G43*AE46*((1+AF46)^10)*0.75</f>
        <v>60.631673979989159</v>
      </c>
      <c r="AH46" s="26" t="e">
        <f>AG46/('Portfolio Ned'!#REF!*'Portfolio Ned'!G9)</f>
        <v>#REF!</v>
      </c>
    </row>
    <row r="47" spans="1:34">
      <c r="A47" s="5" t="str">
        <f>'Portfolio Ned'!A:A</f>
        <v>JP Morgan</v>
      </c>
      <c r="B47" s="7"/>
      <c r="C47" s="7">
        <f>'Portfolio Ned'!$G$47*$O$47*$AC$2*0.85</f>
        <v>3.1611570247933884</v>
      </c>
      <c r="D47" s="7"/>
      <c r="E47" s="7"/>
      <c r="F47" s="7">
        <f>'Portfolio Ned'!$G$47*$O$47*$AC$2*0.85</f>
        <v>3.1611570247933884</v>
      </c>
      <c r="G47" s="7"/>
      <c r="H47" s="7"/>
      <c r="I47" s="7">
        <f>'Portfolio Ned'!$G$47*$O$47*$AC$2*0.85</f>
        <v>3.1611570247933884</v>
      </c>
      <c r="J47" s="7"/>
      <c r="K47" s="7"/>
      <c r="L47" s="7">
        <f>'Portfolio Ned'!$G$47*$O$47*$AC$2*0.85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Ned'!F47*'Portfolio Ned'!G47)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Ned'!G44*AE47*((1+AF47)^10)*0.75</f>
        <v>0</v>
      </c>
      <c r="AH47" s="26" t="e">
        <f>AG47/(#REF!*'Portfolio Ned'!G43)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Ned'!$G$48*$O$48*$AC$3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Ned'!F48*'Portfolio Ned'!G48)</f>
        <v>3.6332170334089559E-2</v>
      </c>
      <c r="Y48" s="9" t="e">
        <f t="shared" si="4"/>
        <v>#REF!</v>
      </c>
      <c r="AA48" s="4" t="s">
        <v>266</v>
      </c>
      <c r="AE48" s="7"/>
      <c r="AF48" s="26">
        <v>5.0000000000000001E-3</v>
      </c>
      <c r="AG48" s="27">
        <f>'Portfolio Ned'!G45*AE48*((1+AF48)^10)*0.75</f>
        <v>0</v>
      </c>
      <c r="AH48" s="26">
        <f>AG48/('Portfolio Ned'!F44*'Portfolio Ned'!G44)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Ned'!$G49*$O49*$AC$3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Ned'!F49*'Portfolio Ned'!G49)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Ned'!G100*AE49*((1+AF49)^10)*0.75</f>
        <v>0</v>
      </c>
      <c r="AH49" s="26">
        <f>AG49/('Portfolio Ned'!F45*'Portfolio Ned'!G45)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Ned'!$G$50*$O$50*$AC$3*0.755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Ned'!F50*'Portfolio Ned'!G50)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Ned'!G47*AE50*((1+AF50)^10)*0.75</f>
        <v>19.990979510450419</v>
      </c>
      <c r="AH50" s="26">
        <f>AG50/('Portfolio Ned'!F100*'Portfolio Ned'!G100)</f>
        <v>1.2550407608006013E-2</v>
      </c>
    </row>
    <row r="51" spans="1:34">
      <c r="A51" s="5" t="str">
        <f>'Portfolio Ned'!A:A</f>
        <v>Danaher</v>
      </c>
      <c r="B51" s="7"/>
      <c r="C51" s="7">
        <f>'Portfolio Ned'!$G$51*$O$51*$AC$2*0.85</f>
        <v>0.73760330578512401</v>
      </c>
      <c r="D51" s="7"/>
      <c r="E51" s="7"/>
      <c r="F51" s="7">
        <f>'Portfolio Ned'!$G$51*$O$51*$AC$2*0.85</f>
        <v>0.73760330578512401</v>
      </c>
      <c r="G51" s="7"/>
      <c r="H51" s="7"/>
      <c r="I51" s="7">
        <f>'Portfolio Ned'!$G$51*$O$51*$AC$2*0.85</f>
        <v>0.73760330578512401</v>
      </c>
      <c r="J51" s="7"/>
      <c r="K51" s="7"/>
      <c r="L51" s="7">
        <f>'Portfolio Ned'!$G$51*$O$51*$AC$2*0.85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Ned'!F51*'Portfolio Ned'!G51)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Ned'!G48*AE51*((1+AF51)^10)*0.75</f>
        <v>0</v>
      </c>
      <c r="AH51" s="26">
        <f>AG51/('Portfolio Ned'!F47*'Portfolio Ned'!G47)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Ned'!$G$99*$O$52*$AC$9*0.85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Ned'!F99*'Portfolio Ned'!G99)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Ned'!G49*AE52*((1+AF52)^10)*0.75</f>
        <v>0</v>
      </c>
      <c r="AH52" s="26">
        <f>AG52/('Portfolio Ned'!F48*'Portfolio Ned'!G48)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267</v>
      </c>
      <c r="S53" s="35" t="s">
        <v>268</v>
      </c>
      <c r="T53" s="35" t="s">
        <v>267</v>
      </c>
      <c r="U53" s="35" t="s">
        <v>267</v>
      </c>
      <c r="V53" s="26">
        <f>N53/('Portfolio Ned'!F20*'Portfolio Ned'!G20)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Ned'!G50*AE53*((1+AF53)^10)*0.75</f>
        <v>0</v>
      </c>
      <c r="AH53" s="26">
        <f>AG53/('Portfolio Ned'!F49*'Portfolio Ned'!G49)</f>
        <v>0</v>
      </c>
    </row>
    <row r="54" spans="1:34">
      <c r="A54" s="5" t="str">
        <f>'Portfolio Ned'!A:A</f>
        <v>Mowi SK</v>
      </c>
      <c r="D54" s="7"/>
      <c r="G54" s="7">
        <f>'Portfolio Ned'!$G$54*$O$54*0.75*(1/10.2)*0.4</f>
        <v>2.0588235294117649</v>
      </c>
      <c r="J54" s="7">
        <f>'Portfolio Ned'!$G$54*$O$54*0.75*(1/10.2)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Ned'!F54*'Portfolio Ned'!G54)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Ned'!G51*AE54*((1+AF54)^10)*0.75</f>
        <v>0</v>
      </c>
      <c r="AH54" s="26">
        <f>AG54/('Portfolio Ned'!F50*'Portfolio Ned'!G50)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Ned'!F51*'Portfolio Ned'!G51)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Ned'!$G$56*$O$56*$AC$3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Ned'!F56*'Portfolio Ned'!G56)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Ned'!$G$57*$O$57*$AC$5*0.7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Ned'!F57*'Portfolio Ned'!G57)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Ned'!G56*AE57*((1+AF57)^10)*0.75</f>
        <v>0</v>
      </c>
      <c r="AH57" s="26" t="e">
        <f>AG57/('Portfolio Ned'!K94*#REF!)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Ned'!$G58*$O58*$AC$2*0.85</f>
        <v>15.590545454545456</v>
      </c>
      <c r="E58" s="6"/>
      <c r="F58" s="6"/>
      <c r="G58" s="7">
        <f>'Portfolio Ned'!$G58*$O58*$AC$2*0.85</f>
        <v>15.590545454545456</v>
      </c>
      <c r="I58" s="6"/>
      <c r="J58" s="7">
        <f>'Portfolio Ned'!$G58*$O58*$AC$2*0.85</f>
        <v>15.590545454545456</v>
      </c>
      <c r="K58" s="6"/>
      <c r="L58" s="6"/>
      <c r="M58" s="7">
        <f>'Portfolio Ned'!$G58*$O58*$AC$2*0.85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255</v>
      </c>
      <c r="S58" s="32">
        <v>43621</v>
      </c>
      <c r="T58" s="24">
        <v>43719</v>
      </c>
      <c r="U58" s="25" t="s">
        <v>264</v>
      </c>
      <c r="V58" s="26">
        <f>N58/('Portfolio Ned'!F58*'Portfolio Ned'!G58)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Ned'!G57*AE58*((1+AF58)^10)*0.75</f>
        <v>0</v>
      </c>
      <c r="AH58" s="26" t="e">
        <f>AG58/(#REF!*'Portfolio Ned'!G56)</f>
        <v>#REF!</v>
      </c>
    </row>
    <row r="59" spans="1:34">
      <c r="A59" s="5" t="str">
        <f>'Portfolio Ned'!A:A</f>
        <v>Essex Property Trust</v>
      </c>
      <c r="B59" s="7"/>
      <c r="D59" s="7">
        <f>'Portfolio Ned'!$G59*$O59*$AC$2*0.85</f>
        <v>7.3409090909090908</v>
      </c>
      <c r="E59" s="7"/>
      <c r="G59" s="7">
        <f>'Portfolio Ned'!$G59*$O59*$AC$2*0.85</f>
        <v>7.3409090909090908</v>
      </c>
      <c r="H59" s="7"/>
      <c r="J59" s="7">
        <f>'Portfolio Ned'!$G59*$O59*$AC$2*0.85</f>
        <v>7.3409090909090908</v>
      </c>
      <c r="K59" s="7"/>
      <c r="M59" s="7">
        <f>'Portfolio Ned'!$G59*$O59*$AC$2*0.85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Ned'!F59*'Portfolio Ned'!G59)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Ned'!G57)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Ned'!G59*AE60*((1+AF60)^10)*0.75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Ned'!$G$61*$O$61*$AC$2*0.85</f>
        <v>2.7502066115702473</v>
      </c>
      <c r="E61" s="7"/>
      <c r="G61" s="7">
        <f>'Portfolio Ned'!$G$61*$O$61*$AC$2*0.85</f>
        <v>2.7502066115702473</v>
      </c>
      <c r="H61" s="7"/>
      <c r="J61" s="7">
        <f>'Portfolio Ned'!$G$61*$O$61*$AC$2*0.85</f>
        <v>2.7502066115702473</v>
      </c>
      <c r="K61" s="7"/>
      <c r="M61" s="7">
        <f>'Portfolio Ned'!$G$61*$O$61*$AC$2*0.85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Ned'!F61*'Portfolio Ned'!G61)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Ned'!G59)</f>
        <v>#REF!</v>
      </c>
    </row>
    <row r="62" spans="1:34">
      <c r="A62" s="5" t="str">
        <f>'Portfolio Ned'!A:A</f>
        <v>Linde PLC</v>
      </c>
      <c r="D62" s="7">
        <f>'Portfolio Ned'!$G$62*$O$62*$AC$2*0.85</f>
        <v>2.9785123966942151</v>
      </c>
      <c r="G62" s="7">
        <f>'Portfolio Ned'!$G$62*$O$62*$AC$2*0.85</f>
        <v>2.9785123966942151</v>
      </c>
      <c r="J62" s="7">
        <f>'Portfolio Ned'!$G$62*$O$62*$AC$2*0.85</f>
        <v>2.9785123966942151</v>
      </c>
      <c r="M62" s="7">
        <f>'Portfolio Ned'!$G$62*$O$62*$AC$2*0.85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Ned'!F62*'Portfolio Ned'!G62)</f>
        <v>1.6136483126483903E-2</v>
      </c>
      <c r="Y62" s="9" t="e">
        <f t="shared" si="4"/>
        <v>#REF!</v>
      </c>
      <c r="AF62" s="26">
        <v>5.0000000000000001E-3</v>
      </c>
      <c r="AG62" s="27">
        <f>'Portfolio Ned'!G61*AE62*((1+AF62)^10)*0.75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Ned'!$G$63*$O$63*$AC$2*0.85</f>
        <v>2.950413223140496</v>
      </c>
      <c r="E63" s="7">
        <f>'Portfolio Ned'!$G$63*$O$63*$AC$2*0.85</f>
        <v>2.950413223140496</v>
      </c>
      <c r="H63" s="7">
        <f>'Portfolio Ned'!$G$63*$O$63*$AC$2*0.85</f>
        <v>2.950413223140496</v>
      </c>
      <c r="K63" s="7">
        <f>'Portfolio Ned'!$G$63*$O$63*$AC$2*0.85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Ned'!F63*'Portfolio Ned'!G63)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Ned'!F64*'Portfolio Ned'!G64)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Ned'!$G65*$O65*$AC$2*0.85</f>
        <v>4.4256198347107434</v>
      </c>
      <c r="E65" s="7"/>
      <c r="F65" s="7">
        <f>'Portfolio Ned'!$G65*$O65*$AC$2*0.85</f>
        <v>4.4256198347107434</v>
      </c>
      <c r="H65" s="7"/>
      <c r="I65" s="7">
        <f>'Portfolio Ned'!$G65*$O65*$AC$2*0.85</f>
        <v>4.4256198347107434</v>
      </c>
      <c r="K65" s="7"/>
      <c r="L65" s="7">
        <f>'Portfolio Ned'!$G65*$O65*$AC$2*0.85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Ned'!F65*'Portfolio Ned'!G65)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Ned'!$G66*$O66*$AC$2*0.85</f>
        <v>5.4717952685950415</v>
      </c>
      <c r="C66" s="7">
        <f>'Portfolio Ned'!$G66*$O66*$AC$2*0.85</f>
        <v>5.4717952685950415</v>
      </c>
      <c r="D66" s="7">
        <f>'Portfolio Ned'!$G66*$O66*$AC$2*0.85</f>
        <v>5.4717952685950415</v>
      </c>
      <c r="E66" s="7">
        <f>'Portfolio Ned'!$G66*$O66*$AC$2*0.85</f>
        <v>5.4717952685950415</v>
      </c>
      <c r="F66" s="7">
        <f>'Portfolio Ned'!$G66*$O66*$AC$2*0.85</f>
        <v>5.4717952685950415</v>
      </c>
      <c r="G66" s="7">
        <f>'Portfolio Ned'!$G66*$O66*$AC$2*0.85</f>
        <v>5.4717952685950415</v>
      </c>
      <c r="H66" s="7">
        <f>'Portfolio Ned'!$G66*$O66*$AC$2*0.85</f>
        <v>5.4717952685950415</v>
      </c>
      <c r="I66" s="7">
        <f>'Portfolio Ned'!$G66*$O66*$AC$2*0.85</f>
        <v>5.4717952685950415</v>
      </c>
      <c r="J66" s="7">
        <f>'Portfolio Ned'!$G66*$O66*$AC$2*0.85</f>
        <v>5.4717952685950415</v>
      </c>
      <c r="K66" s="7">
        <f>'Portfolio Ned'!$G66*$O66*$AC$2*0.85</f>
        <v>5.4717952685950415</v>
      </c>
      <c r="L66" s="7">
        <f>'Portfolio Ned'!$G66*$O66*$AC$2*0.85</f>
        <v>5.4717952685950415</v>
      </c>
      <c r="M66" s="7">
        <f>'Portfolio Ned'!$G66*$O66*$AC$2*0.85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269</v>
      </c>
      <c r="S66" s="35" t="s">
        <v>269</v>
      </c>
      <c r="T66" s="35" t="s">
        <v>269</v>
      </c>
      <c r="U66" s="35" t="s">
        <v>269</v>
      </c>
      <c r="V66" s="26">
        <f>N66/('Portfolio Ned'!F66*'Portfolio Ned'!G66)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Ned'!$G67*$O67*$AC$3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Ned'!F67*'Portfolio Ned'!G67)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Ned'!$G$68*$O$68*$AC$2*0.85</f>
        <v>1.1239669421487604</v>
      </c>
      <c r="E68" s="7"/>
      <c r="F68" s="7"/>
      <c r="G68" s="7">
        <f>'Portfolio Ned'!$G$68*$O$68*$AC$2*0.85</f>
        <v>1.1239669421487604</v>
      </c>
      <c r="H68" s="7"/>
      <c r="I68" s="7"/>
      <c r="J68" s="7">
        <f>'Portfolio Ned'!$G$68*$O$68*$AC$2*0.85</f>
        <v>1.1239669421487604</v>
      </c>
      <c r="M68" s="7">
        <f>'Portfolio Ned'!$G$68*$O$68*$AC$2*0.85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Ned'!F68*'Portfolio Ned'!G68)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Ned'!$G$69*$O$69*$AC$2*0.85</f>
        <v>6.9545454545454541</v>
      </c>
      <c r="E69" s="7"/>
      <c r="F69" s="7"/>
      <c r="G69" s="7">
        <f>'Portfolio Ned'!$G$69*$O$69*$AC$2*0.85</f>
        <v>6.9545454545454541</v>
      </c>
      <c r="H69" s="7"/>
      <c r="I69" s="7"/>
      <c r="J69" s="7">
        <f>'Portfolio Ned'!$G$69*$O$69*$AC$2*0.85</f>
        <v>6.9545454545454541</v>
      </c>
      <c r="K69" s="7"/>
      <c r="M69" s="7">
        <f>'Portfolio Ned'!$G$69*$O$69*$AC$2*0.85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Ned'!F69*'Portfolio Ned'!G69)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Ned'!$G$70*$O$70*$AC$3*0.85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Ned'!F70*'Portfolio Ned'!G70)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Ned'!$G71*$O71*$AC$3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Ned'!F71*'Portfolio Ned'!G71)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Ned'!$G72*$O72*(0.13/1)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Ned'!F72*'Portfolio Ned'!G72)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Ned'!$G$73*$O$73*$AC$3*0.65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Ned'!F73*'Portfolio Ned'!G73)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Ned'!$G$75*$O$74*$AC$3*0.754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Ned'!F74*'Portfolio Ned'!G74)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Ned'!$G$75*$O$75*$AC$3*0.754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Ned'!F75*'Portfolio Ned'!G75)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Ned'!$G76*$O76*$AC$5*0.7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Ned'!F76*'Portfolio Ned'!G76)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Ned'!F77*'Portfolio Ned'!G77)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Ned'!$G78*$O78*$AC$3*0.7*0.5</f>
        <v>22.82</v>
      </c>
      <c r="C78" s="7"/>
      <c r="D78" s="7"/>
      <c r="E78" s="7"/>
      <c r="F78" s="7"/>
      <c r="G78" s="7">
        <f>'Portfolio Ned'!$G78*$O78*$AC$3*0.7*0.5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Ned'!F78*'Portfolio Ned'!G78)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Ned'!$G79*$O79*$AC$3*0.7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Ned'!F79*'Portfolio Ned'!G79)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Ned'!F80*'Portfolio Ned'!G80)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Ned'!$G$81*$O$81*$AC$3*0.85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Ned'!F81*'Portfolio Ned'!G81)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Ned'!$G$88*$O$82*$AC$9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Ned'!F88*'Portfolio Ned'!G88)</f>
        <v>1.0441645148437331E-2</v>
      </c>
      <c r="Y82" s="9" t="e">
        <f t="shared" si="4"/>
        <v>#REF!</v>
      </c>
    </row>
    <row r="83" spans="1:25">
      <c r="A83" s="5">
        <f>'Portfolio Ned'!A:A</f>
        <v>0</v>
      </c>
      <c r="C83" s="7"/>
      <c r="F83" s="7">
        <f>'Portfolio Ned'!$G$82*$O$83*$AC$3*0.7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Ned'!F89*'Portfolio Ned'!G89)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Ned'!$G$83*$O$84*$AC$2*0.85</f>
        <v>0</v>
      </c>
      <c r="G84" s="7">
        <f>'Portfolio Ned'!$G$83*$O$84*$AC$2*0.85</f>
        <v>0</v>
      </c>
      <c r="J84" s="7">
        <f>'Portfolio Ned'!$G$83*$O$84*$AC$2*0.85</f>
        <v>0</v>
      </c>
      <c r="K84" s="7"/>
      <c r="M84" s="7">
        <f>'Portfolio Ned'!$G$83*$O$84*$AC$2*0.85</f>
        <v>0</v>
      </c>
      <c r="N84" s="20">
        <f t="shared" ref="N84:N109" si="9">SUM(B84:M84)</f>
        <v>0</v>
      </c>
      <c r="O84" s="33">
        <v>0.49</v>
      </c>
      <c r="Q84" s="51"/>
      <c r="V84" s="26">
        <f>N84/('Portfolio Ned'!F90*'Portfolio Ned'!G90)</f>
        <v>0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Ned'!$G85*$O23*$AC$9*0.85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Ned'!F91*'Portfolio Ned'!G91)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Ned'!$G$46*$O$86*$AC$2*0.85</f>
        <v>41.60082644628099</v>
      </c>
      <c r="E86" s="7">
        <f>'Portfolio Ned'!$G$46*$O$86*$AC$2*0.85</f>
        <v>41.60082644628099</v>
      </c>
      <c r="H86" s="7">
        <f>'Portfolio Ned'!$G$46*$O$86*$AC$2*0.85</f>
        <v>41.60082644628099</v>
      </c>
      <c r="K86" s="7">
        <f>'Portfolio Ned'!$G$46*$O$86*$AC$2*0.85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Ned'!F92*'Portfolio Ned'!G92)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Ned'!F93*'Portfolio Ned'!G93)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Ned'!F94*'Portfolio Ned'!G94)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Ned'!F95*'Portfolio Ned'!G95)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Ned'!F96*'Portfolio Ned'!G96)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Ned'!F82*'Portfolio Ned'!G82)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Schaeffler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L8" sqref="L8"/>
    </sheetView>
  </sheetViews>
  <sheetFormatPr defaultRowHeight="12.75"/>
  <cols>
    <col min="1" max="1" width="15.7109375" style="130" customWidth="1"/>
    <col min="2" max="2" width="13" style="176" customWidth="1"/>
    <col min="3" max="3" width="16.7109375" style="169" customWidth="1"/>
    <col min="4" max="4" width="13.85546875" style="171" customWidth="1"/>
    <col min="5" max="5" width="14.140625" style="173" customWidth="1"/>
    <col min="6" max="6" width="26.7109375" style="163" customWidth="1"/>
    <col min="7" max="7" width="18" style="166" customWidth="1"/>
    <col min="8" max="8" width="23.5703125" customWidth="1"/>
  </cols>
  <sheetData>
    <row r="1" spans="1:8">
      <c r="F1" s="163" t="s">
        <v>515</v>
      </c>
      <c r="G1" s="166" t="s">
        <v>516</v>
      </c>
    </row>
    <row r="2" spans="1:8" ht="13.5" thickBot="1"/>
    <row r="3" spans="1:8" ht="24" thickBot="1">
      <c r="A3" s="175" t="s">
        <v>490</v>
      </c>
      <c r="B3" s="177" t="s">
        <v>487</v>
      </c>
      <c r="C3" s="170" t="s">
        <v>488</v>
      </c>
      <c r="D3" s="172" t="s">
        <v>489</v>
      </c>
      <c r="E3" s="174" t="s">
        <v>494</v>
      </c>
      <c r="F3" s="164" t="s">
        <v>493</v>
      </c>
      <c r="G3" s="167" t="s">
        <v>503</v>
      </c>
      <c r="H3" s="140" t="s">
        <v>478</v>
      </c>
    </row>
    <row r="4" spans="1:8" ht="23.25">
      <c r="A4" s="175" t="s">
        <v>492</v>
      </c>
      <c r="B4" s="177">
        <v>260</v>
      </c>
      <c r="C4" s="170">
        <v>153</v>
      </c>
      <c r="D4" s="172">
        <v>155</v>
      </c>
      <c r="E4" s="174">
        <f>B4*C4</f>
        <v>39780</v>
      </c>
      <c r="F4" s="164">
        <f>((B4*D4)*0.995)-((B4*C4)*0.995)-2</f>
        <v>515.40000000000146</v>
      </c>
      <c r="G4" s="167">
        <f>F4*0.74</f>
        <v>381.3960000000011</v>
      </c>
    </row>
    <row r="7" spans="1:8" ht="13.5" thickBot="1"/>
    <row r="8" spans="1:8" ht="24" thickBot="1">
      <c r="A8" s="175" t="s">
        <v>491</v>
      </c>
      <c r="B8" s="177" t="s">
        <v>487</v>
      </c>
      <c r="C8" s="170" t="s">
        <v>488</v>
      </c>
      <c r="D8" s="172" t="s">
        <v>489</v>
      </c>
      <c r="E8" s="174" t="s">
        <v>494</v>
      </c>
      <c r="F8" s="165" t="s">
        <v>493</v>
      </c>
      <c r="G8" s="167" t="s">
        <v>503</v>
      </c>
      <c r="H8" s="140" t="s">
        <v>478</v>
      </c>
    </row>
    <row r="9" spans="1:8" ht="24" thickBot="1">
      <c r="A9" s="175" t="s">
        <v>19</v>
      </c>
      <c r="B9" s="177">
        <v>35</v>
      </c>
      <c r="C9" s="170">
        <v>163</v>
      </c>
      <c r="D9" s="172">
        <v>180</v>
      </c>
      <c r="E9" s="174">
        <f>B9*C9</f>
        <v>5705</v>
      </c>
      <c r="F9" s="186">
        <f>((B9*D9)*0.995)-((B9*C9)*0.995)-2</f>
        <v>590.02499999999964</v>
      </c>
      <c r="G9" s="167">
        <f>F9*0.74</f>
        <v>436.6184999999997</v>
      </c>
      <c r="H9" t="s">
        <v>513</v>
      </c>
    </row>
    <row r="12" spans="1:8" ht="13.5" thickBot="1"/>
    <row r="13" spans="1:8" ht="24" thickBot="1">
      <c r="A13" s="175" t="s">
        <v>495</v>
      </c>
      <c r="B13" s="177" t="s">
        <v>487</v>
      </c>
      <c r="C13" s="170" t="s">
        <v>488</v>
      </c>
      <c r="D13" s="172" t="s">
        <v>489</v>
      </c>
      <c r="E13" s="174" t="s">
        <v>494</v>
      </c>
      <c r="F13" s="165" t="s">
        <v>493</v>
      </c>
      <c r="G13" s="167" t="s">
        <v>503</v>
      </c>
      <c r="H13" s="140" t="s">
        <v>478</v>
      </c>
    </row>
    <row r="14" spans="1:8" ht="24" thickBot="1">
      <c r="A14" s="175" t="s">
        <v>496</v>
      </c>
      <c r="B14" s="177">
        <v>87</v>
      </c>
      <c r="C14" s="170">
        <v>465</v>
      </c>
      <c r="D14" s="172">
        <v>510</v>
      </c>
      <c r="E14" s="174">
        <f>B14*C14</f>
        <v>40455</v>
      </c>
      <c r="F14" s="186">
        <f>((B14*D14)*0.995)-((B14*C14)*0.995)-2</f>
        <v>3893.4250000000029</v>
      </c>
      <c r="G14" s="167">
        <f>F14*0.74</f>
        <v>2881.1345000000019</v>
      </c>
      <c r="H14" t="s">
        <v>501</v>
      </c>
    </row>
    <row r="17" spans="1:8" ht="13.5" thickBot="1"/>
    <row r="18" spans="1:8" ht="24" thickBot="1">
      <c r="A18" s="175" t="s">
        <v>534</v>
      </c>
      <c r="B18" s="177" t="s">
        <v>487</v>
      </c>
      <c r="C18" s="170" t="s">
        <v>488</v>
      </c>
      <c r="D18" s="172" t="s">
        <v>489</v>
      </c>
      <c r="E18" s="174" t="s">
        <v>494</v>
      </c>
      <c r="F18" s="165" t="s">
        <v>493</v>
      </c>
      <c r="G18" s="168" t="s">
        <v>503</v>
      </c>
      <c r="H18" s="140" t="s">
        <v>478</v>
      </c>
    </row>
    <row r="19" spans="1:8" ht="24" thickBot="1">
      <c r="A19" s="175" t="s">
        <v>497</v>
      </c>
      <c r="B19" s="177">
        <v>1500</v>
      </c>
      <c r="C19" s="170">
        <v>25</v>
      </c>
      <c r="D19" s="172">
        <v>26</v>
      </c>
      <c r="E19" s="174">
        <f>B19*C19</f>
        <v>37500</v>
      </c>
      <c r="F19" s="186">
        <f>((B19*D19)*0.995)-((B19*C19)*0.995)-2</f>
        <v>1490.5</v>
      </c>
      <c r="G19" s="168">
        <f>F19*0.74</f>
        <v>1102.97</v>
      </c>
    </row>
    <row r="22" spans="1:8" ht="13.5" thickBot="1"/>
    <row r="23" spans="1:8" ht="24" thickBot="1">
      <c r="A23" s="175" t="s">
        <v>535</v>
      </c>
      <c r="B23" s="177" t="s">
        <v>487</v>
      </c>
      <c r="C23" s="170" t="s">
        <v>488</v>
      </c>
      <c r="D23" s="172" t="s">
        <v>489</v>
      </c>
      <c r="E23" s="174" t="s">
        <v>494</v>
      </c>
      <c r="F23" s="165" t="s">
        <v>493</v>
      </c>
      <c r="G23" s="168" t="s">
        <v>503</v>
      </c>
      <c r="H23" s="140" t="s">
        <v>478</v>
      </c>
    </row>
    <row r="24" spans="1:8" ht="24" thickBot="1">
      <c r="A24" s="175" t="s">
        <v>522</v>
      </c>
      <c r="B24" s="177">
        <v>10</v>
      </c>
      <c r="C24" s="170">
        <v>650</v>
      </c>
      <c r="D24" s="172">
        <v>700</v>
      </c>
      <c r="E24" s="174">
        <f>B24*C24</f>
        <v>6500</v>
      </c>
      <c r="F24" s="186">
        <f>((B24*D24)*0.995)-((B24*C24)*0.995)-2</f>
        <v>495.5</v>
      </c>
      <c r="G24" s="168">
        <f>F24*0.74</f>
        <v>366.67</v>
      </c>
      <c r="H24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541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366</v>
      </c>
      <c r="L2" s="86">
        <v>43135</v>
      </c>
      <c r="M2" s="7">
        <f>12*0.79*F2*0.09</f>
        <v>426.59999999999997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367</v>
      </c>
      <c r="L3" s="86">
        <v>43136</v>
      </c>
      <c r="M3" s="7">
        <f>4*1.24*F3*0.9</f>
        <v>892.80000000000007</v>
      </c>
      <c r="P3" t="s">
        <v>288</v>
      </c>
      <c r="Q3" s="102"/>
    </row>
    <row r="4" spans="1:30" ht="15">
      <c r="A4" s="101" t="s">
        <v>309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355</v>
      </c>
      <c r="L4" s="86">
        <v>43137</v>
      </c>
      <c r="M4" s="7">
        <f>4*0.9*0.52*F4</f>
        <v>93.600000000000009</v>
      </c>
      <c r="P4" s="66" t="s">
        <v>291</v>
      </c>
      <c r="Q4" s="91"/>
    </row>
    <row r="5" spans="1:30" ht="15.75" customHeight="1">
      <c r="A5" s="101" t="s">
        <v>310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355</v>
      </c>
      <c r="L5" s="86">
        <v>43138</v>
      </c>
      <c r="M5" s="7">
        <f>4*0.4*F5*0.9</f>
        <v>1008</v>
      </c>
      <c r="P5" t="s">
        <v>302</v>
      </c>
      <c r="Q5" s="93"/>
    </row>
    <row r="6" spans="1:30" ht="15.75" customHeight="1">
      <c r="A6" s="101" t="s">
        <v>311</v>
      </c>
      <c r="B6" s="6"/>
      <c r="C6" s="76" t="s">
        <v>15</v>
      </c>
      <c r="D6" s="7">
        <v>94</v>
      </c>
      <c r="E6" s="7">
        <v>52.72</v>
      </c>
      <c r="F6" s="6">
        <v>155</v>
      </c>
      <c r="G6" s="6">
        <f t="shared" si="0"/>
        <v>14570</v>
      </c>
      <c r="H6" s="6"/>
      <c r="I6" s="7">
        <f t="shared" si="2"/>
        <v>6398.4000000000005</v>
      </c>
      <c r="J6" s="8">
        <f t="shared" si="1"/>
        <v>0.78300455235204858</v>
      </c>
      <c r="K6" s="10" t="s">
        <v>355</v>
      </c>
      <c r="L6" s="86">
        <v>43139</v>
      </c>
      <c r="M6" s="7">
        <f>4*0.39*F6*0.9</f>
        <v>217.62</v>
      </c>
      <c r="P6" t="s">
        <v>289</v>
      </c>
      <c r="Q6" s="92"/>
    </row>
    <row r="7" spans="1:30" ht="15">
      <c r="A7" s="101" t="s">
        <v>312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355</v>
      </c>
      <c r="L7" s="86">
        <v>43140</v>
      </c>
      <c r="M7" s="7">
        <f>1*14*F7</f>
        <v>644</v>
      </c>
      <c r="P7" s="66" t="s">
        <v>290</v>
      </c>
      <c r="Q7" s="94"/>
    </row>
    <row r="8" spans="1:30" ht="15.75" customHeight="1">
      <c r="A8" s="101" t="s">
        <v>354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355</v>
      </c>
      <c r="L8" s="86">
        <v>43141</v>
      </c>
      <c r="M8" s="7">
        <v>0</v>
      </c>
    </row>
    <row r="9" spans="1:30" s="88" customFormat="1" ht="15.75" customHeight="1">
      <c r="A9" s="103" t="s">
        <v>313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355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125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355</v>
      </c>
      <c r="L10" s="86">
        <v>43143</v>
      </c>
      <c r="M10" s="7">
        <f>4*2.45*F10*0.9</f>
        <v>882.00000000000011</v>
      </c>
    </row>
    <row r="11" spans="1:30" ht="15">
      <c r="A11" s="103" t="s">
        <v>314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355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307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355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173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355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362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355</v>
      </c>
      <c r="L14" s="86">
        <v>43147</v>
      </c>
      <c r="M14" s="7">
        <f>4*0.75*F14*0.7</f>
        <v>210</v>
      </c>
    </row>
    <row r="15" spans="1:30" ht="15.75" customHeight="1">
      <c r="A15" s="103" t="s">
        <v>321</v>
      </c>
      <c r="B15" s="6"/>
      <c r="C15" s="76" t="s">
        <v>15</v>
      </c>
      <c r="D15" s="7">
        <v>51</v>
      </c>
      <c r="E15" s="7">
        <v>48.378999999999998</v>
      </c>
      <c r="F15" s="6">
        <f>30+400</f>
        <v>430</v>
      </c>
      <c r="G15" s="6">
        <f t="shared" si="0"/>
        <v>21930</v>
      </c>
      <c r="H15" s="6"/>
      <c r="I15" s="7">
        <f t="shared" si="2"/>
        <v>1127.0300000000025</v>
      </c>
      <c r="J15" s="8">
        <f t="shared" si="1"/>
        <v>5.4176398850741103E-2</v>
      </c>
      <c r="K15" s="10" t="s">
        <v>355</v>
      </c>
      <c r="L15" s="86">
        <v>43148</v>
      </c>
      <c r="M15" s="7">
        <f>4*0.9*0.05*F15</f>
        <v>77.400000000000006</v>
      </c>
    </row>
    <row r="16" spans="1:30" ht="15.75" customHeight="1">
      <c r="A16" s="103" t="s">
        <v>315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355</v>
      </c>
      <c r="L16" s="86">
        <v>43149</v>
      </c>
      <c r="M16" s="7">
        <f>1*0.9*F16</f>
        <v>900</v>
      </c>
    </row>
    <row r="17" spans="1:13" ht="15.75" customHeight="1">
      <c r="A17" s="103" t="s">
        <v>325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355</v>
      </c>
      <c r="L17" s="86">
        <v>43150</v>
      </c>
      <c r="M17" s="7">
        <f>0.7*5.3*F17</f>
        <v>259.7</v>
      </c>
    </row>
    <row r="18" spans="1:13" ht="15">
      <c r="A18" s="103" t="s">
        <v>539</v>
      </c>
      <c r="C18" s="76" t="s">
        <v>15</v>
      </c>
      <c r="D18" s="7">
        <v>148</v>
      </c>
      <c r="E18" s="7">
        <v>150</v>
      </c>
      <c r="F18" s="6">
        <v>100</v>
      </c>
      <c r="G18" s="6">
        <f>F18*D18</f>
        <v>14800</v>
      </c>
      <c r="H18" s="6"/>
      <c r="I18" s="7">
        <f>(G18-(F18*E18)+H18)</f>
        <v>-200</v>
      </c>
      <c r="J18" s="8">
        <f>((D18*F18)+H18)/(E18*F18)-100%</f>
        <v>-1.3333333333333308E-2</v>
      </c>
      <c r="K18" s="10" t="s">
        <v>355</v>
      </c>
      <c r="L18" s="86">
        <v>45613</v>
      </c>
      <c r="M18" s="7">
        <f>4*1.39*F18*0.9</f>
        <v>500.40000000000003</v>
      </c>
    </row>
    <row r="19" spans="1:13" ht="15.75" customHeight="1">
      <c r="A19" s="103" t="s">
        <v>133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355</v>
      </c>
      <c r="L19" s="86">
        <v>45434</v>
      </c>
      <c r="M19" s="7">
        <v>0</v>
      </c>
    </row>
    <row r="20" spans="1:13" ht="15.75" customHeight="1">
      <c r="A20" s="103" t="s">
        <v>369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355</v>
      </c>
      <c r="L20" s="86">
        <v>45435</v>
      </c>
      <c r="M20" s="7">
        <v>0</v>
      </c>
    </row>
    <row r="21" spans="1:13" ht="15">
      <c r="A21" s="103" t="s">
        <v>377</v>
      </c>
      <c r="C21" s="76" t="s">
        <v>15</v>
      </c>
      <c r="D21" s="7">
        <v>38.6</v>
      </c>
      <c r="E21" s="7">
        <v>38.6</v>
      </c>
      <c r="F21" s="6">
        <v>500</v>
      </c>
      <c r="G21" s="6">
        <f>F21*D21</f>
        <v>19300</v>
      </c>
      <c r="H21" s="6"/>
      <c r="I21" s="7">
        <f>(G21-(F21*E21)+H21)</f>
        <v>0</v>
      </c>
      <c r="J21" s="8">
        <f>((D21*F21)+H21)/(E21*F21)-100%</f>
        <v>0</v>
      </c>
      <c r="K21" s="10" t="s">
        <v>355</v>
      </c>
      <c r="L21" s="71">
        <v>45631</v>
      </c>
      <c r="M21" s="7">
        <f>4*0.4175*F21*0.9</f>
        <v>751.5</v>
      </c>
    </row>
    <row r="22" spans="1:13" ht="15.75" customHeight="1">
      <c r="M22" s="7"/>
    </row>
    <row r="23" spans="1:13" ht="15.75" customHeight="1">
      <c r="M23" s="7"/>
    </row>
    <row r="24" spans="1:13" ht="15.75" customHeight="1">
      <c r="A24" s="104" t="s">
        <v>306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355</v>
      </c>
      <c r="L24" s="86">
        <v>43157</v>
      </c>
      <c r="M24" s="7"/>
    </row>
    <row r="25" spans="1:13" ht="15.75" customHeight="1">
      <c r="A25" s="104" t="s">
        <v>305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355</v>
      </c>
      <c r="L25" s="86">
        <v>43158</v>
      </c>
      <c r="M25" s="7">
        <f>4*0.25*F25*0.9</f>
        <v>10.8</v>
      </c>
    </row>
    <row r="26" spans="1:13" ht="15.75" customHeight="1">
      <c r="A26" s="104" t="s">
        <v>304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355</v>
      </c>
      <c r="L26" s="86">
        <v>43159</v>
      </c>
      <c r="M26" s="7"/>
    </row>
    <row r="27" spans="1:13" ht="15.75" customHeight="1">
      <c r="A27" s="104" t="s">
        <v>318</v>
      </c>
      <c r="B27" s="6"/>
      <c r="C27" s="76" t="s">
        <v>15</v>
      </c>
      <c r="D27" s="7">
        <v>603</v>
      </c>
      <c r="E27" s="7">
        <v>200</v>
      </c>
      <c r="F27" s="6">
        <v>10</v>
      </c>
      <c r="G27" s="6">
        <f t="shared" si="0"/>
        <v>6030</v>
      </c>
      <c r="H27" s="6"/>
      <c r="I27" s="7">
        <f t="shared" si="2"/>
        <v>4030</v>
      </c>
      <c r="J27" s="8">
        <f t="shared" si="1"/>
        <v>2.0150000000000001</v>
      </c>
      <c r="K27" s="10" t="s">
        <v>355</v>
      </c>
      <c r="L27" s="86">
        <v>43160</v>
      </c>
      <c r="M27" s="7"/>
    </row>
    <row r="28" spans="1:13" ht="15.75" customHeight="1">
      <c r="A28" s="104" t="s">
        <v>319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43161</v>
      </c>
      <c r="M28" s="7"/>
    </row>
    <row r="29" spans="1:13" ht="15.75" customHeight="1">
      <c r="A29" s="13" t="s">
        <v>320</v>
      </c>
      <c r="B29" s="6"/>
      <c r="C29" s="76" t="s">
        <v>15</v>
      </c>
      <c r="D29" s="7">
        <v>175</v>
      </c>
      <c r="E29" s="7">
        <v>96.555999999999997</v>
      </c>
      <c r="F29" s="6">
        <v>50</v>
      </c>
      <c r="G29" s="6">
        <f t="shared" si="0"/>
        <v>8750</v>
      </c>
      <c r="H29" s="6"/>
      <c r="I29" s="7">
        <f t="shared" si="2"/>
        <v>3922.2</v>
      </c>
      <c r="J29" s="8">
        <f t="shared" si="1"/>
        <v>0.81241973569741899</v>
      </c>
      <c r="K29" s="10" t="s">
        <v>355</v>
      </c>
      <c r="L29" s="86">
        <v>43162</v>
      </c>
      <c r="M29" s="7">
        <f>4*0.58*F29*0.9</f>
        <v>104.39999999999999</v>
      </c>
    </row>
    <row r="30" spans="1:13" ht="15.75" customHeight="1">
      <c r="A30" s="13" t="s">
        <v>328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43163</v>
      </c>
      <c r="M30" s="7"/>
    </row>
    <row r="31" spans="1:13" ht="15.75" customHeight="1">
      <c r="A31" s="13" t="s">
        <v>322</v>
      </c>
      <c r="B31" s="66"/>
      <c r="C31" s="76" t="s">
        <v>15</v>
      </c>
      <c r="D31" s="7">
        <v>27</v>
      </c>
      <c r="E31" s="7">
        <v>35</v>
      </c>
      <c r="F31" s="6">
        <v>100</v>
      </c>
      <c r="G31" s="6">
        <f t="shared" si="0"/>
        <v>2700</v>
      </c>
      <c r="H31" s="6"/>
      <c r="I31" s="7">
        <f t="shared" si="2"/>
        <v>-800</v>
      </c>
      <c r="J31" s="8">
        <f t="shared" si="1"/>
        <v>-0.22857142857142854</v>
      </c>
      <c r="K31" s="10" t="s">
        <v>355</v>
      </c>
      <c r="L31" s="86">
        <v>43164</v>
      </c>
      <c r="M31" s="7"/>
    </row>
    <row r="32" spans="1:13" ht="15.75" customHeight="1">
      <c r="A32" s="13" t="s">
        <v>324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43165</v>
      </c>
      <c r="M32" s="7"/>
    </row>
    <row r="33" spans="1:13" ht="15.75" customHeight="1">
      <c r="A33" s="13" t="s">
        <v>323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355</v>
      </c>
      <c r="L33" s="86">
        <v>43166</v>
      </c>
      <c r="M33" s="7"/>
    </row>
    <row r="34" spans="1:13" ht="15.75" customHeight="1">
      <c r="A34" s="13" t="s">
        <v>342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355</v>
      </c>
      <c r="L34" s="86">
        <v>43167</v>
      </c>
      <c r="M34" s="7"/>
    </row>
    <row r="35" spans="1:13" ht="15.75" customHeight="1">
      <c r="A35" s="13" t="s">
        <v>332</v>
      </c>
      <c r="B35" s="66"/>
      <c r="C35" s="76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355</v>
      </c>
      <c r="L35" s="86">
        <v>43168</v>
      </c>
      <c r="M35" s="7">
        <f>4*0.72*F35*0.9</f>
        <v>25.919999999999998</v>
      </c>
    </row>
    <row r="36" spans="1:13" ht="15.75" customHeight="1">
      <c r="A36" s="13" t="s">
        <v>350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485</v>
      </c>
      <c r="L36" s="86">
        <v>43169</v>
      </c>
      <c r="M36" s="7"/>
    </row>
    <row r="37" spans="1:13" ht="15.75" customHeight="1">
      <c r="A37" s="13" t="s">
        <v>356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485</v>
      </c>
      <c r="L37" s="86">
        <v>43170</v>
      </c>
      <c r="M37" s="7"/>
    </row>
    <row r="38" spans="1:13" ht="15">
      <c r="A38" s="13" t="s">
        <v>357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355</v>
      </c>
      <c r="L38" s="86">
        <v>43171</v>
      </c>
      <c r="M38" s="7"/>
    </row>
    <row r="39" spans="1:13" ht="15">
      <c r="A39" s="13" t="s">
        <v>333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355</v>
      </c>
      <c r="L39" s="86">
        <v>43172</v>
      </c>
      <c r="M39" s="7"/>
    </row>
    <row r="40" spans="1:13" ht="15">
      <c r="A40" s="13" t="s">
        <v>358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355</v>
      </c>
      <c r="L40" s="86">
        <v>43173</v>
      </c>
      <c r="M40" s="7"/>
    </row>
    <row r="41" spans="1:13" ht="15">
      <c r="A41" s="13" t="s">
        <v>359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355</v>
      </c>
      <c r="L41" s="86">
        <v>43174</v>
      </c>
      <c r="M41" s="7"/>
    </row>
    <row r="42" spans="1:13" ht="15">
      <c r="A42" s="13" t="s">
        <v>361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355</v>
      </c>
      <c r="L42" s="86">
        <v>43175</v>
      </c>
      <c r="M42" s="7">
        <f>F42*1.85</f>
        <v>114.7</v>
      </c>
    </row>
    <row r="43" spans="1:13" ht="15">
      <c r="A43" s="13" t="s">
        <v>343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485</v>
      </c>
      <c r="L43" s="86">
        <v>43176</v>
      </c>
      <c r="M43" s="7"/>
    </row>
    <row r="44" spans="1:13" ht="15">
      <c r="A44" s="13" t="s">
        <v>338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485</v>
      </c>
      <c r="L44" s="86">
        <v>43177</v>
      </c>
      <c r="M44" s="7"/>
    </row>
    <row r="45" spans="1:13" ht="15">
      <c r="A45" s="13" t="s">
        <v>335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355</v>
      </c>
      <c r="L45" s="86">
        <v>43178</v>
      </c>
      <c r="M45" s="7">
        <f>4*1.6*F45*0.9</f>
        <v>86.4</v>
      </c>
    </row>
    <row r="46" spans="1:13" ht="15">
      <c r="A46" s="13" t="s">
        <v>340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355</v>
      </c>
      <c r="L46" s="86">
        <v>43179</v>
      </c>
      <c r="M46" s="7"/>
    </row>
    <row r="47" spans="1:13" ht="15">
      <c r="A47" s="13" t="s">
        <v>347</v>
      </c>
      <c r="B47" s="66"/>
      <c r="C47" s="76" t="s">
        <v>15</v>
      </c>
      <c r="D47" s="7">
        <v>204</v>
      </c>
      <c r="E47" s="7">
        <v>148.04</v>
      </c>
      <c r="F47" s="6">
        <v>15</v>
      </c>
      <c r="G47" s="6">
        <f t="shared" si="0"/>
        <v>3060</v>
      </c>
      <c r="H47" s="6"/>
      <c r="I47" s="7">
        <f t="shared" si="2"/>
        <v>839.40000000000009</v>
      </c>
      <c r="J47" s="8">
        <f t="shared" si="1"/>
        <v>0.37800594433936774</v>
      </c>
      <c r="K47" s="10" t="s">
        <v>355</v>
      </c>
      <c r="L47" s="86">
        <v>43180</v>
      </c>
      <c r="M47" s="7">
        <f>1*4.75*F47</f>
        <v>71.25</v>
      </c>
    </row>
    <row r="48" spans="1:13" ht="15">
      <c r="A48" s="13" t="s">
        <v>348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355</v>
      </c>
      <c r="L48" s="86">
        <v>43181</v>
      </c>
      <c r="M48" s="7"/>
    </row>
    <row r="49" spans="1:13" ht="15">
      <c r="A49" s="13" t="s">
        <v>337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355</v>
      </c>
      <c r="L49" s="86">
        <v>43182</v>
      </c>
      <c r="M49" s="7"/>
    </row>
    <row r="50" spans="1:13" ht="15">
      <c r="A50" s="13" t="s">
        <v>336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355</v>
      </c>
      <c r="L50" s="86">
        <v>43183</v>
      </c>
      <c r="M50" s="7"/>
    </row>
    <row r="51" spans="1:13" ht="15">
      <c r="A51" s="13" t="s">
        <v>334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355</v>
      </c>
      <c r="L51" s="86">
        <v>43184</v>
      </c>
      <c r="M51" s="7"/>
    </row>
    <row r="52" spans="1:13" ht="15">
      <c r="A52" s="13" t="s">
        <v>330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486</v>
      </c>
      <c r="L52" s="86">
        <v>43185</v>
      </c>
      <c r="M52" s="7"/>
    </row>
    <row r="53" spans="1:13" ht="15">
      <c r="A53" s="13" t="s">
        <v>344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485</v>
      </c>
      <c r="L53" s="86">
        <v>43186</v>
      </c>
      <c r="M53" s="7"/>
    </row>
    <row r="54" spans="1:13" ht="15.75" customHeight="1">
      <c r="A54" s="13" t="s">
        <v>153</v>
      </c>
      <c r="C54" s="77" t="s">
        <v>22</v>
      </c>
      <c r="D54" s="7">
        <v>570</v>
      </c>
      <c r="E54" s="7">
        <v>570</v>
      </c>
      <c r="F54" s="6">
        <v>10</v>
      </c>
      <c r="G54" s="6">
        <f t="shared" ref="G54:G59" si="3">F54*D54</f>
        <v>5700</v>
      </c>
      <c r="H54" s="6"/>
      <c r="I54" s="7">
        <f t="shared" ref="I54:I59" si="4">(G54-(F54*E54)+H54)</f>
        <v>0</v>
      </c>
      <c r="J54" s="8">
        <f t="shared" ref="J54:J59" si="5">((D54*F54)+H54)/(E54*F54)-100%</f>
        <v>0</v>
      </c>
      <c r="K54" s="10" t="s">
        <v>355</v>
      </c>
      <c r="L54" s="71">
        <v>45296</v>
      </c>
      <c r="M54" s="7">
        <f>F54*12</f>
        <v>120</v>
      </c>
    </row>
    <row r="55" spans="1:13" ht="15.75" customHeight="1">
      <c r="A55" s="13" t="s">
        <v>316</v>
      </c>
      <c r="B55" s="6"/>
      <c r="C55" s="76" t="s">
        <v>15</v>
      </c>
      <c r="D55" s="7">
        <v>139</v>
      </c>
      <c r="E55" s="7">
        <v>125</v>
      </c>
      <c r="F55" s="6">
        <v>20</v>
      </c>
      <c r="G55" s="6">
        <f t="shared" si="3"/>
        <v>2780</v>
      </c>
      <c r="H55" s="6"/>
      <c r="I55" s="7">
        <f t="shared" si="4"/>
        <v>280</v>
      </c>
      <c r="J55" s="8">
        <f t="shared" si="5"/>
        <v>0.1120000000000001</v>
      </c>
      <c r="K55" s="10" t="s">
        <v>355</v>
      </c>
      <c r="L55" s="86">
        <v>43151</v>
      </c>
      <c r="M55" s="7">
        <v>0</v>
      </c>
    </row>
    <row r="56" spans="1:13" ht="15.75" customHeight="1">
      <c r="A56" s="13" t="s">
        <v>508</v>
      </c>
      <c r="C56" s="76" t="s">
        <v>15</v>
      </c>
      <c r="D56" s="7">
        <v>65</v>
      </c>
      <c r="E56" s="7">
        <v>65</v>
      </c>
      <c r="F56" s="6">
        <v>250</v>
      </c>
      <c r="G56" s="6">
        <f t="shared" si="3"/>
        <v>16250</v>
      </c>
      <c r="H56" s="6"/>
      <c r="I56" s="7">
        <f t="shared" si="4"/>
        <v>0</v>
      </c>
      <c r="J56" s="8">
        <f t="shared" si="5"/>
        <v>0</v>
      </c>
      <c r="K56" s="10" t="s">
        <v>355</v>
      </c>
      <c r="L56" s="71">
        <v>45619</v>
      </c>
      <c r="M56" s="7"/>
    </row>
    <row r="57" spans="1:13" ht="15.75" customHeight="1">
      <c r="A57" s="13" t="s">
        <v>353</v>
      </c>
      <c r="B57" s="6"/>
      <c r="C57" s="76" t="s">
        <v>15</v>
      </c>
      <c r="D57" s="7">
        <v>160</v>
      </c>
      <c r="G57" s="6">
        <f t="shared" si="3"/>
        <v>0</v>
      </c>
      <c r="H57" s="6"/>
      <c r="I57" s="7">
        <f t="shared" si="4"/>
        <v>0</v>
      </c>
      <c r="J57" s="8" t="e">
        <f t="shared" si="5"/>
        <v>#DIV/0!</v>
      </c>
      <c r="K57" s="10" t="s">
        <v>355</v>
      </c>
      <c r="L57" s="86">
        <v>43154</v>
      </c>
    </row>
    <row r="58" spans="1:13" ht="15.75" customHeight="1">
      <c r="A58" s="13" t="s">
        <v>352</v>
      </c>
      <c r="C58" s="76" t="s">
        <v>15</v>
      </c>
      <c r="D58" s="7">
        <v>128</v>
      </c>
      <c r="G58" s="6">
        <f t="shared" si="3"/>
        <v>0</v>
      </c>
      <c r="H58" s="6"/>
      <c r="I58" s="7">
        <f t="shared" si="4"/>
        <v>0</v>
      </c>
      <c r="J58" s="8" t="e">
        <f t="shared" si="5"/>
        <v>#DIV/0!</v>
      </c>
      <c r="K58" s="10" t="s">
        <v>355</v>
      </c>
      <c r="L58" s="86">
        <v>43155</v>
      </c>
      <c r="M58" s="7"/>
    </row>
    <row r="59" spans="1:13" ht="15">
      <c r="A59" s="104" t="s">
        <v>317</v>
      </c>
      <c r="B59" s="6"/>
      <c r="C59" s="76" t="s">
        <v>15</v>
      </c>
      <c r="D59" s="7">
        <v>244</v>
      </c>
      <c r="E59" s="7"/>
      <c r="F59" s="6"/>
      <c r="G59" s="6">
        <f t="shared" si="3"/>
        <v>0</v>
      </c>
      <c r="H59" s="6"/>
      <c r="I59" s="7">
        <f t="shared" si="4"/>
        <v>0</v>
      </c>
      <c r="J59" s="8" t="e">
        <f t="shared" si="5"/>
        <v>#DIV/0!</v>
      </c>
      <c r="K59" s="10" t="s">
        <v>355</v>
      </c>
      <c r="L59" s="86">
        <v>43156</v>
      </c>
    </row>
    <row r="60" spans="1:13" ht="12.75"/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368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6">F66*D66</f>
        <v>750</v>
      </c>
      <c r="H66" s="6"/>
      <c r="I66" s="7">
        <f t="shared" si="2"/>
        <v>-254.54999999999995</v>
      </c>
      <c r="J66" s="8">
        <f t="shared" ref="J66:J67" si="7">((D66*F66)+H66)/(E66*F66)-100%</f>
        <v>-0.25339704345229208</v>
      </c>
      <c r="K66" s="10" t="s">
        <v>368</v>
      </c>
      <c r="L66" s="71"/>
      <c r="M66" s="71"/>
    </row>
    <row r="67" spans="1:13" ht="15">
      <c r="A67" s="13" t="s">
        <v>331</v>
      </c>
      <c r="B67" s="66"/>
      <c r="C67" s="76" t="s">
        <v>15</v>
      </c>
      <c r="G67" s="6">
        <f t="shared" si="6"/>
        <v>0</v>
      </c>
      <c r="H67" s="6"/>
      <c r="I67" s="7">
        <f t="shared" ref="I67:I100" si="8">(G67-(F67*E67)+H67)</f>
        <v>0</v>
      </c>
      <c r="J67" s="8" t="e">
        <f t="shared" si="7"/>
        <v>#DIV/0!</v>
      </c>
      <c r="K67" s="10" t="s">
        <v>368</v>
      </c>
      <c r="L67" s="71"/>
      <c r="M67" s="71"/>
    </row>
    <row r="68" spans="1:13" ht="15">
      <c r="A68" s="13" t="s">
        <v>351</v>
      </c>
      <c r="B68" s="66"/>
      <c r="C68" s="76" t="s">
        <v>15</v>
      </c>
      <c r="D68" s="6"/>
      <c r="E68" s="7"/>
      <c r="F68" s="6"/>
      <c r="G68" s="6">
        <f t="shared" si="6"/>
        <v>0</v>
      </c>
      <c r="H68" s="6"/>
      <c r="I68" s="7">
        <f t="shared" si="8"/>
        <v>0</v>
      </c>
      <c r="J68" s="8" t="e">
        <f t="shared" ref="J68:J100" si="9">((D68*F68)+H68)/(E68*F68)-100%</f>
        <v>#DIV/0!</v>
      </c>
      <c r="K68" s="10" t="s">
        <v>368</v>
      </c>
      <c r="L68" s="71"/>
      <c r="M68" s="71"/>
    </row>
    <row r="69" spans="1:13" ht="15">
      <c r="A69" s="13" t="s">
        <v>345</v>
      </c>
      <c r="B69" s="66"/>
      <c r="C69" s="76" t="s">
        <v>15</v>
      </c>
      <c r="D69" s="6"/>
      <c r="E69" s="7"/>
      <c r="F69" s="6"/>
      <c r="G69" s="6">
        <f t="shared" si="6"/>
        <v>0</v>
      </c>
      <c r="H69" s="6"/>
      <c r="I69" s="7">
        <f t="shared" si="8"/>
        <v>0</v>
      </c>
      <c r="J69" s="8" t="e">
        <f t="shared" si="9"/>
        <v>#DIV/0!</v>
      </c>
      <c r="K69" s="10" t="s">
        <v>368</v>
      </c>
      <c r="L69" s="71"/>
      <c r="M69" s="71"/>
    </row>
    <row r="70" spans="1:13" ht="15">
      <c r="A70" s="13" t="s">
        <v>346</v>
      </c>
      <c r="B70" s="66"/>
      <c r="C70" s="76" t="s">
        <v>15</v>
      </c>
      <c r="D70" s="6"/>
      <c r="E70" s="7"/>
      <c r="F70" s="6"/>
      <c r="G70" s="6">
        <f t="shared" ref="G70:G73" si="10">F70*D70</f>
        <v>0</v>
      </c>
      <c r="H70" s="6"/>
      <c r="I70" s="7">
        <f t="shared" si="8"/>
        <v>0</v>
      </c>
      <c r="J70" s="8" t="e">
        <f t="shared" si="9"/>
        <v>#DIV/0!</v>
      </c>
      <c r="K70" s="10"/>
      <c r="L70" s="71"/>
      <c r="M70" s="71"/>
    </row>
    <row r="71" spans="1:13" ht="15">
      <c r="A71" s="13"/>
      <c r="G71" s="6">
        <f t="shared" si="10"/>
        <v>0</v>
      </c>
      <c r="H71" s="6"/>
      <c r="I71" s="7">
        <f t="shared" si="8"/>
        <v>0</v>
      </c>
      <c r="J71" s="8" t="e">
        <f t="shared" si="9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10"/>
        <v>0</v>
      </c>
      <c r="H72" s="6"/>
      <c r="I72" s="7">
        <f t="shared" si="8"/>
        <v>0</v>
      </c>
      <c r="J72" s="8" t="e">
        <f t="shared" si="9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10"/>
        <v>0</v>
      </c>
      <c r="H73" s="6"/>
      <c r="I73" s="7">
        <f t="shared" si="8"/>
        <v>0</v>
      </c>
      <c r="J73" s="8" t="e">
        <f t="shared" si="9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11">F74*D74</f>
        <v>0</v>
      </c>
      <c r="H74" s="6"/>
      <c r="I74" s="7">
        <f t="shared" si="8"/>
        <v>0</v>
      </c>
      <c r="J74" s="8" t="e">
        <f t="shared" si="9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11"/>
        <v>0</v>
      </c>
      <c r="H75" s="6"/>
      <c r="I75" s="7">
        <f t="shared" si="8"/>
        <v>0</v>
      </c>
      <c r="J75" s="8" t="e">
        <f t="shared" si="9"/>
        <v>#DIV/0!</v>
      </c>
      <c r="K75" s="10"/>
      <c r="L75" s="71"/>
      <c r="M75" s="71"/>
    </row>
    <row r="76" spans="1:13" ht="15">
      <c r="A76" s="13"/>
      <c r="B76" s="66"/>
      <c r="C76" s="76" t="s">
        <v>38</v>
      </c>
      <c r="D76" s="7"/>
      <c r="E76" s="7"/>
      <c r="F76" s="6"/>
      <c r="G76" s="6">
        <f t="shared" si="11"/>
        <v>0</v>
      </c>
      <c r="H76" s="6"/>
      <c r="I76" s="7">
        <f t="shared" si="8"/>
        <v>0</v>
      </c>
      <c r="J76" s="8" t="e">
        <f t="shared" si="9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11"/>
        <v>0</v>
      </c>
      <c r="H77" s="6"/>
      <c r="I77" s="7">
        <f t="shared" si="8"/>
        <v>0</v>
      </c>
      <c r="J77" s="8" t="e">
        <f t="shared" si="9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11"/>
        <v>0</v>
      </c>
      <c r="H78" s="6"/>
      <c r="I78" s="7">
        <f t="shared" si="8"/>
        <v>0</v>
      </c>
      <c r="J78" s="8" t="e">
        <f t="shared" si="9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11"/>
        <v>0</v>
      </c>
      <c r="H79" s="6"/>
      <c r="I79" s="7">
        <f t="shared" si="8"/>
        <v>0</v>
      </c>
      <c r="J79" s="8" t="e">
        <f t="shared" si="9"/>
        <v>#DIV/0!</v>
      </c>
      <c r="K79" s="10"/>
      <c r="L79" s="71"/>
      <c r="M79" s="71"/>
    </row>
    <row r="80" spans="1:13" ht="15">
      <c r="A80" s="13"/>
      <c r="B80" s="66"/>
      <c r="C80" s="76" t="s">
        <v>58</v>
      </c>
      <c r="D80" s="7"/>
      <c r="E80" s="7"/>
      <c r="F80" s="6"/>
      <c r="G80" s="6">
        <f t="shared" si="11"/>
        <v>0</v>
      </c>
      <c r="H80" s="6"/>
      <c r="I80" s="7">
        <f t="shared" si="8"/>
        <v>0</v>
      </c>
      <c r="J80" s="8" t="e">
        <f t="shared" si="9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11"/>
        <v>0</v>
      </c>
      <c r="H81" s="6"/>
      <c r="I81" s="7">
        <f t="shared" si="8"/>
        <v>0</v>
      </c>
      <c r="J81" s="8" t="e">
        <f t="shared" si="9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11"/>
        <v>0</v>
      </c>
      <c r="H82" s="6"/>
      <c r="I82" s="7">
        <f t="shared" si="8"/>
        <v>0</v>
      </c>
      <c r="J82" s="8" t="e">
        <f t="shared" si="9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11"/>
        <v>0</v>
      </c>
      <c r="H83" s="6"/>
      <c r="I83" s="7">
        <f t="shared" si="8"/>
        <v>0</v>
      </c>
      <c r="J83" s="8" t="e">
        <f t="shared" si="9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11"/>
        <v>0</v>
      </c>
      <c r="H84" s="6"/>
      <c r="I84" s="7">
        <f t="shared" si="8"/>
        <v>0</v>
      </c>
      <c r="J84" s="8" t="e">
        <f t="shared" si="9"/>
        <v>#DIV/0!</v>
      </c>
      <c r="K84" s="10"/>
      <c r="L84" s="71"/>
      <c r="M84" s="71"/>
    </row>
    <row r="85" spans="1:13" ht="15">
      <c r="A85" s="13"/>
      <c r="I85" s="7">
        <f t="shared" si="8"/>
        <v>0</v>
      </c>
      <c r="J85" s="8" t="e">
        <f t="shared" si="9"/>
        <v>#DIV/0!</v>
      </c>
    </row>
    <row r="86" spans="1:13" ht="15">
      <c r="A86" s="13"/>
      <c r="B86" s="66"/>
      <c r="C86" s="76" t="s">
        <v>63</v>
      </c>
      <c r="D86" s="6"/>
      <c r="E86" s="7"/>
      <c r="F86" s="6"/>
      <c r="G86" s="6">
        <f>F86*D86</f>
        <v>0</v>
      </c>
      <c r="H86" s="6"/>
      <c r="I86" s="7">
        <f t="shared" si="8"/>
        <v>0</v>
      </c>
      <c r="J86" s="8" t="e">
        <f t="shared" si="9"/>
        <v>#DIV/0!</v>
      </c>
      <c r="K86" s="10"/>
      <c r="L86" s="71"/>
      <c r="M86" s="71"/>
    </row>
    <row r="87" spans="1:13" ht="15">
      <c r="A87" s="13"/>
      <c r="B87" s="66"/>
      <c r="C87" s="76" t="s">
        <v>72</v>
      </c>
      <c r="D87" s="6"/>
      <c r="E87" s="7"/>
      <c r="F87" s="6"/>
      <c r="G87" s="6">
        <f>F87*D87</f>
        <v>0</v>
      </c>
      <c r="H87" s="6"/>
      <c r="I87" s="7">
        <f t="shared" si="8"/>
        <v>0</v>
      </c>
      <c r="J87" s="8" t="e">
        <f t="shared" si="9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12">F88*D88</f>
        <v>0</v>
      </c>
      <c r="H88" s="6"/>
      <c r="I88" s="7">
        <f t="shared" si="8"/>
        <v>0</v>
      </c>
      <c r="J88" s="8" t="e">
        <f t="shared" si="9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12"/>
        <v>0</v>
      </c>
      <c r="H89" s="6"/>
      <c r="I89" s="7">
        <f t="shared" si="8"/>
        <v>0</v>
      </c>
      <c r="J89" s="8" t="e">
        <f t="shared" si="9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12"/>
        <v>0</v>
      </c>
      <c r="H90" s="6"/>
      <c r="I90" s="7">
        <f t="shared" si="8"/>
        <v>0</v>
      </c>
      <c r="J90" s="8" t="e">
        <f t="shared" si="9"/>
        <v>#DIV/0!</v>
      </c>
      <c r="K90" s="10"/>
      <c r="L90" s="71"/>
      <c r="M90" s="71"/>
    </row>
    <row r="91" spans="1:13" ht="15">
      <c r="A91" s="13" t="s">
        <v>364</v>
      </c>
      <c r="B91" s="66"/>
      <c r="C91" s="76" t="s">
        <v>15</v>
      </c>
      <c r="D91" s="7"/>
      <c r="E91" s="7"/>
      <c r="F91" s="6"/>
      <c r="G91" s="6">
        <f t="shared" si="12"/>
        <v>0</v>
      </c>
      <c r="H91" s="6"/>
      <c r="I91" s="7">
        <f t="shared" si="8"/>
        <v>0</v>
      </c>
      <c r="J91" s="8" t="e">
        <f t="shared" si="9"/>
        <v>#DIV/0!</v>
      </c>
      <c r="K91" s="10" t="s">
        <v>355</v>
      </c>
      <c r="L91" s="71"/>
      <c r="M91" s="71"/>
    </row>
    <row r="92" spans="1:13" ht="15">
      <c r="A92" s="13" t="s">
        <v>360</v>
      </c>
      <c r="B92" s="66"/>
      <c r="C92" s="76" t="s">
        <v>15</v>
      </c>
      <c r="D92" s="7"/>
      <c r="E92" s="7"/>
      <c r="F92" s="6"/>
      <c r="G92" s="6">
        <f t="shared" si="12"/>
        <v>0</v>
      </c>
      <c r="H92" s="6"/>
      <c r="I92" s="7">
        <f t="shared" si="8"/>
        <v>0</v>
      </c>
      <c r="J92" s="8" t="e">
        <f t="shared" si="9"/>
        <v>#DIV/0!</v>
      </c>
      <c r="K92" s="10" t="s">
        <v>355</v>
      </c>
      <c r="L92" s="71"/>
      <c r="M92" s="71"/>
    </row>
    <row r="93" spans="1:13" ht="15">
      <c r="A93" s="13" t="s">
        <v>339</v>
      </c>
      <c r="B93" s="66"/>
      <c r="C93" s="76" t="s">
        <v>72</v>
      </c>
      <c r="D93" s="7"/>
      <c r="E93" s="7"/>
      <c r="F93" s="6"/>
      <c r="G93" s="6">
        <f t="shared" si="12"/>
        <v>0</v>
      </c>
      <c r="H93" s="6"/>
      <c r="I93" s="7">
        <f t="shared" si="8"/>
        <v>0</v>
      </c>
      <c r="J93" s="8" t="e">
        <f t="shared" si="9"/>
        <v>#DIV/0!</v>
      </c>
      <c r="K93" s="10" t="s">
        <v>355</v>
      </c>
      <c r="L93" s="71"/>
      <c r="M93" s="71"/>
    </row>
    <row r="94" spans="1:13" ht="15">
      <c r="A94" s="13" t="s">
        <v>349</v>
      </c>
      <c r="B94" s="66"/>
      <c r="C94" s="76" t="s">
        <v>363</v>
      </c>
      <c r="D94" s="7"/>
      <c r="E94" s="7"/>
      <c r="F94" s="6"/>
      <c r="G94" s="6">
        <f t="shared" si="12"/>
        <v>0</v>
      </c>
      <c r="H94" s="6"/>
      <c r="I94" s="7">
        <f t="shared" si="8"/>
        <v>0</v>
      </c>
      <c r="J94" s="8" t="e">
        <f t="shared" si="9"/>
        <v>#DIV/0!</v>
      </c>
      <c r="K94" s="10" t="s">
        <v>355</v>
      </c>
      <c r="L94" s="71"/>
      <c r="M94" s="71"/>
    </row>
    <row r="95" spans="1:13" ht="15">
      <c r="A95" s="13" t="s">
        <v>341</v>
      </c>
      <c r="B95" s="66"/>
      <c r="C95" s="76" t="s">
        <v>72</v>
      </c>
      <c r="D95" s="7"/>
      <c r="E95" s="7"/>
      <c r="F95" s="6"/>
      <c r="G95" s="6">
        <f t="shared" si="12"/>
        <v>0</v>
      </c>
      <c r="H95" s="6"/>
      <c r="I95" s="7">
        <f t="shared" si="8"/>
        <v>0</v>
      </c>
      <c r="J95" s="8" t="e">
        <f t="shared" si="9"/>
        <v>#DIV/0!</v>
      </c>
      <c r="K95" s="10" t="s">
        <v>355</v>
      </c>
      <c r="L95" s="71"/>
      <c r="M95" s="71"/>
    </row>
    <row r="96" spans="1:13" ht="15">
      <c r="A96" s="13" t="s">
        <v>329</v>
      </c>
      <c r="B96" s="66"/>
      <c r="C96" s="76" t="s">
        <v>72</v>
      </c>
      <c r="D96" s="7"/>
      <c r="E96" s="7"/>
      <c r="F96" s="6"/>
      <c r="G96" s="6">
        <f t="shared" si="12"/>
        <v>0</v>
      </c>
      <c r="H96" s="6"/>
      <c r="I96" s="7">
        <f t="shared" si="8"/>
        <v>0</v>
      </c>
      <c r="J96" s="8" t="e">
        <f t="shared" si="9"/>
        <v>#DIV/0!</v>
      </c>
      <c r="K96" s="10" t="s">
        <v>355</v>
      </c>
      <c r="L96" s="71"/>
      <c r="M96" s="71"/>
    </row>
    <row r="97" spans="1:13" ht="15">
      <c r="A97" s="13" t="s">
        <v>326</v>
      </c>
      <c r="B97" s="66"/>
      <c r="C97" s="76" t="s">
        <v>72</v>
      </c>
      <c r="D97" s="7"/>
      <c r="E97" s="7"/>
      <c r="F97" s="6"/>
      <c r="G97" s="6">
        <f t="shared" si="12"/>
        <v>0</v>
      </c>
      <c r="H97" s="6"/>
      <c r="I97" s="7">
        <f t="shared" si="8"/>
        <v>0</v>
      </c>
      <c r="J97" s="8" t="e">
        <f t="shared" si="9"/>
        <v>#DIV/0!</v>
      </c>
      <c r="K97" s="10" t="s">
        <v>355</v>
      </c>
      <c r="L97" s="71"/>
      <c r="M97" s="71"/>
    </row>
    <row r="98" spans="1:13" ht="15">
      <c r="A98" s="13" t="s">
        <v>327</v>
      </c>
      <c r="B98" s="66"/>
      <c r="C98" s="76" t="s">
        <v>72</v>
      </c>
      <c r="D98" s="7"/>
      <c r="E98" s="7"/>
      <c r="F98" s="6"/>
      <c r="G98" s="6">
        <f t="shared" si="12"/>
        <v>0</v>
      </c>
      <c r="H98" s="6"/>
      <c r="I98" s="7">
        <f t="shared" si="8"/>
        <v>0</v>
      </c>
      <c r="J98" s="8" t="e">
        <f t="shared" si="9"/>
        <v>#DIV/0!</v>
      </c>
      <c r="K98" s="10" t="s">
        <v>355</v>
      </c>
      <c r="L98" s="71"/>
      <c r="M98" s="71"/>
    </row>
    <row r="99" spans="1:13" ht="15">
      <c r="A99" s="13"/>
      <c r="B99" s="66"/>
      <c r="C99" s="76" t="s">
        <v>72</v>
      </c>
      <c r="D99" s="6"/>
      <c r="E99" s="7"/>
      <c r="F99" s="6"/>
      <c r="G99" s="6">
        <f>F99*D99</f>
        <v>0</v>
      </c>
      <c r="H99" s="6"/>
      <c r="I99" s="7">
        <f t="shared" si="8"/>
        <v>0</v>
      </c>
      <c r="J99" s="8" t="e">
        <f t="shared" si="9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8"/>
        <v>0</v>
      </c>
      <c r="J100" s="8" t="e">
        <f t="shared" si="9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365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3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3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4">F107*D107</f>
        <v>0</v>
      </c>
      <c r="H107" s="6"/>
      <c r="I107" s="7"/>
      <c r="J107" s="8" t="e">
        <f t="shared" si="13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4"/>
        <v>0</v>
      </c>
      <c r="H108" s="6"/>
      <c r="I108" s="7"/>
      <c r="J108" s="8" t="e">
        <f t="shared" si="13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4"/>
        <v>0</v>
      </c>
      <c r="H109" s="6"/>
      <c r="I109" s="7"/>
      <c r="J109" s="8" t="e">
        <f t="shared" si="13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4"/>
        <v>0</v>
      </c>
      <c r="H110" s="6"/>
      <c r="I110" s="7"/>
      <c r="J110" s="8" t="e">
        <f t="shared" si="13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4"/>
        <v>0</v>
      </c>
      <c r="H111" s="6"/>
      <c r="I111" s="7"/>
      <c r="J111" s="8" t="e">
        <f t="shared" si="13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4"/>
        <v>0</v>
      </c>
      <c r="H112" s="6"/>
      <c r="I112" s="7"/>
      <c r="J112" s="8" t="e">
        <f t="shared" si="13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21 J24:J59 J61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21 K24:K59 K6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A3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480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 t="s">
        <v>113</v>
      </c>
      <c r="C2" s="76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366</v>
      </c>
      <c r="L2" s="86">
        <v>45638</v>
      </c>
      <c r="M2" s="7">
        <f>12*0.79*F2*0.09</f>
        <v>34.128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367</v>
      </c>
      <c r="L3" s="86">
        <v>45638</v>
      </c>
      <c r="M3" s="7">
        <f>4*1.24*F3*0.9</f>
        <v>89.28</v>
      </c>
      <c r="P3" t="s">
        <v>288</v>
      </c>
      <c r="Q3" s="102"/>
    </row>
    <row r="4" spans="1:30" ht="15">
      <c r="A4" s="101" t="s">
        <v>322</v>
      </c>
      <c r="B4" s="6" t="s">
        <v>497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355</v>
      </c>
      <c r="L4" s="86">
        <v>45638</v>
      </c>
      <c r="M4" s="7">
        <f>4*0.9*0.52*F4</f>
        <v>0</v>
      </c>
      <c r="P4" s="66" t="s">
        <v>291</v>
      </c>
      <c r="Q4" s="91"/>
    </row>
    <row r="5" spans="1:30" ht="15.75" customHeight="1">
      <c r="A5" s="101" t="s">
        <v>306</v>
      </c>
      <c r="B5" s="6" t="s">
        <v>492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355</v>
      </c>
      <c r="L5" s="86">
        <v>45638</v>
      </c>
      <c r="M5" s="7">
        <f>4*0.4*F5*0.9</f>
        <v>0</v>
      </c>
      <c r="P5" t="s">
        <v>302</v>
      </c>
      <c r="Q5" s="93"/>
    </row>
    <row r="6" spans="1:30" ht="15.75" customHeight="1">
      <c r="A6" s="101" t="s">
        <v>512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355</v>
      </c>
      <c r="L6" s="86">
        <v>45638</v>
      </c>
      <c r="M6" s="7">
        <f>4*0.39*F6*0.9</f>
        <v>0</v>
      </c>
      <c r="P6" t="s">
        <v>289</v>
      </c>
      <c r="Q6" s="92"/>
    </row>
    <row r="7" spans="1:30" ht="15">
      <c r="A7" s="103" t="s">
        <v>525</v>
      </c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355</v>
      </c>
      <c r="L7" s="86">
        <v>45638</v>
      </c>
      <c r="M7" s="7">
        <f>1*14*F7</f>
        <v>0</v>
      </c>
      <c r="P7" s="66" t="s">
        <v>290</v>
      </c>
      <c r="Q7" s="94"/>
    </row>
    <row r="8" spans="1:30" ht="15.75" customHeight="1">
      <c r="A8" s="103" t="s">
        <v>522</v>
      </c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355</v>
      </c>
      <c r="L8" s="86">
        <v>45638</v>
      </c>
      <c r="M8" s="7">
        <v>0</v>
      </c>
    </row>
    <row r="9" spans="1:30" s="88" customFormat="1" ht="15.75" customHeight="1">
      <c r="A9" s="103" t="s">
        <v>509</v>
      </c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355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1" t="s">
        <v>141</v>
      </c>
      <c r="B10" s="6" t="s">
        <v>142</v>
      </c>
      <c r="C10" s="76" t="s">
        <v>15</v>
      </c>
      <c r="D10" s="7">
        <v>280</v>
      </c>
      <c r="E10" s="6">
        <v>250</v>
      </c>
      <c r="F10" s="6">
        <v>5</v>
      </c>
      <c r="G10" s="6">
        <f t="shared" si="0"/>
        <v>1400</v>
      </c>
      <c r="H10" s="6"/>
      <c r="I10" s="7">
        <f t="shared" si="2"/>
        <v>150</v>
      </c>
      <c r="J10" s="8">
        <f t="shared" si="1"/>
        <v>0.12000000000000011</v>
      </c>
      <c r="K10" s="10" t="s">
        <v>355</v>
      </c>
      <c r="L10" s="86">
        <v>45638</v>
      </c>
      <c r="M10" s="7">
        <f>4*2.45*F10*0.9</f>
        <v>44.1</v>
      </c>
    </row>
    <row r="11" spans="1:30" ht="15">
      <c r="A11" s="103" t="s">
        <v>153</v>
      </c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355</v>
      </c>
      <c r="L11" s="86">
        <v>45638</v>
      </c>
      <c r="M11" s="7">
        <f>0.85*0.558*F11</f>
        <v>0</v>
      </c>
    </row>
    <row r="12" spans="1:30" s="89" customFormat="1" ht="15.75" customHeight="1">
      <c r="A12" s="103" t="s">
        <v>155</v>
      </c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355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554</v>
      </c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355</v>
      </c>
      <c r="L13" s="86">
        <v>45638</v>
      </c>
      <c r="M13" s="7">
        <f>4*1.3*F13*0.9</f>
        <v>0</v>
      </c>
    </row>
    <row r="14" spans="1:30" ht="15.75" customHeight="1">
      <c r="A14" s="103" t="s">
        <v>555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355</v>
      </c>
      <c r="L14" s="86">
        <v>45638</v>
      </c>
      <c r="M14" s="7">
        <f>4*0.75*F14*0.7</f>
        <v>0</v>
      </c>
    </row>
    <row r="15" spans="1:30" ht="15.75" customHeight="1">
      <c r="A15" s="103" t="s">
        <v>556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355</v>
      </c>
      <c r="L15" s="86">
        <v>45638</v>
      </c>
      <c r="M15" s="7">
        <f>4*0.9*0.05*F15</f>
        <v>0</v>
      </c>
    </row>
    <row r="16" spans="1:30" ht="15.75" customHeight="1">
      <c r="A16" s="103" t="s">
        <v>557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355</v>
      </c>
      <c r="L16" s="86">
        <v>45638</v>
      </c>
      <c r="M16" s="7">
        <f>1*0.9*F16</f>
        <v>0</v>
      </c>
    </row>
    <row r="17" spans="1:13" ht="15.75" customHeight="1">
      <c r="A17" s="103" t="s">
        <v>507</v>
      </c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355</v>
      </c>
      <c r="L17" s="86">
        <v>45638</v>
      </c>
      <c r="M17" s="7">
        <f>0.7*5.3*F17</f>
        <v>0</v>
      </c>
    </row>
    <row r="18" spans="1:13" ht="15.75" customHeight="1">
      <c r="A18" s="103" t="s">
        <v>523</v>
      </c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355</v>
      </c>
      <c r="L18" s="86">
        <v>45638</v>
      </c>
      <c r="M18" s="7">
        <v>0</v>
      </c>
    </row>
    <row r="19" spans="1:13" ht="15.75" customHeight="1">
      <c r="A19" s="103"/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355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355</v>
      </c>
      <c r="L20" s="86">
        <v>45638</v>
      </c>
      <c r="M20" s="7">
        <v>0</v>
      </c>
    </row>
    <row r="21" spans="1:13" ht="15.75" customHeight="1">
      <c r="A21" s="13"/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45449</v>
      </c>
      <c r="M21" s="7"/>
    </row>
    <row r="22" spans="1:13" ht="15.75" customHeight="1">
      <c r="A22" s="13"/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45638</v>
      </c>
      <c r="M22" s="7"/>
    </row>
    <row r="23" spans="1:13" ht="15.75" customHeight="1">
      <c r="A23" s="13"/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45638</v>
      </c>
      <c r="M23" s="7"/>
    </row>
    <row r="24" spans="1:13" ht="15.75" customHeight="1">
      <c r="A24" s="13"/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355</v>
      </c>
      <c r="L24" s="86">
        <v>45638</v>
      </c>
      <c r="M24" s="7"/>
    </row>
    <row r="25" spans="1:13" ht="15.75" customHeight="1">
      <c r="A25" s="13" t="s">
        <v>558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355</v>
      </c>
      <c r="L25" s="86">
        <v>45638</v>
      </c>
      <c r="M25" s="7"/>
    </row>
    <row r="26" spans="1:13" ht="15.75" customHeight="1">
      <c r="A26" s="13" t="s">
        <v>506</v>
      </c>
      <c r="B26" s="6"/>
      <c r="C26" s="76" t="s">
        <v>15</v>
      </c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355</v>
      </c>
      <c r="L26" s="86">
        <v>45638</v>
      </c>
      <c r="M26" s="7"/>
    </row>
    <row r="27" spans="1:13" ht="15.75" customHeight="1">
      <c r="A27" s="13" t="s">
        <v>517</v>
      </c>
      <c r="B27" s="6" t="s">
        <v>518</v>
      </c>
      <c r="C27" s="76" t="s">
        <v>15</v>
      </c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355</v>
      </c>
      <c r="L27" s="86">
        <v>45638</v>
      </c>
      <c r="M27" s="7"/>
    </row>
    <row r="28" spans="1:13" ht="15.75" customHeight="1">
      <c r="A28" s="104" t="s">
        <v>508</v>
      </c>
      <c r="B28" s="6"/>
      <c r="C28" s="76" t="s">
        <v>15</v>
      </c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45638</v>
      </c>
      <c r="M28" s="7"/>
    </row>
    <row r="29" spans="1:13" ht="15.75" customHeight="1">
      <c r="A29" s="13" t="s">
        <v>511</v>
      </c>
      <c r="B29" s="6" t="s">
        <v>514</v>
      </c>
      <c r="C29" s="76" t="s">
        <v>15</v>
      </c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355</v>
      </c>
      <c r="L29" s="86">
        <v>45638</v>
      </c>
      <c r="M29" s="7"/>
    </row>
    <row r="30" spans="1:13" ht="15.75" customHeight="1">
      <c r="A30" s="13" t="s">
        <v>524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45638</v>
      </c>
      <c r="M30" s="7"/>
    </row>
    <row r="31" spans="1:13" ht="15.75" customHeight="1">
      <c r="A31" s="13" t="s">
        <v>510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355</v>
      </c>
      <c r="L31" s="86">
        <v>45638</v>
      </c>
      <c r="M31" s="7"/>
    </row>
    <row r="32" spans="1:13" ht="15.75" customHeight="1">
      <c r="A32" s="13"/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45638</v>
      </c>
      <c r="M32" s="7"/>
    </row>
    <row r="33" spans="1:13" ht="15.75" customHeight="1">
      <c r="A33" s="13"/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355</v>
      </c>
      <c r="L33" s="86">
        <v>45638</v>
      </c>
      <c r="M33" s="7"/>
    </row>
    <row r="34" spans="1:13" ht="15.75" customHeight="1">
      <c r="A34" s="13"/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355</v>
      </c>
      <c r="L34" s="86">
        <v>45638</v>
      </c>
      <c r="M34" s="7"/>
    </row>
    <row r="35" spans="1:13" ht="15.75" customHeight="1">
      <c r="A35" s="13"/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355</v>
      </c>
      <c r="L35" s="86">
        <v>45638</v>
      </c>
      <c r="M35" s="7"/>
    </row>
    <row r="36" spans="1:13" ht="15.75" customHeight="1">
      <c r="A36" s="13"/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355</v>
      </c>
      <c r="L36" s="86">
        <v>45638</v>
      </c>
      <c r="M36" s="86"/>
    </row>
    <row r="37" spans="1:13" ht="15.75" customHeight="1">
      <c r="A37" s="13"/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355</v>
      </c>
      <c r="L37" s="86">
        <v>45638</v>
      </c>
      <c r="M37" s="86"/>
    </row>
    <row r="38" spans="1:13" ht="15">
      <c r="A38" s="13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355</v>
      </c>
      <c r="L38" s="86">
        <v>45638</v>
      </c>
      <c r="M38" s="86"/>
    </row>
    <row r="39" spans="1:13" ht="15">
      <c r="A39" s="13"/>
      <c r="B39" s="6"/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355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355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355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355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355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355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355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355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355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355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355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355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355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355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355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U27"/>
  <sheetViews>
    <sheetView workbookViewId="0">
      <selection activeCell="T16" sqref="T16"/>
    </sheetView>
  </sheetViews>
  <sheetFormatPr defaultRowHeight="12.75"/>
  <cols>
    <col min="1" max="1" width="12.42578125" customWidth="1"/>
    <col min="2" max="2" width="19.85546875" customWidth="1"/>
    <col min="3" max="3" width="11.5703125" style="185" customWidth="1"/>
  </cols>
  <sheetData>
    <row r="1" spans="1:21" s="73" customFormat="1" ht="18">
      <c r="B1" s="73" t="s">
        <v>528</v>
      </c>
      <c r="C1" s="184">
        <v>2024</v>
      </c>
      <c r="D1" s="73">
        <v>2025</v>
      </c>
      <c r="E1" s="73">
        <v>2026</v>
      </c>
      <c r="F1" s="73">
        <v>2027</v>
      </c>
      <c r="G1" s="73">
        <v>2028</v>
      </c>
      <c r="H1" s="73">
        <v>2029</v>
      </c>
      <c r="I1" s="73">
        <v>2030</v>
      </c>
      <c r="J1" s="73">
        <v>2031</v>
      </c>
      <c r="K1" s="73">
        <v>2032</v>
      </c>
      <c r="L1" s="73">
        <v>2033</v>
      </c>
      <c r="M1" s="73">
        <v>2034</v>
      </c>
      <c r="N1" s="73">
        <v>2035</v>
      </c>
      <c r="O1" s="73">
        <v>2040</v>
      </c>
      <c r="P1" s="73">
        <v>2041</v>
      </c>
      <c r="Q1" s="73">
        <v>2042</v>
      </c>
      <c r="R1" s="73">
        <v>2043</v>
      </c>
      <c r="S1" s="73">
        <v>2044</v>
      </c>
      <c r="T1" s="73">
        <v>2045</v>
      </c>
      <c r="U1" s="73">
        <v>2046</v>
      </c>
    </row>
    <row r="2" spans="1:21" ht="15">
      <c r="A2" s="187" t="s">
        <v>530</v>
      </c>
      <c r="B2" s="101" t="s">
        <v>526</v>
      </c>
      <c r="C2" s="105">
        <f>67000</f>
        <v>67000</v>
      </c>
      <c r="D2">
        <v>69000</v>
      </c>
      <c r="E2">
        <v>70000</v>
      </c>
    </row>
    <row r="3" spans="1:21" ht="15">
      <c r="A3" s="188"/>
      <c r="B3" s="101" t="s">
        <v>531</v>
      </c>
      <c r="C3" s="105">
        <v>2400</v>
      </c>
      <c r="D3">
        <f>12*1200</f>
        <v>14400</v>
      </c>
      <c r="E3">
        <f>12*1200</f>
        <v>14400</v>
      </c>
    </row>
    <row r="4" spans="1:21" ht="15">
      <c r="A4" s="188"/>
      <c r="B4" s="101"/>
    </row>
    <row r="5" spans="1:21" ht="15">
      <c r="A5" s="188"/>
      <c r="B5" s="101"/>
    </row>
    <row r="6" spans="1:21" ht="15">
      <c r="A6" s="188"/>
      <c r="B6" s="101"/>
    </row>
    <row r="7" spans="1:21" ht="15">
      <c r="A7" s="188"/>
      <c r="B7" s="101" t="s">
        <v>484</v>
      </c>
      <c r="C7" s="105">
        <f>SUM(C2:C6)</f>
        <v>69400</v>
      </c>
      <c r="D7">
        <f>SUM(D2:D6)</f>
        <v>83400</v>
      </c>
    </row>
    <row r="8" spans="1:21" ht="15">
      <c r="A8" s="118" t="s">
        <v>549</v>
      </c>
      <c r="B8" s="101" t="s">
        <v>527</v>
      </c>
      <c r="C8" s="105">
        <f>'Dividends per year'!D131</f>
        <v>3020.45</v>
      </c>
      <c r="D8">
        <f>'Dividends per year'!E131</f>
        <v>0</v>
      </c>
      <c r="E8">
        <f>'Dividends per year'!F131</f>
        <v>0</v>
      </c>
    </row>
    <row r="11" spans="1:21" ht="15">
      <c r="A11" s="178" t="s">
        <v>529</v>
      </c>
      <c r="B11" s="179" t="s">
        <v>547</v>
      </c>
      <c r="C11" s="185">
        <f>(2/12)*7600</f>
        <v>1266.6666666666665</v>
      </c>
      <c r="D11">
        <v>7600</v>
      </c>
      <c r="E11">
        <v>7600</v>
      </c>
      <c r="F11">
        <v>7600</v>
      </c>
      <c r="G11">
        <v>7600</v>
      </c>
      <c r="H11">
        <v>7600</v>
      </c>
      <c r="I11">
        <v>7600</v>
      </c>
      <c r="J11">
        <v>7600</v>
      </c>
      <c r="K11">
        <v>7600</v>
      </c>
      <c r="L11">
        <v>7600</v>
      </c>
      <c r="M11">
        <v>7600</v>
      </c>
      <c r="N11">
        <v>7600</v>
      </c>
      <c r="O11">
        <v>7600</v>
      </c>
      <c r="P11">
        <v>7600</v>
      </c>
      <c r="Q11">
        <v>7600</v>
      </c>
      <c r="R11">
        <v>7600</v>
      </c>
      <c r="S11">
        <v>7600</v>
      </c>
      <c r="T11">
        <v>7600</v>
      </c>
      <c r="U11">
        <v>7600</v>
      </c>
    </row>
    <row r="12" spans="1:21" ht="15">
      <c r="A12" s="178"/>
      <c r="B12" s="101" t="s">
        <v>545</v>
      </c>
      <c r="E12">
        <f>20000/20</f>
        <v>1000</v>
      </c>
      <c r="F12">
        <f t="shared" ref="F12:U12" si="0">20000/20</f>
        <v>1000</v>
      </c>
      <c r="G12">
        <f t="shared" si="0"/>
        <v>1000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  <c r="L12">
        <f t="shared" si="0"/>
        <v>1000</v>
      </c>
      <c r="M12">
        <f t="shared" si="0"/>
        <v>1000</v>
      </c>
      <c r="N12">
        <f t="shared" si="0"/>
        <v>1000</v>
      </c>
      <c r="O12">
        <f t="shared" si="0"/>
        <v>1000</v>
      </c>
      <c r="P12">
        <f t="shared" si="0"/>
        <v>1000</v>
      </c>
      <c r="Q12">
        <f t="shared" si="0"/>
        <v>1000</v>
      </c>
      <c r="R12">
        <f t="shared" si="0"/>
        <v>1000</v>
      </c>
      <c r="S12">
        <f t="shared" si="0"/>
        <v>1000</v>
      </c>
      <c r="T12">
        <f t="shared" si="0"/>
        <v>1000</v>
      </c>
      <c r="U12">
        <f t="shared" si="0"/>
        <v>1000</v>
      </c>
    </row>
    <row r="13" spans="1:21" ht="15">
      <c r="A13" s="178"/>
      <c r="B13" s="101" t="s">
        <v>546</v>
      </c>
      <c r="D13">
        <f>17000/10</f>
        <v>1700</v>
      </c>
      <c r="E13">
        <f>17000/10</f>
        <v>1700</v>
      </c>
      <c r="F13">
        <f t="shared" ref="F13:M13" si="1">17000/10</f>
        <v>1700</v>
      </c>
      <c r="G13">
        <f t="shared" si="1"/>
        <v>1700</v>
      </c>
      <c r="H13">
        <f t="shared" si="1"/>
        <v>1700</v>
      </c>
      <c r="I13">
        <f t="shared" si="1"/>
        <v>1700</v>
      </c>
      <c r="J13">
        <f t="shared" si="1"/>
        <v>1700</v>
      </c>
      <c r="K13">
        <f t="shared" si="1"/>
        <v>1700</v>
      </c>
      <c r="L13">
        <f t="shared" si="1"/>
        <v>1700</v>
      </c>
      <c r="M13">
        <f t="shared" si="1"/>
        <v>1700</v>
      </c>
      <c r="N13">
        <v>0</v>
      </c>
    </row>
    <row r="14" spans="1:21" ht="15">
      <c r="A14" s="178"/>
      <c r="B14" s="101" t="s">
        <v>559</v>
      </c>
    </row>
    <row r="15" spans="1:21" ht="15">
      <c r="A15" s="178"/>
      <c r="B15" s="101" t="s">
        <v>532</v>
      </c>
    </row>
    <row r="16" spans="1:21" ht="15">
      <c r="A16" s="178"/>
      <c r="B16" s="101" t="s">
        <v>552</v>
      </c>
      <c r="C16" s="185">
        <v>2022.15</v>
      </c>
    </row>
    <row r="17" spans="1:21" ht="15">
      <c r="A17" s="178"/>
      <c r="B17" s="101" t="s">
        <v>548</v>
      </c>
      <c r="E17">
        <v>5000</v>
      </c>
    </row>
    <row r="18" spans="1:21" ht="15">
      <c r="A18" s="178"/>
      <c r="B18" s="179" t="s">
        <v>544</v>
      </c>
      <c r="D18">
        <v>7000</v>
      </c>
    </row>
    <row r="19" spans="1:21" ht="15">
      <c r="A19" s="178"/>
      <c r="B19" s="101"/>
    </row>
    <row r="20" spans="1:21" ht="15">
      <c r="A20" s="178"/>
      <c r="B20" s="101"/>
    </row>
    <row r="21" spans="1:21" ht="15">
      <c r="A21" s="178"/>
      <c r="B21" s="101" t="s">
        <v>484</v>
      </c>
      <c r="C21" s="185">
        <f>SUM(C11:C20)</f>
        <v>3288.8166666666666</v>
      </c>
      <c r="D21">
        <f>SUM(D11:D20)</f>
        <v>16300</v>
      </c>
      <c r="E21">
        <f>SUM(E11:E20)</f>
        <v>15300</v>
      </c>
      <c r="F21">
        <f t="shared" ref="F21:M21" si="2">SUM(F11:F20)</f>
        <v>10300</v>
      </c>
      <c r="G21">
        <f t="shared" si="2"/>
        <v>10300</v>
      </c>
      <c r="H21">
        <f t="shared" si="2"/>
        <v>10300</v>
      </c>
      <c r="I21">
        <f t="shared" si="2"/>
        <v>10300</v>
      </c>
      <c r="J21">
        <f t="shared" si="2"/>
        <v>10300</v>
      </c>
      <c r="K21">
        <f t="shared" si="2"/>
        <v>10300</v>
      </c>
      <c r="L21">
        <f t="shared" si="2"/>
        <v>10300</v>
      </c>
      <c r="M21">
        <f t="shared" si="2"/>
        <v>10300</v>
      </c>
      <c r="N21">
        <f t="shared" ref="N21" si="3">SUM(N11:N20)</f>
        <v>8600</v>
      </c>
      <c r="O21">
        <f t="shared" ref="O21" si="4">SUM(O11:O20)</f>
        <v>8600</v>
      </c>
      <c r="P21">
        <f t="shared" ref="P21" si="5">SUM(P11:P20)</f>
        <v>8600</v>
      </c>
      <c r="Q21">
        <f t="shared" ref="Q21" si="6">SUM(Q11:Q20)</f>
        <v>8600</v>
      </c>
      <c r="R21">
        <f t="shared" ref="R21" si="7">SUM(R11:R20)</f>
        <v>8600</v>
      </c>
      <c r="S21">
        <f t="shared" ref="S21" si="8">SUM(S11:S20)</f>
        <v>8600</v>
      </c>
      <c r="T21">
        <f t="shared" ref="T21" si="9">SUM(T11:T20)</f>
        <v>8600</v>
      </c>
      <c r="U21">
        <f t="shared" ref="U21" si="10">SUM(U11:U20)</f>
        <v>8600</v>
      </c>
    </row>
    <row r="26" spans="1:21">
      <c r="C26" s="185" t="s">
        <v>550</v>
      </c>
    </row>
    <row r="27" spans="1:21">
      <c r="C27" s="185" t="s">
        <v>551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1" customWidth="1"/>
    <col min="3" max="3" width="18.140625" style="128" customWidth="1"/>
    <col min="4" max="4" width="8" style="130" customWidth="1"/>
    <col min="5" max="5" width="13.7109375" style="132" customWidth="1"/>
    <col min="6" max="6" width="13.7109375" style="134" customWidth="1"/>
    <col min="7" max="7" width="13.85546875" style="120" customWidth="1"/>
    <col min="8" max="8" width="11.140625" style="119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4" t="s">
        <v>293</v>
      </c>
      <c r="B1" s="122" t="s">
        <v>301</v>
      </c>
      <c r="C1" s="126" t="s">
        <v>296</v>
      </c>
      <c r="D1" s="129" t="s">
        <v>294</v>
      </c>
      <c r="E1" s="131" t="s">
        <v>295</v>
      </c>
      <c r="F1" s="133" t="s">
        <v>394</v>
      </c>
      <c r="G1" s="135" t="s">
        <v>297</v>
      </c>
      <c r="H1" s="126" t="s">
        <v>298</v>
      </c>
      <c r="I1" s="114" t="s">
        <v>478</v>
      </c>
      <c r="J1" s="114"/>
      <c r="K1" s="114"/>
      <c r="L1" s="114" t="s">
        <v>299</v>
      </c>
      <c r="M1" s="114" t="s">
        <v>300</v>
      </c>
      <c r="N1" s="114"/>
      <c r="O1" s="114" t="s">
        <v>519</v>
      </c>
      <c r="P1" s="114" t="s">
        <v>520</v>
      </c>
      <c r="Q1" s="114" t="s">
        <v>521</v>
      </c>
    </row>
    <row r="2" spans="1:17" ht="15">
      <c r="A2" s="125">
        <v>2024</v>
      </c>
      <c r="B2" s="123">
        <f>65+90</f>
        <v>155</v>
      </c>
      <c r="C2" s="127">
        <f>L2+M2</f>
        <v>93.15</v>
      </c>
      <c r="D2" s="130">
        <f>12*1.2</f>
        <v>14.399999999999999</v>
      </c>
      <c r="E2" s="132">
        <f>12*0.4</f>
        <v>4.8000000000000007</v>
      </c>
      <c r="F2" s="134">
        <v>10</v>
      </c>
      <c r="G2" s="120">
        <f>SUM(D2:F2)</f>
        <v>29.2</v>
      </c>
      <c r="H2" s="119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5">
        <v>2025</v>
      </c>
      <c r="B3" s="123">
        <f>160</f>
        <v>160</v>
      </c>
      <c r="C3" s="127">
        <f>L3+M3</f>
        <v>95</v>
      </c>
      <c r="D3" s="130">
        <v>20</v>
      </c>
      <c r="E3" s="132">
        <f>5+40</f>
        <v>45</v>
      </c>
      <c r="F3" s="134">
        <v>12</v>
      </c>
      <c r="G3" s="120">
        <f t="shared" ref="G3:G13" si="0">SUM(D3:F3)</f>
        <v>77</v>
      </c>
      <c r="H3" s="119">
        <f>C3-G3</f>
        <v>18</v>
      </c>
      <c r="I3" t="s">
        <v>479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5">
        <v>2026</v>
      </c>
      <c r="B4" s="123">
        <v>180</v>
      </c>
      <c r="C4" s="127">
        <f t="shared" ref="C4:C13" si="1">L4+M4</f>
        <v>105</v>
      </c>
      <c r="D4" s="130">
        <f>12*2.5</f>
        <v>30</v>
      </c>
      <c r="E4" s="132">
        <v>8</v>
      </c>
      <c r="F4" s="134">
        <v>12</v>
      </c>
      <c r="G4" s="120">
        <f>SUM(D4:F4)</f>
        <v>50</v>
      </c>
      <c r="H4" s="119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5">
        <v>2027</v>
      </c>
      <c r="B5" s="123">
        <v>200</v>
      </c>
      <c r="C5" s="127">
        <f t="shared" si="1"/>
        <v>0</v>
      </c>
      <c r="D5" s="130">
        <v>30</v>
      </c>
      <c r="E5" s="132">
        <v>8</v>
      </c>
      <c r="F5" s="134">
        <v>15</v>
      </c>
      <c r="G5" s="120">
        <f t="shared" si="0"/>
        <v>53</v>
      </c>
      <c r="H5" s="119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5">
        <v>2028</v>
      </c>
      <c r="B6" s="123">
        <v>220</v>
      </c>
      <c r="C6" s="127">
        <f t="shared" si="1"/>
        <v>0</v>
      </c>
      <c r="D6" s="130">
        <v>30</v>
      </c>
      <c r="E6" s="132">
        <v>8</v>
      </c>
      <c r="F6" s="134">
        <v>15</v>
      </c>
      <c r="G6" s="120">
        <f t="shared" si="0"/>
        <v>53</v>
      </c>
      <c r="H6" s="119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5">
        <v>2029</v>
      </c>
      <c r="B7" s="123">
        <v>220</v>
      </c>
      <c r="C7" s="127">
        <f t="shared" si="1"/>
        <v>0</v>
      </c>
      <c r="D7" s="130">
        <v>30</v>
      </c>
      <c r="E7" s="132">
        <v>8</v>
      </c>
      <c r="F7" s="134">
        <v>20</v>
      </c>
      <c r="G7" s="120">
        <f t="shared" si="0"/>
        <v>58</v>
      </c>
      <c r="H7" s="119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5">
        <v>2030</v>
      </c>
      <c r="B8" s="123">
        <v>220</v>
      </c>
      <c r="C8" s="127">
        <f t="shared" si="1"/>
        <v>0</v>
      </c>
      <c r="D8" s="130">
        <v>30</v>
      </c>
      <c r="E8" s="132">
        <v>8</v>
      </c>
      <c r="F8" s="134">
        <v>20</v>
      </c>
      <c r="G8" s="120">
        <f t="shared" si="0"/>
        <v>58</v>
      </c>
      <c r="H8" s="119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5">
        <v>2031</v>
      </c>
      <c r="B9" s="123">
        <v>220</v>
      </c>
      <c r="C9" s="127">
        <f t="shared" si="1"/>
        <v>0</v>
      </c>
      <c r="D9" s="130">
        <v>30</v>
      </c>
      <c r="E9" s="132">
        <v>8</v>
      </c>
      <c r="F9" s="134">
        <v>20</v>
      </c>
      <c r="G9" s="120">
        <f t="shared" si="0"/>
        <v>58</v>
      </c>
      <c r="H9" s="119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5">
        <v>2032</v>
      </c>
      <c r="B10" s="123">
        <v>220</v>
      </c>
      <c r="C10" s="127">
        <f t="shared" si="1"/>
        <v>0</v>
      </c>
      <c r="D10" s="130">
        <v>30</v>
      </c>
      <c r="E10" s="132">
        <v>25</v>
      </c>
      <c r="F10" s="134">
        <v>20</v>
      </c>
      <c r="G10" s="120">
        <f t="shared" si="0"/>
        <v>75</v>
      </c>
      <c r="H10" s="119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5">
        <v>2033</v>
      </c>
      <c r="B11" s="123">
        <v>220</v>
      </c>
      <c r="C11" s="127">
        <f t="shared" si="1"/>
        <v>0</v>
      </c>
      <c r="D11" s="130">
        <v>30</v>
      </c>
      <c r="E11" s="132">
        <v>25</v>
      </c>
      <c r="F11" s="134">
        <v>20</v>
      </c>
      <c r="G11" s="120">
        <f t="shared" si="0"/>
        <v>75</v>
      </c>
      <c r="H11" s="119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5">
        <v>2034</v>
      </c>
      <c r="B12" s="123">
        <v>220</v>
      </c>
      <c r="C12" s="127">
        <f t="shared" si="1"/>
        <v>0</v>
      </c>
      <c r="D12" s="130">
        <v>30</v>
      </c>
      <c r="E12" s="132">
        <v>25</v>
      </c>
      <c r="F12" s="134">
        <v>20</v>
      </c>
      <c r="G12" s="120">
        <f t="shared" si="0"/>
        <v>75</v>
      </c>
      <c r="H12" s="119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5">
        <v>2035</v>
      </c>
      <c r="B13" s="123">
        <v>220</v>
      </c>
      <c r="C13" s="127">
        <f t="shared" si="1"/>
        <v>0</v>
      </c>
      <c r="D13" s="130">
        <v>30</v>
      </c>
      <c r="E13" s="132">
        <v>25</v>
      </c>
      <c r="F13" s="134">
        <v>20</v>
      </c>
      <c r="G13" s="120">
        <f t="shared" si="0"/>
        <v>75</v>
      </c>
      <c r="H13" s="119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2024-12-09T15:38:55Z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