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uneelu/Desktop/neelu/DIAT/PhD/Pre-synopsis/Excel sheet all biochars/"/>
    </mc:Choice>
  </mc:AlternateContent>
  <xr:revisionPtr revIDLastSave="0" documentId="13_ncr:1_{E77E4967-989E-4549-8FB9-338793FC4803}" xr6:coauthVersionLast="47" xr6:coauthVersionMax="47" xr10:uidLastSave="{00000000-0000-0000-0000-000000000000}"/>
  <bookViews>
    <workbookView xWindow="0" yWindow="500" windowWidth="28800" windowHeight="16420" activeTab="2" xr2:uid="{9155A8E4-BE83-D146-AA22-780A72B5A0B7}"/>
  </bookViews>
  <sheets>
    <sheet name="Contact time" sheetId="21" r:id="rId1"/>
    <sheet name="Adsorption kinetics" sheetId="23" r:id="rId2"/>
    <sheet name="Dosage" sheetId="11" r:id="rId3"/>
    <sheet name="pH" sheetId="12" r:id="rId4"/>
    <sheet name="Temperature" sheetId="20" r:id="rId5"/>
    <sheet name="MX SSB temp" sheetId="14" r:id="rId6"/>
    <sheet name="Initial dye conc" sheetId="25" r:id="rId7"/>
    <sheet name="Adsorption isotherm final" sheetId="27" r:id="rId8"/>
    <sheet name="Regeneration studies" sheetId="3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1" l="1"/>
  <c r="B10" i="31"/>
  <c r="F6" i="31"/>
  <c r="G6" i="31" s="1"/>
  <c r="B6" i="31"/>
  <c r="H6" i="31" s="1"/>
  <c r="F5" i="31"/>
  <c r="G5" i="31" s="1"/>
  <c r="B5" i="31"/>
  <c r="H5" i="31" s="1"/>
  <c r="H4" i="31"/>
  <c r="F4" i="31"/>
  <c r="G4" i="31" s="1"/>
  <c r="B4" i="31"/>
  <c r="F3" i="31"/>
  <c r="H3" i="31" s="1"/>
  <c r="B3" i="31"/>
  <c r="I4" i="31" l="1"/>
  <c r="J4" i="31"/>
  <c r="J5" i="31"/>
  <c r="I5" i="31"/>
  <c r="J6" i="31"/>
  <c r="I6" i="31"/>
  <c r="G3" i="31"/>
  <c r="J3" i="31" l="1"/>
  <c r="I3" i="31"/>
  <c r="S4" i="14" l="1"/>
  <c r="S3" i="14"/>
  <c r="M43" i="27" l="1"/>
  <c r="M42" i="27"/>
  <c r="P79" i="27"/>
  <c r="AB25" i="27" l="1"/>
  <c r="AB24" i="27"/>
  <c r="O58" i="27"/>
  <c r="O59" i="27"/>
  <c r="O60" i="27"/>
  <c r="G53" i="27"/>
  <c r="C57" i="27"/>
  <c r="B57" i="27" s="1"/>
  <c r="P80" i="27"/>
  <c r="C71" i="27"/>
  <c r="C72" i="27"/>
  <c r="C73" i="27"/>
  <c r="C74" i="27"/>
  <c r="C75" i="27"/>
  <c r="C76" i="27"/>
  <c r="C77" i="27"/>
  <c r="C70" i="27"/>
  <c r="A71" i="27"/>
  <c r="A72" i="27"/>
  <c r="A73" i="27"/>
  <c r="A74" i="27"/>
  <c r="A75" i="27"/>
  <c r="A76" i="27"/>
  <c r="A77" i="27"/>
  <c r="A70" i="27"/>
  <c r="C56" i="27"/>
  <c r="B56" i="27" s="1"/>
  <c r="C58" i="27"/>
  <c r="B58" i="27" s="1"/>
  <c r="C59" i="27"/>
  <c r="B59" i="27" s="1"/>
  <c r="C60" i="27"/>
  <c r="B60" i="27" s="1"/>
  <c r="C61" i="27"/>
  <c r="B61" i="27" s="1"/>
  <c r="C62" i="27"/>
  <c r="B62" i="27" s="1"/>
  <c r="C55" i="27"/>
  <c r="B55" i="27" s="1"/>
  <c r="N25" i="27"/>
  <c r="N24" i="27"/>
  <c r="N8" i="27"/>
  <c r="B29" i="27"/>
  <c r="B28" i="27"/>
  <c r="A28" i="27"/>
  <c r="B27" i="27"/>
  <c r="A27" i="27"/>
  <c r="B26" i="27"/>
  <c r="A26" i="27"/>
  <c r="B25" i="27"/>
  <c r="B24" i="27"/>
  <c r="A24" i="27"/>
  <c r="B23" i="27"/>
  <c r="A23" i="27"/>
  <c r="B22" i="27"/>
  <c r="A22" i="27"/>
  <c r="C15" i="27"/>
  <c r="A15" i="27"/>
  <c r="A29" i="27" s="1"/>
  <c r="D14" i="27"/>
  <c r="A13" i="27"/>
  <c r="D13" i="27" s="1"/>
  <c r="A11" i="27"/>
  <c r="A25" i="27" s="1"/>
  <c r="D10" i="27"/>
  <c r="N7" i="27"/>
  <c r="G3" i="25"/>
  <c r="G4" i="25"/>
  <c r="G5" i="25"/>
  <c r="G6" i="25"/>
  <c r="G7" i="25"/>
  <c r="G8" i="25"/>
  <c r="G9" i="25"/>
  <c r="G2" i="25"/>
  <c r="I2" i="25"/>
  <c r="B14" i="25" l="1"/>
  <c r="B13" i="25"/>
  <c r="E9" i="25"/>
  <c r="C9" i="25"/>
  <c r="E8" i="25"/>
  <c r="C8" i="25"/>
  <c r="E7" i="25"/>
  <c r="C7" i="25"/>
  <c r="E6" i="25"/>
  <c r="C6" i="25"/>
  <c r="E5" i="25"/>
  <c r="C5" i="25"/>
  <c r="E4" i="25"/>
  <c r="C4" i="25"/>
  <c r="E3" i="25"/>
  <c r="C3" i="25"/>
  <c r="E2" i="25"/>
  <c r="C2" i="25"/>
  <c r="O55" i="23"/>
  <c r="Q54" i="23"/>
  <c r="O54" i="23"/>
  <c r="A54" i="23"/>
  <c r="A55" i="23"/>
  <c r="A56" i="23"/>
  <c r="A57" i="23"/>
  <c r="A58" i="23"/>
  <c r="A59" i="23"/>
  <c r="A60" i="23"/>
  <c r="A61" i="23"/>
  <c r="A62" i="23"/>
  <c r="A53" i="23"/>
  <c r="O38" i="23"/>
  <c r="O39" i="23"/>
  <c r="I4" i="25" l="1"/>
  <c r="I8" i="25"/>
  <c r="I6" i="25"/>
  <c r="I3" i="25"/>
  <c r="B39" i="23" l="1"/>
  <c r="B40" i="23"/>
  <c r="B41" i="23"/>
  <c r="B42" i="23"/>
  <c r="B43" i="23"/>
  <c r="B44" i="23"/>
  <c r="B45" i="23"/>
  <c r="B46" i="23"/>
  <c r="B47" i="23"/>
  <c r="B38" i="23"/>
  <c r="N22" i="23"/>
  <c r="N23" i="23" s="1"/>
  <c r="B30" i="23"/>
  <c r="B27" i="23"/>
  <c r="B26" i="23"/>
  <c r="B25" i="23"/>
  <c r="D5" i="23"/>
  <c r="N5" i="23"/>
  <c r="N4" i="23"/>
  <c r="B23" i="23"/>
  <c r="B28" i="23"/>
  <c r="B29" i="23"/>
  <c r="B31" i="23"/>
  <c r="B22" i="23"/>
  <c r="D4" i="23"/>
  <c r="D8" i="23"/>
  <c r="D9" i="23"/>
  <c r="D10" i="23"/>
  <c r="D12" i="23"/>
  <c r="D3" i="23"/>
  <c r="C8" i="21"/>
  <c r="E8" i="21"/>
  <c r="F8" i="21" s="1"/>
  <c r="C9" i="21"/>
  <c r="E9" i="21"/>
  <c r="F9" i="21" s="1"/>
  <c r="C10" i="21"/>
  <c r="E10" i="21"/>
  <c r="F10" i="21"/>
  <c r="I10" i="21" s="1"/>
  <c r="G10" i="21"/>
  <c r="H10" i="21" s="1"/>
  <c r="C11" i="21"/>
  <c r="E11" i="21"/>
  <c r="F11" i="21" s="1"/>
  <c r="G11" i="21" s="1"/>
  <c r="H11" i="21" s="1"/>
  <c r="B16" i="21"/>
  <c r="B15" i="21"/>
  <c r="E7" i="21"/>
  <c r="F7" i="21" s="1"/>
  <c r="C7" i="21"/>
  <c r="E6" i="21"/>
  <c r="F6" i="21" s="1"/>
  <c r="C6" i="21"/>
  <c r="E5" i="21"/>
  <c r="F5" i="21" s="1"/>
  <c r="C5" i="21"/>
  <c r="E4" i="21"/>
  <c r="F4" i="21" s="1"/>
  <c r="C4" i="21"/>
  <c r="E3" i="21"/>
  <c r="F3" i="21" s="1"/>
  <c r="C3" i="21"/>
  <c r="E2" i="21"/>
  <c r="F2" i="21" s="1"/>
  <c r="C2" i="21"/>
  <c r="B9" i="20"/>
  <c r="B8" i="20"/>
  <c r="E4" i="20"/>
  <c r="F4" i="20" s="1"/>
  <c r="G4" i="20" s="1"/>
  <c r="C4" i="20"/>
  <c r="E3" i="20"/>
  <c r="F3" i="20" s="1"/>
  <c r="G3" i="20" s="1"/>
  <c r="C3" i="20"/>
  <c r="E2" i="20"/>
  <c r="F2" i="20" s="1"/>
  <c r="G2" i="20" s="1"/>
  <c r="C2" i="20"/>
  <c r="F5" i="12"/>
  <c r="F4" i="12"/>
  <c r="F3" i="12"/>
  <c r="D7" i="23" l="1"/>
  <c r="D11" i="23"/>
  <c r="B24" i="23"/>
  <c r="D6" i="23"/>
  <c r="I11" i="21"/>
  <c r="G8" i="21"/>
  <c r="H8" i="21" s="1"/>
  <c r="I8" i="21"/>
  <c r="I9" i="21"/>
  <c r="G9" i="21"/>
  <c r="H9" i="21" s="1"/>
  <c r="I7" i="21"/>
  <c r="I6" i="21"/>
  <c r="I2" i="21"/>
  <c r="I3" i="21"/>
  <c r="I4" i="21"/>
  <c r="I5" i="21"/>
  <c r="G3" i="21"/>
  <c r="H3" i="21" s="1"/>
  <c r="G4" i="21"/>
  <c r="H4" i="21" s="1"/>
  <c r="G2" i="21"/>
  <c r="H2" i="21" s="1"/>
  <c r="G7" i="21"/>
  <c r="H7" i="21" s="1"/>
  <c r="G5" i="21"/>
  <c r="H5" i="21" s="1"/>
  <c r="G6" i="21"/>
  <c r="H6" i="21" s="1"/>
  <c r="I2" i="20"/>
  <c r="H2" i="20"/>
  <c r="H3" i="20"/>
  <c r="I3" i="20"/>
  <c r="I4" i="20"/>
  <c r="H4" i="20"/>
  <c r="S5" i="14" l="1"/>
  <c r="O3" i="14" s="1"/>
  <c r="L4" i="14"/>
  <c r="L5" i="14"/>
  <c r="L3" i="14"/>
  <c r="F4" i="14"/>
  <c r="G4" i="14" s="1"/>
  <c r="H4" i="14" s="1"/>
  <c r="F5" i="14"/>
  <c r="G5" i="14" s="1"/>
  <c r="H5" i="14" s="1"/>
  <c r="B10" i="14"/>
  <c r="B9" i="14"/>
  <c r="C5" i="14"/>
  <c r="C4" i="14"/>
  <c r="F3" i="14"/>
  <c r="G3" i="14" s="1"/>
  <c r="H3" i="14" s="1"/>
  <c r="C3" i="14"/>
  <c r="G5" i="12"/>
  <c r="H5" i="12" s="1"/>
  <c r="F8" i="12"/>
  <c r="G8" i="12" s="1"/>
  <c r="H8" i="12" s="1"/>
  <c r="C8" i="12"/>
  <c r="B13" i="12"/>
  <c r="B12" i="12"/>
  <c r="F7" i="12"/>
  <c r="G7" i="12" s="1"/>
  <c r="H7" i="12" s="1"/>
  <c r="C7" i="12"/>
  <c r="F6" i="12"/>
  <c r="G6" i="12" s="1"/>
  <c r="H6" i="12" s="1"/>
  <c r="C6" i="12"/>
  <c r="C5" i="12"/>
  <c r="G4" i="12"/>
  <c r="H4" i="12" s="1"/>
  <c r="C4" i="12"/>
  <c r="G3" i="12"/>
  <c r="H3" i="12" s="1"/>
  <c r="C3" i="12"/>
  <c r="F2" i="12"/>
  <c r="G2" i="12" s="1"/>
  <c r="H2" i="12" s="1"/>
  <c r="C2" i="12"/>
  <c r="J4" i="12" l="1"/>
  <c r="I4" i="12"/>
  <c r="J8" i="12"/>
  <c r="I8" i="12"/>
  <c r="I5" i="12"/>
  <c r="J5" i="12"/>
  <c r="I6" i="12"/>
  <c r="J6" i="12"/>
  <c r="I2" i="12"/>
  <c r="J2" i="12"/>
  <c r="I7" i="12"/>
  <c r="J7" i="12"/>
  <c r="J3" i="12"/>
  <c r="I3" i="12"/>
  <c r="N3" i="14"/>
  <c r="P4" i="14" s="1"/>
  <c r="I5" i="14"/>
  <c r="K5" i="14" s="1"/>
  <c r="M5" i="14" s="1"/>
  <c r="J5" i="14"/>
  <c r="I4" i="14"/>
  <c r="K4" i="14" s="1"/>
  <c r="M4" i="14" s="1"/>
  <c r="J4" i="14"/>
  <c r="J3" i="14"/>
  <c r="I3" i="14"/>
  <c r="K3" i="14" s="1"/>
  <c r="M3" i="14" s="1"/>
  <c r="P5" i="14" l="1"/>
  <c r="P3" i="14"/>
  <c r="E7" i="11"/>
  <c r="E6" i="11"/>
  <c r="E5" i="11"/>
  <c r="E4" i="11"/>
  <c r="E3" i="11"/>
  <c r="E2" i="11"/>
  <c r="B12" i="11"/>
  <c r="B11" i="11"/>
  <c r="F7" i="11"/>
  <c r="G7" i="11" s="1"/>
  <c r="C7" i="11"/>
  <c r="F6" i="11"/>
  <c r="G6" i="11" s="1"/>
  <c r="C6" i="11"/>
  <c r="F5" i="11"/>
  <c r="G5" i="11" s="1"/>
  <c r="C5" i="11"/>
  <c r="F4" i="11"/>
  <c r="G4" i="11" s="1"/>
  <c r="C4" i="11"/>
  <c r="F3" i="11"/>
  <c r="G3" i="11" s="1"/>
  <c r="C3" i="11"/>
  <c r="F2" i="11"/>
  <c r="G2" i="11" s="1"/>
  <c r="C2" i="11"/>
  <c r="H5" i="11" l="1"/>
  <c r="J5" i="11"/>
  <c r="H3" i="11"/>
  <c r="J3" i="11"/>
  <c r="H6" i="11"/>
  <c r="J6" i="11"/>
  <c r="H4" i="11"/>
  <c r="I4" i="11" s="1"/>
  <c r="J4" i="11"/>
  <c r="H7" i="11"/>
  <c r="J7" i="11"/>
  <c r="H2" i="11"/>
  <c r="I2" i="11" s="1"/>
  <c r="J2" i="11"/>
  <c r="I6" i="11"/>
  <c r="I5" i="11"/>
  <c r="I3" i="11"/>
  <c r="I7" i="11"/>
  <c r="I9" i="25" l="1"/>
  <c r="I7" i="25"/>
  <c r="I5" i="25"/>
</calcChain>
</file>

<file path=xl/sharedStrings.xml><?xml version="1.0" encoding="utf-8"?>
<sst xmlns="http://schemas.openxmlformats.org/spreadsheetml/2006/main" count="201" uniqueCount="82">
  <si>
    <t>Time (min)</t>
  </si>
  <si>
    <t>Absorbance</t>
  </si>
  <si>
    <t>Adsorbent dosage (g)</t>
  </si>
  <si>
    <t>Initial concentration (mol/L)</t>
  </si>
  <si>
    <t>Intial concentration (ppm or mg/L) (Co)</t>
  </si>
  <si>
    <t>Final concentration (mol/L)</t>
  </si>
  <si>
    <t xml:space="preserve">Final concentration (Ce) ppm or mg/L)  </t>
  </si>
  <si>
    <t>Removal Efficiency (%)</t>
  </si>
  <si>
    <t>M.W. of RhB (g/mol)</t>
  </si>
  <si>
    <t>Molar absorptivity  𝛆 (L/ mol cm)</t>
  </si>
  <si>
    <t>Volume (L)</t>
  </si>
  <si>
    <t>Optical path length l (cm)</t>
  </si>
  <si>
    <t>R</t>
  </si>
  <si>
    <t>Adsorption capacity (mg/g)</t>
  </si>
  <si>
    <r>
      <t>Equilibrium concentration (mg L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</si>
  <si>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t>C</t>
  </si>
  <si>
    <t>Adsorbent dosage</t>
  </si>
  <si>
    <t>pH</t>
  </si>
  <si>
    <t>Temperature (∘C)</t>
  </si>
  <si>
    <t>∆H</t>
  </si>
  <si>
    <t>∆S</t>
  </si>
  <si>
    <t>∆G</t>
  </si>
  <si>
    <t>kd</t>
  </si>
  <si>
    <t>lnkd</t>
  </si>
  <si>
    <t>1/T</t>
  </si>
  <si>
    <t>m</t>
  </si>
  <si>
    <t>Tiemperature (K)</t>
  </si>
  <si>
    <t>t</t>
  </si>
  <si>
    <t>qe</t>
  </si>
  <si>
    <t>qt</t>
  </si>
  <si>
    <t>ln(qe-qt)</t>
  </si>
  <si>
    <t>PFO</t>
  </si>
  <si>
    <t>t/qt</t>
  </si>
  <si>
    <t>PSO</t>
  </si>
  <si>
    <t>K1</t>
  </si>
  <si>
    <t>k2</t>
  </si>
  <si>
    <t>t1/2</t>
  </si>
  <si>
    <t>Kip</t>
  </si>
  <si>
    <t>IPD</t>
  </si>
  <si>
    <t>lnt</t>
  </si>
  <si>
    <t>Elovich</t>
  </si>
  <si>
    <t>Alpha</t>
  </si>
  <si>
    <t>Beta</t>
  </si>
  <si>
    <t>Ce</t>
  </si>
  <si>
    <t>Ce/qe</t>
  </si>
  <si>
    <t>lnCe</t>
  </si>
  <si>
    <t>lnqe</t>
  </si>
  <si>
    <t>Langmuir</t>
  </si>
  <si>
    <t>Freundlich</t>
  </si>
  <si>
    <t>qmax</t>
  </si>
  <si>
    <t>KL</t>
  </si>
  <si>
    <t>n</t>
  </si>
  <si>
    <t>KF</t>
  </si>
  <si>
    <t>Temkin</t>
  </si>
  <si>
    <t>Ks</t>
  </si>
  <si>
    <t>ln(qe/qm-qe)</t>
  </si>
  <si>
    <t>qe/qm-qe</t>
  </si>
  <si>
    <t>ℇ</t>
  </si>
  <si>
    <t>T</t>
  </si>
  <si>
    <t>ℇ2</t>
  </si>
  <si>
    <t>KD</t>
  </si>
  <si>
    <t>qs</t>
  </si>
  <si>
    <t>D-R isotherm</t>
  </si>
  <si>
    <t>qm</t>
  </si>
  <si>
    <t>Halsey</t>
  </si>
  <si>
    <t>KH</t>
  </si>
  <si>
    <t>Sips</t>
  </si>
  <si>
    <t>b</t>
  </si>
  <si>
    <t>KT</t>
  </si>
  <si>
    <t>Equilibrium</t>
  </si>
  <si>
    <t>Concentration (mg/L or ppm)</t>
  </si>
  <si>
    <t>Initial concentration (Co) (mol/L)</t>
  </si>
  <si>
    <t>Regeneration cycle</t>
  </si>
  <si>
    <t>Absorbance at 554 nm</t>
  </si>
  <si>
    <t>Dilution factor</t>
  </si>
  <si>
    <t>Final concentration (Ct) (mol/L)</t>
  </si>
  <si>
    <t>Final concentration (Ct) (mg/L or ppm)</t>
  </si>
  <si>
    <t>Adsorption capacity at time t (qt) (mol/g)</t>
  </si>
  <si>
    <t>Adsorption capacity at time t (qt) (mg/g)</t>
  </si>
  <si>
    <t>Removal efficiency (%)</t>
  </si>
  <si>
    <t>N/A</t>
  </si>
  <si>
    <t>Initial adsorption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</si>
</sst>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1" xfId="0" applyFont="1" applyBorder="1"/>
    <xf numFmtId="0" fontId="1" fillId="0" borderId="1" xfId="0" applyFont="1" applyBorder="1"/>
    <xf numFmtId="0" fontId="6" fillId="0" borderId="0" xfId="0" applyFont="1"/>
    <xf numFmtId="164" fontId="3" fillId="0" borderId="1" xfId="0" applyNumberFormat="1" applyFont="1" applyBorder="1"/>
    <xf numFmtId="2" fontId="3" fillId="0" borderId="1" xfId="0" applyNumberFormat="1" applyFont="1" applyBorder="1"/>
    <xf numFmtId="0" fontId="1" fillId="0" borderId="0" xfId="0" applyFont="1" applyAlignment="1">
      <alignment horizontal="center" wrapText="1"/>
    </xf>
    <xf numFmtId="0" fontId="1" fillId="0" borderId="0" xfId="0" applyFont="1"/>
    <xf numFmtId="2" fontId="3" fillId="0" borderId="1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/>
    <xf numFmtId="165" fontId="3" fillId="0" borderId="1" xfId="0" applyNumberFormat="1" applyFont="1" applyBorder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1651"/>
      <color rgb="FF005493"/>
      <color rgb="FF942093"/>
      <color rgb="FF929000"/>
      <color rgb="FF0432FF"/>
      <color rgb="FFFF2600"/>
      <color rgb="FF009051"/>
      <color rgb="FF521B93"/>
      <color rgb="FF945200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'Contact time'!$H$1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solidFill>
              <a:srgbClr val="941651"/>
            </a:solidFill>
            <a:ln>
              <a:noFill/>
            </a:ln>
            <a:effectLst/>
          </c:spPr>
          <c:invertIfNegative val="0"/>
          <c:cat>
            <c:numRef>
              <c:f>'Contact time'!$A$2:$A$11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</c:numCache>
            </c:numRef>
          </c:cat>
          <c:val>
            <c:numRef>
              <c:f>'Contact time'!$H$2:$H$11</c:f>
              <c:numCache>
                <c:formatCode>0.00</c:formatCode>
                <c:ptCount val="10"/>
                <c:pt idx="0">
                  <c:v>60.70800226142692</c:v>
                </c:pt>
                <c:pt idx="1">
                  <c:v>62.788886876865355</c:v>
                </c:pt>
                <c:pt idx="2">
                  <c:v>64.951374810556288</c:v>
                </c:pt>
                <c:pt idx="3">
                  <c:v>66.257027902596121</c:v>
                </c:pt>
                <c:pt idx="4">
                  <c:v>73.519723227067558</c:v>
                </c:pt>
                <c:pt idx="5">
                  <c:v>73.927739818329997</c:v>
                </c:pt>
                <c:pt idx="6">
                  <c:v>75.110987932991094</c:v>
                </c:pt>
                <c:pt idx="7">
                  <c:v>75.437401206001027</c:v>
                </c:pt>
                <c:pt idx="8">
                  <c:v>80.088790346392869</c:v>
                </c:pt>
                <c:pt idx="9">
                  <c:v>80.333600301150327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5-6A42-821A-902E7733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158576"/>
        <c:axId val="836490415"/>
      </c:barChart>
      <c:lineChart>
        <c:grouping val="standard"/>
        <c:varyColors val="0"/>
        <c:ser>
          <c:idx val="1"/>
          <c:order val="1"/>
          <c:tx>
            <c:strRef>
              <c:f>'Contact time'!$I$1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38100" cap="rnd">
              <a:solidFill>
                <a:srgbClr val="7A81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7A81FF"/>
              </a:solidFill>
              <a:ln w="9525">
                <a:solidFill>
                  <a:srgbClr val="7A81FF"/>
                </a:solidFill>
              </a:ln>
              <a:effectLst/>
            </c:spPr>
          </c:marker>
          <c:cat>
            <c:numRef>
              <c:f>'Contact time'!$A$2:$A$11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360</c:v>
                </c:pt>
              </c:numCache>
            </c:numRef>
          </c:cat>
          <c:val>
            <c:numRef>
              <c:f>'Contact time'!$I$2:$I$11</c:f>
              <c:numCache>
                <c:formatCode>0.00</c:formatCode>
                <c:ptCount val="10"/>
                <c:pt idx="0">
                  <c:v>9.1062003392140376</c:v>
                </c:pt>
                <c:pt idx="1">
                  <c:v>9.4183330315298033</c:v>
                </c:pt>
                <c:pt idx="2">
                  <c:v>9.742706221583445</c:v>
                </c:pt>
                <c:pt idx="3">
                  <c:v>9.9385541853894175</c:v>
                </c:pt>
                <c:pt idx="4">
                  <c:v>11.027958484060134</c:v>
                </c:pt>
                <c:pt idx="5">
                  <c:v>11.0891609727495</c:v>
                </c:pt>
                <c:pt idx="6">
                  <c:v>11.266648189948663</c:v>
                </c:pt>
                <c:pt idx="7">
                  <c:v>11.315610180900155</c:v>
                </c:pt>
                <c:pt idx="8">
                  <c:v>12.01331855195893</c:v>
                </c:pt>
                <c:pt idx="9">
                  <c:v>12.050040045172549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5-6A42-821A-902E7733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304096"/>
        <c:axId val="1365929424"/>
      </c:lineChart>
      <c:catAx>
        <c:axId val="145915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Contact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6490415"/>
        <c:crosses val="autoZero"/>
        <c:auto val="1"/>
        <c:lblAlgn val="ctr"/>
        <c:lblOffset val="100"/>
        <c:noMultiLvlLbl val="0"/>
      </c:catAx>
      <c:valAx>
        <c:axId val="836490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layout>
            <c:manualLayout>
              <c:xMode val="edge"/>
              <c:yMode val="edge"/>
              <c:x val="1.944299138732096E-2"/>
              <c:y val="0.2274573162743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9158576"/>
        <c:crosses val="autoZero"/>
        <c:crossBetween val="between"/>
      </c:valAx>
      <c:valAx>
        <c:axId val="1365929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5304096"/>
        <c:crosses val="max"/>
        <c:crossBetween val="between"/>
      </c:valAx>
      <c:catAx>
        <c:axId val="136530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659294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dye conc'!$G$1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numRef>
              <c:f>'Initial dye conc'!$D$2:$D$9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'Initial dye conc'!$G$2:$G$9</c:f>
              <c:numCache>
                <c:formatCode>0.00</c:formatCode>
                <c:ptCount val="8"/>
                <c:pt idx="0">
                  <c:v>89.828641004996371</c:v>
                </c:pt>
                <c:pt idx="1">
                  <c:v>89.305525791604381</c:v>
                </c:pt>
                <c:pt idx="2">
                  <c:v>92.634010105642005</c:v>
                </c:pt>
                <c:pt idx="3">
                  <c:v>89.118237514518128</c:v>
                </c:pt>
                <c:pt idx="4">
                  <c:v>88.888956437286524</c:v>
                </c:pt>
                <c:pt idx="5">
                  <c:v>83.705747670117006</c:v>
                </c:pt>
                <c:pt idx="6">
                  <c:v>75.895144394779308</c:v>
                </c:pt>
                <c:pt idx="7">
                  <c:v>48.706996207715513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6-5046-87FF-4C205FE5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048048"/>
        <c:axId val="1538583888"/>
      </c:barChart>
      <c:lineChart>
        <c:grouping val="standard"/>
        <c:varyColors val="0"/>
        <c:ser>
          <c:idx val="1"/>
          <c:order val="1"/>
          <c:tx>
            <c:strRef>
              <c:f>'Initial dye conc'!$H$1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38100" cap="rnd">
              <a:solidFill>
                <a:srgbClr val="9411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41100"/>
              </a:solidFill>
              <a:ln w="9525">
                <a:solidFill>
                  <a:srgbClr val="941100"/>
                </a:solidFill>
              </a:ln>
              <a:effectLst/>
            </c:spPr>
          </c:marker>
          <c:cat>
            <c:numRef>
              <c:f>'Initial dye conc'!$D$2:$D$9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cat>
          <c:val>
            <c:numRef>
              <c:f>'Initial dye conc'!$H$2:$H$9</c:f>
              <c:numCache>
                <c:formatCode>0.00</c:formatCode>
                <c:ptCount val="8"/>
                <c:pt idx="0">
                  <c:v>0.11329738505134679</c:v>
                </c:pt>
                <c:pt idx="1">
                  <c:v>0.20296710407182808</c:v>
                </c:pt>
                <c:pt idx="2">
                  <c:v>0.40967122622247598</c:v>
                </c:pt>
                <c:pt idx="3">
                  <c:v>0.62466054332606147</c:v>
                </c:pt>
                <c:pt idx="4">
                  <c:v>0.83073791062884617</c:v>
                </c:pt>
                <c:pt idx="5">
                  <c:v>4.0243147918325484</c:v>
                </c:pt>
                <c:pt idx="6">
                  <c:v>7.7557290723530601</c:v>
                </c:pt>
                <c:pt idx="7">
                  <c:v>12.050040045172549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6-5046-87FF-4C205FE5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394128"/>
        <c:axId val="1263867088"/>
      </c:lineChart>
      <c:catAx>
        <c:axId val="112704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Initial dye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8583888"/>
        <c:crosses val="autoZero"/>
        <c:auto val="1"/>
        <c:lblAlgn val="ctr"/>
        <c:lblOffset val="100"/>
        <c:noMultiLvlLbl val="0"/>
      </c:catAx>
      <c:valAx>
        <c:axId val="153858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layout>
            <c:manualLayout>
              <c:xMode val="edge"/>
              <c:yMode val="edge"/>
              <c:x val="3.0515035699533712E-2"/>
              <c:y val="0.14347931801771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7048048"/>
        <c:crosses val="autoZero"/>
        <c:crossBetween val="between"/>
      </c:valAx>
      <c:valAx>
        <c:axId val="1263867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5394128"/>
        <c:crosses val="max"/>
        <c:crossBetween val="between"/>
      </c:valAx>
      <c:catAx>
        <c:axId val="136539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386708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final'!$C$7</c:f>
              <c:strCache>
                <c:ptCount val="1"/>
                <c:pt idx="0">
                  <c:v>Ce/qe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521B93"/>
              </a:solidFill>
              <a:ln w="9525">
                <a:solidFill>
                  <a:srgbClr val="521B9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521B9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043307086614171E-2"/>
                  <c:y val="4.21296296296296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0.0674x + 0.1236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0.9914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isotherm final'!$A$8:$A$15</c:f>
              <c:numCache>
                <c:formatCode>General</c:formatCode>
                <c:ptCount val="8"/>
                <c:pt idx="0">
                  <c:v>1.4239902593005093E-2</c:v>
                </c:pt>
                <c:pt idx="1">
                  <c:v>2.673618552098905E-2</c:v>
                </c:pt>
                <c:pt idx="2">
                  <c:v>3.6829949471789997E-2</c:v>
                </c:pt>
                <c:pt idx="3">
                  <c:v>8.1613218641114052E-2</c:v>
                </c:pt>
                <c:pt idx="4">
                  <c:v>0.11111043562713474</c:v>
                </c:pt>
                <c:pt idx="5">
                  <c:v>0.81471261649414961</c:v>
                </c:pt>
                <c:pt idx="6">
                  <c:v>2.4104855605220701</c:v>
                </c:pt>
                <c:pt idx="7">
                  <c:v>7.6939505688426726</c:v>
                </c:pt>
              </c:numCache>
            </c:numRef>
          </c:xVal>
          <c:yVal>
            <c:numRef>
              <c:f>'Adsorption isotherm final'!$C$8:$C$15</c:f>
              <c:numCache>
                <c:formatCode>General</c:formatCode>
                <c:ptCount val="8"/>
                <c:pt idx="0">
                  <c:v>0.12568606580418001</c:v>
                </c:pt>
                <c:pt idx="1">
                  <c:v>0.13172669356078201</c:v>
                </c:pt>
                <c:pt idx="2">
                  <c:v>8.9901235708922181E-2</c:v>
                </c:pt>
                <c:pt idx="3">
                  <c:v>0.13065211099544899</c:v>
                </c:pt>
                <c:pt idx="4">
                  <c:v>0.13374908524762899</c:v>
                </c:pt>
                <c:pt idx="5">
                  <c:v>0.20244753669559601</c:v>
                </c:pt>
                <c:pt idx="6">
                  <c:v>0.29080064015061502</c:v>
                </c:pt>
                <c:pt idx="7">
                  <c:v>0.63849999999999996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7-A84F-BDE8-375C0CD7F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11664"/>
        <c:axId val="1538464832"/>
      </c:scatterChart>
      <c:valAx>
        <c:axId val="146381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38464832"/>
        <c:crosses val="autoZero"/>
        <c:crossBetween val="midCat"/>
      </c:valAx>
      <c:valAx>
        <c:axId val="1538464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3811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final'!$B$20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9051"/>
              </a:solidFill>
              <a:ln w="9525">
                <a:solidFill>
                  <a:srgbClr val="00905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905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1007879951349E-2"/>
                  <c:y val="-5.23450714494021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0.7438x + 1.2999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0.9798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isotherm final'!$A$21:$A$29</c:f>
              <c:numCache>
                <c:formatCode>General</c:formatCode>
                <c:ptCount val="9"/>
                <c:pt idx="1">
                  <c:v>-4.2517072134005582</c:v>
                </c:pt>
                <c:pt idx="2">
                  <c:v>-3.6217373681574734</c:v>
                </c:pt>
                <c:pt idx="3">
                  <c:v>-3.3014439204568671</c:v>
                </c:pt>
                <c:pt idx="4">
                  <c:v>-2.5057640369806418</c:v>
                </c:pt>
                <c:pt idx="5">
                  <c:v>-2.1972306567104862</c:v>
                </c:pt>
                <c:pt idx="6">
                  <c:v>-0.20491984572413835</c:v>
                </c:pt>
                <c:pt idx="7">
                  <c:v>0.87982820460376887</c:v>
                </c:pt>
                <c:pt idx="8">
                  <c:v>2.0404343796724329</c:v>
                </c:pt>
              </c:numCache>
            </c:numRef>
          </c:xVal>
          <c:yVal>
            <c:numRef>
              <c:f>'Adsorption isotherm final'!$B$21:$B$29</c:f>
              <c:numCache>
                <c:formatCode>General</c:formatCode>
                <c:ptCount val="9"/>
                <c:pt idx="1">
                  <c:v>-2.177739191079068</c:v>
                </c:pt>
                <c:pt idx="2">
                  <c:v>-1.5947113619789433</c:v>
                </c:pt>
                <c:pt idx="3">
                  <c:v>-0.8924003282296088</c:v>
                </c:pt>
                <c:pt idx="4">
                  <c:v>-0.47054690747293204</c:v>
                </c:pt>
                <c:pt idx="5">
                  <c:v>-0.18544092421101344</c:v>
                </c:pt>
                <c:pt idx="6">
                  <c:v>1.3923546583243591</c:v>
                </c:pt>
                <c:pt idx="7">
                  <c:v>2.0484318054078696</c:v>
                </c:pt>
                <c:pt idx="8">
                  <c:v>2.4890679831819762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3-F648-B0CF-FF22146C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21648"/>
        <c:axId val="67343327"/>
      </c:scatterChart>
      <c:valAx>
        <c:axId val="112522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ln(C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343327"/>
        <c:crosses val="autoZero"/>
        <c:crossBetween val="midCat"/>
      </c:valAx>
      <c:valAx>
        <c:axId val="6734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2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final'!$B$139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342957130358705E-2"/>
                  <c:y val="-5.8279381743948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isotherm final'!$A$140:$A$147</c:f>
              <c:numCache>
                <c:formatCode>General</c:formatCode>
                <c:ptCount val="8"/>
              </c:numCache>
            </c:numRef>
          </c:xVal>
          <c:yVal>
            <c:numRef>
              <c:f>'Adsorption isotherm final'!$B$140:$B$147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8-1046-A3AA-99667FB7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88816"/>
        <c:axId val="2051619856"/>
      </c:scatterChart>
      <c:valAx>
        <c:axId val="20513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19856"/>
        <c:crosses val="autoZero"/>
        <c:crossBetween val="midCat"/>
      </c:valAx>
      <c:valAx>
        <c:axId val="2051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8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final'!$B$36</c:f>
              <c:strCache>
                <c:ptCount val="1"/>
                <c:pt idx="0">
                  <c:v>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2600"/>
              </a:solidFill>
              <a:ln w="9525">
                <a:solidFill>
                  <a:srgbClr val="FF26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26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667901331930729E-2"/>
                  <c:y val="-1.25975558098884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1.8461x + 6.2888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0.9001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isotherm final'!$A$37:$A$45</c:f>
              <c:numCache>
                <c:formatCode>General</c:formatCode>
                <c:ptCount val="9"/>
                <c:pt idx="1">
                  <c:v>-4.2517072134005582</c:v>
                </c:pt>
                <c:pt idx="2">
                  <c:v>-3.6217373681574734</c:v>
                </c:pt>
                <c:pt idx="3">
                  <c:v>-3.3014439204568671</c:v>
                </c:pt>
                <c:pt idx="4">
                  <c:v>-2.5057640369806418</c:v>
                </c:pt>
                <c:pt idx="5">
                  <c:v>-2.1972306567104862</c:v>
                </c:pt>
                <c:pt idx="6">
                  <c:v>-0.20491984572413835</c:v>
                </c:pt>
                <c:pt idx="7">
                  <c:v>0.87982820460376887</c:v>
                </c:pt>
                <c:pt idx="8">
                  <c:v>2.0404343796724329</c:v>
                </c:pt>
              </c:numCache>
            </c:numRef>
          </c:xVal>
          <c:yVal>
            <c:numRef>
              <c:f>'Adsorption isotherm final'!$B$37:$B$45</c:f>
              <c:numCache>
                <c:formatCode>General</c:formatCode>
                <c:ptCount val="9"/>
                <c:pt idx="1">
                  <c:v>0.11329738505134679</c:v>
                </c:pt>
                <c:pt idx="2">
                  <c:v>0.20296710407182808</c:v>
                </c:pt>
                <c:pt idx="3">
                  <c:v>0.40967122622247598</c:v>
                </c:pt>
                <c:pt idx="4">
                  <c:v>0.62466054332606147</c:v>
                </c:pt>
                <c:pt idx="5">
                  <c:v>0.83073791062884617</c:v>
                </c:pt>
                <c:pt idx="6">
                  <c:v>4.0243147918325484</c:v>
                </c:pt>
                <c:pt idx="7">
                  <c:v>7.7557290723530601</c:v>
                </c:pt>
                <c:pt idx="8">
                  <c:v>12.050040045172549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4-F749-8FAD-2B7A4EAE8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835696"/>
        <c:axId val="1521430000"/>
      </c:scatterChart>
      <c:valAx>
        <c:axId val="152083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ln(C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1430000"/>
        <c:crosses val="autoZero"/>
        <c:crossBetween val="midCat"/>
      </c:valAx>
      <c:valAx>
        <c:axId val="1521430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083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final'!$E$53</c:f>
              <c:strCache>
                <c:ptCount val="1"/>
                <c:pt idx="0">
                  <c:v>lnCe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941651"/>
              </a:solidFill>
              <a:ln w="9525">
                <a:solidFill>
                  <a:srgbClr val="94165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4165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42766177505786"/>
                  <c:y val="9.48566922780701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1.1423x + 1.4862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0.9941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isotherm final'!$B$54:$B$62</c:f>
              <c:numCache>
                <c:formatCode>General</c:formatCode>
                <c:ptCount val="9"/>
                <c:pt idx="1">
                  <c:v>-5.1989785071901045</c:v>
                </c:pt>
                <c:pt idx="2">
                  <c:v>-4.6115705275606542</c:v>
                </c:pt>
                <c:pt idx="3">
                  <c:v>-3.8990888015204828</c:v>
                </c:pt>
                <c:pt idx="4">
                  <c:v>-3.4665461182297146</c:v>
                </c:pt>
                <c:pt idx="5">
                  <c:v>-3.1710855930034478</c:v>
                </c:pt>
                <c:pt idx="6">
                  <c:v>-1.4173904608241474</c:v>
                </c:pt>
                <c:pt idx="7">
                  <c:v>-0.50679901255968374</c:v>
                </c:pt>
                <c:pt idx="8">
                  <c:v>0.33963873696252483</c:v>
                </c:pt>
              </c:numCache>
            </c:numRef>
          </c:xVal>
          <c:yVal>
            <c:numRef>
              <c:f>'Adsorption isotherm final'!$E$54:$E$62</c:f>
              <c:numCache>
                <c:formatCode>General</c:formatCode>
                <c:ptCount val="9"/>
                <c:pt idx="1">
                  <c:v>-4.2517072134005582</c:v>
                </c:pt>
                <c:pt idx="2">
                  <c:v>-3.6217373681574734</c:v>
                </c:pt>
                <c:pt idx="3">
                  <c:v>-3.3014439204568671</c:v>
                </c:pt>
                <c:pt idx="4">
                  <c:v>-2.5057640369806418</c:v>
                </c:pt>
                <c:pt idx="5">
                  <c:v>-2.1972306567104862</c:v>
                </c:pt>
                <c:pt idx="6">
                  <c:v>-0.20491984572413835</c:v>
                </c:pt>
                <c:pt idx="7">
                  <c:v>0.87982820460376887</c:v>
                </c:pt>
                <c:pt idx="8">
                  <c:v>2.0404343796724329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B-E549-BC3C-4C5A40D1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41776"/>
        <c:axId val="1498760032"/>
      </c:scatterChart>
      <c:valAx>
        <c:axId val="171054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lnC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8760032"/>
        <c:crosses val="autoZero"/>
        <c:crossBetween val="midCat"/>
      </c:valAx>
      <c:valAx>
        <c:axId val="149876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7720293939885376E-3"/>
              <c:y val="0.24649409808676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05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final'!$D$69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432FF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363298337707785E-2"/>
                  <c:y val="2.175925925925925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-3E-08x + 1.9395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0.9425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isotherm final'!$C$70:$C$77</c:f>
              <c:numCache>
                <c:formatCode>General</c:formatCode>
                <c:ptCount val="8"/>
                <c:pt idx="0">
                  <c:v>169469161.01118022</c:v>
                </c:pt>
                <c:pt idx="1">
                  <c:v>131250266.38486795</c:v>
                </c:pt>
                <c:pt idx="2">
                  <c:v>113688934.9877288</c:v>
                </c:pt>
                <c:pt idx="3">
                  <c:v>75518791.403197363</c:v>
                </c:pt>
                <c:pt idx="4">
                  <c:v>62811274.367542461</c:v>
                </c:pt>
                <c:pt idx="5">
                  <c:v>8920844.7779226545</c:v>
                </c:pt>
                <c:pt idx="6">
                  <c:v>88734.961881987459</c:v>
                </c:pt>
                <c:pt idx="7">
                  <c:v>6651491.7463019099</c:v>
                </c:pt>
              </c:numCache>
            </c:numRef>
          </c:xVal>
          <c:yVal>
            <c:numRef>
              <c:f>'Adsorption isotherm final'!$D$70:$D$77</c:f>
              <c:numCache>
                <c:formatCode>General</c:formatCode>
                <c:ptCount val="8"/>
                <c:pt idx="0">
                  <c:v>-2.177739191079068</c:v>
                </c:pt>
                <c:pt idx="1">
                  <c:v>-1.5947113619789433</c:v>
                </c:pt>
                <c:pt idx="2">
                  <c:v>-0.8924003282296088</c:v>
                </c:pt>
                <c:pt idx="3">
                  <c:v>-0.47054690747293204</c:v>
                </c:pt>
                <c:pt idx="4">
                  <c:v>-0.18544092421101344</c:v>
                </c:pt>
                <c:pt idx="5">
                  <c:v>1.3923546583243591</c:v>
                </c:pt>
                <c:pt idx="6">
                  <c:v>2.0484318054078696</c:v>
                </c:pt>
                <c:pt idx="7">
                  <c:v>2.4890679831819762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D-A141-A4AC-3E1BB6D15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173728"/>
        <c:axId val="1475972575"/>
      </c:scatterChart>
      <c:valAx>
        <c:axId val="145917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ℇ</a:t>
                </a:r>
                <a:r>
                  <a:rPr lang="en-GB" sz="1050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5972575"/>
        <c:crosses val="autoZero"/>
        <c:crossBetween val="midCat"/>
      </c:valAx>
      <c:valAx>
        <c:axId val="1475972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591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isotherm final'!$S$20</c:f>
              <c:strCache>
                <c:ptCount val="1"/>
                <c:pt idx="0">
                  <c:v>lnqe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449258307810578E-2"/>
                  <c:y val="-4.48759847134353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0.7438x + 1.2999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0.9798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isotherm final'!$R$21:$R$29</c:f>
              <c:numCache>
                <c:formatCode>General</c:formatCode>
                <c:ptCount val="9"/>
                <c:pt idx="1">
                  <c:v>-4.2517072134005582</c:v>
                </c:pt>
                <c:pt idx="2">
                  <c:v>-3.6217373681574734</c:v>
                </c:pt>
                <c:pt idx="3">
                  <c:v>-3.3014439204568671</c:v>
                </c:pt>
                <c:pt idx="4">
                  <c:v>-2.5057640369806418</c:v>
                </c:pt>
                <c:pt idx="5">
                  <c:v>-2.1972306567104862</c:v>
                </c:pt>
                <c:pt idx="6">
                  <c:v>-0.20491984572413835</c:v>
                </c:pt>
                <c:pt idx="7">
                  <c:v>0.87982820460376887</c:v>
                </c:pt>
                <c:pt idx="8">
                  <c:v>2.0404343796724329</c:v>
                </c:pt>
              </c:numCache>
            </c:numRef>
          </c:xVal>
          <c:yVal>
            <c:numRef>
              <c:f>'Adsorption isotherm final'!$S$21:$S$29</c:f>
              <c:numCache>
                <c:formatCode>General</c:formatCode>
                <c:ptCount val="9"/>
                <c:pt idx="1">
                  <c:v>-2.177739191079068</c:v>
                </c:pt>
                <c:pt idx="2">
                  <c:v>-1.5947113619789433</c:v>
                </c:pt>
                <c:pt idx="3">
                  <c:v>-0.8924003282296088</c:v>
                </c:pt>
                <c:pt idx="4">
                  <c:v>-0.47054690747293204</c:v>
                </c:pt>
                <c:pt idx="5">
                  <c:v>-0.18544092421101344</c:v>
                </c:pt>
                <c:pt idx="6">
                  <c:v>1.3923546583243591</c:v>
                </c:pt>
                <c:pt idx="7">
                  <c:v>2.0484318054078696</c:v>
                </c:pt>
                <c:pt idx="8">
                  <c:v>2.4890679831819762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E-714C-B949-D22273FE7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837456"/>
        <c:axId val="1125823680"/>
      </c:scatterChart>
      <c:valAx>
        <c:axId val="15078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ln(C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823680"/>
        <c:crosses val="autoZero"/>
        <c:crossBetween val="midCat"/>
      </c:valAx>
      <c:valAx>
        <c:axId val="112582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783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kinetics'!$D$1</c:f>
              <c:strCache>
                <c:ptCount val="1"/>
                <c:pt idx="0">
                  <c:v>ln(qe-qt)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417760279965E-2"/>
                  <c:y val="1.86348060659085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-0.0147x + 1.6463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0.8606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kinetics'!$A$2:$A$12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'Adsorption kinetics'!$D$2:$D$12</c:f>
              <c:numCache>
                <c:formatCode>General</c:formatCode>
                <c:ptCount val="11"/>
                <c:pt idx="1">
                  <c:v>1.0828283622330013</c:v>
                </c:pt>
                <c:pt idx="2">
                  <c:v>0.97111494723553504</c:v>
                </c:pt>
                <c:pt idx="3">
                  <c:v>0.84006350330766533</c:v>
                </c:pt>
                <c:pt idx="4">
                  <c:v>0.75173024433685764</c:v>
                </c:pt>
                <c:pt idx="5">
                  <c:v>3.078311648219452E-2</c:v>
                </c:pt>
                <c:pt idx="6">
                  <c:v>-3.0398047241117269E-2</c:v>
                </c:pt>
                <c:pt idx="7">
                  <c:v>-0.23247178676903915</c:v>
                </c:pt>
                <c:pt idx="8">
                  <c:v>-0.29623841497052056</c:v>
                </c:pt>
                <c:pt idx="9">
                  <c:v>-3.0812520789573665</c:v>
                </c:pt>
                <c:pt idx="10">
                  <c:v>-4.6907003157534817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3-CE4A-AFFB-FAB0B666D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10256"/>
        <c:axId val="1492778720"/>
      </c:scatterChart>
      <c:valAx>
        <c:axId val="149281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778720"/>
        <c:crosses val="autoZero"/>
        <c:crossBetween val="midCat"/>
      </c:valAx>
      <c:valAx>
        <c:axId val="149277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8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kinetics'!$B$20</c:f>
              <c:strCache>
                <c:ptCount val="1"/>
                <c:pt idx="0">
                  <c:v>t/qt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2F92"/>
              </a:solidFill>
              <a:ln w="9525">
                <a:solidFill>
                  <a:srgbClr val="FF2F9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2F9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0.0815x + 0.911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0.9985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kinetics'!$A$21:$A$31</c:f>
              <c:numCache>
                <c:formatCode>General</c:formatCode>
                <c:ptCount val="11"/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120</c:v>
                </c:pt>
                <c:pt idx="7">
                  <c:v>180</c:v>
                </c:pt>
                <c:pt idx="8">
                  <c:v>240</c:v>
                </c:pt>
                <c:pt idx="9">
                  <c:v>300</c:v>
                </c:pt>
                <c:pt idx="10">
                  <c:v>360</c:v>
                </c:pt>
              </c:numCache>
            </c:numRef>
          </c:xVal>
          <c:yVal>
            <c:numRef>
              <c:f>'Adsorption kinetics'!$B$21:$B$31</c:f>
              <c:numCache>
                <c:formatCode>General</c:formatCode>
                <c:ptCount val="11"/>
                <c:pt idx="1">
                  <c:v>1.6472292988553621</c:v>
                </c:pt>
                <c:pt idx="2">
                  <c:v>3.1852770442039842</c:v>
                </c:pt>
                <c:pt idx="3">
                  <c:v>4.6188398763692087</c:v>
                </c:pt>
                <c:pt idx="4">
                  <c:v>6.0370954246247894</c:v>
                </c:pt>
                <c:pt idx="5">
                  <c:v>8.161075336843755</c:v>
                </c:pt>
                <c:pt idx="6">
                  <c:v>10.821377766531477</c:v>
                </c:pt>
                <c:pt idx="7">
                  <c:v>15.976357561300595</c:v>
                </c:pt>
                <c:pt idx="8">
                  <c:v>21.209638381242648</c:v>
                </c:pt>
                <c:pt idx="9">
                  <c:v>24.972283778413672</c:v>
                </c:pt>
                <c:pt idx="10">
                  <c:v>29.875419388686772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8-3C4B-BA84-EB49C200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864832"/>
        <c:axId val="1125886368"/>
      </c:scatterChart>
      <c:valAx>
        <c:axId val="112586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GB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(min)</a:t>
                </a:r>
                <a:endParaRPr lang="en-GB" sz="105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886368"/>
        <c:crosses val="autoZero"/>
        <c:crossBetween val="midCat"/>
      </c:valAx>
      <c:valAx>
        <c:axId val="112588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(min/g 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8648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kinetics'!$C$36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9193"/>
              </a:solidFill>
              <a:ln w="9525">
                <a:solidFill>
                  <a:srgbClr val="00919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919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317593250989789E-2"/>
                  <c:y val="0.157712436606216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0.1971x + 8.5402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0.923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kinetics'!$B$37:$B$47</c:f>
              <c:numCache>
                <c:formatCode>General</c:formatCode>
                <c:ptCount val="11"/>
                <c:pt idx="1">
                  <c:v>3.872983346207417</c:v>
                </c:pt>
                <c:pt idx="2">
                  <c:v>5.4772255750516612</c:v>
                </c:pt>
                <c:pt idx="3">
                  <c:v>6.7082039324993694</c:v>
                </c:pt>
                <c:pt idx="4">
                  <c:v>7.745966692414834</c:v>
                </c:pt>
                <c:pt idx="5">
                  <c:v>9.4868329805051381</c:v>
                </c:pt>
                <c:pt idx="6">
                  <c:v>10.954451150103322</c:v>
                </c:pt>
                <c:pt idx="7">
                  <c:v>13.416407864998739</c:v>
                </c:pt>
                <c:pt idx="8">
                  <c:v>15.491933384829668</c:v>
                </c:pt>
                <c:pt idx="9">
                  <c:v>17.320508075688775</c:v>
                </c:pt>
                <c:pt idx="10">
                  <c:v>18.973665961010276</c:v>
                </c:pt>
              </c:numCache>
            </c:numRef>
          </c:xVal>
          <c:yVal>
            <c:numRef>
              <c:f>'Adsorption kinetics'!$C$37:$C$47</c:f>
              <c:numCache>
                <c:formatCode>General</c:formatCode>
                <c:ptCount val="11"/>
                <c:pt idx="1">
                  <c:v>9.1062003392140376</c:v>
                </c:pt>
                <c:pt idx="2">
                  <c:v>9.4183330315298033</c:v>
                </c:pt>
                <c:pt idx="3">
                  <c:v>9.742706221583445</c:v>
                </c:pt>
                <c:pt idx="4">
                  <c:v>9.9385541853894175</c:v>
                </c:pt>
                <c:pt idx="5">
                  <c:v>11.027958484060134</c:v>
                </c:pt>
                <c:pt idx="6">
                  <c:v>11.0891609727495</c:v>
                </c:pt>
                <c:pt idx="7">
                  <c:v>11.266648189948663</c:v>
                </c:pt>
                <c:pt idx="8">
                  <c:v>11.315610180900155</c:v>
                </c:pt>
                <c:pt idx="9">
                  <c:v>12.01331855195893</c:v>
                </c:pt>
                <c:pt idx="10">
                  <c:v>12.050040045172549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C-8941-918C-5D2200EC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41615"/>
        <c:axId val="1176039599"/>
      </c:scatterChart>
      <c:valAx>
        <c:axId val="94864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GB" sz="1050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(min</a:t>
                </a:r>
                <a:r>
                  <a:rPr lang="en-GB" sz="1050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1/2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6039599"/>
        <c:crosses val="autoZero"/>
        <c:crossBetween val="midCat"/>
      </c:valAx>
      <c:valAx>
        <c:axId val="1176039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864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'Adsorption kinetics'!$B$51</c:f>
              <c:strCache>
                <c:ptCount val="1"/>
                <c:pt idx="0">
                  <c:v>qt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945200"/>
              </a:solidFill>
              <a:ln w="9525">
                <a:solidFill>
                  <a:srgbClr val="9452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452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87399387576553"/>
                  <c:y val="1.196048410615339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0.9871x + 6.1995</a:t>
                    </a:r>
                    <a:b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0.9497</a:t>
                    </a:r>
                    <a:endParaRPr lang="en-US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'Adsorption kinetics'!$A$52:$A$62</c:f>
              <c:numCache>
                <c:formatCode>General</c:formatCode>
                <c:ptCount val="11"/>
                <c:pt idx="1">
                  <c:v>2.7080502011022101</c:v>
                </c:pt>
                <c:pt idx="2">
                  <c:v>3.4011973816621555</c:v>
                </c:pt>
                <c:pt idx="3">
                  <c:v>3.8066624897703196</c:v>
                </c:pt>
                <c:pt idx="4">
                  <c:v>4.0943445622221004</c:v>
                </c:pt>
                <c:pt idx="5">
                  <c:v>4.499809670330265</c:v>
                </c:pt>
                <c:pt idx="6">
                  <c:v>4.7874917427820458</c:v>
                </c:pt>
                <c:pt idx="7">
                  <c:v>5.1929568508902104</c:v>
                </c:pt>
                <c:pt idx="8">
                  <c:v>5.4806389233419912</c:v>
                </c:pt>
                <c:pt idx="9">
                  <c:v>5.7037824746562009</c:v>
                </c:pt>
                <c:pt idx="10">
                  <c:v>5.8861040314501558</c:v>
                </c:pt>
              </c:numCache>
            </c:numRef>
          </c:xVal>
          <c:yVal>
            <c:numRef>
              <c:f>'Adsorption kinetics'!$B$52:$B$62</c:f>
              <c:numCache>
                <c:formatCode>General</c:formatCode>
                <c:ptCount val="11"/>
                <c:pt idx="1">
                  <c:v>9.1062003392140376</c:v>
                </c:pt>
                <c:pt idx="2">
                  <c:v>9.4183330315298033</c:v>
                </c:pt>
                <c:pt idx="3">
                  <c:v>9.742706221583445</c:v>
                </c:pt>
                <c:pt idx="4">
                  <c:v>9.9385541853894175</c:v>
                </c:pt>
                <c:pt idx="5">
                  <c:v>11.027958484060134</c:v>
                </c:pt>
                <c:pt idx="6">
                  <c:v>11.0891609727495</c:v>
                </c:pt>
                <c:pt idx="7">
                  <c:v>11.266648189948663</c:v>
                </c:pt>
                <c:pt idx="8">
                  <c:v>11.315610180900155</c:v>
                </c:pt>
                <c:pt idx="9">
                  <c:v>12.01331855195893</c:v>
                </c:pt>
                <c:pt idx="10">
                  <c:v>12.050040045172549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D-004D-8F82-DCAAA525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21392"/>
        <c:axId val="1501009664"/>
      </c:scatterChart>
      <c:valAx>
        <c:axId val="140772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1009664"/>
        <c:crosses val="autoZero"/>
        <c:crossBetween val="midCat"/>
      </c:valAx>
      <c:valAx>
        <c:axId val="150100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7721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Dosage!$I$1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solidFill>
              <a:srgbClr val="521B93"/>
            </a:solidFill>
            <a:ln>
              <a:solidFill>
                <a:srgbClr val="521B93"/>
              </a:solidFill>
            </a:ln>
            <a:effectLst/>
          </c:spPr>
          <c:invertIfNegative val="0"/>
          <c:cat>
            <c:numRef>
              <c:f>Dosage!$E$2:$E$7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Dosage!$I$2:$I$7</c:f>
              <c:numCache>
                <c:formatCode>0.00</c:formatCode>
                <c:ptCount val="6"/>
                <c:pt idx="0">
                  <c:v>60.095977374533241</c:v>
                </c:pt>
                <c:pt idx="1">
                  <c:v>93.879751131063387</c:v>
                </c:pt>
                <c:pt idx="2">
                  <c:v>95.14460256397696</c:v>
                </c:pt>
                <c:pt idx="3">
                  <c:v>97.307090497667886</c:v>
                </c:pt>
                <c:pt idx="4">
                  <c:v>98.775950226212686</c:v>
                </c:pt>
                <c:pt idx="5">
                  <c:v>99.885755354446516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7-7A4E-BF2E-6085889C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731520"/>
        <c:axId val="1870932943"/>
      </c:barChart>
      <c:lineChart>
        <c:grouping val="standard"/>
        <c:varyColors val="0"/>
        <c:ser>
          <c:idx val="1"/>
          <c:order val="1"/>
          <c:tx>
            <c:strRef>
              <c:f>Dosage!$J$1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38100" cap="rnd">
              <a:solidFill>
                <a:srgbClr val="FF4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40FF"/>
              </a:solidFill>
              <a:ln w="9525">
                <a:solidFill>
                  <a:srgbClr val="FF40FF"/>
                </a:solidFill>
              </a:ln>
              <a:effectLst/>
            </c:spPr>
          </c:marker>
          <c:cat>
            <c:numRef>
              <c:f>Dosage!$E$2:$E$7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</c:numCache>
            </c:numRef>
          </c:cat>
          <c:val>
            <c:numRef>
              <c:f>Dosage!$J$2:$J$7</c:f>
              <c:numCache>
                <c:formatCode>0.00</c:formatCode>
                <c:ptCount val="6"/>
                <c:pt idx="0">
                  <c:v>18.028793212359972</c:v>
                </c:pt>
                <c:pt idx="1">
                  <c:v>14.081962669659507</c:v>
                </c:pt>
                <c:pt idx="2">
                  <c:v>7.1358451922982713</c:v>
                </c:pt>
                <c:pt idx="3">
                  <c:v>4.8653545248833945</c:v>
                </c:pt>
                <c:pt idx="4">
                  <c:v>3.7040981334829755</c:v>
                </c:pt>
                <c:pt idx="5">
                  <c:v>2.9965726606333951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7-7A4E-BF2E-6085889C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960400"/>
        <c:axId val="1327968736"/>
      </c:lineChart>
      <c:catAx>
        <c:axId val="117073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Adsorbent dosage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0932943"/>
        <c:crosses val="autoZero"/>
        <c:auto val="1"/>
        <c:lblAlgn val="ctr"/>
        <c:lblOffset val="100"/>
        <c:noMultiLvlLbl val="0"/>
      </c:catAx>
      <c:valAx>
        <c:axId val="1870932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0731520"/>
        <c:crosses val="autoZero"/>
        <c:crossBetween val="between"/>
        <c:minorUnit val="2"/>
      </c:valAx>
      <c:valAx>
        <c:axId val="1327968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7960400"/>
        <c:crosses val="max"/>
        <c:crossBetween val="between"/>
      </c:valAx>
      <c:catAx>
        <c:axId val="132796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796873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pH!$U$1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solidFill>
              <a:srgbClr val="011893"/>
            </a:solidFill>
            <a:ln>
              <a:solidFill>
                <a:srgbClr val="011893"/>
              </a:solidFill>
            </a:ln>
            <a:effectLst/>
          </c:spPr>
          <c:invertIfNegative val="0"/>
          <c:cat>
            <c:numRef>
              <c:f>pH!$T$2:$T$8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pH!$U$2:$U$8</c:f>
              <c:numCache>
                <c:formatCode>0.00</c:formatCode>
                <c:ptCount val="7"/>
                <c:pt idx="0">
                  <c:v>92.206883106887375</c:v>
                </c:pt>
                <c:pt idx="1">
                  <c:v>90.566484845358474</c:v>
                </c:pt>
                <c:pt idx="2">
                  <c:v>87.106675716106849</c:v>
                </c:pt>
                <c:pt idx="3">
                  <c:v>86.494650829213199</c:v>
                </c:pt>
                <c:pt idx="4">
                  <c:v>83.475328053871138</c:v>
                </c:pt>
                <c:pt idx="5">
                  <c:v>82.643806102202504</c:v>
                </c:pt>
                <c:pt idx="6">
                  <c:v>80.170393664645374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B-3045-89BF-ADB86CCD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437151"/>
        <c:axId val="1157056095"/>
      </c:barChart>
      <c:lineChart>
        <c:grouping val="standard"/>
        <c:varyColors val="0"/>
        <c:ser>
          <c:idx val="1"/>
          <c:order val="1"/>
          <c:tx>
            <c:strRef>
              <c:f>pH!$V$1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19050" cap="rnd">
              <a:solidFill>
                <a:srgbClr val="FF26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2600"/>
              </a:solidFill>
              <a:ln w="9525">
                <a:solidFill>
                  <a:srgbClr val="FF2600"/>
                </a:solidFill>
              </a:ln>
              <a:effectLst/>
            </c:spPr>
          </c:marker>
          <c:cat>
            <c:numRef>
              <c:f>pH!$T$2:$T$8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pH!$V$2:$V$8</c:f>
              <c:numCache>
                <c:formatCode>0.00</c:formatCode>
                <c:ptCount val="7"/>
                <c:pt idx="0">
                  <c:v>13.831032466033106</c:v>
                </c:pt>
                <c:pt idx="1">
                  <c:v>13.584972726803771</c:v>
                </c:pt>
                <c:pt idx="2">
                  <c:v>13.066001357416027</c:v>
                </c:pt>
                <c:pt idx="3">
                  <c:v>12.974197624381979</c:v>
                </c:pt>
                <c:pt idx="4">
                  <c:v>12.52129920808067</c:v>
                </c:pt>
                <c:pt idx="5">
                  <c:v>12.396570915330377</c:v>
                </c:pt>
                <c:pt idx="6">
                  <c:v>12.025559049696804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B-3045-89BF-ADB86CCD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748703"/>
        <c:axId val="1468131551"/>
      </c:lineChart>
      <c:catAx>
        <c:axId val="115743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7056095"/>
        <c:crosses val="autoZero"/>
        <c:auto val="1"/>
        <c:lblAlgn val="ctr"/>
        <c:lblOffset val="100"/>
        <c:noMultiLvlLbl val="0"/>
      </c:catAx>
      <c:valAx>
        <c:axId val="115705609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7437151"/>
        <c:crosses val="autoZero"/>
        <c:crossBetween val="between"/>
      </c:valAx>
      <c:valAx>
        <c:axId val="1468131551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8748703"/>
        <c:crosses val="max"/>
        <c:crossBetween val="between"/>
      </c:valAx>
      <c:catAx>
        <c:axId val="1468748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8131551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Temperature!$T$1</c:f>
              <c:strCache>
                <c:ptCount val="1"/>
                <c:pt idx="0">
                  <c:v>Removal Efficiency (%)</c:v>
                </c:pt>
              </c:strCache>
            </c:strRef>
          </c:tx>
          <c:spPr>
            <a:solidFill>
              <a:srgbClr val="009193"/>
            </a:solidFill>
            <a:ln>
              <a:noFill/>
            </a:ln>
            <a:effectLst/>
          </c:spPr>
          <c:invertIfNegative val="0"/>
          <c:cat>
            <c:numRef>
              <c:f>Temperature!$S$2:$S$4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308.14999999999998</c:v>
                </c:pt>
                <c:pt idx="2">
                  <c:v>318.14999999999998</c:v>
                </c:pt>
              </c:numCache>
            </c:numRef>
          </c:cat>
          <c:val>
            <c:numRef>
              <c:f>Temperature!$T$2:$T$4</c:f>
              <c:numCache>
                <c:formatCode>General</c:formatCode>
                <c:ptCount val="3"/>
                <c:pt idx="0">
                  <c:v>93.588157668329586</c:v>
                </c:pt>
                <c:pt idx="1">
                  <c:v>94.472549714077232</c:v>
                </c:pt>
                <c:pt idx="2">
                  <c:v>95.983386125562788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4A43-93D3-18D9E50D8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738911"/>
        <c:axId val="1874143519"/>
      </c:barChart>
      <c:lineChart>
        <c:grouping val="standard"/>
        <c:varyColors val="0"/>
        <c:ser>
          <c:idx val="1"/>
          <c:order val="1"/>
          <c:tx>
            <c:strRef>
              <c:f>Temperature!$U$1</c:f>
              <c:strCache>
                <c:ptCount val="1"/>
                <c:pt idx="0">
                  <c:v>Adsorption capacity (mg/g)</c:v>
                </c:pt>
              </c:strCache>
            </c:strRef>
          </c:tx>
          <c:spPr>
            <a:ln w="38100" cap="rnd">
              <a:solidFill>
                <a:srgbClr val="FF7E79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7E79"/>
              </a:solidFill>
              <a:ln w="9525">
                <a:solidFill>
                  <a:srgbClr val="FF7E79">
                    <a:alpha val="99000"/>
                  </a:srgbClr>
                </a:solidFill>
              </a:ln>
              <a:effectLst/>
            </c:spPr>
          </c:marker>
          <c:cat>
            <c:numRef>
              <c:f>Temperature!$S$2:$S$4</c:f>
              <c:numCache>
                <c:formatCode>General</c:formatCode>
                <c:ptCount val="3"/>
                <c:pt idx="0">
                  <c:v>298.14999999999998</c:v>
                </c:pt>
                <c:pt idx="1">
                  <c:v>308.14999999999998</c:v>
                </c:pt>
                <c:pt idx="2">
                  <c:v>318.14999999999998</c:v>
                </c:pt>
              </c:numCache>
            </c:numRef>
          </c:cat>
          <c:val>
            <c:numRef>
              <c:f>Temperature!$U$2:$U$4</c:f>
              <c:numCache>
                <c:formatCode>General</c:formatCode>
                <c:ptCount val="3"/>
                <c:pt idx="0">
                  <c:v>14.03822365024944</c:v>
                </c:pt>
                <c:pt idx="1">
                  <c:v>14.170882457111587</c:v>
                </c:pt>
                <c:pt idx="2">
                  <c:v>14.397507918834417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B-4A43-93D3-18D9E50D8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443088"/>
        <c:axId val="1156627695"/>
      </c:lineChart>
      <c:catAx>
        <c:axId val="186673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4143519"/>
        <c:crosses val="autoZero"/>
        <c:auto val="1"/>
        <c:lblAlgn val="ctr"/>
        <c:lblOffset val="100"/>
        <c:noMultiLvlLbl val="0"/>
      </c:catAx>
      <c:valAx>
        <c:axId val="1874143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Removal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6738911"/>
        <c:crosses val="autoZero"/>
        <c:crossBetween val="between"/>
      </c:valAx>
      <c:valAx>
        <c:axId val="1156627695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 capacity (mg/g)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7443088"/>
        <c:crosses val="max"/>
        <c:crossBetween val="between"/>
      </c:valAx>
      <c:catAx>
        <c:axId val="140744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627695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'MX SSB temp'!$M$1</c:f>
              <c:strCache>
                <c:ptCount val="1"/>
                <c:pt idx="0">
                  <c:v>lnkd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41651"/>
              </a:solidFill>
              <a:ln w="9525">
                <a:solidFill>
                  <a:srgbClr val="94165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4165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710848643919517E-2"/>
                  <c:y val="-0.256696558763487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-2328.2x + 10.458</a:t>
                    </a:r>
                    <a:b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="1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0.9509</a:t>
                    </a:r>
                    <a:endParaRPr lang="en-US" sz="1000" b="1">
                      <a:solidFill>
                        <a:schemeClr val="tx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'MX SSB temp'!$L$2:$L$5</c:f>
              <c:numCache>
                <c:formatCode>General</c:formatCode>
                <c:ptCount val="4"/>
                <c:pt idx="1">
                  <c:v>3.3540164346805303E-3</c:v>
                </c:pt>
                <c:pt idx="2">
                  <c:v>3.2451728054518907E-3</c:v>
                </c:pt>
                <c:pt idx="3">
                  <c:v>3.1431714600031434E-3</c:v>
                </c:pt>
              </c:numCache>
            </c:numRef>
          </c:xVal>
          <c:yVal>
            <c:numRef>
              <c:f>'MX SSB temp'!$M$2:$M$5</c:f>
              <c:numCache>
                <c:formatCode>General</c:formatCode>
                <c:ptCount val="4"/>
                <c:pt idx="1">
                  <c:v>2.6817544977189711</c:v>
                </c:pt>
                <c:pt idx="2">
                  <c:v>2.8422705595491471</c:v>
                </c:pt>
                <c:pt idx="3">
                  <c:v>3.1784282192003523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F-D840-9E04-0713E63A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14800"/>
        <c:axId val="1788807600"/>
      </c:scatterChart>
      <c:valAx>
        <c:axId val="178861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1/T (K</a:t>
                </a:r>
                <a:r>
                  <a:rPr lang="en-GB" sz="1050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8807600"/>
        <c:crosses val="autoZero"/>
        <c:crossBetween val="midCat"/>
      </c:valAx>
      <c:valAx>
        <c:axId val="178880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ln(K</a:t>
                </a:r>
                <a:r>
                  <a:rPr lang="en-GB" sz="1050" b="1" baseline="-25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GB" sz="105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8614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845892</xdr:colOff>
      <xdr:row>0</xdr:row>
      <xdr:rowOff>855367</xdr:rowOff>
    </xdr:from>
    <xdr:to>
      <xdr:col>15</xdr:col>
      <xdr:colOff>314590</xdr:colOff>
      <xdr:row>12</xdr:row>
      <xdr:rowOff>550489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1E38C-9F38-BE2D-C27A-910D3AA2E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337084</xdr:colOff>
      <xdr:row>1</xdr:row>
      <xdr:rowOff>40829</xdr:rowOff>
    </xdr:from>
    <xdr:to>
      <xdr:col>10</xdr:col>
      <xdr:colOff>754879</xdr:colOff>
      <xdr:row>14</xdr:row>
      <xdr:rowOff>160945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2500F-13A1-73E3-8267-E16DB8EE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538859</xdr:colOff>
      <xdr:row>18</xdr:row>
      <xdr:rowOff>112045</xdr:rowOff>
    </xdr:from>
    <xdr:to>
      <xdr:col>11</xdr:col>
      <xdr:colOff>125813</xdr:colOff>
      <xdr:row>32</xdr:row>
      <xdr:rowOff>30386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037D8-48DF-D11E-66B4-768889091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811850</xdr:colOff>
      <xdr:row>34</xdr:row>
      <xdr:rowOff>171391</xdr:rowOff>
    </xdr:from>
    <xdr:to>
      <xdr:col>11</xdr:col>
      <xdr:colOff>398804</xdr:colOff>
      <xdr:row>48</xdr:row>
      <xdr:rowOff>89731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873F9A-E46F-6538-7837-99563CC44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675355</xdr:colOff>
      <xdr:row>52</xdr:row>
      <xdr:rowOff>88307</xdr:rowOff>
    </xdr:from>
    <xdr:to>
      <xdr:col>11</xdr:col>
      <xdr:colOff>262309</xdr:colOff>
      <xdr:row>66</xdr:row>
      <xdr:rowOff>6647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65191E-D94C-3748-F441-15400FA80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521060</xdr:colOff>
      <xdr:row>1</xdr:row>
      <xdr:rowOff>165818</xdr:rowOff>
    </xdr:from>
    <xdr:to>
      <xdr:col>15</xdr:col>
      <xdr:colOff>838321</xdr:colOff>
      <xdr:row>9</xdr:row>
      <xdr:rowOff>837960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AF0383-3011-5FB5-65A0-5B90D037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620938</xdr:colOff>
      <xdr:row>0</xdr:row>
      <xdr:rowOff>827464</xdr:rowOff>
    </xdr:from>
    <xdr:to>
      <xdr:col>16</xdr:col>
      <xdr:colOff>98172</xdr:colOff>
      <xdr:row>10</xdr:row>
      <xdr:rowOff>404011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DF0E8-45F8-0171-C986-000F7794E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826881</xdr:colOff>
      <xdr:row>1</xdr:row>
      <xdr:rowOff>8835</xdr:rowOff>
    </xdr:from>
    <xdr:to>
      <xdr:col>27</xdr:col>
      <xdr:colOff>263664</xdr:colOff>
      <xdr:row>7</xdr:row>
      <xdr:rowOff>198231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1A874-A0D8-4439-2197-9DB1AB6C0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708215</xdr:colOff>
      <xdr:row>6</xdr:row>
      <xdr:rowOff>272693</xdr:rowOff>
    </xdr:from>
    <xdr:to>
      <xdr:col>13</xdr:col>
      <xdr:colOff>673578</xdr:colOff>
      <xdr:row>10</xdr:row>
      <xdr:rowOff>855580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3088B-F656-C492-4A3F-A93E669EB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7246</xdr:colOff>
      <xdr:row>0</xdr:row>
      <xdr:rowOff>830835</xdr:rowOff>
    </xdr:from>
    <xdr:to>
      <xdr:col>15</xdr:col>
      <xdr:colOff>312046</xdr:colOff>
      <xdr:row>11</xdr:row>
      <xdr:rowOff>238483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FA26B-9896-BA5A-21C3-10CB64F50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767080</xdr:colOff>
      <xdr:row>1</xdr:row>
      <xdr:rowOff>30480</xdr:rowOff>
    </xdr:from>
    <xdr:to>
      <xdr:col>11</xdr:col>
      <xdr:colOff>401320</xdr:colOff>
      <xdr:row>14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F1D023-7D23-7644-80AC-DCC2DF49D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18</xdr:row>
      <xdr:rowOff>0</xdr:rowOff>
    </xdr:from>
    <xdr:to>
      <xdr:col>11</xdr:col>
      <xdr:colOff>472440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080DD2-BDED-F649-B3CA-38B49CD10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670560</xdr:colOff>
      <xdr:row>132</xdr:row>
      <xdr:rowOff>172720</xdr:rowOff>
    </xdr:from>
    <xdr:to>
      <xdr:col>16</xdr:col>
      <xdr:colOff>304800</xdr:colOff>
      <xdr:row>146</xdr:row>
      <xdr:rowOff>71120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2ABFB6-A608-9243-A325-EA884F80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385379</xdr:colOff>
      <xdr:row>37</xdr:row>
      <xdr:rowOff>62624</xdr:rowOff>
    </xdr:from>
    <xdr:to>
      <xdr:col>10</xdr:col>
      <xdr:colOff>30655</xdr:colOff>
      <xdr:row>50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157A02-F27E-64E4-BC45-8D8FED7B0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303268</xdr:colOff>
      <xdr:row>53</xdr:row>
      <xdr:rowOff>95469</xdr:rowOff>
    </xdr:from>
    <xdr:to>
      <xdr:col>11</xdr:col>
      <xdr:colOff>769665</xdr:colOff>
      <xdr:row>66</xdr:row>
      <xdr:rowOff>134445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16812F-325B-B573-AC6E-7509EC3D2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571499</xdr:colOff>
      <xdr:row>76</xdr:row>
      <xdr:rowOff>73572</xdr:rowOff>
    </xdr:from>
    <xdr:to>
      <xdr:col>13</xdr:col>
      <xdr:colOff>216775</xdr:colOff>
      <xdr:row>89</xdr:row>
      <xdr:rowOff>112548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DC3F026-F38D-EAE0-8F2C-D07EA76B3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254000</xdr:colOff>
      <xdr:row>18</xdr:row>
      <xdr:rowOff>25401</xdr:rowOff>
    </xdr:from>
    <xdr:to>
      <xdr:col>24</xdr:col>
      <xdr:colOff>677333</xdr:colOff>
      <xdr:row>31</xdr:row>
      <xdr:rowOff>127001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FF9CDE-15DE-214E-4F48-7C3ACAD5A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50399-E7ED-4B48-9F1C-0291C24599B4}">
  <dimension ref="A1:AD17"/>
  <sheetViews>
    <sheetView zoomScale="150" zoomScaleNormal="125" workbookViewId="0">
      <selection activeCell="J11" sqref="J11"/>
    </sheetView>
  </sheetViews>
  <sheetFormatPr baseColWidth="10" defaultColWidth="11.1640625" defaultRowHeight="16" x14ac:dyDescent="0.2"/>
  <cols>
    <col min="2" max="2" width="12.6640625" customWidth="1"/>
    <col min="3" max="3" width="13.1640625" customWidth="1"/>
    <col min="4" max="4" width="12.83203125" customWidth="1"/>
    <col min="5" max="5" width="14.1640625" customWidth="1"/>
    <col min="6" max="6" width="13.5" customWidth="1"/>
    <col min="7" max="7" width="12.83203125" customWidth="1"/>
    <col min="8" max="8" width="12.5" customWidth="1"/>
    <col min="9" max="9" width="12" customWidth="1"/>
  </cols>
  <sheetData>
    <row r="1" spans="1:30" ht="68" x14ac:dyDescent="0.2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14</v>
      </c>
      <c r="H1" s="2" t="s">
        <v>7</v>
      </c>
      <c r="I1" s="2" t="s">
        <v>13</v>
      </c>
      <c r="J1" s="8"/>
      <c r="AC1" s="9"/>
      <c r="AD1" s="8"/>
    </row>
    <row r="2" spans="1:30" x14ac:dyDescent="0.2">
      <c r="A2" s="4">
        <v>15</v>
      </c>
      <c r="B2" s="4">
        <v>0.96299999999999997</v>
      </c>
      <c r="C2" s="4">
        <f xml:space="preserve"> D2/(1000*$B$13)</f>
        <v>3.1314586334314521E-5</v>
      </c>
      <c r="D2" s="4">
        <v>15</v>
      </c>
      <c r="E2" s="4">
        <f t="shared" ref="E2:E7" si="0" xml:space="preserve"> B2/($B$14*$B$17)</f>
        <v>1.230412655432238E-5</v>
      </c>
      <c r="F2" s="4">
        <f t="shared" ref="F2:F7" si="1" xml:space="preserve"> E2*1000*$B$13</f>
        <v>5.8937996607859633</v>
      </c>
      <c r="G2" s="4">
        <f t="shared" ref="G2:G7" si="2" xml:space="preserve"> F2</f>
        <v>5.8937996607859633</v>
      </c>
      <c r="H2" s="16">
        <f t="shared" ref="H2:H7" si="3" xml:space="preserve"> ((D2-G2)/D2)*100</f>
        <v>60.70800226142692</v>
      </c>
      <c r="I2" s="16">
        <f xml:space="preserve"> (D2-F2)*($B$15/$B$16)</f>
        <v>9.1062003392140376</v>
      </c>
      <c r="AC2" s="5"/>
    </row>
    <row r="3" spans="1:30" x14ac:dyDescent="0.2">
      <c r="A3" s="4">
        <v>30</v>
      </c>
      <c r="B3" s="4">
        <v>0.91200000000000003</v>
      </c>
      <c r="C3" s="4">
        <f xml:space="preserve"> D3/(1000*$B$13)</f>
        <v>3.1314586334314521E-5</v>
      </c>
      <c r="D3" s="4">
        <v>15</v>
      </c>
      <c r="E3" s="4">
        <f t="shared" si="0"/>
        <v>1.1652506144903439E-5</v>
      </c>
      <c r="F3" s="4">
        <f t="shared" si="1"/>
        <v>5.5816669684701967</v>
      </c>
      <c r="G3" s="4">
        <f t="shared" si="2"/>
        <v>5.5816669684701967</v>
      </c>
      <c r="H3" s="16">
        <f t="shared" si="3"/>
        <v>62.788886876865355</v>
      </c>
      <c r="I3" s="16">
        <f t="shared" ref="I3:I7" si="4" xml:space="preserve"> (D3-F3)*($B$15/$B$16)</f>
        <v>9.4183330315298033</v>
      </c>
      <c r="AC3" s="5"/>
    </row>
    <row r="4" spans="1:30" x14ac:dyDescent="0.2">
      <c r="A4" s="4">
        <v>45</v>
      </c>
      <c r="B4" s="4">
        <v>0.85899999999999999</v>
      </c>
      <c r="C4" s="4">
        <f t="shared" ref="C4:C7" si="5" xml:space="preserve"> D4/(1000*$B$13)</f>
        <v>3.1314586334314521E-5</v>
      </c>
      <c r="D4" s="4">
        <v>15</v>
      </c>
      <c r="E4" s="4">
        <f t="shared" si="0"/>
        <v>1.0975331993938655E-5</v>
      </c>
      <c r="F4" s="4">
        <f t="shared" si="1"/>
        <v>5.257293778416555</v>
      </c>
      <c r="G4" s="4">
        <f t="shared" si="2"/>
        <v>5.257293778416555</v>
      </c>
      <c r="H4" s="16">
        <f t="shared" si="3"/>
        <v>64.951374810556288</v>
      </c>
      <c r="I4" s="16">
        <f t="shared" si="4"/>
        <v>9.742706221583445</v>
      </c>
      <c r="AC4" s="5"/>
    </row>
    <row r="5" spans="1:30" x14ac:dyDescent="0.2">
      <c r="A5" s="4">
        <v>60</v>
      </c>
      <c r="B5" s="4">
        <v>0.82699999999999996</v>
      </c>
      <c r="C5" s="4">
        <f t="shared" si="5"/>
        <v>3.1314586334314521E-5</v>
      </c>
      <c r="D5" s="4">
        <v>15</v>
      </c>
      <c r="E5" s="4">
        <f t="shared" si="0"/>
        <v>1.0566472129205201E-5</v>
      </c>
      <c r="F5" s="4">
        <f t="shared" si="1"/>
        <v>5.0614458146105834</v>
      </c>
      <c r="G5" s="4">
        <f t="shared" si="2"/>
        <v>5.0614458146105834</v>
      </c>
      <c r="H5" s="16">
        <f t="shared" si="3"/>
        <v>66.257027902596121</v>
      </c>
      <c r="I5" s="16">
        <f t="shared" si="4"/>
        <v>9.9385541853894175</v>
      </c>
      <c r="AC5" s="5"/>
    </row>
    <row r="6" spans="1:30" x14ac:dyDescent="0.2">
      <c r="A6" s="4">
        <v>90</v>
      </c>
      <c r="B6" s="4">
        <v>0.64900000000000002</v>
      </c>
      <c r="C6" s="4">
        <f t="shared" si="5"/>
        <v>3.1314586334314521E-5</v>
      </c>
      <c r="D6" s="4">
        <v>15</v>
      </c>
      <c r="E6" s="4">
        <f t="shared" si="0"/>
        <v>8.2921891316253641E-6</v>
      </c>
      <c r="F6" s="4">
        <f t="shared" si="1"/>
        <v>3.9720415159398654</v>
      </c>
      <c r="G6" s="4">
        <f t="shared" si="2"/>
        <v>3.9720415159398654</v>
      </c>
      <c r="H6" s="16">
        <f t="shared" si="3"/>
        <v>73.519723227067558</v>
      </c>
      <c r="I6" s="16">
        <f t="shared" si="4"/>
        <v>11.027958484060134</v>
      </c>
      <c r="AC6" s="5"/>
    </row>
    <row r="7" spans="1:30" x14ac:dyDescent="0.2">
      <c r="A7" s="4">
        <v>120</v>
      </c>
      <c r="B7" s="4">
        <v>0.63900000000000001</v>
      </c>
      <c r="C7" s="4">
        <f t="shared" si="5"/>
        <v>3.1314586334314521E-5</v>
      </c>
      <c r="D7" s="4">
        <v>15</v>
      </c>
      <c r="E7" s="4">
        <f t="shared" si="0"/>
        <v>8.1644204238961602E-6</v>
      </c>
      <c r="F7" s="4">
        <f t="shared" si="1"/>
        <v>3.9108390272504994</v>
      </c>
      <c r="G7" s="4">
        <f t="shared" si="2"/>
        <v>3.9108390272504994</v>
      </c>
      <c r="H7" s="16">
        <f t="shared" si="3"/>
        <v>73.927739818329997</v>
      </c>
      <c r="I7" s="16">
        <f t="shared" si="4"/>
        <v>11.0891609727495</v>
      </c>
      <c r="AC7" s="5"/>
    </row>
    <row r="8" spans="1:30" x14ac:dyDescent="0.2">
      <c r="A8" s="4">
        <v>180</v>
      </c>
      <c r="B8" s="4">
        <v>0.61</v>
      </c>
      <c r="C8" s="4">
        <f t="shared" ref="C8:C11" si="6" xml:space="preserve"> D8/(1000*$B$13)</f>
        <v>3.1314586334314521E-5</v>
      </c>
      <c r="D8" s="4">
        <v>15</v>
      </c>
      <c r="E8" s="4">
        <f t="shared" ref="E8:E11" si="7" xml:space="preserve"> B8/($B$14*$B$17)</f>
        <v>7.7938911714814665E-6</v>
      </c>
      <c r="F8" s="4">
        <f t="shared" ref="F8:F11" si="8" xml:space="preserve"> E8*1000*$B$13</f>
        <v>3.7333518100513374</v>
      </c>
      <c r="G8" s="4">
        <f t="shared" ref="G8:G11" si="9" xml:space="preserve"> F8</f>
        <v>3.7333518100513374</v>
      </c>
      <c r="H8" s="16">
        <f t="shared" ref="H8:H11" si="10" xml:space="preserve"> ((D8-G8)/D8)*100</f>
        <v>75.110987932991094</v>
      </c>
      <c r="I8" s="16">
        <f t="shared" ref="I8:I11" si="11" xml:space="preserve"> (D8-F8)*($B$15/$B$16)</f>
        <v>11.266648189948663</v>
      </c>
      <c r="AC8" s="5"/>
    </row>
    <row r="9" spans="1:30" x14ac:dyDescent="0.2">
      <c r="A9" s="4">
        <v>240</v>
      </c>
      <c r="B9" s="4">
        <v>0.60199999999999998</v>
      </c>
      <c r="C9" s="4">
        <f t="shared" si="6"/>
        <v>3.1314586334314521E-5</v>
      </c>
      <c r="D9" s="4">
        <v>15</v>
      </c>
      <c r="E9" s="4">
        <f t="shared" si="7"/>
        <v>7.6916762052981035E-6</v>
      </c>
      <c r="F9" s="4">
        <f t="shared" si="8"/>
        <v>3.6843898190998448</v>
      </c>
      <c r="G9" s="4">
        <f t="shared" si="9"/>
        <v>3.6843898190998448</v>
      </c>
      <c r="H9" s="16">
        <f t="shared" si="10"/>
        <v>75.437401206001027</v>
      </c>
      <c r="I9" s="16">
        <f t="shared" si="11"/>
        <v>11.315610180900155</v>
      </c>
      <c r="AC9" s="5"/>
    </row>
    <row r="10" spans="1:30" x14ac:dyDescent="0.2">
      <c r="A10" s="4">
        <v>300</v>
      </c>
      <c r="B10" s="4">
        <v>0.48799999999999999</v>
      </c>
      <c r="C10" s="4">
        <f t="shared" si="6"/>
        <v>3.1314586334314521E-5</v>
      </c>
      <c r="D10" s="4">
        <v>15</v>
      </c>
      <c r="E10" s="4">
        <f t="shared" si="7"/>
        <v>6.2351129371851729E-6</v>
      </c>
      <c r="F10" s="4">
        <f t="shared" si="8"/>
        <v>2.9866814480410695</v>
      </c>
      <c r="G10" s="4">
        <f t="shared" si="9"/>
        <v>2.9866814480410695</v>
      </c>
      <c r="H10" s="16">
        <f t="shared" si="10"/>
        <v>80.088790346392869</v>
      </c>
      <c r="I10" s="16">
        <f t="shared" si="11"/>
        <v>12.01331855195893</v>
      </c>
      <c r="AC10" s="5"/>
    </row>
    <row r="11" spans="1:30" x14ac:dyDescent="0.2">
      <c r="A11" s="4">
        <v>360</v>
      </c>
      <c r="B11" s="4">
        <v>0.48199999999999998</v>
      </c>
      <c r="C11" s="4">
        <f t="shared" si="6"/>
        <v>3.1314586334314521E-5</v>
      </c>
      <c r="D11" s="4">
        <v>15</v>
      </c>
      <c r="E11" s="4">
        <f t="shared" si="7"/>
        <v>6.1584517125476506E-6</v>
      </c>
      <c r="F11" s="4">
        <f t="shared" si="8"/>
        <v>2.9499599548274502</v>
      </c>
      <c r="G11" s="4">
        <f t="shared" si="9"/>
        <v>2.9499599548274502</v>
      </c>
      <c r="H11" s="16">
        <f t="shared" si="10"/>
        <v>80.333600301150327</v>
      </c>
      <c r="I11" s="16">
        <f t="shared" si="11"/>
        <v>12.050040045172549</v>
      </c>
      <c r="AC11" s="5"/>
    </row>
    <row r="13" spans="1:30" ht="51" x14ac:dyDescent="0.2">
      <c r="A13" s="2" t="s">
        <v>8</v>
      </c>
      <c r="B13" s="4">
        <v>479.01</v>
      </c>
      <c r="F13" s="5"/>
      <c r="G13" s="5"/>
      <c r="H13" s="5"/>
    </row>
    <row r="14" spans="1:30" ht="68" x14ac:dyDescent="0.2">
      <c r="A14" s="6" t="s">
        <v>9</v>
      </c>
      <c r="B14" s="12">
        <v>78266.425149999995</v>
      </c>
    </row>
    <row r="15" spans="1:30" ht="17" x14ac:dyDescent="0.2">
      <c r="A15" s="6" t="s">
        <v>10</v>
      </c>
      <c r="B15" s="4">
        <f xml:space="preserve"> 20/1000</f>
        <v>0.02</v>
      </c>
    </row>
    <row r="16" spans="1:30" ht="34" x14ac:dyDescent="0.2">
      <c r="A16" s="6" t="s">
        <v>2</v>
      </c>
      <c r="B16" s="4">
        <f xml:space="preserve"> 20/1000</f>
        <v>0.02</v>
      </c>
    </row>
    <row r="17" spans="1:2" ht="68" x14ac:dyDescent="0.2">
      <c r="A17" s="6" t="s">
        <v>11</v>
      </c>
      <c r="B17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A834-D7F5-9647-9F5D-F4D88B9A7367}">
  <dimension ref="A1:Q142"/>
  <sheetViews>
    <sheetView workbookViewId="0">
      <selection activeCell="A69" sqref="A69"/>
    </sheetView>
  </sheetViews>
  <sheetFormatPr baseColWidth="10" defaultRowHeight="16" x14ac:dyDescent="0.2"/>
  <sheetData>
    <row r="1" spans="1:17" x14ac:dyDescent="0.2">
      <c r="A1" s="13" t="s">
        <v>27</v>
      </c>
      <c r="B1" s="13" t="s">
        <v>28</v>
      </c>
      <c r="C1" s="13" t="s">
        <v>29</v>
      </c>
      <c r="D1" s="13" t="s">
        <v>30</v>
      </c>
    </row>
    <row r="2" spans="1:17" x14ac:dyDescent="0.2">
      <c r="A2" s="4"/>
      <c r="B2" s="4"/>
      <c r="C2" s="4"/>
      <c r="D2" s="4"/>
    </row>
    <row r="3" spans="1:17" x14ac:dyDescent="0.2">
      <c r="A3" s="4">
        <v>15</v>
      </c>
      <c r="B3" s="4">
        <v>12.0592203</v>
      </c>
      <c r="C3" s="4">
        <v>9.1062003392140376</v>
      </c>
      <c r="D3" s="4">
        <f xml:space="preserve"> LN($B$3-C3)</f>
        <v>1.0828283622330013</v>
      </c>
    </row>
    <row r="4" spans="1:17" x14ac:dyDescent="0.2">
      <c r="A4" s="4">
        <v>30</v>
      </c>
      <c r="B4" s="4"/>
      <c r="C4" s="4">
        <v>9.4183330315298033</v>
      </c>
      <c r="D4" s="4">
        <f t="shared" ref="D4:D12" si="0" xml:space="preserve"> LN($B$3-C4)</f>
        <v>0.97111494723553504</v>
      </c>
      <c r="M4" s="5" t="s">
        <v>34</v>
      </c>
      <c r="N4" s="5">
        <f xml:space="preserve"> 0.0147</f>
        <v>1.47E-2</v>
      </c>
      <c r="O4" s="5"/>
      <c r="P4" s="5"/>
      <c r="Q4" s="5"/>
    </row>
    <row r="5" spans="1:17" x14ac:dyDescent="0.2">
      <c r="A5" s="4">
        <v>45</v>
      </c>
      <c r="B5" s="4"/>
      <c r="C5" s="4">
        <v>9.742706221583445</v>
      </c>
      <c r="D5" s="4">
        <f t="shared" si="0"/>
        <v>0.84006350330766533</v>
      </c>
      <c r="M5" s="5" t="s">
        <v>28</v>
      </c>
      <c r="N5" s="5">
        <f xml:space="preserve"> EXP(1.5444)</f>
        <v>4.685159687711951</v>
      </c>
      <c r="O5" s="5"/>
      <c r="P5" s="5"/>
      <c r="Q5" s="5"/>
    </row>
    <row r="6" spans="1:17" x14ac:dyDescent="0.2">
      <c r="A6" s="4">
        <v>60</v>
      </c>
      <c r="B6" s="4"/>
      <c r="C6" s="4">
        <v>9.9385541853894175</v>
      </c>
      <c r="D6" s="4">
        <f t="shared" si="0"/>
        <v>0.75173024433685764</v>
      </c>
      <c r="M6" s="5"/>
      <c r="N6" s="5"/>
      <c r="O6" s="5"/>
      <c r="P6" s="5"/>
      <c r="Q6" s="5"/>
    </row>
    <row r="7" spans="1:17" x14ac:dyDescent="0.2">
      <c r="A7" s="4">
        <v>90</v>
      </c>
      <c r="B7" s="4"/>
      <c r="C7" s="4">
        <v>11.027958484060134</v>
      </c>
      <c r="D7" s="4">
        <f t="shared" si="0"/>
        <v>3.078311648219452E-2</v>
      </c>
      <c r="M7" s="5"/>
      <c r="N7" s="5"/>
      <c r="O7" s="5"/>
      <c r="P7" s="5"/>
      <c r="Q7" s="5"/>
    </row>
    <row r="8" spans="1:17" x14ac:dyDescent="0.2">
      <c r="A8" s="4">
        <v>120</v>
      </c>
      <c r="B8" s="4"/>
      <c r="C8" s="4">
        <v>11.0891609727495</v>
      </c>
      <c r="D8" s="4">
        <f t="shared" si="0"/>
        <v>-3.0398047241117269E-2</v>
      </c>
      <c r="M8" s="5"/>
      <c r="N8" s="5"/>
      <c r="O8" s="5"/>
      <c r="P8" s="5"/>
      <c r="Q8" s="5"/>
    </row>
    <row r="9" spans="1:17" x14ac:dyDescent="0.2">
      <c r="A9" s="4">
        <v>180</v>
      </c>
      <c r="B9" s="4"/>
      <c r="C9" s="4">
        <v>11.266648189948663</v>
      </c>
      <c r="D9" s="4">
        <f t="shared" si="0"/>
        <v>-0.23247178676903915</v>
      </c>
      <c r="M9" s="5"/>
      <c r="N9" s="5"/>
      <c r="O9" s="5"/>
      <c r="P9" s="5"/>
      <c r="Q9" s="5"/>
    </row>
    <row r="10" spans="1:17" x14ac:dyDescent="0.2">
      <c r="A10" s="4">
        <v>240</v>
      </c>
      <c r="B10" s="4"/>
      <c r="C10" s="4">
        <v>11.315610180900155</v>
      </c>
      <c r="D10" s="4">
        <f t="shared" si="0"/>
        <v>-0.29623841497052056</v>
      </c>
      <c r="M10" s="5"/>
      <c r="N10" s="5"/>
      <c r="O10" s="5"/>
      <c r="P10" s="5"/>
      <c r="Q10" s="5"/>
    </row>
    <row r="11" spans="1:17" x14ac:dyDescent="0.2">
      <c r="A11" s="4">
        <v>300</v>
      </c>
      <c r="B11" s="4"/>
      <c r="C11" s="4">
        <v>12.01331855195893</v>
      </c>
      <c r="D11" s="4">
        <f t="shared" si="0"/>
        <v>-3.0812520789573665</v>
      </c>
      <c r="M11" s="5"/>
      <c r="N11" s="5"/>
      <c r="O11" s="5"/>
      <c r="P11" s="5"/>
      <c r="Q11" s="5"/>
    </row>
    <row r="12" spans="1:17" x14ac:dyDescent="0.2">
      <c r="A12" s="4">
        <v>360</v>
      </c>
      <c r="B12" s="4"/>
      <c r="C12" s="4">
        <v>12.050040045172549</v>
      </c>
      <c r="D12" s="4">
        <f t="shared" si="0"/>
        <v>-4.6907003157534817</v>
      </c>
      <c r="M12" s="5"/>
      <c r="N12" s="5"/>
      <c r="O12" s="5"/>
      <c r="P12" s="5"/>
      <c r="Q12" s="5"/>
    </row>
    <row r="13" spans="1:17" x14ac:dyDescent="0.2">
      <c r="M13" s="5"/>
      <c r="N13" s="5"/>
      <c r="O13" s="5"/>
      <c r="P13" s="5"/>
      <c r="Q13" s="5"/>
    </row>
    <row r="14" spans="1:17" x14ac:dyDescent="0.2">
      <c r="M14" s="5"/>
      <c r="N14" s="5"/>
      <c r="O14" s="5"/>
      <c r="P14" s="5"/>
      <c r="Q14" s="5"/>
    </row>
    <row r="15" spans="1:17" x14ac:dyDescent="0.2">
      <c r="M15" s="5"/>
      <c r="N15" s="5"/>
      <c r="O15" s="5"/>
      <c r="P15" s="5"/>
      <c r="Q15" s="5"/>
    </row>
    <row r="16" spans="1:17" x14ac:dyDescent="0.2">
      <c r="B16" s="18" t="s">
        <v>31</v>
      </c>
      <c r="M16" s="5"/>
      <c r="N16" s="5"/>
      <c r="O16" s="5"/>
      <c r="P16" s="5"/>
      <c r="Q16" s="5"/>
    </row>
    <row r="17" spans="1:17" x14ac:dyDescent="0.2">
      <c r="M17" s="5"/>
      <c r="N17" s="5"/>
      <c r="O17" s="5"/>
      <c r="P17" s="5"/>
      <c r="Q17" s="5"/>
    </row>
    <row r="18" spans="1:17" x14ac:dyDescent="0.2">
      <c r="M18" s="5"/>
      <c r="N18" s="5"/>
      <c r="O18" s="5"/>
      <c r="P18" s="5"/>
      <c r="Q18" s="5"/>
    </row>
    <row r="19" spans="1:17" x14ac:dyDescent="0.2">
      <c r="M19" s="5"/>
      <c r="N19" s="5"/>
      <c r="O19" s="5"/>
      <c r="P19" s="5"/>
      <c r="Q19" s="5"/>
    </row>
    <row r="20" spans="1:17" x14ac:dyDescent="0.2">
      <c r="A20" s="4" t="s">
        <v>27</v>
      </c>
      <c r="B20" s="4" t="s">
        <v>32</v>
      </c>
      <c r="M20" s="5"/>
      <c r="N20" s="5"/>
      <c r="O20" s="5"/>
      <c r="P20" s="5"/>
      <c r="Q20" s="5"/>
    </row>
    <row r="21" spans="1:17" x14ac:dyDescent="0.2">
      <c r="A21" s="4"/>
      <c r="B21" s="4"/>
      <c r="M21" s="5"/>
      <c r="N21" s="5"/>
      <c r="O21" s="5"/>
      <c r="P21" s="5"/>
      <c r="Q21" s="5"/>
    </row>
    <row r="22" spans="1:17" x14ac:dyDescent="0.2">
      <c r="A22" s="4">
        <v>15</v>
      </c>
      <c r="B22" s="4">
        <f xml:space="preserve"> A3/C3</f>
        <v>1.6472292988553621</v>
      </c>
      <c r="M22" s="5" t="s">
        <v>28</v>
      </c>
      <c r="N22" s="5">
        <f xml:space="preserve"> 1/0.0815</f>
        <v>12.269938650306749</v>
      </c>
      <c r="O22" s="5"/>
      <c r="P22" s="5"/>
      <c r="Q22" s="5"/>
    </row>
    <row r="23" spans="1:17" x14ac:dyDescent="0.2">
      <c r="A23" s="4">
        <v>30</v>
      </c>
      <c r="B23" s="4">
        <f t="shared" ref="B23:B31" si="1" xml:space="preserve"> A4/C4</f>
        <v>3.1852770442039842</v>
      </c>
      <c r="M23" s="5" t="s">
        <v>35</v>
      </c>
      <c r="N23" s="5">
        <f xml:space="preserve"> 1/(0.7667*(N22)^2)</f>
        <v>8.663427677057519E-3</v>
      </c>
      <c r="O23" s="5"/>
      <c r="P23" s="5"/>
      <c r="Q23" s="5"/>
    </row>
    <row r="24" spans="1:17" x14ac:dyDescent="0.2">
      <c r="A24" s="4">
        <v>45</v>
      </c>
      <c r="B24" s="4">
        <f t="shared" si="1"/>
        <v>4.6188398763692087</v>
      </c>
      <c r="M24" s="5"/>
      <c r="N24" s="5"/>
      <c r="O24" s="5"/>
      <c r="P24" s="5"/>
      <c r="Q24" s="5"/>
    </row>
    <row r="25" spans="1:17" x14ac:dyDescent="0.2">
      <c r="A25" s="4">
        <v>60</v>
      </c>
      <c r="B25" s="4">
        <f t="shared" si="1"/>
        <v>6.0370954246247894</v>
      </c>
      <c r="M25" s="5"/>
      <c r="N25" s="5"/>
      <c r="O25" s="5"/>
      <c r="P25" s="5"/>
      <c r="Q25" s="5"/>
    </row>
    <row r="26" spans="1:17" x14ac:dyDescent="0.2">
      <c r="A26" s="4">
        <v>90</v>
      </c>
      <c r="B26" s="4">
        <f t="shared" si="1"/>
        <v>8.161075336843755</v>
      </c>
      <c r="M26" s="5"/>
      <c r="N26" s="5"/>
      <c r="O26" s="5"/>
      <c r="P26" s="5"/>
      <c r="Q26" s="5"/>
    </row>
    <row r="27" spans="1:17" x14ac:dyDescent="0.2">
      <c r="A27" s="4">
        <v>120</v>
      </c>
      <c r="B27" s="4">
        <f t="shared" si="1"/>
        <v>10.821377766531477</v>
      </c>
      <c r="M27" s="5"/>
      <c r="N27" s="5"/>
      <c r="O27" s="5"/>
      <c r="P27" s="5"/>
      <c r="Q27" s="5"/>
    </row>
    <row r="28" spans="1:17" x14ac:dyDescent="0.2">
      <c r="A28" s="4">
        <v>180</v>
      </c>
      <c r="B28" s="4">
        <f t="shared" si="1"/>
        <v>15.976357561300595</v>
      </c>
      <c r="M28" s="5"/>
      <c r="N28" s="5"/>
      <c r="O28" s="5"/>
      <c r="P28" s="5"/>
      <c r="Q28" s="5"/>
    </row>
    <row r="29" spans="1:17" x14ac:dyDescent="0.2">
      <c r="A29" s="4">
        <v>240</v>
      </c>
      <c r="B29" s="4">
        <f t="shared" si="1"/>
        <v>21.209638381242648</v>
      </c>
      <c r="M29" s="5"/>
      <c r="N29" s="5"/>
      <c r="O29" s="5"/>
      <c r="P29" s="5"/>
      <c r="Q29" s="5"/>
    </row>
    <row r="30" spans="1:17" x14ac:dyDescent="0.2">
      <c r="A30" s="4">
        <v>300</v>
      </c>
      <c r="B30" s="4">
        <f t="shared" si="1"/>
        <v>24.972283778413672</v>
      </c>
      <c r="M30" s="5"/>
      <c r="N30" s="5"/>
      <c r="O30" s="5"/>
      <c r="P30" s="5"/>
      <c r="Q30" s="5"/>
    </row>
    <row r="31" spans="1:17" x14ac:dyDescent="0.2">
      <c r="A31" s="4">
        <v>360</v>
      </c>
      <c r="B31" s="4">
        <f t="shared" si="1"/>
        <v>29.875419388686772</v>
      </c>
      <c r="M31" s="5"/>
      <c r="N31" s="5"/>
      <c r="O31" s="5"/>
      <c r="P31" s="5"/>
      <c r="Q31" s="5"/>
    </row>
    <row r="32" spans="1:17" x14ac:dyDescent="0.2">
      <c r="M32" s="5"/>
      <c r="N32" s="5"/>
      <c r="O32" s="5"/>
      <c r="P32" s="5"/>
      <c r="Q32" s="5"/>
    </row>
    <row r="33" spans="1:17" x14ac:dyDescent="0.2">
      <c r="M33" s="5"/>
      <c r="N33" s="5"/>
      <c r="O33" s="5"/>
      <c r="P33" s="5"/>
      <c r="Q33" s="5"/>
    </row>
    <row r="34" spans="1:17" x14ac:dyDescent="0.2">
      <c r="B34" s="18" t="s">
        <v>33</v>
      </c>
      <c r="M34" s="5"/>
      <c r="N34" s="5"/>
      <c r="O34" s="5"/>
      <c r="P34" s="5"/>
      <c r="Q34" s="5"/>
    </row>
    <row r="35" spans="1:17" x14ac:dyDescent="0.2">
      <c r="M35" s="5"/>
      <c r="N35" s="5"/>
      <c r="O35" s="5"/>
      <c r="P35" s="5"/>
      <c r="Q35" s="5"/>
    </row>
    <row r="36" spans="1:17" x14ac:dyDescent="0.2">
      <c r="A36" s="13" t="s">
        <v>29</v>
      </c>
      <c r="B36" s="13" t="s">
        <v>36</v>
      </c>
      <c r="C36" s="13" t="s">
        <v>29</v>
      </c>
      <c r="M36" s="5"/>
      <c r="N36" s="5"/>
      <c r="O36" s="5"/>
      <c r="P36" s="5"/>
      <c r="Q36" s="5"/>
    </row>
    <row r="37" spans="1:17" x14ac:dyDescent="0.2">
      <c r="A37" s="4"/>
      <c r="B37" s="4"/>
      <c r="C37" s="4"/>
      <c r="M37" s="5"/>
      <c r="N37" s="5"/>
      <c r="O37" s="5"/>
      <c r="P37" s="5"/>
      <c r="Q37" s="5"/>
    </row>
    <row r="38" spans="1:17" x14ac:dyDescent="0.2">
      <c r="A38" s="4">
        <v>9.1062003392140376</v>
      </c>
      <c r="B38" s="4">
        <f xml:space="preserve"> A22^(1/2)</f>
        <v>3.872983346207417</v>
      </c>
      <c r="C38" s="4">
        <v>9.1062003392140376</v>
      </c>
      <c r="M38" s="5"/>
      <c r="N38" s="5" t="s">
        <v>37</v>
      </c>
      <c r="O38" s="5">
        <f xml:space="preserve"> 0.1971</f>
        <v>0.1971</v>
      </c>
      <c r="P38" s="5"/>
      <c r="Q38" s="5"/>
    </row>
    <row r="39" spans="1:17" x14ac:dyDescent="0.2">
      <c r="A39" s="4">
        <v>9.4183330315298033</v>
      </c>
      <c r="B39" s="4">
        <f t="shared" ref="B39:B47" si="2" xml:space="preserve"> A23^(1/2)</f>
        <v>5.4772255750516612</v>
      </c>
      <c r="C39" s="4">
        <v>9.4183330315298033</v>
      </c>
      <c r="M39" s="5"/>
      <c r="N39" s="5" t="s">
        <v>15</v>
      </c>
      <c r="O39" s="5">
        <f xml:space="preserve"> 8.5402</f>
        <v>8.5402000000000005</v>
      </c>
      <c r="P39" s="5"/>
      <c r="Q39" s="5"/>
    </row>
    <row r="40" spans="1:17" x14ac:dyDescent="0.2">
      <c r="A40" s="4">
        <v>9.742706221583445</v>
      </c>
      <c r="B40" s="4">
        <f t="shared" si="2"/>
        <v>6.7082039324993694</v>
      </c>
      <c r="C40" s="4">
        <v>9.742706221583445</v>
      </c>
      <c r="M40" s="5"/>
      <c r="N40" s="5"/>
      <c r="O40" s="5"/>
      <c r="P40" s="5"/>
      <c r="Q40" s="5"/>
    </row>
    <row r="41" spans="1:17" x14ac:dyDescent="0.2">
      <c r="A41" s="4">
        <v>9.9385541853894175</v>
      </c>
      <c r="B41" s="4">
        <f t="shared" si="2"/>
        <v>7.745966692414834</v>
      </c>
      <c r="C41" s="4">
        <v>9.9385541853894175</v>
      </c>
      <c r="M41" s="5"/>
      <c r="N41" s="5"/>
      <c r="O41" s="5"/>
      <c r="P41" s="5"/>
      <c r="Q41" s="5"/>
    </row>
    <row r="42" spans="1:17" x14ac:dyDescent="0.2">
      <c r="A42" s="4">
        <v>11.027958484060134</v>
      </c>
      <c r="B42" s="4">
        <f t="shared" si="2"/>
        <v>9.4868329805051381</v>
      </c>
      <c r="C42" s="4">
        <v>11.027958484060134</v>
      </c>
      <c r="M42" s="5"/>
      <c r="N42" s="5"/>
      <c r="O42" s="5"/>
      <c r="P42" s="5"/>
      <c r="Q42" s="5"/>
    </row>
    <row r="43" spans="1:17" x14ac:dyDescent="0.2">
      <c r="A43" s="4">
        <v>11.0891609727495</v>
      </c>
      <c r="B43" s="4">
        <f t="shared" si="2"/>
        <v>10.954451150103322</v>
      </c>
      <c r="C43" s="4">
        <v>11.0891609727495</v>
      </c>
      <c r="M43" s="5"/>
      <c r="N43" s="5"/>
      <c r="O43" s="5"/>
      <c r="P43" s="5"/>
      <c r="Q43" s="5"/>
    </row>
    <row r="44" spans="1:17" x14ac:dyDescent="0.2">
      <c r="A44" s="4">
        <v>11.266648189948663</v>
      </c>
      <c r="B44" s="4">
        <f t="shared" si="2"/>
        <v>13.416407864998739</v>
      </c>
      <c r="C44" s="4">
        <v>11.266648189948663</v>
      </c>
      <c r="M44" s="5"/>
      <c r="N44" s="5"/>
      <c r="O44" s="5"/>
      <c r="P44" s="5"/>
      <c r="Q44" s="5"/>
    </row>
    <row r="45" spans="1:17" x14ac:dyDescent="0.2">
      <c r="A45" s="4">
        <v>11.315610180900155</v>
      </c>
      <c r="B45" s="4">
        <f t="shared" si="2"/>
        <v>15.491933384829668</v>
      </c>
      <c r="C45" s="4">
        <v>11.315610180900155</v>
      </c>
      <c r="M45" s="5"/>
      <c r="N45" s="5"/>
      <c r="O45" s="5"/>
      <c r="P45" s="5"/>
      <c r="Q45" s="5"/>
    </row>
    <row r="46" spans="1:17" x14ac:dyDescent="0.2">
      <c r="A46" s="4">
        <v>12.01331855195893</v>
      </c>
      <c r="B46" s="4">
        <f t="shared" si="2"/>
        <v>17.320508075688775</v>
      </c>
      <c r="C46" s="4">
        <v>12.01331855195893</v>
      </c>
      <c r="M46" s="5"/>
      <c r="N46" s="5"/>
      <c r="O46" s="5"/>
      <c r="P46" s="5"/>
      <c r="Q46" s="5"/>
    </row>
    <row r="47" spans="1:17" x14ac:dyDescent="0.2">
      <c r="A47" s="4">
        <v>12.050040045172549</v>
      </c>
      <c r="B47" s="4">
        <f t="shared" si="2"/>
        <v>18.973665961010276</v>
      </c>
      <c r="C47" s="4">
        <v>12.050040045172549</v>
      </c>
      <c r="M47" s="5"/>
      <c r="N47" s="5"/>
      <c r="O47" s="5"/>
      <c r="P47" s="5"/>
      <c r="Q47" s="5"/>
    </row>
    <row r="48" spans="1:17" x14ac:dyDescent="0.2">
      <c r="M48" s="5"/>
      <c r="N48" s="5"/>
      <c r="O48" s="5"/>
      <c r="P48" s="5"/>
      <c r="Q48" s="5"/>
    </row>
    <row r="49" spans="1:17" x14ac:dyDescent="0.2">
      <c r="B49" s="18" t="s">
        <v>38</v>
      </c>
      <c r="M49" s="5"/>
      <c r="N49" s="5"/>
      <c r="O49" s="5"/>
      <c r="P49" s="5"/>
      <c r="Q49" s="5"/>
    </row>
    <row r="50" spans="1:17" x14ac:dyDescent="0.2">
      <c r="M50" s="5"/>
      <c r="N50" s="5"/>
      <c r="O50" s="5"/>
      <c r="P50" s="5"/>
      <c r="Q50" s="5"/>
    </row>
    <row r="51" spans="1:17" x14ac:dyDescent="0.2">
      <c r="A51" s="13" t="s">
        <v>39</v>
      </c>
      <c r="B51" s="13" t="s">
        <v>29</v>
      </c>
      <c r="M51" s="5"/>
      <c r="N51" s="5"/>
      <c r="O51" s="5"/>
      <c r="P51" s="5"/>
      <c r="Q51" s="5"/>
    </row>
    <row r="52" spans="1:17" x14ac:dyDescent="0.2">
      <c r="A52" s="7"/>
      <c r="B52" s="7"/>
      <c r="M52" s="5"/>
      <c r="N52" s="5"/>
      <c r="O52" s="5"/>
      <c r="P52" s="5"/>
      <c r="Q52" s="5"/>
    </row>
    <row r="53" spans="1:17" x14ac:dyDescent="0.2">
      <c r="A53" s="4">
        <f xml:space="preserve"> LN(A22)</f>
        <v>2.7080502011022101</v>
      </c>
      <c r="B53" s="4">
        <v>9.1062003392140376</v>
      </c>
      <c r="M53" s="5"/>
      <c r="N53" s="5"/>
      <c r="O53" s="5"/>
      <c r="P53" s="5"/>
      <c r="Q53" s="5"/>
    </row>
    <row r="54" spans="1:17" x14ac:dyDescent="0.2">
      <c r="A54" s="4">
        <f t="shared" ref="A54:A62" si="3" xml:space="preserve"> LN(A23)</f>
        <v>3.4011973816621555</v>
      </c>
      <c r="B54" s="4">
        <v>9.4183330315298033</v>
      </c>
      <c r="M54" s="5"/>
      <c r="N54" s="5" t="s">
        <v>42</v>
      </c>
      <c r="O54" s="5">
        <f xml:space="preserve"> 1/0.9871</f>
        <v>1.0130685847431871</v>
      </c>
      <c r="P54" s="5"/>
      <c r="Q54" s="5">
        <f xml:space="preserve"> EXP(6.1995*O54)</f>
        <v>534.0656070807762</v>
      </c>
    </row>
    <row r="55" spans="1:17" x14ac:dyDescent="0.2">
      <c r="A55" s="4">
        <f t="shared" si="3"/>
        <v>3.8066624897703196</v>
      </c>
      <c r="B55" s="4">
        <v>9.742706221583445</v>
      </c>
      <c r="M55" s="5"/>
      <c r="N55" s="5" t="s">
        <v>41</v>
      </c>
      <c r="O55" s="5">
        <f xml:space="preserve"> Q54/O54</f>
        <v>527.17616074943419</v>
      </c>
      <c r="P55" s="5"/>
      <c r="Q55" s="5"/>
    </row>
    <row r="56" spans="1:17" x14ac:dyDescent="0.2">
      <c r="A56" s="4">
        <f t="shared" si="3"/>
        <v>4.0943445622221004</v>
      </c>
      <c r="B56" s="4">
        <v>9.9385541853894175</v>
      </c>
      <c r="M56" s="5"/>
      <c r="N56" s="5"/>
      <c r="O56" s="5"/>
      <c r="P56" s="5"/>
      <c r="Q56" s="5"/>
    </row>
    <row r="57" spans="1:17" x14ac:dyDescent="0.2">
      <c r="A57" s="4">
        <f t="shared" si="3"/>
        <v>4.499809670330265</v>
      </c>
      <c r="B57" s="4">
        <v>11.027958484060134</v>
      </c>
      <c r="M57" s="5"/>
      <c r="N57" s="5"/>
      <c r="O57" s="5"/>
      <c r="P57" s="5"/>
      <c r="Q57" s="5"/>
    </row>
    <row r="58" spans="1:17" x14ac:dyDescent="0.2">
      <c r="A58" s="4">
        <f t="shared" si="3"/>
        <v>4.7874917427820458</v>
      </c>
      <c r="B58" s="4">
        <v>11.0891609727495</v>
      </c>
      <c r="M58" s="5"/>
      <c r="N58" s="5"/>
      <c r="O58" s="5"/>
      <c r="P58" s="5"/>
      <c r="Q58" s="5"/>
    </row>
    <row r="59" spans="1:17" x14ac:dyDescent="0.2">
      <c r="A59" s="4">
        <f t="shared" si="3"/>
        <v>5.1929568508902104</v>
      </c>
      <c r="B59" s="4">
        <v>11.266648189948663</v>
      </c>
      <c r="M59" s="5"/>
      <c r="N59" s="5"/>
      <c r="O59" s="5"/>
      <c r="P59" s="5"/>
      <c r="Q59" s="5"/>
    </row>
    <row r="60" spans="1:17" x14ac:dyDescent="0.2">
      <c r="A60" s="4">
        <f t="shared" si="3"/>
        <v>5.4806389233419912</v>
      </c>
      <c r="B60" s="4">
        <v>11.315610180900155</v>
      </c>
      <c r="M60" s="5"/>
      <c r="N60" s="5"/>
      <c r="O60" s="5"/>
      <c r="P60" s="5"/>
      <c r="Q60" s="5"/>
    </row>
    <row r="61" spans="1:17" x14ac:dyDescent="0.2">
      <c r="A61" s="4">
        <f t="shared" si="3"/>
        <v>5.7037824746562009</v>
      </c>
      <c r="B61" s="4">
        <v>12.01331855195893</v>
      </c>
      <c r="M61" s="5"/>
      <c r="N61" s="5"/>
      <c r="O61" s="5"/>
      <c r="P61" s="5"/>
      <c r="Q61" s="5"/>
    </row>
    <row r="62" spans="1:17" x14ac:dyDescent="0.2">
      <c r="A62" s="4">
        <f t="shared" si="3"/>
        <v>5.8861040314501558</v>
      </c>
      <c r="B62" s="4">
        <v>12.050040045172549</v>
      </c>
      <c r="M62" s="5"/>
      <c r="N62" s="5"/>
      <c r="O62" s="5"/>
      <c r="P62" s="5"/>
      <c r="Q62" s="5"/>
    </row>
    <row r="63" spans="1:17" x14ac:dyDescent="0.2">
      <c r="M63" s="5"/>
      <c r="N63" s="5"/>
      <c r="O63" s="5"/>
      <c r="P63" s="5"/>
      <c r="Q63" s="5"/>
    </row>
    <row r="64" spans="1:17" x14ac:dyDescent="0.2">
      <c r="B64" s="5" t="s">
        <v>40</v>
      </c>
      <c r="M64" s="5"/>
      <c r="N64" s="5"/>
      <c r="O64" s="5"/>
      <c r="P64" s="5"/>
      <c r="Q64" s="5"/>
    </row>
    <row r="65" spans="13:17" x14ac:dyDescent="0.2">
      <c r="M65" s="5"/>
      <c r="N65" s="5"/>
      <c r="O65" s="5"/>
      <c r="P65" s="5"/>
      <c r="Q65" s="5"/>
    </row>
    <row r="66" spans="13:17" x14ac:dyDescent="0.2">
      <c r="M66" s="5"/>
      <c r="N66" s="5"/>
      <c r="O66" s="5"/>
      <c r="P66" s="5"/>
      <c r="Q66" s="5"/>
    </row>
    <row r="67" spans="13:17" x14ac:dyDescent="0.2">
      <c r="M67" s="5"/>
      <c r="N67" s="5"/>
      <c r="O67" s="5"/>
      <c r="P67" s="5"/>
      <c r="Q67" s="5"/>
    </row>
    <row r="68" spans="13:17" x14ac:dyDescent="0.2">
      <c r="M68" s="5"/>
      <c r="N68" s="5"/>
      <c r="O68" s="5"/>
      <c r="P68" s="5"/>
      <c r="Q68" s="5"/>
    </row>
    <row r="69" spans="13:17" x14ac:dyDescent="0.2">
      <c r="M69" s="5"/>
      <c r="N69" s="5"/>
      <c r="O69" s="5"/>
      <c r="P69" s="5"/>
      <c r="Q69" s="5"/>
    </row>
    <row r="70" spans="13:17" x14ac:dyDescent="0.2">
      <c r="M70" s="5"/>
      <c r="N70" s="5"/>
      <c r="O70" s="5"/>
      <c r="P70" s="5"/>
      <c r="Q70" s="5"/>
    </row>
    <row r="71" spans="13:17" x14ac:dyDescent="0.2">
      <c r="M71" s="5"/>
      <c r="N71" s="5"/>
      <c r="O71" s="5"/>
      <c r="P71" s="5"/>
      <c r="Q71" s="5"/>
    </row>
    <row r="72" spans="13:17" x14ac:dyDescent="0.2">
      <c r="M72" s="5"/>
      <c r="N72" s="5"/>
      <c r="O72" s="5"/>
      <c r="P72" s="5"/>
      <c r="Q72" s="5"/>
    </row>
    <row r="73" spans="13:17" x14ac:dyDescent="0.2">
      <c r="M73" s="5"/>
      <c r="N73" s="5"/>
      <c r="O73" s="5"/>
      <c r="P73" s="5"/>
      <c r="Q73" s="5"/>
    </row>
    <row r="74" spans="13:17" x14ac:dyDescent="0.2">
      <c r="M74" s="5"/>
      <c r="N74" s="5"/>
      <c r="O74" s="5"/>
      <c r="P74" s="5"/>
      <c r="Q74" s="5"/>
    </row>
    <row r="75" spans="13:17" x14ac:dyDescent="0.2">
      <c r="M75" s="5"/>
      <c r="N75" s="5"/>
      <c r="O75" s="5"/>
      <c r="P75" s="5"/>
      <c r="Q75" s="5"/>
    </row>
    <row r="76" spans="13:17" x14ac:dyDescent="0.2">
      <c r="M76" s="5"/>
      <c r="N76" s="5"/>
      <c r="O76" s="5"/>
      <c r="P76" s="5"/>
      <c r="Q76" s="5"/>
    </row>
    <row r="77" spans="13:17" x14ac:dyDescent="0.2">
      <c r="M77" s="5"/>
      <c r="N77" s="5"/>
      <c r="O77" s="5"/>
      <c r="P77" s="5"/>
      <c r="Q77" s="5"/>
    </row>
    <row r="78" spans="13:17" x14ac:dyDescent="0.2">
      <c r="M78" s="5"/>
      <c r="N78" s="5"/>
      <c r="O78" s="5"/>
      <c r="P78" s="5"/>
      <c r="Q78" s="5"/>
    </row>
    <row r="79" spans="13:17" x14ac:dyDescent="0.2">
      <c r="M79" s="5"/>
      <c r="N79" s="5"/>
      <c r="O79" s="5"/>
      <c r="P79" s="5"/>
      <c r="Q79" s="5"/>
    </row>
    <row r="80" spans="13:17" x14ac:dyDescent="0.2">
      <c r="M80" s="5"/>
      <c r="N80" s="5"/>
      <c r="O80" s="5"/>
      <c r="P80" s="5"/>
      <c r="Q80" s="5"/>
    </row>
    <row r="81" spans="13:17" x14ac:dyDescent="0.2">
      <c r="M81" s="5"/>
      <c r="N81" s="5"/>
      <c r="O81" s="5"/>
      <c r="P81" s="5"/>
      <c r="Q81" s="5"/>
    </row>
    <row r="82" spans="13:17" x14ac:dyDescent="0.2">
      <c r="M82" s="5"/>
      <c r="N82" s="5"/>
      <c r="O82" s="5"/>
      <c r="P82" s="5"/>
      <c r="Q82" s="5"/>
    </row>
    <row r="83" spans="13:17" x14ac:dyDescent="0.2">
      <c r="M83" s="5"/>
      <c r="N83" s="5"/>
      <c r="O83" s="5"/>
      <c r="P83" s="5"/>
      <c r="Q83" s="5"/>
    </row>
    <row r="84" spans="13:17" x14ac:dyDescent="0.2">
      <c r="M84" s="5"/>
      <c r="N84" s="5"/>
      <c r="O84" s="5"/>
      <c r="P84" s="5"/>
      <c r="Q84" s="5"/>
    </row>
    <row r="85" spans="13:17" x14ac:dyDescent="0.2">
      <c r="M85" s="5"/>
      <c r="N85" s="5"/>
      <c r="O85" s="5"/>
      <c r="P85" s="5"/>
      <c r="Q85" s="5"/>
    </row>
    <row r="86" spans="13:17" x14ac:dyDescent="0.2">
      <c r="M86" s="5"/>
      <c r="N86" s="5"/>
      <c r="O86" s="5"/>
      <c r="P86" s="5"/>
      <c r="Q86" s="5"/>
    </row>
    <row r="87" spans="13:17" x14ac:dyDescent="0.2">
      <c r="M87" s="5"/>
      <c r="N87" s="5"/>
      <c r="O87" s="5"/>
      <c r="P87" s="5"/>
      <c r="Q87" s="5"/>
    </row>
    <row r="88" spans="13:17" x14ac:dyDescent="0.2">
      <c r="M88" s="5"/>
      <c r="N88" s="5"/>
      <c r="O88" s="5"/>
      <c r="P88" s="5"/>
      <c r="Q88" s="5"/>
    </row>
    <row r="89" spans="13:17" x14ac:dyDescent="0.2">
      <c r="M89" s="5"/>
      <c r="N89" s="5"/>
      <c r="O89" s="5"/>
      <c r="P89" s="5"/>
      <c r="Q89" s="5"/>
    </row>
    <row r="90" spans="13:17" x14ac:dyDescent="0.2">
      <c r="M90" s="5"/>
      <c r="N90" s="5"/>
      <c r="O90" s="5"/>
      <c r="P90" s="5"/>
      <c r="Q90" s="5"/>
    </row>
    <row r="91" spans="13:17" x14ac:dyDescent="0.2">
      <c r="M91" s="5"/>
      <c r="N91" s="5"/>
      <c r="O91" s="5"/>
      <c r="P91" s="5"/>
      <c r="Q91" s="5"/>
    </row>
    <row r="92" spans="13:17" x14ac:dyDescent="0.2">
      <c r="M92" s="5"/>
      <c r="N92" s="5"/>
      <c r="O92" s="5"/>
      <c r="P92" s="5"/>
      <c r="Q92" s="5"/>
    </row>
    <row r="93" spans="13:17" x14ac:dyDescent="0.2">
      <c r="M93" s="5"/>
      <c r="N93" s="5"/>
      <c r="O93" s="5"/>
      <c r="P93" s="5"/>
      <c r="Q93" s="5"/>
    </row>
    <row r="94" spans="13:17" x14ac:dyDescent="0.2">
      <c r="M94" s="5"/>
      <c r="N94" s="5"/>
      <c r="O94" s="5"/>
      <c r="P94" s="5"/>
      <c r="Q94" s="5"/>
    </row>
    <row r="95" spans="13:17" x14ac:dyDescent="0.2">
      <c r="M95" s="5"/>
      <c r="N95" s="5"/>
      <c r="O95" s="5"/>
      <c r="P95" s="5"/>
      <c r="Q95" s="5"/>
    </row>
    <row r="96" spans="13:17" x14ac:dyDescent="0.2">
      <c r="M96" s="5"/>
      <c r="N96" s="5"/>
      <c r="O96" s="5"/>
      <c r="P96" s="5"/>
      <c r="Q96" s="5"/>
    </row>
    <row r="97" spans="13:17" x14ac:dyDescent="0.2">
      <c r="M97" s="5"/>
      <c r="N97" s="5"/>
      <c r="O97" s="5"/>
      <c r="P97" s="5"/>
      <c r="Q97" s="5"/>
    </row>
    <row r="98" spans="13:17" x14ac:dyDescent="0.2">
      <c r="M98" s="5"/>
      <c r="N98" s="5"/>
      <c r="O98" s="5"/>
      <c r="P98" s="5"/>
      <c r="Q98" s="5"/>
    </row>
    <row r="99" spans="13:17" x14ac:dyDescent="0.2">
      <c r="M99" s="5"/>
      <c r="N99" s="5"/>
      <c r="O99" s="5"/>
      <c r="P99" s="5"/>
      <c r="Q99" s="5"/>
    </row>
    <row r="100" spans="13:17" x14ac:dyDescent="0.2">
      <c r="M100" s="5"/>
      <c r="N100" s="5"/>
      <c r="O100" s="5"/>
      <c r="P100" s="5"/>
      <c r="Q100" s="5"/>
    </row>
    <row r="101" spans="13:17" x14ac:dyDescent="0.2">
      <c r="M101" s="5"/>
      <c r="N101" s="5"/>
      <c r="O101" s="5"/>
      <c r="P101" s="5"/>
      <c r="Q101" s="5"/>
    </row>
    <row r="102" spans="13:17" x14ac:dyDescent="0.2">
      <c r="M102" s="5"/>
      <c r="N102" s="5"/>
      <c r="O102" s="5"/>
      <c r="P102" s="5"/>
      <c r="Q102" s="5"/>
    </row>
    <row r="103" spans="13:17" x14ac:dyDescent="0.2">
      <c r="M103" s="5"/>
      <c r="N103" s="5"/>
      <c r="O103" s="5"/>
      <c r="P103" s="5"/>
      <c r="Q103" s="5"/>
    </row>
    <row r="104" spans="13:17" x14ac:dyDescent="0.2">
      <c r="M104" s="5"/>
      <c r="N104" s="5"/>
      <c r="O104" s="5"/>
      <c r="P104" s="5"/>
      <c r="Q104" s="5"/>
    </row>
    <row r="105" spans="13:17" x14ac:dyDescent="0.2">
      <c r="M105" s="5"/>
      <c r="N105" s="5"/>
      <c r="O105" s="5"/>
      <c r="P105" s="5"/>
      <c r="Q105" s="5"/>
    </row>
    <row r="106" spans="13:17" x14ac:dyDescent="0.2">
      <c r="M106" s="5"/>
      <c r="N106" s="5"/>
      <c r="O106" s="5"/>
      <c r="P106" s="5"/>
      <c r="Q106" s="5"/>
    </row>
    <row r="107" spans="13:17" x14ac:dyDescent="0.2">
      <c r="M107" s="5"/>
      <c r="N107" s="5"/>
      <c r="O107" s="5"/>
      <c r="P107" s="5"/>
      <c r="Q107" s="5"/>
    </row>
    <row r="108" spans="13:17" x14ac:dyDescent="0.2">
      <c r="M108" s="5"/>
      <c r="N108" s="5"/>
      <c r="O108" s="5"/>
      <c r="P108" s="5"/>
      <c r="Q108" s="5"/>
    </row>
    <row r="109" spans="13:17" x14ac:dyDescent="0.2">
      <c r="M109" s="5"/>
      <c r="N109" s="5"/>
      <c r="O109" s="5"/>
      <c r="P109" s="5"/>
      <c r="Q109" s="5"/>
    </row>
    <row r="110" spans="13:17" x14ac:dyDescent="0.2">
      <c r="M110" s="5"/>
      <c r="N110" s="5"/>
      <c r="O110" s="5"/>
      <c r="P110" s="5"/>
      <c r="Q110" s="5"/>
    </row>
    <row r="111" spans="13:17" x14ac:dyDescent="0.2">
      <c r="M111" s="5"/>
      <c r="N111" s="5"/>
      <c r="O111" s="5"/>
      <c r="P111" s="5"/>
      <c r="Q111" s="5"/>
    </row>
    <row r="112" spans="13:17" x14ac:dyDescent="0.2">
      <c r="M112" s="5"/>
      <c r="N112" s="5"/>
      <c r="O112" s="5"/>
      <c r="P112" s="5"/>
      <c r="Q112" s="5"/>
    </row>
    <row r="113" spans="13:17" x14ac:dyDescent="0.2">
      <c r="M113" s="5"/>
      <c r="N113" s="5"/>
      <c r="O113" s="5"/>
      <c r="P113" s="5"/>
      <c r="Q113" s="5"/>
    </row>
    <row r="114" spans="13:17" x14ac:dyDescent="0.2">
      <c r="M114" s="5"/>
      <c r="N114" s="5"/>
      <c r="O114" s="5"/>
      <c r="P114" s="5"/>
      <c r="Q114" s="5"/>
    </row>
    <row r="115" spans="13:17" x14ac:dyDescent="0.2">
      <c r="M115" s="5"/>
      <c r="N115" s="5"/>
      <c r="O115" s="5"/>
      <c r="P115" s="5"/>
      <c r="Q115" s="5"/>
    </row>
    <row r="116" spans="13:17" x14ac:dyDescent="0.2">
      <c r="M116" s="5"/>
      <c r="N116" s="5"/>
      <c r="O116" s="5"/>
      <c r="P116" s="5"/>
      <c r="Q116" s="5"/>
    </row>
    <row r="117" spans="13:17" x14ac:dyDescent="0.2">
      <c r="M117" s="5"/>
      <c r="N117" s="5"/>
      <c r="O117" s="5"/>
      <c r="P117" s="5"/>
      <c r="Q117" s="5"/>
    </row>
    <row r="118" spans="13:17" x14ac:dyDescent="0.2">
      <c r="M118" s="5"/>
      <c r="N118" s="5"/>
      <c r="O118" s="5"/>
      <c r="P118" s="5"/>
      <c r="Q118" s="5"/>
    </row>
    <row r="119" spans="13:17" x14ac:dyDescent="0.2">
      <c r="M119" s="5"/>
      <c r="N119" s="5"/>
      <c r="O119" s="5"/>
      <c r="P119" s="5"/>
      <c r="Q119" s="5"/>
    </row>
    <row r="120" spans="13:17" x14ac:dyDescent="0.2">
      <c r="M120" s="5"/>
      <c r="N120" s="5"/>
      <c r="O120" s="5"/>
      <c r="P120" s="5"/>
      <c r="Q120" s="5"/>
    </row>
    <row r="121" spans="13:17" x14ac:dyDescent="0.2">
      <c r="M121" s="5"/>
      <c r="N121" s="5"/>
      <c r="O121" s="5"/>
      <c r="P121" s="5"/>
      <c r="Q121" s="5"/>
    </row>
    <row r="122" spans="13:17" x14ac:dyDescent="0.2">
      <c r="M122" s="5"/>
      <c r="N122" s="5"/>
      <c r="O122" s="5"/>
      <c r="P122" s="5"/>
      <c r="Q122" s="5"/>
    </row>
    <row r="123" spans="13:17" x14ac:dyDescent="0.2">
      <c r="M123" s="5"/>
      <c r="N123" s="5"/>
      <c r="O123" s="5"/>
      <c r="P123" s="5"/>
      <c r="Q123" s="5"/>
    </row>
    <row r="124" spans="13:17" x14ac:dyDescent="0.2">
      <c r="M124" s="5"/>
      <c r="N124" s="5"/>
      <c r="O124" s="5"/>
      <c r="P124" s="5"/>
      <c r="Q124" s="5"/>
    </row>
    <row r="125" spans="13:17" x14ac:dyDescent="0.2">
      <c r="M125" s="5"/>
      <c r="N125" s="5"/>
      <c r="O125" s="5"/>
      <c r="P125" s="5"/>
      <c r="Q125" s="5"/>
    </row>
    <row r="126" spans="13:17" x14ac:dyDescent="0.2">
      <c r="M126" s="5"/>
      <c r="N126" s="5"/>
      <c r="O126" s="5"/>
      <c r="P126" s="5"/>
      <c r="Q126" s="5"/>
    </row>
    <row r="127" spans="13:17" x14ac:dyDescent="0.2">
      <c r="M127" s="5"/>
      <c r="N127" s="5"/>
      <c r="O127" s="5"/>
      <c r="P127" s="5"/>
      <c r="Q127" s="5"/>
    </row>
    <row r="128" spans="13:17" x14ac:dyDescent="0.2">
      <c r="M128" s="5"/>
      <c r="N128" s="5"/>
      <c r="O128" s="5"/>
      <c r="P128" s="5"/>
      <c r="Q128" s="5"/>
    </row>
    <row r="129" spans="13:17" x14ac:dyDescent="0.2">
      <c r="M129" s="5"/>
      <c r="N129" s="5"/>
      <c r="O129" s="5"/>
      <c r="P129" s="5"/>
      <c r="Q129" s="5"/>
    </row>
    <row r="130" spans="13:17" x14ac:dyDescent="0.2">
      <c r="M130" s="5"/>
      <c r="N130" s="5"/>
      <c r="O130" s="5"/>
      <c r="P130" s="5"/>
      <c r="Q130" s="5"/>
    </row>
    <row r="131" spans="13:17" x14ac:dyDescent="0.2">
      <c r="M131" s="5"/>
      <c r="N131" s="5"/>
      <c r="O131" s="5"/>
      <c r="P131" s="5"/>
      <c r="Q131" s="5"/>
    </row>
    <row r="132" spans="13:17" x14ac:dyDescent="0.2">
      <c r="M132" s="5"/>
      <c r="N132" s="5"/>
      <c r="O132" s="5"/>
      <c r="P132" s="5"/>
      <c r="Q132" s="5"/>
    </row>
    <row r="133" spans="13:17" x14ac:dyDescent="0.2">
      <c r="M133" s="5"/>
      <c r="N133" s="5"/>
      <c r="O133" s="5"/>
      <c r="P133" s="5"/>
      <c r="Q133" s="5"/>
    </row>
    <row r="134" spans="13:17" x14ac:dyDescent="0.2">
      <c r="M134" s="5"/>
      <c r="N134" s="5"/>
      <c r="O134" s="5"/>
      <c r="P134" s="5"/>
      <c r="Q134" s="5"/>
    </row>
    <row r="135" spans="13:17" x14ac:dyDescent="0.2">
      <c r="M135" s="5"/>
      <c r="N135" s="5"/>
      <c r="O135" s="5"/>
      <c r="P135" s="5"/>
      <c r="Q135" s="5"/>
    </row>
    <row r="136" spans="13:17" x14ac:dyDescent="0.2">
      <c r="M136" s="5"/>
      <c r="N136" s="5"/>
      <c r="O136" s="5"/>
      <c r="P136" s="5"/>
      <c r="Q136" s="5"/>
    </row>
    <row r="137" spans="13:17" x14ac:dyDescent="0.2">
      <c r="M137" s="5"/>
      <c r="N137" s="5"/>
      <c r="O137" s="5"/>
      <c r="P137" s="5"/>
      <c r="Q137" s="5"/>
    </row>
    <row r="138" spans="13:17" x14ac:dyDescent="0.2">
      <c r="M138" s="5"/>
      <c r="N138" s="5"/>
      <c r="O138" s="5"/>
      <c r="P138" s="5"/>
      <c r="Q138" s="5"/>
    </row>
    <row r="139" spans="13:17" x14ac:dyDescent="0.2">
      <c r="M139" s="5"/>
      <c r="N139" s="5"/>
      <c r="O139" s="5"/>
      <c r="P139" s="5"/>
      <c r="Q139" s="5"/>
    </row>
    <row r="140" spans="13:17" x14ac:dyDescent="0.2">
      <c r="M140" s="5"/>
      <c r="N140" s="5"/>
      <c r="O140" s="5"/>
      <c r="P140" s="5"/>
      <c r="Q140" s="5"/>
    </row>
    <row r="141" spans="13:17" x14ac:dyDescent="0.2">
      <c r="M141" s="5"/>
      <c r="N141" s="5"/>
      <c r="O141" s="5"/>
      <c r="P141" s="5"/>
      <c r="Q141" s="5"/>
    </row>
    <row r="142" spans="13:17" x14ac:dyDescent="0.2">
      <c r="M142" s="5"/>
      <c r="N142" s="5"/>
      <c r="O142" s="5"/>
      <c r="P142" s="5"/>
      <c r="Q142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4A68-5575-A14C-BB6F-6DBFC16A5930}">
  <dimension ref="A1:AE13"/>
  <sheetViews>
    <sheetView tabSelected="1" zoomScale="106" zoomScaleNormal="125" workbookViewId="0">
      <selection activeCell="T8" sqref="T8"/>
    </sheetView>
  </sheetViews>
  <sheetFormatPr baseColWidth="10" defaultColWidth="11.1640625" defaultRowHeight="16" x14ac:dyDescent="0.2"/>
  <cols>
    <col min="2" max="2" width="12.6640625" customWidth="1"/>
    <col min="3" max="3" width="13.1640625" customWidth="1"/>
    <col min="4" max="5" width="12.83203125" customWidth="1"/>
    <col min="6" max="6" width="14.1640625" customWidth="1"/>
    <col min="7" max="7" width="13.5" customWidth="1"/>
    <col min="8" max="8" width="12.83203125" customWidth="1"/>
    <col min="9" max="9" width="12.5" customWidth="1"/>
    <col min="10" max="10" width="12" customWidth="1"/>
  </cols>
  <sheetData>
    <row r="1" spans="1:31" ht="68" x14ac:dyDescent="0.2">
      <c r="A1" s="1" t="s">
        <v>0</v>
      </c>
      <c r="B1" s="2" t="s">
        <v>1</v>
      </c>
      <c r="C1" s="2" t="s">
        <v>3</v>
      </c>
      <c r="D1" s="2" t="s">
        <v>4</v>
      </c>
      <c r="E1" s="2" t="s">
        <v>16</v>
      </c>
      <c r="F1" s="2" t="s">
        <v>5</v>
      </c>
      <c r="G1" s="2" t="s">
        <v>6</v>
      </c>
      <c r="H1" s="2" t="s">
        <v>14</v>
      </c>
      <c r="I1" s="2" t="s">
        <v>7</v>
      </c>
      <c r="J1" s="2" t="s">
        <v>13</v>
      </c>
      <c r="K1" s="8"/>
      <c r="AD1" s="9"/>
      <c r="AE1" s="8"/>
    </row>
    <row r="2" spans="1:31" x14ac:dyDescent="0.2">
      <c r="A2" s="4" t="s">
        <v>69</v>
      </c>
      <c r="B2" s="4">
        <v>0.97799999999999998</v>
      </c>
      <c r="C2" s="4">
        <f xml:space="preserve"> D2/(1000*$B$9)</f>
        <v>3.1314586334314521E-5</v>
      </c>
      <c r="D2" s="4">
        <v>15</v>
      </c>
      <c r="E2" s="4">
        <f xml:space="preserve"> 10/1000</f>
        <v>0.01</v>
      </c>
      <c r="F2" s="4">
        <f xml:space="preserve"> B2/($B$10*$B$13)</f>
        <v>1.2495779615916188E-5</v>
      </c>
      <c r="G2" s="4">
        <f t="shared" ref="G2:G7" si="0" xml:space="preserve"> F2*1000*$B$9</f>
        <v>5.9856033938200133</v>
      </c>
      <c r="H2" s="4">
        <f t="shared" ref="H2:H7" si="1" xml:space="preserve"> G2</f>
        <v>5.9856033938200133</v>
      </c>
      <c r="I2" s="16">
        <f t="shared" ref="I2:I7" si="2" xml:space="preserve"> ((D2-H2)/D2)*100</f>
        <v>60.095977374533241</v>
      </c>
      <c r="J2" s="16">
        <f xml:space="preserve"> (D2-G2)*($B$11/E2)</f>
        <v>18.028793212359972</v>
      </c>
      <c r="AD2" s="5"/>
    </row>
    <row r="3" spans="1:31" x14ac:dyDescent="0.2">
      <c r="A3" s="4" t="s">
        <v>69</v>
      </c>
      <c r="B3" s="4">
        <v>0.15</v>
      </c>
      <c r="C3" s="4">
        <f xml:space="preserve"> D3/(1000*$B$9)</f>
        <v>3.1314586334314521E-5</v>
      </c>
      <c r="D3" s="4">
        <v>15</v>
      </c>
      <c r="E3" s="4">
        <f xml:space="preserve"> 20/1000</f>
        <v>0.02</v>
      </c>
      <c r="F3" s="4">
        <f t="shared" ref="F3:F7" si="3" xml:space="preserve"> B3/($B$10*$B$13)</f>
        <v>1.9165306159380657E-6</v>
      </c>
      <c r="G3" s="4">
        <f t="shared" si="0"/>
        <v>0.91803733034049273</v>
      </c>
      <c r="H3" s="4">
        <f t="shared" si="1"/>
        <v>0.91803733034049273</v>
      </c>
      <c r="I3" s="16">
        <f t="shared" si="2"/>
        <v>93.879751131063387</v>
      </c>
      <c r="J3" s="16">
        <f t="shared" ref="J3:J7" si="4" xml:space="preserve"> (D3-G3)*($B$11/E3)</f>
        <v>14.081962669659507</v>
      </c>
      <c r="AD3" s="5"/>
    </row>
    <row r="4" spans="1:31" x14ac:dyDescent="0.2">
      <c r="A4" s="4" t="s">
        <v>69</v>
      </c>
      <c r="B4">
        <v>0.11899999999999999</v>
      </c>
      <c r="C4" s="4">
        <f t="shared" ref="C4:C7" si="5" xml:space="preserve"> D4/(1000*$B$9)</f>
        <v>3.1314586334314521E-5</v>
      </c>
      <c r="D4" s="4">
        <v>15</v>
      </c>
      <c r="E4" s="4">
        <f xml:space="preserve"> 40/1000</f>
        <v>0.04</v>
      </c>
      <c r="F4" s="4">
        <f t="shared" si="3"/>
        <v>1.5204476219775321E-6</v>
      </c>
      <c r="G4" s="4">
        <f t="shared" si="0"/>
        <v>0.72830961540345762</v>
      </c>
      <c r="H4" s="4">
        <f t="shared" si="1"/>
        <v>0.72830961540345762</v>
      </c>
      <c r="I4" s="16">
        <f t="shared" si="2"/>
        <v>95.14460256397696</v>
      </c>
      <c r="J4" s="16">
        <f t="shared" si="4"/>
        <v>7.1358451922982713</v>
      </c>
      <c r="AD4" s="5"/>
    </row>
    <row r="5" spans="1:31" x14ac:dyDescent="0.2">
      <c r="A5" s="4" t="s">
        <v>69</v>
      </c>
      <c r="B5" s="4">
        <v>6.6000000000000003E-2</v>
      </c>
      <c r="C5" s="4">
        <f t="shared" si="5"/>
        <v>3.1314586334314521E-5</v>
      </c>
      <c r="D5" s="4">
        <v>15</v>
      </c>
      <c r="E5" s="4">
        <f xml:space="preserve"> 60/1000</f>
        <v>0.06</v>
      </c>
      <c r="F5" s="4">
        <f t="shared" si="3"/>
        <v>8.4327347101274896E-7</v>
      </c>
      <c r="G5" s="4">
        <f t="shared" si="0"/>
        <v>0.40393642534981689</v>
      </c>
      <c r="H5" s="4">
        <f t="shared" si="1"/>
        <v>0.40393642534981689</v>
      </c>
      <c r="I5" s="16">
        <f t="shared" si="2"/>
        <v>97.307090497667886</v>
      </c>
      <c r="J5" s="16">
        <f t="shared" si="4"/>
        <v>4.8653545248833945</v>
      </c>
      <c r="AD5" s="5"/>
    </row>
    <row r="6" spans="1:31" x14ac:dyDescent="0.2">
      <c r="A6" s="4" t="s">
        <v>69</v>
      </c>
      <c r="B6" s="4">
        <v>0.03</v>
      </c>
      <c r="C6" s="4">
        <f t="shared" si="5"/>
        <v>3.1314586334314521E-5</v>
      </c>
      <c r="D6" s="4">
        <v>15</v>
      </c>
      <c r="E6" s="4">
        <f xml:space="preserve"> 80/1000</f>
        <v>0.08</v>
      </c>
      <c r="F6" s="4">
        <f t="shared" si="3"/>
        <v>3.8330612318761311E-7</v>
      </c>
      <c r="G6" s="4">
        <f t="shared" si="0"/>
        <v>0.18360746606809858</v>
      </c>
      <c r="H6" s="4">
        <f t="shared" si="1"/>
        <v>0.18360746606809858</v>
      </c>
      <c r="I6" s="16">
        <f t="shared" si="2"/>
        <v>98.775950226212686</v>
      </c>
      <c r="J6" s="16">
        <f t="shared" si="4"/>
        <v>3.7040981334829755</v>
      </c>
      <c r="AD6" s="5"/>
    </row>
    <row r="7" spans="1:31" x14ac:dyDescent="0.2">
      <c r="A7" s="4" t="s">
        <v>69</v>
      </c>
      <c r="B7" s="4">
        <v>2.8E-3</v>
      </c>
      <c r="C7" s="4">
        <f t="shared" si="5"/>
        <v>3.1314586334314521E-5</v>
      </c>
      <c r="D7" s="4">
        <v>15</v>
      </c>
      <c r="E7" s="4">
        <f xml:space="preserve"> 100/1000</f>
        <v>0.1</v>
      </c>
      <c r="F7" s="4">
        <f t="shared" si="3"/>
        <v>3.5775238164177224E-8</v>
      </c>
      <c r="G7" s="4">
        <f t="shared" si="0"/>
        <v>1.7136696833022533E-2</v>
      </c>
      <c r="H7" s="4">
        <f t="shared" si="1"/>
        <v>1.7136696833022533E-2</v>
      </c>
      <c r="I7" s="16">
        <f t="shared" si="2"/>
        <v>99.885755354446516</v>
      </c>
      <c r="J7" s="16">
        <f t="shared" si="4"/>
        <v>2.9965726606333951</v>
      </c>
      <c r="AD7" s="5"/>
    </row>
    <row r="9" spans="1:31" ht="51" x14ac:dyDescent="0.2">
      <c r="A9" s="2" t="s">
        <v>8</v>
      </c>
      <c r="B9" s="4">
        <v>479.01</v>
      </c>
      <c r="G9" s="5"/>
      <c r="H9" s="5"/>
      <c r="I9" s="5"/>
    </row>
    <row r="10" spans="1:31" ht="68" x14ac:dyDescent="0.2">
      <c r="A10" s="6" t="s">
        <v>9</v>
      </c>
      <c r="B10" s="4">
        <v>78266.425149999995</v>
      </c>
    </row>
    <row r="11" spans="1:31" ht="17" x14ac:dyDescent="0.2">
      <c r="A11" s="6" t="s">
        <v>10</v>
      </c>
      <c r="B11" s="4">
        <f xml:space="preserve"> 20/1000</f>
        <v>0.02</v>
      </c>
    </row>
    <row r="12" spans="1:31" ht="34" x14ac:dyDescent="0.2">
      <c r="A12" s="6" t="s">
        <v>2</v>
      </c>
      <c r="B12" s="4">
        <f xml:space="preserve"> 20/1000</f>
        <v>0.02</v>
      </c>
    </row>
    <row r="13" spans="1:31" ht="68" x14ac:dyDescent="0.2">
      <c r="A13" s="6" t="s">
        <v>11</v>
      </c>
      <c r="B13" s="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5B3B-1FEC-6C41-9AB8-F5B761E47E4B}">
  <dimension ref="A1:AG14"/>
  <sheetViews>
    <sheetView zoomScale="178" zoomScaleNormal="172" workbookViewId="0">
      <selection activeCell="A26" sqref="A26"/>
    </sheetView>
  </sheetViews>
  <sheetFormatPr baseColWidth="10" defaultColWidth="11.1640625" defaultRowHeight="16" x14ac:dyDescent="0.2"/>
  <cols>
    <col min="2" max="2" width="12.6640625" customWidth="1"/>
    <col min="3" max="3" width="13.1640625" customWidth="1"/>
    <col min="4" max="5" width="12.83203125" customWidth="1"/>
    <col min="6" max="6" width="14.1640625" customWidth="1"/>
    <col min="7" max="7" width="13.5" customWidth="1"/>
    <col min="8" max="8" width="12.83203125" customWidth="1"/>
    <col min="9" max="9" width="12.5" customWidth="1"/>
    <col min="10" max="10" width="12" customWidth="1"/>
    <col min="20" max="20" width="11.33203125" bestFit="1" customWidth="1"/>
    <col min="21" max="22" width="12.1640625" bestFit="1" customWidth="1"/>
    <col min="37" max="37" width="12.83203125" bestFit="1" customWidth="1"/>
  </cols>
  <sheetData>
    <row r="1" spans="1:33" ht="68" x14ac:dyDescent="0.2">
      <c r="A1" s="1" t="s">
        <v>0</v>
      </c>
      <c r="B1" s="2" t="s">
        <v>1</v>
      </c>
      <c r="C1" s="2" t="s">
        <v>3</v>
      </c>
      <c r="D1" s="2" t="s">
        <v>4</v>
      </c>
      <c r="E1" s="2" t="s">
        <v>17</v>
      </c>
      <c r="F1" s="2" t="s">
        <v>5</v>
      </c>
      <c r="G1" s="2" t="s">
        <v>6</v>
      </c>
      <c r="H1" s="2" t="s">
        <v>14</v>
      </c>
      <c r="I1" s="3" t="s">
        <v>13</v>
      </c>
      <c r="J1" s="2" t="s">
        <v>7</v>
      </c>
      <c r="K1" s="8"/>
      <c r="T1" s="2" t="s">
        <v>17</v>
      </c>
      <c r="U1" s="2" t="s">
        <v>7</v>
      </c>
      <c r="V1" s="2" t="s">
        <v>13</v>
      </c>
    </row>
    <row r="2" spans="1:33" x14ac:dyDescent="0.2">
      <c r="A2" s="4" t="s">
        <v>69</v>
      </c>
      <c r="B2" s="22">
        <v>0.1915</v>
      </c>
      <c r="C2" s="4">
        <f xml:space="preserve"> D2/(1000*$B$10)</f>
        <v>3.1314586334314521E-5</v>
      </c>
      <c r="D2" s="4">
        <v>15</v>
      </c>
      <c r="E2" s="4">
        <v>2</v>
      </c>
      <c r="F2" s="4">
        <f xml:space="preserve"> B2/($B$11*$B$14)</f>
        <v>2.4467707530142637E-6</v>
      </c>
      <c r="G2" s="4">
        <f t="shared" ref="G2:G7" si="0" xml:space="preserve"> F2*1000*$B$10</f>
        <v>1.1720276584013625</v>
      </c>
      <c r="H2" s="4">
        <f t="shared" ref="H2:H8" si="1" xml:space="preserve"> G2</f>
        <v>1.1720276584013625</v>
      </c>
      <c r="I2" s="16">
        <f xml:space="preserve"> (15-H2)*($B$12/$B$13)</f>
        <v>13.827972341598638</v>
      </c>
      <c r="J2" s="16">
        <f>( (D2-H2)/15)*100</f>
        <v>92.186482277324259</v>
      </c>
      <c r="T2" s="11">
        <v>2</v>
      </c>
      <c r="U2" s="19">
        <v>92.206883106887375</v>
      </c>
      <c r="V2" s="19">
        <v>13.831032466033106</v>
      </c>
      <c r="AG2" s="11"/>
    </row>
    <row r="3" spans="1:33" x14ac:dyDescent="0.2">
      <c r="A3" s="4" t="s">
        <v>69</v>
      </c>
      <c r="B3" s="23">
        <v>0.23119999999999999</v>
      </c>
      <c r="C3" s="4">
        <f xml:space="preserve"> D3/(1000*$B$10)</f>
        <v>3.1314586334314521E-5</v>
      </c>
      <c r="D3" s="4">
        <v>15</v>
      </c>
      <c r="E3" s="4">
        <v>4</v>
      </c>
      <c r="F3" s="4">
        <f xml:space="preserve"> B3/($B$11*$B$14)</f>
        <v>2.9540125226992048E-6</v>
      </c>
      <c r="G3" s="4">
        <f t="shared" si="0"/>
        <v>1.415001538498146</v>
      </c>
      <c r="H3" s="4">
        <f t="shared" si="1"/>
        <v>1.415001538498146</v>
      </c>
      <c r="I3" s="16">
        <f t="shared" ref="I3:I8" si="2" xml:space="preserve"> (15-H3)*($B$12/$B$13)</f>
        <v>13.584998461501854</v>
      </c>
      <c r="J3" s="16">
        <f t="shared" ref="J3:J8" si="3">( (D3-H3)/15)*100</f>
        <v>90.566656410012357</v>
      </c>
      <c r="T3" s="11">
        <v>4</v>
      </c>
      <c r="U3" s="19">
        <v>90.566484845358474</v>
      </c>
      <c r="V3" s="19">
        <v>13.584972726803771</v>
      </c>
      <c r="AG3" s="11"/>
    </row>
    <row r="4" spans="1:33" x14ac:dyDescent="0.2">
      <c r="A4" s="4" t="s">
        <v>69</v>
      </c>
      <c r="B4" s="22">
        <v>0.31609999999999999</v>
      </c>
      <c r="C4" s="4">
        <f t="shared" ref="C4:C7" si="4" xml:space="preserve"> D4/(1000*$B$10)</f>
        <v>3.1314586334314521E-5</v>
      </c>
      <c r="D4" s="4">
        <v>15</v>
      </c>
      <c r="E4" s="4">
        <v>6</v>
      </c>
      <c r="F4" s="4">
        <f xml:space="preserve"> B4/($B$11*$B$14)</f>
        <v>4.0387688513201505E-6</v>
      </c>
      <c r="G4" s="4">
        <f t="shared" si="0"/>
        <v>1.9346106674708652</v>
      </c>
      <c r="H4" s="4">
        <f t="shared" si="1"/>
        <v>1.9346106674708652</v>
      </c>
      <c r="I4" s="16">
        <f t="shared" si="2"/>
        <v>13.065389332529135</v>
      </c>
      <c r="J4" s="16">
        <f t="shared" si="3"/>
        <v>87.102595550194224</v>
      </c>
      <c r="T4" s="11">
        <v>6</v>
      </c>
      <c r="U4" s="19">
        <v>87.106675716106849</v>
      </c>
      <c r="V4" s="19">
        <v>13.066001357416027</v>
      </c>
      <c r="AG4" s="11"/>
    </row>
    <row r="5" spans="1:33" x14ac:dyDescent="0.2">
      <c r="A5" s="4" t="s">
        <v>69</v>
      </c>
      <c r="B5" s="22">
        <v>0.33019999999999999</v>
      </c>
      <c r="C5" s="4">
        <f t="shared" si="4"/>
        <v>3.1314586334314521E-5</v>
      </c>
      <c r="D5" s="4">
        <v>15</v>
      </c>
      <c r="E5" s="4">
        <v>7</v>
      </c>
      <c r="F5" s="4">
        <f>B5/( $B$11*$B$14)</f>
        <v>4.218922729218328E-6</v>
      </c>
      <c r="G5" s="4">
        <f t="shared" si="0"/>
        <v>2.0209061765228711</v>
      </c>
      <c r="H5" s="4">
        <f t="shared" si="1"/>
        <v>2.0209061765228711</v>
      </c>
      <c r="I5" s="16">
        <f t="shared" si="2"/>
        <v>12.979093823477129</v>
      </c>
      <c r="J5" s="16">
        <f t="shared" si="3"/>
        <v>86.527292156514193</v>
      </c>
      <c r="T5" s="11">
        <v>7</v>
      </c>
      <c r="U5" s="19">
        <v>86.494650829213199</v>
      </c>
      <c r="V5" s="19">
        <v>12.974197624381979</v>
      </c>
      <c r="AG5" s="11"/>
    </row>
    <row r="6" spans="1:33" x14ac:dyDescent="0.2">
      <c r="A6" s="4" t="s">
        <v>69</v>
      </c>
      <c r="B6" s="22">
        <v>0.40460000000000002</v>
      </c>
      <c r="C6" s="4">
        <f t="shared" si="4"/>
        <v>3.1314586334314521E-5</v>
      </c>
      <c r="D6" s="4">
        <v>15</v>
      </c>
      <c r="E6" s="4">
        <v>8</v>
      </c>
      <c r="F6" s="4">
        <f t="shared" ref="F6:F7" si="5" xml:space="preserve"> B6/($B$11*$B$14)</f>
        <v>5.1695219147236091E-6</v>
      </c>
      <c r="G6" s="4">
        <f t="shared" si="0"/>
        <v>2.476252692371756</v>
      </c>
      <c r="H6" s="4">
        <f t="shared" si="1"/>
        <v>2.476252692371756</v>
      </c>
      <c r="I6" s="16">
        <f t="shared" si="2"/>
        <v>12.523747307628245</v>
      </c>
      <c r="J6" s="16">
        <f t="shared" si="3"/>
        <v>83.491648717521628</v>
      </c>
      <c r="T6" s="11">
        <v>8</v>
      </c>
      <c r="U6" s="19">
        <v>83.475328053871138</v>
      </c>
      <c r="V6" s="19">
        <v>12.52129920808067</v>
      </c>
      <c r="AG6" s="11"/>
    </row>
    <row r="7" spans="1:33" x14ac:dyDescent="0.2">
      <c r="A7" s="4" t="s">
        <v>69</v>
      </c>
      <c r="B7" s="22">
        <v>0.4254</v>
      </c>
      <c r="C7" s="4">
        <f t="shared" si="4"/>
        <v>3.1314586334314521E-5</v>
      </c>
      <c r="D7" s="4">
        <v>15</v>
      </c>
      <c r="E7" s="4">
        <v>10</v>
      </c>
      <c r="F7" s="4">
        <f t="shared" si="5"/>
        <v>5.4352808268003538E-6</v>
      </c>
      <c r="G7" s="4">
        <f t="shared" si="0"/>
        <v>2.6035538688456374</v>
      </c>
      <c r="H7" s="4">
        <f t="shared" si="1"/>
        <v>2.6035538688456374</v>
      </c>
      <c r="I7" s="16">
        <f t="shared" si="2"/>
        <v>12.396446131154363</v>
      </c>
      <c r="J7" s="16">
        <f t="shared" si="3"/>
        <v>82.642974207695758</v>
      </c>
      <c r="T7" s="11">
        <v>10</v>
      </c>
      <c r="U7" s="19">
        <v>82.643806102202504</v>
      </c>
      <c r="V7" s="19">
        <v>12.396570915330377</v>
      </c>
      <c r="AG7" s="11"/>
    </row>
    <row r="8" spans="1:33" x14ac:dyDescent="0.2">
      <c r="A8" s="4" t="s">
        <v>69</v>
      </c>
      <c r="B8" s="22">
        <v>0.4859</v>
      </c>
      <c r="C8" s="4">
        <f t="shared" ref="C8" si="6" xml:space="preserve"> D8/(1000*$B$10)</f>
        <v>3.1314586334314521E-5</v>
      </c>
      <c r="D8" s="4">
        <v>15</v>
      </c>
      <c r="E8" s="4">
        <v>12</v>
      </c>
      <c r="F8" s="4">
        <f t="shared" ref="F8" si="7" xml:space="preserve"> B8/($B$11*$B$14)</f>
        <v>6.2082815085620408E-6</v>
      </c>
      <c r="G8" s="4">
        <f t="shared" ref="G8" si="8" xml:space="preserve"> F8*1000*$B$10</f>
        <v>2.9738289254163033</v>
      </c>
      <c r="H8" s="4">
        <f t="shared" si="1"/>
        <v>2.9738289254163033</v>
      </c>
      <c r="I8" s="16">
        <f t="shared" si="2"/>
        <v>12.026171074583697</v>
      </c>
      <c r="J8" s="16">
        <f t="shared" si="3"/>
        <v>80.174473830557986</v>
      </c>
      <c r="T8" s="11">
        <v>12</v>
      </c>
      <c r="U8" s="19">
        <v>80.170393664645374</v>
      </c>
      <c r="V8" s="19">
        <v>12.025559049696804</v>
      </c>
      <c r="AG8" s="11"/>
    </row>
    <row r="9" spans="1:33" x14ac:dyDescent="0.2">
      <c r="E9" s="5"/>
    </row>
    <row r="10" spans="1:33" ht="51" x14ac:dyDescent="0.2">
      <c r="A10" s="2" t="s">
        <v>8</v>
      </c>
      <c r="B10" s="4">
        <v>479.01</v>
      </c>
      <c r="G10" s="5"/>
      <c r="H10" s="5"/>
      <c r="I10" s="5"/>
    </row>
    <row r="11" spans="1:33" ht="68" x14ac:dyDescent="0.2">
      <c r="A11" s="6" t="s">
        <v>9</v>
      </c>
      <c r="B11" s="4">
        <v>78266.425149999995</v>
      </c>
    </row>
    <row r="12" spans="1:33" ht="17" x14ac:dyDescent="0.2">
      <c r="A12" s="6" t="s">
        <v>10</v>
      </c>
      <c r="B12" s="4">
        <f xml:space="preserve"> 20/1000</f>
        <v>0.02</v>
      </c>
    </row>
    <row r="13" spans="1:33" ht="34" x14ac:dyDescent="0.2">
      <c r="A13" s="6" t="s">
        <v>2</v>
      </c>
      <c r="B13" s="4">
        <f xml:space="preserve"> 20/1000</f>
        <v>0.02</v>
      </c>
    </row>
    <row r="14" spans="1:33" ht="68" x14ac:dyDescent="0.2">
      <c r="A14" s="6" t="s">
        <v>11</v>
      </c>
      <c r="B14" s="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7009-B5E7-FA44-A064-A155B1A70202}">
  <dimension ref="A1:U10"/>
  <sheetViews>
    <sheetView zoomScale="125" zoomScaleNormal="172" workbookViewId="0">
      <selection activeCell="O5" sqref="O5"/>
    </sheetView>
  </sheetViews>
  <sheetFormatPr baseColWidth="10" defaultColWidth="11.1640625" defaultRowHeight="16" x14ac:dyDescent="0.2"/>
  <cols>
    <col min="1" max="1" width="12.83203125" customWidth="1"/>
    <col min="2" max="2" width="12.6640625" customWidth="1"/>
    <col min="3" max="3" width="13.1640625" customWidth="1"/>
    <col min="4" max="4" width="12.83203125" customWidth="1"/>
    <col min="5" max="5" width="14.1640625" customWidth="1"/>
    <col min="6" max="6" width="13.5" customWidth="1"/>
    <col min="7" max="7" width="12.83203125" customWidth="1"/>
    <col min="8" max="8" width="12.5" customWidth="1"/>
    <col min="9" max="9" width="12" customWidth="1"/>
    <col min="18" max="18" width="9.6640625" customWidth="1"/>
    <col min="19" max="19" width="14.6640625" customWidth="1"/>
    <col min="20" max="21" width="12.1640625" bestFit="1" customWidth="1"/>
  </cols>
  <sheetData>
    <row r="1" spans="1:21" ht="68" x14ac:dyDescent="0.2">
      <c r="A1" s="1" t="s">
        <v>26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14</v>
      </c>
      <c r="H1" s="3" t="s">
        <v>13</v>
      </c>
      <c r="I1" s="2" t="s">
        <v>7</v>
      </c>
      <c r="J1" s="8"/>
      <c r="K1" s="17"/>
      <c r="S1" s="1" t="s">
        <v>26</v>
      </c>
      <c r="T1" s="2" t="s">
        <v>7</v>
      </c>
      <c r="U1" s="10" t="s">
        <v>13</v>
      </c>
    </row>
    <row r="2" spans="1:21" x14ac:dyDescent="0.2">
      <c r="A2" s="4">
        <v>298.14999999999998</v>
      </c>
      <c r="B2" s="15">
        <v>0.157</v>
      </c>
      <c r="C2" s="4">
        <f xml:space="preserve"> D2/(1000*$B$6)</f>
        <v>3.1314586334314521E-5</v>
      </c>
      <c r="D2" s="4">
        <v>15</v>
      </c>
      <c r="E2" s="4">
        <f xml:space="preserve"> B2/($B$7*$B$10)</f>
        <v>2.0059687113485088E-6</v>
      </c>
      <c r="F2" s="4">
        <f xml:space="preserve"> E2*1000*$B$6</f>
        <v>0.96087907242304915</v>
      </c>
      <c r="G2" s="4">
        <f t="shared" ref="G2:G4" si="0" xml:space="preserve"> F2</f>
        <v>0.96087907242304915</v>
      </c>
      <c r="H2" s="16">
        <f xml:space="preserve"> ((D2-G2)*$B$8)/$B$9</f>
        <v>14.039120927576951</v>
      </c>
      <c r="I2" s="16">
        <f xml:space="preserve"> ((D2-G2)/D2)*100</f>
        <v>93.59413951717967</v>
      </c>
      <c r="K2" s="5"/>
      <c r="S2" s="4">
        <v>298.14999999999998</v>
      </c>
      <c r="T2" s="11">
        <v>93.588157668329586</v>
      </c>
      <c r="U2" s="11">
        <v>14.03822365024944</v>
      </c>
    </row>
    <row r="3" spans="1:21" x14ac:dyDescent="0.2">
      <c r="A3" s="4">
        <v>308.14999999999998</v>
      </c>
      <c r="B3" s="15">
        <v>0.13500000000000001</v>
      </c>
      <c r="C3" s="4">
        <f xml:space="preserve"> D3/(1000*$B$6)</f>
        <v>3.1314586334314521E-5</v>
      </c>
      <c r="D3" s="4">
        <v>15</v>
      </c>
      <c r="E3" s="4">
        <f xml:space="preserve"> B3/($B$7*$B$10)</f>
        <v>1.7248775543442591E-6</v>
      </c>
      <c r="F3" s="4">
        <f xml:space="preserve"> E3*1000*$B$6</f>
        <v>0.82623359730644352</v>
      </c>
      <c r="G3" s="4">
        <f t="shared" si="0"/>
        <v>0.82623359730644352</v>
      </c>
      <c r="H3" s="16">
        <f xml:space="preserve"> ((D3-G3)*$B$8)/$B$9</f>
        <v>14.173766402693557</v>
      </c>
      <c r="I3" s="16">
        <f xml:space="preserve"> ((D3-G3)/D3)*100</f>
        <v>94.491776017957051</v>
      </c>
      <c r="K3" s="5"/>
      <c r="S3" s="4">
        <v>308.14999999999998</v>
      </c>
      <c r="T3" s="11">
        <v>94.472549714077232</v>
      </c>
      <c r="U3" s="11">
        <v>14.170882457111587</v>
      </c>
    </row>
    <row r="4" spans="1:21" x14ac:dyDescent="0.2">
      <c r="A4" s="4">
        <v>318.14999999999998</v>
      </c>
      <c r="B4" s="15">
        <v>9.8000000000000004E-2</v>
      </c>
      <c r="C4" s="4">
        <f xml:space="preserve"> D4/(1000*$B$6)</f>
        <v>3.1314586334314521E-5</v>
      </c>
      <c r="D4" s="4">
        <v>15</v>
      </c>
      <c r="E4" s="4">
        <f xml:space="preserve"> B4/($B$7*$B$10)</f>
        <v>1.2521333357462029E-6</v>
      </c>
      <c r="F4" s="4">
        <f xml:space="preserve"> E4*1000*$B$6</f>
        <v>0.59978438915578858</v>
      </c>
      <c r="G4" s="4">
        <f t="shared" si="0"/>
        <v>0.59978438915578858</v>
      </c>
      <c r="H4" s="16">
        <f xml:space="preserve"> ((D4-G4)*$B$8)/$B$9</f>
        <v>14.40021561084421</v>
      </c>
      <c r="I4" s="16">
        <f xml:space="preserve"> ((D4-G4)/D4)*100</f>
        <v>96.001437405628081</v>
      </c>
      <c r="K4" s="5"/>
      <c r="S4" s="4">
        <v>318.14999999999998</v>
      </c>
      <c r="T4" s="11">
        <v>95.983386125562788</v>
      </c>
      <c r="U4" s="11">
        <v>14.397507918834417</v>
      </c>
    </row>
    <row r="6" spans="1:21" ht="51" x14ac:dyDescent="0.2">
      <c r="A6" s="2" t="s">
        <v>8</v>
      </c>
      <c r="B6" s="4">
        <v>479.01</v>
      </c>
      <c r="F6" s="5"/>
      <c r="G6" s="5"/>
      <c r="H6" s="5"/>
    </row>
    <row r="7" spans="1:21" ht="51" x14ac:dyDescent="0.2">
      <c r="A7" s="6" t="s">
        <v>9</v>
      </c>
      <c r="B7" s="4">
        <v>78266.425149999995</v>
      </c>
    </row>
    <row r="8" spans="1:21" ht="17" x14ac:dyDescent="0.2">
      <c r="A8" s="6" t="s">
        <v>10</v>
      </c>
      <c r="B8" s="4">
        <f xml:space="preserve"> 20/1000</f>
        <v>0.02</v>
      </c>
    </row>
    <row r="9" spans="1:21" ht="34" x14ac:dyDescent="0.2">
      <c r="A9" s="6" t="s">
        <v>2</v>
      </c>
      <c r="B9" s="4">
        <f xml:space="preserve"> 20/1000</f>
        <v>0.02</v>
      </c>
    </row>
    <row r="10" spans="1:21" ht="68" x14ac:dyDescent="0.2">
      <c r="A10" s="6" t="s">
        <v>11</v>
      </c>
      <c r="B10" s="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60146-34B2-BF47-8717-238D885B2AFF}">
  <dimension ref="A1:X15"/>
  <sheetViews>
    <sheetView zoomScale="125" zoomScaleNormal="139" workbookViewId="0">
      <selection activeCell="B4" sqref="B4"/>
    </sheetView>
  </sheetViews>
  <sheetFormatPr baseColWidth="10" defaultColWidth="11.1640625" defaultRowHeight="16" x14ac:dyDescent="0.2"/>
  <cols>
    <col min="2" max="2" width="12.6640625" customWidth="1"/>
    <col min="3" max="3" width="13.1640625" customWidth="1"/>
    <col min="4" max="5" width="12.83203125" customWidth="1"/>
    <col min="6" max="6" width="14.1640625" customWidth="1"/>
    <col min="7" max="7" width="13.5" customWidth="1"/>
    <col min="8" max="8" width="12.83203125" customWidth="1"/>
    <col min="9" max="9" width="12.5" customWidth="1"/>
    <col min="10" max="13" width="12" customWidth="1"/>
    <col min="27" max="27" width="12.5" bestFit="1" customWidth="1"/>
  </cols>
  <sheetData>
    <row r="1" spans="1:24" ht="68" x14ac:dyDescent="0.2">
      <c r="A1" s="1" t="s">
        <v>0</v>
      </c>
      <c r="B1" s="2" t="s">
        <v>1</v>
      </c>
      <c r="C1" s="2" t="s">
        <v>3</v>
      </c>
      <c r="D1" s="2" t="s">
        <v>4</v>
      </c>
      <c r="E1" s="2" t="s">
        <v>18</v>
      </c>
      <c r="F1" s="2" t="s">
        <v>5</v>
      </c>
      <c r="G1" s="2" t="s">
        <v>6</v>
      </c>
      <c r="H1" s="2" t="s">
        <v>14</v>
      </c>
      <c r="I1" s="3" t="s">
        <v>13</v>
      </c>
      <c r="J1" s="2" t="s">
        <v>7</v>
      </c>
      <c r="K1" s="2" t="s">
        <v>22</v>
      </c>
      <c r="L1" s="2" t="s">
        <v>24</v>
      </c>
      <c r="M1" s="2" t="s">
        <v>23</v>
      </c>
      <c r="N1" s="2" t="s">
        <v>19</v>
      </c>
      <c r="O1" s="2" t="s">
        <v>20</v>
      </c>
      <c r="P1" s="3" t="s">
        <v>21</v>
      </c>
      <c r="Q1" s="5"/>
      <c r="R1" s="5"/>
      <c r="S1" s="5"/>
    </row>
    <row r="2" spans="1:24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5"/>
      <c r="S2" s="5"/>
    </row>
    <row r="3" spans="1:24" x14ac:dyDescent="0.2">
      <c r="A3" s="4" t="s">
        <v>69</v>
      </c>
      <c r="B3" s="15">
        <v>0.157</v>
      </c>
      <c r="C3" s="4">
        <f xml:space="preserve"> D3/(1000*$B$7)</f>
        <v>3.1314586334314521E-5</v>
      </c>
      <c r="D3" s="4">
        <v>15</v>
      </c>
      <c r="E3" s="4">
        <v>298.14999999999998</v>
      </c>
      <c r="F3" s="4">
        <f xml:space="preserve"> B3/($B$8*$B$11)</f>
        <v>2.0059687113485088E-6</v>
      </c>
      <c r="G3" s="4">
        <f xml:space="preserve"> F3*1000*$B$7</f>
        <v>0.96087907242304915</v>
      </c>
      <c r="H3" s="4">
        <f xml:space="preserve"> G3</f>
        <v>0.96087907242304915</v>
      </c>
      <c r="I3" s="16">
        <f xml:space="preserve"> ((D3-H3)*$B$9)/$B$10</f>
        <v>14.039120927576951</v>
      </c>
      <c r="J3" s="16">
        <f xml:space="preserve"> ((D3-H3)/D3)*100</f>
        <v>93.59413951717967</v>
      </c>
      <c r="K3" s="4">
        <f xml:space="preserve"> I3/H3</f>
        <v>14.610705270304715</v>
      </c>
      <c r="L3" s="4">
        <f xml:space="preserve"> 1/E3</f>
        <v>3.3540164346805303E-3</v>
      </c>
      <c r="M3" s="4">
        <f xml:space="preserve"> LN(K3)</f>
        <v>2.6817544977189711</v>
      </c>
      <c r="N3" s="4">
        <f xml:space="preserve"> -S3*S5</f>
        <v>19356.6548</v>
      </c>
      <c r="O3" s="4">
        <f xml:space="preserve"> S4*S5</f>
        <v>86.947811999999999</v>
      </c>
      <c r="P3" s="4">
        <f xml:space="preserve"> $N$3-(E3*$O$3)</f>
        <v>-6566.835347799999</v>
      </c>
      <c r="Q3" s="5"/>
      <c r="R3" s="4" t="s">
        <v>25</v>
      </c>
      <c r="S3" s="4">
        <f xml:space="preserve"> -2328.2</f>
        <v>-2328.1999999999998</v>
      </c>
      <c r="X3" s="14"/>
    </row>
    <row r="4" spans="1:24" x14ac:dyDescent="0.2">
      <c r="A4" s="4" t="s">
        <v>69</v>
      </c>
      <c r="B4" s="15">
        <v>0.13500000000000001</v>
      </c>
      <c r="C4" s="4">
        <f xml:space="preserve"> D4/(1000*$B$7)</f>
        <v>3.1314586334314521E-5</v>
      </c>
      <c r="D4" s="4">
        <v>15</v>
      </c>
      <c r="E4" s="4">
        <v>308.14999999999998</v>
      </c>
      <c r="F4" s="4">
        <f t="shared" ref="F4:F5" si="0" xml:space="preserve"> B4/($B$8*$B$11)</f>
        <v>1.7248775543442591E-6</v>
      </c>
      <c r="G4" s="4">
        <f t="shared" ref="G4:G5" si="1" xml:space="preserve"> F4*1000*$B$7</f>
        <v>0.82623359730644352</v>
      </c>
      <c r="H4" s="4">
        <f t="shared" ref="H4:H5" si="2" xml:space="preserve"> G4</f>
        <v>0.82623359730644352</v>
      </c>
      <c r="I4" s="16">
        <f t="shared" ref="I4:I5" si="3" xml:space="preserve"> ((D4-H4)*$B$9)/$B$10</f>
        <v>14.173766402693557</v>
      </c>
      <c r="J4" s="16">
        <f t="shared" ref="J4:J5" si="4" xml:space="preserve"> ((D4-H4)/D4)*100</f>
        <v>94.491776017957051</v>
      </c>
      <c r="K4" s="4">
        <f t="shared" ref="K4:K5" si="5" xml:space="preserve"> I4/H4</f>
        <v>17.154672055095116</v>
      </c>
      <c r="L4" s="4">
        <f t="shared" ref="L4:L5" si="6" xml:space="preserve"> 1/E4</f>
        <v>3.2451728054518907E-3</v>
      </c>
      <c r="M4" s="4">
        <f t="shared" ref="M4:M5" si="7" xml:space="preserve"> LN(K4)</f>
        <v>2.8422705595491471</v>
      </c>
      <c r="N4" s="4"/>
      <c r="O4" s="4"/>
      <c r="P4" s="4">
        <f t="shared" ref="P4:P5" si="8" xml:space="preserve"> $N$3-(E4*$O$3)</f>
        <v>-7436.3134677999988</v>
      </c>
      <c r="Q4" s="5"/>
      <c r="R4" s="4" t="s">
        <v>15</v>
      </c>
      <c r="S4" s="4">
        <f xml:space="preserve"> 10.458</f>
        <v>10.458</v>
      </c>
      <c r="X4" s="14"/>
    </row>
    <row r="5" spans="1:24" x14ac:dyDescent="0.2">
      <c r="A5" s="4" t="s">
        <v>69</v>
      </c>
      <c r="B5" s="15">
        <v>9.8000000000000004E-2</v>
      </c>
      <c r="C5" s="4">
        <f xml:space="preserve"> D5/(1000*$B$7)</f>
        <v>3.1314586334314521E-5</v>
      </c>
      <c r="D5" s="4">
        <v>15</v>
      </c>
      <c r="E5" s="4">
        <v>318.14999999999998</v>
      </c>
      <c r="F5" s="4">
        <f t="shared" si="0"/>
        <v>1.2521333357462029E-6</v>
      </c>
      <c r="G5" s="4">
        <f t="shared" si="1"/>
        <v>0.59978438915578858</v>
      </c>
      <c r="H5" s="4">
        <f t="shared" si="2"/>
        <v>0.59978438915578858</v>
      </c>
      <c r="I5" s="16">
        <f t="shared" si="3"/>
        <v>14.40021561084421</v>
      </c>
      <c r="J5" s="16">
        <f t="shared" si="4"/>
        <v>96.001437405628081</v>
      </c>
      <c r="K5" s="4">
        <f t="shared" si="5"/>
        <v>24.008987014671842</v>
      </c>
      <c r="L5" s="4">
        <f t="shared" si="6"/>
        <v>3.1431714600031434E-3</v>
      </c>
      <c r="M5" s="4">
        <f t="shared" si="7"/>
        <v>3.1784282192003523</v>
      </c>
      <c r="N5" s="4"/>
      <c r="O5" s="4"/>
      <c r="P5" s="4">
        <f t="shared" si="8"/>
        <v>-8305.7915877999985</v>
      </c>
      <c r="Q5" s="5"/>
      <c r="R5" s="4" t="s">
        <v>12</v>
      </c>
      <c r="S5" s="4">
        <f xml:space="preserve"> 8.314</f>
        <v>8.3140000000000001</v>
      </c>
      <c r="X5" s="14"/>
    </row>
    <row r="6" spans="1:24" x14ac:dyDescent="0.2">
      <c r="E6" s="5"/>
    </row>
    <row r="7" spans="1:24" ht="51" x14ac:dyDescent="0.2">
      <c r="A7" s="2" t="s">
        <v>8</v>
      </c>
      <c r="B7" s="4">
        <v>479.01</v>
      </c>
      <c r="G7" s="5"/>
      <c r="H7" s="5"/>
      <c r="I7" s="5"/>
    </row>
    <row r="8" spans="1:24" ht="68" x14ac:dyDescent="0.2">
      <c r="A8" s="6" t="s">
        <v>9</v>
      </c>
      <c r="B8" s="4">
        <v>78266.425149999995</v>
      </c>
    </row>
    <row r="9" spans="1:24" ht="17" x14ac:dyDescent="0.2">
      <c r="A9" s="6" t="s">
        <v>10</v>
      </c>
      <c r="B9" s="4">
        <f xml:space="preserve"> 20/1000</f>
        <v>0.02</v>
      </c>
    </row>
    <row r="10" spans="1:24" ht="34" x14ac:dyDescent="0.2">
      <c r="A10" s="6" t="s">
        <v>2</v>
      </c>
      <c r="B10" s="4">
        <f xml:space="preserve"> 20/1000</f>
        <v>0.02</v>
      </c>
    </row>
    <row r="11" spans="1:24" ht="68" x14ac:dyDescent="0.2">
      <c r="A11" s="6" t="s">
        <v>11</v>
      </c>
      <c r="B11" s="4">
        <v>1</v>
      </c>
    </row>
    <row r="12" spans="1:24" x14ac:dyDescent="0.2">
      <c r="Q12" s="5"/>
    </row>
    <row r="13" spans="1:24" x14ac:dyDescent="0.2">
      <c r="Q13" s="5"/>
    </row>
    <row r="14" spans="1:24" x14ac:dyDescent="0.2">
      <c r="Q14" s="5"/>
    </row>
    <row r="15" spans="1:24" x14ac:dyDescent="0.2">
      <c r="Q15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4AC3-37A8-1C48-B997-62C29FD19AF6}">
  <dimension ref="A1:AB15"/>
  <sheetViews>
    <sheetView zoomScale="159" zoomScaleNormal="118" workbookViewId="0">
      <selection activeCell="X9" sqref="X9"/>
    </sheetView>
  </sheetViews>
  <sheetFormatPr baseColWidth="10" defaultColWidth="11.1640625" defaultRowHeight="16" x14ac:dyDescent="0.2"/>
  <cols>
    <col min="2" max="2" width="12.6640625" customWidth="1"/>
    <col min="3" max="3" width="13.1640625" customWidth="1"/>
    <col min="4" max="4" width="12.83203125" customWidth="1"/>
    <col min="5" max="5" width="14.1640625" customWidth="1"/>
    <col min="6" max="6" width="13.5" customWidth="1"/>
    <col min="7" max="7" width="12.5" customWidth="1"/>
    <col min="8" max="8" width="12" customWidth="1"/>
  </cols>
  <sheetData>
    <row r="1" spans="1:28" ht="68" x14ac:dyDescent="0.2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13</v>
      </c>
      <c r="I1" s="2" t="s">
        <v>44</v>
      </c>
      <c r="AA1" s="9"/>
      <c r="AB1" s="8"/>
    </row>
    <row r="2" spans="1:28" x14ac:dyDescent="0.2">
      <c r="A2" s="4">
        <v>360</v>
      </c>
      <c r="B2" s="4">
        <v>1E-3</v>
      </c>
      <c r="C2" s="4">
        <f t="shared" ref="C2:C9" si="0" xml:space="preserve"> D2/(1000*$B$11)</f>
        <v>2.9226947245360224E-7</v>
      </c>
      <c r="D2" s="4">
        <v>0.14000000000000001</v>
      </c>
      <c r="E2" s="4">
        <f t="shared" ref="E2:E9" si="1" xml:space="preserve"> B2/($B$12*$B$15)</f>
        <v>1.2776870772920437E-8</v>
      </c>
      <c r="F2" s="4">
        <v>1.4239902593005093E-2</v>
      </c>
      <c r="G2" s="16">
        <f xml:space="preserve"> ((D2-F2)/D2)*100</f>
        <v>89.828641004996371</v>
      </c>
      <c r="H2" s="16">
        <v>0.11329738505134679</v>
      </c>
      <c r="I2" s="16">
        <f xml:space="preserve"> F2/H2</f>
        <v>0.12568606580418001</v>
      </c>
      <c r="AA2" s="5"/>
    </row>
    <row r="3" spans="1:28" x14ac:dyDescent="0.2">
      <c r="A3" s="4">
        <v>360</v>
      </c>
      <c r="B3" s="4">
        <v>3.0000000000000001E-3</v>
      </c>
      <c r="C3" s="4">
        <f t="shared" si="0"/>
        <v>5.2190977223857542E-7</v>
      </c>
      <c r="D3" s="4">
        <v>0.25</v>
      </c>
      <c r="E3" s="4">
        <f t="shared" si="1"/>
        <v>3.8330612318761311E-8</v>
      </c>
      <c r="F3" s="4">
        <v>2.673618552098905E-2</v>
      </c>
      <c r="G3" s="16">
        <f t="shared" ref="G3:G9" si="2" xml:space="preserve"> ((D3-F3)/D3)*100</f>
        <v>89.305525791604381</v>
      </c>
      <c r="H3" s="16">
        <v>0.20296710407182808</v>
      </c>
      <c r="I3" s="16">
        <f t="shared" ref="I3:I9" si="3" xml:space="preserve"> F3/H3</f>
        <v>0.13172669356078201</v>
      </c>
      <c r="AA3" s="5"/>
    </row>
    <row r="4" spans="1:28" x14ac:dyDescent="0.2">
      <c r="A4" s="4">
        <v>360</v>
      </c>
      <c r="B4" s="4">
        <v>1.2E-2</v>
      </c>
      <c r="C4" s="4">
        <f t="shared" si="0"/>
        <v>1.0438195444771508E-6</v>
      </c>
      <c r="D4" s="4">
        <v>0.5</v>
      </c>
      <c r="E4" s="4">
        <f t="shared" si="1"/>
        <v>1.5332244927504525E-7</v>
      </c>
      <c r="F4" s="4">
        <v>3.6829949471789997E-2</v>
      </c>
      <c r="G4" s="16">
        <f t="shared" si="2"/>
        <v>92.634010105642005</v>
      </c>
      <c r="H4" s="16">
        <v>0.40967122622247598</v>
      </c>
      <c r="I4" s="16">
        <f t="shared" si="3"/>
        <v>8.9901235708922181E-2</v>
      </c>
      <c r="AA4" s="5"/>
    </row>
    <row r="5" spans="1:28" x14ac:dyDescent="0.2">
      <c r="A5" s="4">
        <v>360</v>
      </c>
      <c r="B5" s="4">
        <v>1.9E-2</v>
      </c>
      <c r="C5" s="4">
        <f t="shared" si="0"/>
        <v>1.5657293167157263E-6</v>
      </c>
      <c r="D5" s="4">
        <v>0.75</v>
      </c>
      <c r="E5" s="4">
        <f t="shared" si="1"/>
        <v>2.4276054468548831E-7</v>
      </c>
      <c r="F5" s="4">
        <v>8.1613218641114052E-2</v>
      </c>
      <c r="G5" s="16">
        <f t="shared" si="2"/>
        <v>89.118237514518128</v>
      </c>
      <c r="H5" s="16">
        <v>0.62466054332606147</v>
      </c>
      <c r="I5" s="16">
        <f t="shared" si="3"/>
        <v>0.13065211099544899</v>
      </c>
      <c r="AA5" s="5"/>
    </row>
    <row r="6" spans="1:28" x14ac:dyDescent="0.2">
      <c r="A6" s="4">
        <v>360</v>
      </c>
      <c r="B6" s="4">
        <v>2.5999999999999999E-2</v>
      </c>
      <c r="C6" s="4">
        <f t="shared" si="0"/>
        <v>2.0876390889543017E-6</v>
      </c>
      <c r="D6" s="4">
        <v>1</v>
      </c>
      <c r="E6" s="4">
        <f t="shared" si="1"/>
        <v>3.3219864009593136E-7</v>
      </c>
      <c r="F6" s="4">
        <v>0.11111043562713474</v>
      </c>
      <c r="G6" s="16">
        <f t="shared" si="2"/>
        <v>88.888956437286524</v>
      </c>
      <c r="H6" s="16">
        <v>0.83073791062884617</v>
      </c>
      <c r="I6" s="16">
        <f t="shared" si="3"/>
        <v>0.13374908524762899</v>
      </c>
      <c r="AA6" s="5"/>
    </row>
    <row r="7" spans="1:28" x14ac:dyDescent="0.2">
      <c r="A7" s="4">
        <v>360</v>
      </c>
      <c r="B7" s="4">
        <v>0.13100000000000001</v>
      </c>
      <c r="C7" s="4">
        <f t="shared" si="0"/>
        <v>1.0438195444771508E-5</v>
      </c>
      <c r="D7" s="4">
        <v>5</v>
      </c>
      <c r="E7" s="4">
        <f t="shared" si="1"/>
        <v>1.6737700712525773E-6</v>
      </c>
      <c r="F7" s="4">
        <v>0.81471261649414961</v>
      </c>
      <c r="G7" s="16">
        <f t="shared" si="2"/>
        <v>83.705747670117006</v>
      </c>
      <c r="H7" s="16">
        <v>4.0243147918325484</v>
      </c>
      <c r="I7" s="16">
        <f t="shared" si="3"/>
        <v>0.20244753669559601</v>
      </c>
      <c r="AA7" s="5"/>
    </row>
    <row r="8" spans="1:28" x14ac:dyDescent="0.2">
      <c r="A8" s="4">
        <v>360</v>
      </c>
      <c r="B8" s="4">
        <v>0.26500000000000001</v>
      </c>
      <c r="C8" s="4">
        <f t="shared" si="0"/>
        <v>2.0876390889543015E-5</v>
      </c>
      <c r="D8" s="4">
        <v>10</v>
      </c>
      <c r="E8" s="4">
        <f t="shared" si="1"/>
        <v>3.3858707548239162E-6</v>
      </c>
      <c r="F8" s="4">
        <v>2.4104855605220701</v>
      </c>
      <c r="G8" s="16">
        <f t="shared" si="2"/>
        <v>75.895144394779308</v>
      </c>
      <c r="H8" s="16">
        <v>7.7557290723530601</v>
      </c>
      <c r="I8" s="16">
        <f t="shared" si="3"/>
        <v>0.31080064015061548</v>
      </c>
      <c r="AA8" s="5"/>
    </row>
    <row r="9" spans="1:28" x14ac:dyDescent="0.2">
      <c r="A9" s="4">
        <v>360</v>
      </c>
      <c r="B9" s="4">
        <v>0.15</v>
      </c>
      <c r="C9" s="4">
        <f t="shared" si="0"/>
        <v>3.1314586334314521E-5</v>
      </c>
      <c r="D9" s="4">
        <v>15</v>
      </c>
      <c r="E9" s="4">
        <f t="shared" si="1"/>
        <v>1.9165306159380657E-6</v>
      </c>
      <c r="F9" s="4">
        <v>7.6939505688426726</v>
      </c>
      <c r="G9" s="16">
        <f t="shared" si="2"/>
        <v>48.706996207715513</v>
      </c>
      <c r="H9" s="16">
        <v>12.050040045172549</v>
      </c>
      <c r="I9" s="16">
        <f t="shared" si="3"/>
        <v>0.63849999999999996</v>
      </c>
      <c r="AA9" s="5"/>
    </row>
    <row r="11" spans="1:28" ht="51" x14ac:dyDescent="0.2">
      <c r="A11" s="2" t="s">
        <v>8</v>
      </c>
      <c r="B11" s="4">
        <v>479.01</v>
      </c>
      <c r="F11" s="5"/>
      <c r="G11" s="5"/>
    </row>
    <row r="12" spans="1:28" ht="68" x14ac:dyDescent="0.2">
      <c r="A12" s="6" t="s">
        <v>9</v>
      </c>
      <c r="B12" s="12">
        <v>78266.425149999995</v>
      </c>
    </row>
    <row r="13" spans="1:28" ht="17" x14ac:dyDescent="0.2">
      <c r="A13" s="6" t="s">
        <v>10</v>
      </c>
      <c r="B13" s="4">
        <f xml:space="preserve"> 20/1000</f>
        <v>0.02</v>
      </c>
    </row>
    <row r="14" spans="1:28" ht="34" x14ac:dyDescent="0.2">
      <c r="A14" s="6" t="s">
        <v>2</v>
      </c>
      <c r="B14" s="4">
        <f xml:space="preserve"> 20/1000</f>
        <v>0.02</v>
      </c>
    </row>
    <row r="15" spans="1:28" ht="68" x14ac:dyDescent="0.2">
      <c r="A15" s="6" t="s">
        <v>11</v>
      </c>
      <c r="B15" s="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7703-FF65-EE4A-9517-792A81D3A98A}">
  <dimension ref="A7:AB112"/>
  <sheetViews>
    <sheetView zoomScale="92" zoomScaleNormal="143" workbookViewId="0">
      <selection activeCell="C92" sqref="C92"/>
    </sheetView>
  </sheetViews>
  <sheetFormatPr baseColWidth="10" defaultRowHeight="16" x14ac:dyDescent="0.2"/>
  <cols>
    <col min="1" max="1" width="14.33203125" style="5" customWidth="1"/>
    <col min="2" max="15" width="10.83203125" style="5"/>
    <col min="16" max="16" width="11.83203125" style="5" bestFit="1" customWidth="1"/>
    <col min="17" max="16384" width="10.83203125" style="5"/>
  </cols>
  <sheetData>
    <row r="7" spans="1:14" ht="17" x14ac:dyDescent="0.2">
      <c r="A7" s="2" t="s">
        <v>43</v>
      </c>
      <c r="B7" s="13" t="s">
        <v>28</v>
      </c>
      <c r="C7" s="13" t="s">
        <v>44</v>
      </c>
      <c r="M7" s="5" t="s">
        <v>49</v>
      </c>
      <c r="N7" s="5">
        <f xml:space="preserve"> 1/0.0669</f>
        <v>14.947683109118087</v>
      </c>
    </row>
    <row r="8" spans="1:14" x14ac:dyDescent="0.2">
      <c r="A8" s="4">
        <v>1.4239902593005093E-2</v>
      </c>
      <c r="B8" s="4">
        <v>0.11329738505134679</v>
      </c>
      <c r="C8" s="4">
        <v>0.12568606580418001</v>
      </c>
      <c r="M8" s="5" t="s">
        <v>50</v>
      </c>
      <c r="N8" s="5">
        <f xml:space="preserve"> 1/(0.1236*N7)</f>
        <v>0.54126213592233008</v>
      </c>
    </row>
    <row r="9" spans="1:14" x14ac:dyDescent="0.2">
      <c r="A9" s="4">
        <v>2.673618552098905E-2</v>
      </c>
      <c r="B9" s="4">
        <v>0.20296710407182808</v>
      </c>
      <c r="C9" s="4">
        <v>0.13172669356078201</v>
      </c>
    </row>
    <row r="10" spans="1:14" x14ac:dyDescent="0.2">
      <c r="A10" s="4">
        <v>3.6829949471789997E-2</v>
      </c>
      <c r="B10" s="4">
        <v>0.40967122622247598</v>
      </c>
      <c r="C10" s="4">
        <v>8.9901235708922181E-2</v>
      </c>
      <c r="D10" s="5">
        <f xml:space="preserve"> A10/B10</f>
        <v>8.9901235708922181E-2</v>
      </c>
    </row>
    <row r="11" spans="1:14" x14ac:dyDescent="0.2">
      <c r="A11" s="4">
        <f xml:space="preserve"> C11*B11</f>
        <v>8.1613218641114052E-2</v>
      </c>
      <c r="B11" s="4">
        <v>0.62466054332606147</v>
      </c>
      <c r="C11" s="4">
        <v>0.13065211099544899</v>
      </c>
    </row>
    <row r="12" spans="1:14" x14ac:dyDescent="0.2">
      <c r="A12" s="4">
        <v>0.11111043562713474</v>
      </c>
      <c r="B12" s="4">
        <v>0.83073791062884617</v>
      </c>
      <c r="C12" s="4">
        <v>0.13374908524762899</v>
      </c>
    </row>
    <row r="13" spans="1:14" x14ac:dyDescent="0.2">
      <c r="A13" s="4">
        <f xml:space="preserve"> B13*C13</f>
        <v>0.81471261649414961</v>
      </c>
      <c r="B13" s="4">
        <v>4.0243147918325484</v>
      </c>
      <c r="C13" s="4">
        <v>0.20244753669559601</v>
      </c>
      <c r="D13" s="5">
        <f xml:space="preserve"> A13/C13</f>
        <v>4.0243147918325484</v>
      </c>
    </row>
    <row r="14" spans="1:14" x14ac:dyDescent="0.2">
      <c r="A14" s="4">
        <v>2.4104855605220701</v>
      </c>
      <c r="B14" s="4">
        <v>7.7557290723530601</v>
      </c>
      <c r="C14" s="4">
        <v>0.29080064015061502</v>
      </c>
      <c r="D14" s="5">
        <f xml:space="preserve"> A14/B14</f>
        <v>0.31080064015061548</v>
      </c>
    </row>
    <row r="15" spans="1:14" x14ac:dyDescent="0.2">
      <c r="A15" s="4">
        <f xml:space="preserve"> B15*C15</f>
        <v>7.6939505688426726</v>
      </c>
      <c r="B15" s="4">
        <v>12.050040045172549</v>
      </c>
      <c r="C15" s="4">
        <f xml:space="preserve"> 0.6385</f>
        <v>0.63849999999999996</v>
      </c>
    </row>
    <row r="18" spans="1:28" x14ac:dyDescent="0.2">
      <c r="C18" s="18" t="s">
        <v>47</v>
      </c>
    </row>
    <row r="20" spans="1:28" x14ac:dyDescent="0.2">
      <c r="A20" s="4" t="s">
        <v>45</v>
      </c>
      <c r="B20" s="4" t="s">
        <v>46</v>
      </c>
      <c r="R20" s="4" t="s">
        <v>45</v>
      </c>
      <c r="S20" s="4" t="s">
        <v>46</v>
      </c>
    </row>
    <row r="21" spans="1:28" x14ac:dyDescent="0.2">
      <c r="A21" s="4"/>
      <c r="B21" s="4"/>
      <c r="R21" s="4"/>
      <c r="S21" s="4"/>
    </row>
    <row r="22" spans="1:28" x14ac:dyDescent="0.2">
      <c r="A22" s="4">
        <f xml:space="preserve"> LN(A8)</f>
        <v>-4.2517072134005582</v>
      </c>
      <c r="B22" s="4">
        <f xml:space="preserve"> LN(B8)</f>
        <v>-2.177739191079068</v>
      </c>
      <c r="R22" s="4">
        <v>-4.2517072134005582</v>
      </c>
      <c r="S22" s="4">
        <v>-2.177739191079068</v>
      </c>
    </row>
    <row r="23" spans="1:28" x14ac:dyDescent="0.2">
      <c r="A23" s="4">
        <f t="shared" ref="A23:B29" si="0" xml:space="preserve"> LN(A9)</f>
        <v>-3.6217373681574734</v>
      </c>
      <c r="B23" s="4">
        <f t="shared" si="0"/>
        <v>-1.5947113619789433</v>
      </c>
      <c r="R23" s="4">
        <v>-3.6217373681574734</v>
      </c>
      <c r="S23" s="4">
        <v>-1.5947113619789433</v>
      </c>
    </row>
    <row r="24" spans="1:28" x14ac:dyDescent="0.2">
      <c r="A24" s="4">
        <f t="shared" si="0"/>
        <v>-3.3014439204568671</v>
      </c>
      <c r="B24" s="4">
        <f t="shared" si="0"/>
        <v>-0.8924003282296088</v>
      </c>
      <c r="M24" s="5" t="s">
        <v>51</v>
      </c>
      <c r="N24" s="5">
        <f xml:space="preserve"> 1/0.7438</f>
        <v>1.3444474321054047</v>
      </c>
      <c r="R24" s="4">
        <v>-3.3014439204568671</v>
      </c>
      <c r="S24" s="4">
        <v>-0.8924003282296088</v>
      </c>
      <c r="AA24" s="5" t="s">
        <v>51</v>
      </c>
      <c r="AB24" s="5">
        <f xml:space="preserve"> -1/0.7438</f>
        <v>-1.3444474321054047</v>
      </c>
    </row>
    <row r="25" spans="1:28" x14ac:dyDescent="0.2">
      <c r="A25" s="4">
        <f t="shared" si="0"/>
        <v>-2.5057640369806418</v>
      </c>
      <c r="B25" s="4">
        <f t="shared" si="0"/>
        <v>-0.47054690747293204</v>
      </c>
      <c r="M25" s="5" t="s">
        <v>52</v>
      </c>
      <c r="N25" s="5">
        <f xml:space="preserve"> EXP(1.2999)</f>
        <v>3.6689297562983545</v>
      </c>
      <c r="R25" s="4">
        <v>-2.5057640369806418</v>
      </c>
      <c r="S25" s="4">
        <v>-0.47054690747293204</v>
      </c>
      <c r="AA25" s="5" t="s">
        <v>65</v>
      </c>
      <c r="AB25" s="5">
        <f xml:space="preserve"> EXP(AB24*1.2999)</f>
        <v>0.17418327717940843</v>
      </c>
    </row>
    <row r="26" spans="1:28" x14ac:dyDescent="0.2">
      <c r="A26" s="4">
        <f t="shared" si="0"/>
        <v>-2.1972306567104862</v>
      </c>
      <c r="B26" s="4">
        <f t="shared" si="0"/>
        <v>-0.18544092421101344</v>
      </c>
      <c r="R26" s="4">
        <v>-2.1972306567104862</v>
      </c>
      <c r="S26" s="4">
        <v>-0.18544092421101344</v>
      </c>
    </row>
    <row r="27" spans="1:28" x14ac:dyDescent="0.2">
      <c r="A27" s="4">
        <f t="shared" si="0"/>
        <v>-0.20491984572413835</v>
      </c>
      <c r="B27" s="4">
        <f t="shared" si="0"/>
        <v>1.3923546583243591</v>
      </c>
      <c r="R27" s="4">
        <v>-0.20491984572413835</v>
      </c>
      <c r="S27" s="4">
        <v>1.3923546583243591</v>
      </c>
    </row>
    <row r="28" spans="1:28" x14ac:dyDescent="0.2">
      <c r="A28" s="4">
        <f t="shared" si="0"/>
        <v>0.87982820460376887</v>
      </c>
      <c r="B28" s="4">
        <f t="shared" si="0"/>
        <v>2.0484318054078696</v>
      </c>
      <c r="R28" s="4">
        <v>0.87982820460376887</v>
      </c>
      <c r="S28" s="4">
        <v>2.0484318054078696</v>
      </c>
    </row>
    <row r="29" spans="1:28" x14ac:dyDescent="0.2">
      <c r="A29" s="4">
        <f t="shared" si="0"/>
        <v>2.0404343796724329</v>
      </c>
      <c r="B29" s="4">
        <f t="shared" si="0"/>
        <v>2.4890679831819762</v>
      </c>
      <c r="R29" s="4">
        <v>2.0404343796724329</v>
      </c>
      <c r="S29" s="4">
        <v>2.4890679831819762</v>
      </c>
    </row>
    <row r="31" spans="1:28" x14ac:dyDescent="0.2">
      <c r="B31" s="18" t="s">
        <v>48</v>
      </c>
      <c r="S31" s="18" t="s">
        <v>64</v>
      </c>
    </row>
    <row r="35" spans="1:13" x14ac:dyDescent="0.2">
      <c r="A35" s="20"/>
    </row>
    <row r="36" spans="1:13" x14ac:dyDescent="0.2">
      <c r="A36" s="4" t="s">
        <v>45</v>
      </c>
      <c r="B36" s="4" t="s">
        <v>28</v>
      </c>
    </row>
    <row r="37" spans="1:13" x14ac:dyDescent="0.2">
      <c r="A37" s="4"/>
      <c r="B37" s="4"/>
    </row>
    <row r="38" spans="1:13" x14ac:dyDescent="0.2">
      <c r="A38" s="4">
        <v>-4.2517072134005582</v>
      </c>
      <c r="B38" s="4">
        <v>0.11329738505134679</v>
      </c>
    </row>
    <row r="39" spans="1:13" x14ac:dyDescent="0.2">
      <c r="A39" s="4">
        <v>-3.6217373681574734</v>
      </c>
      <c r="B39" s="4">
        <v>0.20296710407182808</v>
      </c>
    </row>
    <row r="40" spans="1:13" x14ac:dyDescent="0.2">
      <c r="A40" s="4">
        <v>-3.3014439204568671</v>
      </c>
      <c r="B40" s="4">
        <v>0.40967122622247598</v>
      </c>
    </row>
    <row r="41" spans="1:13" x14ac:dyDescent="0.2">
      <c r="A41" s="4">
        <v>-2.5057640369806418</v>
      </c>
      <c r="B41" s="4">
        <v>0.62466054332606147</v>
      </c>
    </row>
    <row r="42" spans="1:13" x14ac:dyDescent="0.2">
      <c r="A42" s="4">
        <v>-2.1972306567104862</v>
      </c>
      <c r="B42" s="4">
        <v>0.83073791062884617</v>
      </c>
      <c r="L42" s="5" t="s">
        <v>67</v>
      </c>
      <c r="M42" s="5">
        <f xml:space="preserve"> (8.314*298.15)/1.8461</f>
        <v>1342.7328422078974</v>
      </c>
    </row>
    <row r="43" spans="1:13" x14ac:dyDescent="0.2">
      <c r="A43" s="4">
        <v>-0.20491984572413835</v>
      </c>
      <c r="B43" s="4">
        <v>4.0243147918325484</v>
      </c>
      <c r="L43" s="5" t="s">
        <v>68</v>
      </c>
      <c r="M43" s="5">
        <f xml:space="preserve"> EXP((M42*6.2888)/(8.314*298.15))</f>
        <v>30.16048700942704</v>
      </c>
    </row>
    <row r="44" spans="1:13" x14ac:dyDescent="0.2">
      <c r="A44" s="4">
        <v>0.87982820460376887</v>
      </c>
      <c r="B44" s="4">
        <v>7.7557290723530601</v>
      </c>
    </row>
    <row r="45" spans="1:13" x14ac:dyDescent="0.2">
      <c r="A45" s="4">
        <v>2.0404343796724329</v>
      </c>
      <c r="B45" s="4">
        <v>12.050040045172549</v>
      </c>
      <c r="E45" s="5">
        <v>86619</v>
      </c>
    </row>
    <row r="49" spans="1:15" x14ac:dyDescent="0.2">
      <c r="B49" s="18" t="s">
        <v>53</v>
      </c>
    </row>
    <row r="53" spans="1:15" x14ac:dyDescent="0.2">
      <c r="A53" s="4" t="s">
        <v>45</v>
      </c>
      <c r="B53" s="4" t="s">
        <v>55</v>
      </c>
      <c r="C53" s="4" t="s">
        <v>56</v>
      </c>
      <c r="D53" s="13" t="s">
        <v>28</v>
      </c>
      <c r="E53" s="4" t="s">
        <v>45</v>
      </c>
      <c r="F53" s="5" t="s">
        <v>49</v>
      </c>
      <c r="G53" s="5">
        <f xml:space="preserve"> 20.63</f>
        <v>20.63</v>
      </c>
    </row>
    <row r="54" spans="1:15" x14ac:dyDescent="0.2">
      <c r="A54" s="4"/>
      <c r="B54" s="4"/>
      <c r="C54" s="4"/>
      <c r="D54" s="4"/>
      <c r="E54" s="4"/>
    </row>
    <row r="55" spans="1:15" x14ac:dyDescent="0.2">
      <c r="A55" s="4">
        <v>-4.2517072134005582</v>
      </c>
      <c r="B55" s="4">
        <f xml:space="preserve"> LN(C55)</f>
        <v>-5.1989785071901045</v>
      </c>
      <c r="C55" s="4">
        <f xml:space="preserve"> D55/($G$53-D55)</f>
        <v>5.5222024307549937E-3</v>
      </c>
      <c r="D55" s="4">
        <v>0.11329738505134679</v>
      </c>
      <c r="E55" s="4">
        <v>-4.2517072134005582</v>
      </c>
    </row>
    <row r="56" spans="1:15" x14ac:dyDescent="0.2">
      <c r="A56" s="4">
        <v>-3.6217373681574734</v>
      </c>
      <c r="B56" s="4">
        <f t="shared" ref="B56:B62" si="1" xml:space="preserve"> LN(C56)</f>
        <v>-4.6115705275606542</v>
      </c>
      <c r="C56" s="4">
        <f t="shared" ref="C56:C62" si="2" xml:space="preserve"> D56/($G$53-D56)</f>
        <v>9.9362009698572805E-3</v>
      </c>
      <c r="D56" s="4">
        <v>0.20296710407182808</v>
      </c>
      <c r="E56" s="4">
        <v>-3.6217373681574734</v>
      </c>
    </row>
    <row r="57" spans="1:15" x14ac:dyDescent="0.2">
      <c r="A57" s="4">
        <v>-3.3014439204568671</v>
      </c>
      <c r="B57" s="4">
        <f t="shared" si="1"/>
        <v>-3.8990888015204828</v>
      </c>
      <c r="C57" s="4">
        <f t="shared" si="2"/>
        <v>2.0260364250543388E-2</v>
      </c>
      <c r="D57" s="4">
        <v>0.40967122622247598</v>
      </c>
      <c r="E57" s="4">
        <v>-3.3014439204568671</v>
      </c>
    </row>
    <row r="58" spans="1:15" x14ac:dyDescent="0.2">
      <c r="A58" s="4">
        <v>-2.5057640369806418</v>
      </c>
      <c r="B58" s="4">
        <f t="shared" si="1"/>
        <v>-3.4665461182297146</v>
      </c>
      <c r="C58" s="4">
        <f t="shared" si="2"/>
        <v>3.1224691022059606E-2</v>
      </c>
      <c r="D58" s="4">
        <v>0.62466054332606147</v>
      </c>
      <c r="E58" s="4">
        <v>-2.5057640369806418</v>
      </c>
      <c r="N58" s="5" t="s">
        <v>63</v>
      </c>
      <c r="O58" s="5">
        <f>D62+(D62)/(A15*O59)^(1/O60)</f>
        <v>12.315067936373907</v>
      </c>
    </row>
    <row r="59" spans="1:15" x14ac:dyDescent="0.2">
      <c r="A59" s="4">
        <v>-2.1972306567104862</v>
      </c>
      <c r="B59" s="4">
        <f t="shared" si="1"/>
        <v>-3.1710855930034478</v>
      </c>
      <c r="C59" s="4">
        <f t="shared" si="2"/>
        <v>4.1958023833363542E-2</v>
      </c>
      <c r="D59" s="4">
        <v>0.83073791062884617</v>
      </c>
      <c r="E59" s="4">
        <v>-2.1972306567104862</v>
      </c>
      <c r="N59" s="5" t="s">
        <v>54</v>
      </c>
      <c r="O59" s="5">
        <f xml:space="preserve"> EXP(O60*1.4862)</f>
        <v>3.6731854895484424</v>
      </c>
    </row>
    <row r="60" spans="1:15" x14ac:dyDescent="0.2">
      <c r="A60" s="4">
        <v>-0.20491984572413835</v>
      </c>
      <c r="B60" s="4">
        <f t="shared" si="1"/>
        <v>-1.4173904608241474</v>
      </c>
      <c r="C60" s="4">
        <f t="shared" si="2"/>
        <v>0.24234560280916337</v>
      </c>
      <c r="D60" s="4">
        <v>4.0243147918325484</v>
      </c>
      <c r="E60" s="4">
        <v>-0.20491984572413835</v>
      </c>
      <c r="N60" s="5" t="s">
        <v>51</v>
      </c>
      <c r="O60" s="5">
        <f xml:space="preserve"> 1/1.1423</f>
        <v>0.87542677055064333</v>
      </c>
    </row>
    <row r="61" spans="1:15" x14ac:dyDescent="0.2">
      <c r="A61" s="4">
        <v>0.87982820460376887</v>
      </c>
      <c r="B61" s="4">
        <f t="shared" si="1"/>
        <v>-0.50679901255968374</v>
      </c>
      <c r="C61" s="4">
        <f t="shared" si="2"/>
        <v>0.60242083733828899</v>
      </c>
      <c r="D61" s="4">
        <v>7.7557290723530601</v>
      </c>
      <c r="E61" s="4">
        <v>0.87982820460376887</v>
      </c>
    </row>
    <row r="62" spans="1:15" x14ac:dyDescent="0.2">
      <c r="A62" s="4">
        <v>2.0404343796724329</v>
      </c>
      <c r="B62" s="4">
        <f t="shared" si="1"/>
        <v>0.33963873696252483</v>
      </c>
      <c r="C62" s="4">
        <f t="shared" si="2"/>
        <v>1.4044401265990392</v>
      </c>
      <c r="D62" s="4">
        <v>12.050040045172549</v>
      </c>
      <c r="E62" s="4">
        <v>2.0404343796724329</v>
      </c>
    </row>
    <row r="65" spans="1:16" x14ac:dyDescent="0.2">
      <c r="B65" s="18" t="s">
        <v>66</v>
      </c>
    </row>
    <row r="69" spans="1:16" x14ac:dyDescent="0.2">
      <c r="A69" s="4" t="s">
        <v>57</v>
      </c>
      <c r="B69" s="4" t="s">
        <v>43</v>
      </c>
      <c r="C69" s="4" t="s">
        <v>59</v>
      </c>
      <c r="D69" s="4" t="s">
        <v>46</v>
      </c>
    </row>
    <row r="70" spans="1:16" x14ac:dyDescent="0.2">
      <c r="A70" s="4">
        <f xml:space="preserve"> $H$72*$H$73*(LN(1/B70)+1)</f>
        <v>13018.032148185079</v>
      </c>
      <c r="B70" s="4">
        <v>1.4239902593005093E-2</v>
      </c>
      <c r="C70" s="4">
        <f xml:space="preserve"> A70^2</f>
        <v>169469161.01118022</v>
      </c>
      <c r="D70" s="4">
        <v>-2.177739191079068</v>
      </c>
    </row>
    <row r="71" spans="1:16" x14ac:dyDescent="0.2">
      <c r="A71" s="4">
        <f t="shared" ref="A71:A77" si="3" xml:space="preserve"> $H$72*$H$73*(LN(1/B71)+1)</f>
        <v>11456.450863372476</v>
      </c>
      <c r="B71" s="4">
        <v>2.673618552098905E-2</v>
      </c>
      <c r="C71" s="4">
        <f t="shared" ref="C71:C77" si="4" xml:space="preserve"> A71^2</f>
        <v>131250266.38486795</v>
      </c>
      <c r="D71" s="4">
        <v>-1.5947113619789433</v>
      </c>
    </row>
    <row r="72" spans="1:16" x14ac:dyDescent="0.2">
      <c r="A72" s="4">
        <f t="shared" si="3"/>
        <v>10662.501347607362</v>
      </c>
      <c r="B72" s="4">
        <v>3.6829949471789997E-2</v>
      </c>
      <c r="C72" s="4">
        <f t="shared" si="4"/>
        <v>113688934.9877288</v>
      </c>
      <c r="D72" s="4">
        <v>-0.8924003282296088</v>
      </c>
      <c r="G72" s="5" t="s">
        <v>12</v>
      </c>
      <c r="H72" s="5">
        <v>8.3140000000000001</v>
      </c>
    </row>
    <row r="73" spans="1:16" x14ac:dyDescent="0.2">
      <c r="A73" s="4">
        <f t="shared" si="3"/>
        <v>8690.1548549607196</v>
      </c>
      <c r="B73" s="4">
        <v>8.1613218641114052E-2</v>
      </c>
      <c r="C73" s="4">
        <f t="shared" si="4"/>
        <v>75518791.403197363</v>
      </c>
      <c r="D73" s="4">
        <v>-0.47054690747293204</v>
      </c>
      <c r="G73" s="5" t="s">
        <v>58</v>
      </c>
      <c r="H73" s="5">
        <v>298.14999999999998</v>
      </c>
    </row>
    <row r="74" spans="1:16" x14ac:dyDescent="0.2">
      <c r="A74" s="4">
        <f t="shared" si="3"/>
        <v>7925.3564189594945</v>
      </c>
      <c r="B74" s="4">
        <v>0.11111043562713474</v>
      </c>
      <c r="C74" s="4">
        <f t="shared" si="4"/>
        <v>62811274.367542461</v>
      </c>
      <c r="D74" s="4">
        <v>-0.18544092421101344</v>
      </c>
    </row>
    <row r="75" spans="1:16" x14ac:dyDescent="0.2">
      <c r="A75" s="4">
        <f t="shared" si="3"/>
        <v>2986.7783275500469</v>
      </c>
      <c r="B75" s="4">
        <v>0.81471261649414961</v>
      </c>
      <c r="C75" s="4">
        <f t="shared" si="4"/>
        <v>8920844.7779226545</v>
      </c>
      <c r="D75" s="4">
        <v>1.3923546583243591</v>
      </c>
    </row>
    <row r="76" spans="1:16" x14ac:dyDescent="0.2">
      <c r="A76" s="4">
        <f t="shared" si="3"/>
        <v>297.88414170946976</v>
      </c>
      <c r="B76" s="4">
        <v>2.4104855605220701</v>
      </c>
      <c r="C76" s="4">
        <f t="shared" si="4"/>
        <v>88734.961881987459</v>
      </c>
      <c r="D76" s="4">
        <v>2.0484318054078696</v>
      </c>
    </row>
    <row r="77" spans="1:16" x14ac:dyDescent="0.2">
      <c r="A77" s="4">
        <f t="shared" si="3"/>
        <v>-2579.0486126286783</v>
      </c>
      <c r="B77" s="4">
        <v>7.6939505688426726</v>
      </c>
      <c r="C77" s="4">
        <f t="shared" si="4"/>
        <v>6651491.7463019099</v>
      </c>
      <c r="D77" s="4">
        <v>2.4890679831819762</v>
      </c>
    </row>
    <row r="79" spans="1:16" x14ac:dyDescent="0.2">
      <c r="O79" s="5" t="s">
        <v>60</v>
      </c>
      <c r="P79" s="5">
        <f xml:space="preserve"> 3*10^-8</f>
        <v>3.0000000000000004E-8</v>
      </c>
    </row>
    <row r="80" spans="1:16" x14ac:dyDescent="0.2">
      <c r="B80" s="18" t="s">
        <v>62</v>
      </c>
      <c r="O80" s="5" t="s">
        <v>61</v>
      </c>
      <c r="P80" s="5">
        <f xml:space="preserve"> EXP(1.9395)</f>
        <v>6.9552724648508688</v>
      </c>
    </row>
    <row r="87" spans="1:5" x14ac:dyDescent="0.2">
      <c r="A87" s="20"/>
    </row>
    <row r="91" spans="1:5" x14ac:dyDescent="0.2">
      <c r="E91" s="21"/>
    </row>
    <row r="92" spans="1:5" x14ac:dyDescent="0.2">
      <c r="E92" s="21"/>
    </row>
    <row r="93" spans="1:5" x14ac:dyDescent="0.2">
      <c r="E93" s="21"/>
    </row>
    <row r="94" spans="1:5" x14ac:dyDescent="0.2">
      <c r="E94" s="21"/>
    </row>
    <row r="98" spans="1:2" x14ac:dyDescent="0.2">
      <c r="A98" s="20"/>
    </row>
    <row r="112" spans="1:2" x14ac:dyDescent="0.2">
      <c r="A112" s="20"/>
      <c r="B112" s="2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DCD6-E315-EF4A-A8E8-3F3BC3D9E4B2}">
  <dimension ref="A1:K13"/>
  <sheetViews>
    <sheetView zoomScale="118" workbookViewId="0">
      <selection activeCell="O7" sqref="O7"/>
    </sheetView>
  </sheetViews>
  <sheetFormatPr baseColWidth="10" defaultRowHeight="16" x14ac:dyDescent="0.2"/>
  <cols>
    <col min="1" max="1" width="13" customWidth="1"/>
    <col min="2" max="2" width="13.1640625" customWidth="1"/>
    <col min="3" max="4" width="13.83203125" customWidth="1"/>
    <col min="6" max="6" width="12.5" bestFit="1" customWidth="1"/>
    <col min="7" max="7" width="11" bestFit="1" customWidth="1"/>
    <col min="8" max="8" width="12.5" bestFit="1" customWidth="1"/>
    <col min="9" max="10" width="11" bestFit="1" customWidth="1"/>
  </cols>
  <sheetData>
    <row r="1" spans="1:11" ht="85" x14ac:dyDescent="0.2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5"/>
    </row>
    <row r="2" spans="1:1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5"/>
    </row>
    <row r="3" spans="1:11" x14ac:dyDescent="0.2">
      <c r="A3" s="4">
        <v>15</v>
      </c>
      <c r="B3" s="4">
        <f xml:space="preserve"> A3/$B$8/1000</f>
        <v>3.1314586334314528E-5</v>
      </c>
      <c r="C3" s="4" t="s">
        <v>81</v>
      </c>
      <c r="D3" s="4">
        <v>0.16300000000000001</v>
      </c>
      <c r="E3" s="4" t="s">
        <v>80</v>
      </c>
      <c r="F3" s="4">
        <f xml:space="preserve"> D3/$B$9/$B$11</f>
        <v>1.8809093693686491E-6</v>
      </c>
      <c r="G3" s="4">
        <f xml:space="preserve"> F3*1000*$B$8</f>
        <v>0.90097439702127669</v>
      </c>
      <c r="H3" s="4">
        <f xml:space="preserve"> ((B3-F3)*$B$10)/$B$12</f>
        <v>2.943367696494588E-5</v>
      </c>
      <c r="I3" s="16">
        <f xml:space="preserve">  (A3-G3)*($B$10/$B$12)</f>
        <v>14.099025602978724</v>
      </c>
      <c r="J3" s="16">
        <f xml:space="preserve"> ((A3-G3)/A3)*100</f>
        <v>93.993504019858165</v>
      </c>
      <c r="K3" s="5"/>
    </row>
    <row r="4" spans="1:11" x14ac:dyDescent="0.2">
      <c r="A4" s="4">
        <v>15</v>
      </c>
      <c r="B4" s="4">
        <f t="shared" ref="B4:B6" si="0" xml:space="preserve"> A4/$B$8/1000</f>
        <v>3.1314586334314528E-5</v>
      </c>
      <c r="C4" s="4">
        <v>1</v>
      </c>
      <c r="D4" s="4">
        <v>0.17499999999999999</v>
      </c>
      <c r="E4" s="4" t="s">
        <v>80</v>
      </c>
      <c r="F4" s="4">
        <f xml:space="preserve"> D4/$B$9/$B$11</f>
        <v>2.0193812247822919E-6</v>
      </c>
      <c r="G4" s="4">
        <f xml:space="preserve"> F4*1000*$B$8</f>
        <v>0.9673038004829656</v>
      </c>
      <c r="H4" s="4">
        <f xml:space="preserve"> ((B4-F4)*$B$10)/$B$12</f>
        <v>2.9295205109532233E-5</v>
      </c>
      <c r="I4" s="16">
        <f t="shared" ref="I4:I6" si="1" xml:space="preserve">  (A4-G4)*($B$10/$B$12)</f>
        <v>14.032696199517034</v>
      </c>
      <c r="J4" s="16">
        <f xml:space="preserve"> ((A4-G4)/A4)*100</f>
        <v>93.551307996780224</v>
      </c>
      <c r="K4" s="5"/>
    </row>
    <row r="5" spans="1:11" x14ac:dyDescent="0.2">
      <c r="A5" s="4">
        <v>15</v>
      </c>
      <c r="B5" s="4">
        <f t="shared" si="0"/>
        <v>3.1314586334314528E-5</v>
      </c>
      <c r="C5" s="4">
        <v>2</v>
      </c>
      <c r="D5" s="4">
        <v>0.2288</v>
      </c>
      <c r="E5" s="4" t="s">
        <v>80</v>
      </c>
      <c r="F5" s="4">
        <f xml:space="preserve"> D5/$B$9/$B$11</f>
        <v>2.6401967098867909E-6</v>
      </c>
      <c r="G5" s="4">
        <f xml:space="preserve"> F5*1000*$B$8</f>
        <v>1.2646806260028716</v>
      </c>
      <c r="H5" s="4">
        <f xml:space="preserve"> ((B5-F5)*$B$10)/$B$12</f>
        <v>2.8674389624427733E-5</v>
      </c>
      <c r="I5" s="16">
        <f t="shared" si="1"/>
        <v>13.735319373997129</v>
      </c>
      <c r="J5" s="16">
        <f t="shared" ref="J5:J6" si="2" xml:space="preserve"> ((A5-G5)/A5)*100</f>
        <v>91.568795826647531</v>
      </c>
      <c r="K5" s="5"/>
    </row>
    <row r="6" spans="1:11" x14ac:dyDescent="0.2">
      <c r="A6" s="4">
        <v>15</v>
      </c>
      <c r="B6" s="4">
        <f t="shared" si="0"/>
        <v>3.1314586334314528E-5</v>
      </c>
      <c r="C6" s="4">
        <v>3</v>
      </c>
      <c r="D6" s="4">
        <v>0.25900000000000001</v>
      </c>
      <c r="E6" s="4" t="s">
        <v>80</v>
      </c>
      <c r="F6" s="4">
        <f xml:space="preserve"> D6/$B$9/$B$11</f>
        <v>2.9886842126777921E-6</v>
      </c>
      <c r="G6" s="4">
        <f xml:space="preserve"> F6*1000*$B$8</f>
        <v>1.4316096247147891</v>
      </c>
      <c r="H6" s="4">
        <f xml:space="preserve"> ((B6-F6)*$B$10)/$B$12</f>
        <v>2.8325902121636738E-5</v>
      </c>
      <c r="I6" s="16">
        <f t="shared" si="1"/>
        <v>13.568390375285212</v>
      </c>
      <c r="J6" s="16">
        <f t="shared" si="2"/>
        <v>90.45593583523474</v>
      </c>
      <c r="K6" s="5"/>
    </row>
    <row r="7" spans="1:1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34" x14ac:dyDescent="0.2">
      <c r="A8" s="2" t="s">
        <v>8</v>
      </c>
      <c r="B8" s="4">
        <v>479.01</v>
      </c>
      <c r="C8" s="5"/>
      <c r="D8" s="5"/>
      <c r="E8" s="5"/>
      <c r="F8" s="5"/>
      <c r="G8" s="5"/>
      <c r="H8" s="5"/>
      <c r="I8" s="5"/>
      <c r="J8" s="5"/>
      <c r="K8" s="5"/>
    </row>
    <row r="9" spans="1:11" ht="51" x14ac:dyDescent="0.2">
      <c r="A9" s="2" t="s">
        <v>9</v>
      </c>
      <c r="B9" s="4">
        <v>86660.209499999997</v>
      </c>
      <c r="C9" s="5"/>
      <c r="D9" s="5"/>
      <c r="E9" s="5"/>
      <c r="F9" s="5"/>
      <c r="G9" s="5"/>
      <c r="H9" s="5"/>
      <c r="I9" s="5"/>
      <c r="J9" s="5"/>
      <c r="K9" s="5"/>
    </row>
    <row r="10" spans="1:11" ht="17" x14ac:dyDescent="0.2">
      <c r="A10" s="2" t="s">
        <v>10</v>
      </c>
      <c r="B10" s="4">
        <f xml:space="preserve"> 20/1000</f>
        <v>0.02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34" x14ac:dyDescent="0.2">
      <c r="A11" s="2" t="s">
        <v>11</v>
      </c>
      <c r="B11" s="4">
        <v>1</v>
      </c>
      <c r="C11" s="5"/>
      <c r="D11" s="5"/>
      <c r="E11" s="5"/>
      <c r="F11" s="5"/>
      <c r="G11" s="5"/>
      <c r="H11" s="5"/>
      <c r="I11" s="5"/>
      <c r="J11" s="5"/>
      <c r="K11" s="5"/>
    </row>
    <row r="12" spans="1:11" ht="34" x14ac:dyDescent="0.2">
      <c r="A12" s="2" t="s">
        <v>2</v>
      </c>
      <c r="B12" s="4">
        <f xml:space="preserve"> 20/1000</f>
        <v>0.02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Contact time</vt:lpstr>
      <vt:lpstr>Adsorption kinetics</vt:lpstr>
      <vt:lpstr>Dosage</vt:lpstr>
      <vt:lpstr>pH</vt:lpstr>
      <vt:lpstr>Temperature</vt:lpstr>
      <vt:lpstr>MX SSB temp</vt:lpstr>
      <vt:lpstr>Initial dye conc</vt:lpstr>
      <vt:lpstr>Adsorption isotherm final</vt:lpstr>
      <vt:lpstr>Regeneration studies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mayilswamy b</dc:creator>
  <cp:lastModifiedBy>mayilswamy b</cp:lastModifiedBy>
  <dcterms:created xsi:type="dcterms:W3CDTF">2024-01-16T08:14:06Z</dcterms:created>
  <dcterms:modified xsi:type="dcterms:W3CDTF">2025-08-17T11:52:30Z</dcterms:modified>
</cp:coreProperties>
</file>